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5F327F-EB15-4400-A94C-51C2330914ED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come statement" sheetId="1" r:id="rId1"/>
    <sheet name="Ratios" sheetId="3" r:id="rId2"/>
    <sheet name="Proforma Statement" sheetId="4" r:id="rId3"/>
    <sheet name="Cash Flow" sheetId="5" r:id="rId4"/>
    <sheet name="Cost of capital " sheetId="6" r:id="rId5"/>
    <sheet name="Valuat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7" l="1"/>
  <c r="H28" i="7" s="1"/>
  <c r="H30" i="7" s="1"/>
  <c r="H26" i="7"/>
  <c r="H27" i="6"/>
  <c r="J14" i="7"/>
  <c r="I14" i="7"/>
  <c r="H14" i="7"/>
  <c r="H15" i="7" s="1"/>
  <c r="Q14" i="7"/>
  <c r="P14" i="7"/>
  <c r="O14" i="7"/>
  <c r="O10" i="6"/>
  <c r="O27" i="7"/>
  <c r="P21" i="7"/>
  <c r="Q21" i="7"/>
  <c r="R21" i="7"/>
  <c r="O21" i="7"/>
  <c r="P20" i="7"/>
  <c r="Q20" i="7"/>
  <c r="R20" i="7"/>
  <c r="O20" i="7"/>
  <c r="P19" i="7"/>
  <c r="P22" i="7" s="1"/>
  <c r="Q19" i="7"/>
  <c r="Q22" i="7" s="1"/>
  <c r="R19" i="7"/>
  <c r="O19" i="7"/>
  <c r="O22" i="7" s="1"/>
  <c r="R22" i="7"/>
  <c r="P9" i="5"/>
  <c r="I21" i="7"/>
  <c r="J21" i="7"/>
  <c r="K21" i="7"/>
  <c r="H21" i="7"/>
  <c r="I20" i="7"/>
  <c r="J20" i="7"/>
  <c r="K20" i="7"/>
  <c r="H20" i="7"/>
  <c r="K9" i="5"/>
  <c r="K19" i="7"/>
  <c r="K22" i="7" s="1"/>
  <c r="J19" i="7"/>
  <c r="I19" i="7"/>
  <c r="I22" i="7" s="1"/>
  <c r="H19" i="7"/>
  <c r="P11" i="6"/>
  <c r="P10" i="6"/>
  <c r="E10" i="6"/>
  <c r="F11" i="6"/>
  <c r="E15" i="6" s="1"/>
  <c r="F10" i="6"/>
  <c r="Q27" i="6"/>
  <c r="S28" i="6"/>
  <c r="S29" i="6"/>
  <c r="S30" i="6"/>
  <c r="S31" i="6"/>
  <c r="S32" i="6"/>
  <c r="S33" i="6"/>
  <c r="S34" i="6"/>
  <c r="S35" i="6"/>
  <c r="S36" i="6"/>
  <c r="S27" i="6"/>
  <c r="R28" i="6"/>
  <c r="R29" i="6"/>
  <c r="R30" i="6"/>
  <c r="R31" i="6"/>
  <c r="R32" i="6"/>
  <c r="R33" i="6"/>
  <c r="R34" i="6"/>
  <c r="R35" i="6"/>
  <c r="R36" i="6"/>
  <c r="R27" i="6"/>
  <c r="Q28" i="6"/>
  <c r="Q29" i="6"/>
  <c r="Q30" i="6"/>
  <c r="Q31" i="6"/>
  <c r="Q32" i="6"/>
  <c r="Q33" i="6"/>
  <c r="Q34" i="6"/>
  <c r="Q35" i="6"/>
  <c r="Q36" i="6"/>
  <c r="G28" i="6"/>
  <c r="G29" i="6"/>
  <c r="G30" i="6"/>
  <c r="G31" i="6"/>
  <c r="G32" i="6"/>
  <c r="G33" i="6"/>
  <c r="G34" i="6"/>
  <c r="G35" i="6"/>
  <c r="G36" i="6"/>
  <c r="G27" i="6"/>
  <c r="I27" i="6"/>
  <c r="I28" i="6"/>
  <c r="I29" i="6"/>
  <c r="I30" i="6"/>
  <c r="I31" i="6"/>
  <c r="I32" i="6"/>
  <c r="I33" i="6"/>
  <c r="I34" i="6"/>
  <c r="I35" i="6"/>
  <c r="I36" i="6"/>
  <c r="H28" i="6"/>
  <c r="H29" i="6"/>
  <c r="H30" i="6"/>
  <c r="H31" i="6"/>
  <c r="H32" i="6"/>
  <c r="H33" i="6"/>
  <c r="H34" i="6"/>
  <c r="H35" i="6"/>
  <c r="H36" i="6"/>
  <c r="P21" i="5"/>
  <c r="O21" i="5"/>
  <c r="O10" i="5"/>
  <c r="O11" i="5"/>
  <c r="O9" i="5"/>
  <c r="K10" i="5"/>
  <c r="K11" i="5"/>
  <c r="P11" i="5" s="1"/>
  <c r="F10" i="5"/>
  <c r="P10" i="5" s="1"/>
  <c r="F11" i="5"/>
  <c r="F9" i="5"/>
  <c r="O22" i="5"/>
  <c r="O23" i="5"/>
  <c r="K22" i="5"/>
  <c r="K23" i="5"/>
  <c r="P23" i="5" s="1"/>
  <c r="K21" i="5"/>
  <c r="F22" i="5"/>
  <c r="P22" i="5" s="1"/>
  <c r="F23" i="5"/>
  <c r="F21" i="5"/>
  <c r="X21" i="5"/>
  <c r="U23" i="5"/>
  <c r="U22" i="5"/>
  <c r="U21" i="5"/>
  <c r="X23" i="5"/>
  <c r="X22" i="5"/>
  <c r="U11" i="5"/>
  <c r="U10" i="5"/>
  <c r="U9" i="5"/>
  <c r="W11" i="5"/>
  <c r="X11" i="5" s="1"/>
  <c r="W10" i="5"/>
  <c r="X10" i="5" s="1"/>
  <c r="W9" i="5"/>
  <c r="X9" i="5" s="1"/>
  <c r="O83" i="4"/>
  <c r="Q83" i="4"/>
  <c r="M83" i="4"/>
  <c r="H76" i="4"/>
  <c r="F76" i="4"/>
  <c r="D76" i="4"/>
  <c r="Q29" i="4"/>
  <c r="O29" i="4"/>
  <c r="O30" i="4" s="1"/>
  <c r="M29" i="4"/>
  <c r="M30" i="4" s="1"/>
  <c r="D22" i="4"/>
  <c r="H13" i="4"/>
  <c r="H12" i="4"/>
  <c r="H9" i="4"/>
  <c r="F13" i="4"/>
  <c r="F12" i="4"/>
  <c r="F9" i="4"/>
  <c r="D13" i="4"/>
  <c r="D12" i="4"/>
  <c r="D11" i="4"/>
  <c r="F37" i="1"/>
  <c r="F27" i="1" s="1"/>
  <c r="D9" i="4"/>
  <c r="D64" i="4"/>
  <c r="Q30" i="4"/>
  <c r="H22" i="4"/>
  <c r="F22" i="4"/>
  <c r="H66" i="4"/>
  <c r="F66" i="4"/>
  <c r="D66" i="4"/>
  <c r="Q96" i="4"/>
  <c r="Q95" i="4"/>
  <c r="Q93" i="4"/>
  <c r="Q92" i="4"/>
  <c r="Q90" i="4"/>
  <c r="Q98" i="4" s="1"/>
  <c r="Q88" i="4"/>
  <c r="Q74" i="4"/>
  <c r="Q73" i="4"/>
  <c r="Q72" i="4"/>
  <c r="Q71" i="4"/>
  <c r="Q70" i="4"/>
  <c r="Q69" i="4"/>
  <c r="Q66" i="4"/>
  <c r="Q65" i="4"/>
  <c r="Q64" i="4"/>
  <c r="O96" i="4"/>
  <c r="O95" i="4"/>
  <c r="O93" i="4"/>
  <c r="O92" i="4"/>
  <c r="O90" i="4"/>
  <c r="O74" i="4"/>
  <c r="O73" i="4"/>
  <c r="O72" i="4"/>
  <c r="O71" i="4"/>
  <c r="O70" i="4"/>
  <c r="O69" i="4"/>
  <c r="O66" i="4"/>
  <c r="O65" i="4"/>
  <c r="O64" i="4"/>
  <c r="O88" i="4"/>
  <c r="M88" i="4"/>
  <c r="O82" i="1"/>
  <c r="F90" i="1" s="1"/>
  <c r="F83" i="3" s="1"/>
  <c r="L82" i="1"/>
  <c r="C90" i="1" s="1"/>
  <c r="M82" i="1"/>
  <c r="D90" i="1" s="1"/>
  <c r="D83" i="3" s="1"/>
  <c r="N82" i="1"/>
  <c r="E90" i="1" s="1"/>
  <c r="E83" i="3" s="1"/>
  <c r="M96" i="4"/>
  <c r="M95" i="4"/>
  <c r="M93" i="4"/>
  <c r="M92" i="4"/>
  <c r="M90" i="4"/>
  <c r="M74" i="4"/>
  <c r="M73" i="4"/>
  <c r="M72" i="4"/>
  <c r="M71" i="4"/>
  <c r="M70" i="4"/>
  <c r="M69" i="4"/>
  <c r="M75" i="4" s="1"/>
  <c r="M66" i="4"/>
  <c r="M65" i="4"/>
  <c r="M64" i="4"/>
  <c r="D93" i="4"/>
  <c r="H71" i="4"/>
  <c r="H64" i="4"/>
  <c r="H63" i="4"/>
  <c r="F71" i="4"/>
  <c r="F64" i="4"/>
  <c r="D71" i="4"/>
  <c r="F63" i="4"/>
  <c r="D63" i="4"/>
  <c r="D65" i="4" s="1"/>
  <c r="D68" i="4" s="1"/>
  <c r="H90" i="4"/>
  <c r="G90" i="4"/>
  <c r="F90" i="4"/>
  <c r="E90" i="4"/>
  <c r="D90" i="4"/>
  <c r="C35" i="4"/>
  <c r="C21" i="1"/>
  <c r="Q45" i="4"/>
  <c r="Q41" i="4"/>
  <c r="Q40" i="4"/>
  <c r="Q39" i="4"/>
  <c r="Q37" i="4"/>
  <c r="O45" i="4"/>
  <c r="O41" i="4"/>
  <c r="O40" i="4"/>
  <c r="O39" i="4"/>
  <c r="O37" i="4"/>
  <c r="M45" i="4"/>
  <c r="M39" i="4"/>
  <c r="M40" i="4"/>
  <c r="M37" i="4"/>
  <c r="C32" i="4"/>
  <c r="Q19" i="4"/>
  <c r="Q18" i="4"/>
  <c r="Q17" i="4"/>
  <c r="Q16" i="4"/>
  <c r="Q15" i="4"/>
  <c r="Q11" i="4"/>
  <c r="O10" i="4"/>
  <c r="Q10" i="4"/>
  <c r="Q9" i="4"/>
  <c r="O19" i="4"/>
  <c r="O18" i="4"/>
  <c r="O17" i="4"/>
  <c r="O16" i="4"/>
  <c r="O15" i="4"/>
  <c r="O20" i="4" s="1"/>
  <c r="O11" i="4"/>
  <c r="O9" i="4"/>
  <c r="M35" i="4"/>
  <c r="M41" i="4"/>
  <c r="M19" i="4"/>
  <c r="M18" i="4"/>
  <c r="M17" i="4"/>
  <c r="M16" i="4"/>
  <c r="M15" i="4"/>
  <c r="M11" i="4"/>
  <c r="M9" i="4"/>
  <c r="Q35" i="4"/>
  <c r="O35" i="4"/>
  <c r="H20" i="4"/>
  <c r="H11" i="4"/>
  <c r="H8" i="4"/>
  <c r="F20" i="4"/>
  <c r="F11" i="4"/>
  <c r="F8" i="4"/>
  <c r="D20" i="4"/>
  <c r="D30" i="4"/>
  <c r="D8" i="4"/>
  <c r="D10" i="4" s="1"/>
  <c r="D15" i="4" s="1"/>
  <c r="E30" i="4"/>
  <c r="F30" i="4"/>
  <c r="G30" i="4"/>
  <c r="K46" i="1"/>
  <c r="K35" i="1"/>
  <c r="K30" i="1"/>
  <c r="K20" i="1"/>
  <c r="K12" i="1"/>
  <c r="C95" i="1"/>
  <c r="C87" i="1" s="1"/>
  <c r="D95" i="1"/>
  <c r="D87" i="1" s="1"/>
  <c r="E95" i="1"/>
  <c r="E87" i="1" s="1"/>
  <c r="F95" i="1"/>
  <c r="F87" i="1" s="1"/>
  <c r="C63" i="3"/>
  <c r="C64" i="3" s="1"/>
  <c r="D63" i="3"/>
  <c r="D64" i="3" s="1"/>
  <c r="E63" i="3"/>
  <c r="E64" i="3" s="1"/>
  <c r="F63" i="3"/>
  <c r="F64" i="3" s="1"/>
  <c r="C60" i="3"/>
  <c r="C61" i="3" s="1"/>
  <c r="D60" i="3"/>
  <c r="D61" i="3" s="1"/>
  <c r="E60" i="3"/>
  <c r="E61" i="3" s="1"/>
  <c r="F60" i="3"/>
  <c r="F61" i="3" s="1"/>
  <c r="L46" i="1"/>
  <c r="E37" i="1"/>
  <c r="E27" i="1" s="1"/>
  <c r="D37" i="1"/>
  <c r="D27" i="1" s="1"/>
  <c r="C37" i="1"/>
  <c r="C27" i="1" s="1"/>
  <c r="C19" i="3"/>
  <c r="C20" i="3" s="1"/>
  <c r="D19" i="3"/>
  <c r="D20" i="3" s="1"/>
  <c r="E19" i="3"/>
  <c r="E20" i="3" s="1"/>
  <c r="F19" i="3"/>
  <c r="F20" i="3" s="1"/>
  <c r="C16" i="3"/>
  <c r="C17" i="3" s="1"/>
  <c r="D16" i="3"/>
  <c r="D17" i="3" s="1"/>
  <c r="E16" i="3"/>
  <c r="E17" i="3" s="1"/>
  <c r="F16" i="3"/>
  <c r="F17" i="3" s="1"/>
  <c r="O97" i="1"/>
  <c r="F56" i="3" s="1"/>
  <c r="O87" i="1"/>
  <c r="O74" i="1"/>
  <c r="O66" i="1"/>
  <c r="F76" i="3" s="1"/>
  <c r="M66" i="1"/>
  <c r="D76" i="3" s="1"/>
  <c r="L97" i="1"/>
  <c r="M97" i="1"/>
  <c r="D56" i="3" s="1"/>
  <c r="N97" i="1"/>
  <c r="E56" i="3" s="1"/>
  <c r="L87" i="1"/>
  <c r="M87" i="1"/>
  <c r="N87" i="1"/>
  <c r="E69" i="3" s="1"/>
  <c r="M74" i="1"/>
  <c r="N74" i="1"/>
  <c r="N66" i="1"/>
  <c r="E76" i="3" s="1"/>
  <c r="L74" i="1"/>
  <c r="L66" i="1"/>
  <c r="C76" i="3" s="1"/>
  <c r="G63" i="1"/>
  <c r="G65" i="1" s="1"/>
  <c r="G67" i="1" s="1"/>
  <c r="G69" i="1" s="1"/>
  <c r="F63" i="1"/>
  <c r="F65" i="1" s="1"/>
  <c r="F67" i="1" s="1"/>
  <c r="F69" i="1" s="1"/>
  <c r="M46" i="1"/>
  <c r="D12" i="3" s="1"/>
  <c r="N46" i="1"/>
  <c r="E12" i="3" s="1"/>
  <c r="O46" i="1"/>
  <c r="F12" i="3" s="1"/>
  <c r="L30" i="1"/>
  <c r="C32" i="1" s="1"/>
  <c r="C39" i="3" s="1"/>
  <c r="M30" i="1"/>
  <c r="D32" i="1" s="1"/>
  <c r="D39" i="3" s="1"/>
  <c r="N30" i="1"/>
  <c r="E32" i="1" s="1"/>
  <c r="E39" i="3" s="1"/>
  <c r="O30" i="1"/>
  <c r="F32" i="1" s="1"/>
  <c r="F39" i="3" s="1"/>
  <c r="O35" i="1"/>
  <c r="O20" i="1"/>
  <c r="O12" i="1"/>
  <c r="F32" i="3" s="1"/>
  <c r="L20" i="1"/>
  <c r="M20" i="1"/>
  <c r="N20" i="1"/>
  <c r="L12" i="1"/>
  <c r="C32" i="3" s="1"/>
  <c r="M12" i="1"/>
  <c r="D32" i="3" s="1"/>
  <c r="N12" i="1"/>
  <c r="E32" i="3" s="1"/>
  <c r="E9" i="1"/>
  <c r="E13" i="1" s="1"/>
  <c r="E15" i="1" s="1"/>
  <c r="E17" i="1" s="1"/>
  <c r="E19" i="1" s="1"/>
  <c r="D36" i="3" s="1"/>
  <c r="G9" i="1"/>
  <c r="G13" i="1" s="1"/>
  <c r="F27" i="3" s="1"/>
  <c r="N35" i="1"/>
  <c r="M35" i="1"/>
  <c r="L35" i="1"/>
  <c r="H32" i="7" l="1"/>
  <c r="O15" i="6"/>
  <c r="H22" i="7"/>
  <c r="I23" i="7" s="1"/>
  <c r="J22" i="7"/>
  <c r="K23" i="7" s="1"/>
  <c r="P23" i="7"/>
  <c r="O15" i="7"/>
  <c r="O28" i="7" s="1"/>
  <c r="O30" i="7" s="1"/>
  <c r="O32" i="7" s="1"/>
  <c r="R23" i="7"/>
  <c r="Q23" i="7"/>
  <c r="T27" i="6"/>
  <c r="J27" i="6"/>
  <c r="Y10" i="5"/>
  <c r="Y11" i="5"/>
  <c r="Y22" i="5"/>
  <c r="Y21" i="5"/>
  <c r="Y23" i="5"/>
  <c r="K21" i="1"/>
  <c r="K47" i="1"/>
  <c r="E21" i="1"/>
  <c r="E35" i="4"/>
  <c r="Y9" i="5"/>
  <c r="D17" i="4"/>
  <c r="Q46" i="4"/>
  <c r="O98" i="4"/>
  <c r="O99" i="4" s="1"/>
  <c r="Q75" i="4"/>
  <c r="Q99" i="4"/>
  <c r="M67" i="4"/>
  <c r="M46" i="4"/>
  <c r="M47" i="4" s="1"/>
  <c r="C91" i="4"/>
  <c r="Q47" i="4"/>
  <c r="Q67" i="4"/>
  <c r="O67" i="4"/>
  <c r="M98" i="4"/>
  <c r="M99" i="4" s="1"/>
  <c r="O75" i="4"/>
  <c r="H65" i="4"/>
  <c r="O46" i="4"/>
  <c r="O47" i="4" s="1"/>
  <c r="F65" i="4"/>
  <c r="O12" i="4"/>
  <c r="Q20" i="4"/>
  <c r="Q12" i="4"/>
  <c r="M12" i="4"/>
  <c r="M20" i="4"/>
  <c r="H10" i="4"/>
  <c r="F10" i="4"/>
  <c r="C31" i="4"/>
  <c r="D19" i="4"/>
  <c r="D21" i="4" s="1"/>
  <c r="E32" i="4"/>
  <c r="C83" i="3"/>
  <c r="F25" i="3"/>
  <c r="C55" i="3"/>
  <c r="D69" i="3"/>
  <c r="F69" i="3"/>
  <c r="C31" i="3"/>
  <c r="F58" i="3"/>
  <c r="D25" i="3"/>
  <c r="E25" i="3"/>
  <c r="D34" i="3"/>
  <c r="C25" i="3"/>
  <c r="C69" i="3"/>
  <c r="F54" i="3"/>
  <c r="D58" i="3"/>
  <c r="C58" i="3"/>
  <c r="C54" i="3"/>
  <c r="F55" i="3"/>
  <c r="E71" i="3"/>
  <c r="F75" i="3"/>
  <c r="E54" i="3"/>
  <c r="E75" i="3"/>
  <c r="F31" i="3"/>
  <c r="C75" i="3"/>
  <c r="D54" i="3"/>
  <c r="E58" i="3"/>
  <c r="D75" i="3"/>
  <c r="C56" i="3"/>
  <c r="D55" i="3"/>
  <c r="E55" i="3"/>
  <c r="F72" i="3"/>
  <c r="F71" i="3"/>
  <c r="E72" i="3"/>
  <c r="E10" i="3"/>
  <c r="D31" i="1"/>
  <c r="D38" i="3" s="1"/>
  <c r="D31" i="3"/>
  <c r="C14" i="3"/>
  <c r="D28" i="3"/>
  <c r="D14" i="3"/>
  <c r="F14" i="3"/>
  <c r="E14" i="3"/>
  <c r="F28" i="3"/>
  <c r="E31" i="3"/>
  <c r="C12" i="3"/>
  <c r="C11" i="3"/>
  <c r="M75" i="1"/>
  <c r="D57" i="3" s="1"/>
  <c r="O98" i="1"/>
  <c r="D27" i="3"/>
  <c r="F10" i="3"/>
  <c r="D10" i="3"/>
  <c r="O75" i="1"/>
  <c r="C10" i="3"/>
  <c r="L98" i="1"/>
  <c r="F11" i="3"/>
  <c r="E11" i="3"/>
  <c r="D11" i="3"/>
  <c r="L75" i="1"/>
  <c r="C67" i="3" s="1"/>
  <c r="N98" i="1"/>
  <c r="N75" i="1"/>
  <c r="E57" i="3" s="1"/>
  <c r="M98" i="1"/>
  <c r="F72" i="1"/>
  <c r="G72" i="1"/>
  <c r="O47" i="1"/>
  <c r="L21" i="1"/>
  <c r="C30" i="3" s="1"/>
  <c r="O21" i="1"/>
  <c r="F30" i="3" s="1"/>
  <c r="N21" i="1"/>
  <c r="E30" i="3" s="1"/>
  <c r="M21" i="1"/>
  <c r="D35" i="3" s="1"/>
  <c r="G15" i="1"/>
  <c r="G17" i="1" s="1"/>
  <c r="L47" i="1"/>
  <c r="M47" i="1"/>
  <c r="N47" i="1"/>
  <c r="J23" i="7" l="1"/>
  <c r="O26" i="7"/>
  <c r="G74" i="1"/>
  <c r="G77" i="1" s="1"/>
  <c r="F86" i="1" s="1"/>
  <c r="F82" i="3" s="1"/>
  <c r="H93" i="4"/>
  <c r="F74" i="1"/>
  <c r="F77" i="1" s="1"/>
  <c r="E86" i="1" s="1"/>
  <c r="E82" i="3" s="1"/>
  <c r="G93" i="4"/>
  <c r="D23" i="4"/>
  <c r="Q76" i="4"/>
  <c r="F15" i="4"/>
  <c r="H15" i="4"/>
  <c r="M76" i="4"/>
  <c r="M100" i="4" s="1"/>
  <c r="Q100" i="4"/>
  <c r="H68" i="4"/>
  <c r="F68" i="4"/>
  <c r="O76" i="4"/>
  <c r="O100" i="4" s="1"/>
  <c r="D70" i="4"/>
  <c r="D72" i="4" s="1"/>
  <c r="D75" i="4" s="1"/>
  <c r="D77" i="4" s="1"/>
  <c r="D80" i="4" s="1"/>
  <c r="Q21" i="4"/>
  <c r="Q48" i="4" s="1"/>
  <c r="O21" i="4"/>
  <c r="O48" i="4" s="1"/>
  <c r="M21" i="4"/>
  <c r="M48" i="4" s="1"/>
  <c r="G19" i="1"/>
  <c r="F34" i="3" s="1"/>
  <c r="G32" i="4"/>
  <c r="F31" i="1"/>
  <c r="F38" i="3" s="1"/>
  <c r="C74" i="3"/>
  <c r="C66" i="3"/>
  <c r="C68" i="3"/>
  <c r="C57" i="3"/>
  <c r="F66" i="3"/>
  <c r="F67" i="3"/>
  <c r="F68" i="3"/>
  <c r="F74" i="3"/>
  <c r="D68" i="3"/>
  <c r="D66" i="3"/>
  <c r="D74" i="3"/>
  <c r="D67" i="3"/>
  <c r="F57" i="3"/>
  <c r="E67" i="3"/>
  <c r="E68" i="3"/>
  <c r="E74" i="3"/>
  <c r="E66" i="3"/>
  <c r="D13" i="3"/>
  <c r="D30" i="3"/>
  <c r="E24" i="3"/>
  <c r="E22" i="3"/>
  <c r="E23" i="3"/>
  <c r="E13" i="3"/>
  <c r="C22" i="3"/>
  <c r="C23" i="3"/>
  <c r="C24" i="3"/>
  <c r="C13" i="3"/>
  <c r="F22" i="3"/>
  <c r="F24" i="3"/>
  <c r="F23" i="3"/>
  <c r="F13" i="3"/>
  <c r="D24" i="3"/>
  <c r="D22" i="3"/>
  <c r="D23" i="3"/>
  <c r="D63" i="1"/>
  <c r="D65" i="1" s="1"/>
  <c r="E63" i="1"/>
  <c r="E65" i="1" s="1"/>
  <c r="D9" i="1"/>
  <c r="D13" i="1" s="1"/>
  <c r="F9" i="1"/>
  <c r="F78" i="3" l="1"/>
  <c r="E78" i="3"/>
  <c r="E79" i="3"/>
  <c r="F80" i="3"/>
  <c r="E80" i="3"/>
  <c r="F79" i="3"/>
  <c r="G35" i="4"/>
  <c r="G21" i="1"/>
  <c r="F35" i="3"/>
  <c r="F36" i="3"/>
  <c r="H70" i="4"/>
  <c r="H72" i="4" s="1"/>
  <c r="H75" i="4" s="1"/>
  <c r="H77" i="4" s="1"/>
  <c r="H80" i="4" s="1"/>
  <c r="F17" i="4"/>
  <c r="F19" i="4" s="1"/>
  <c r="F21" i="4" s="1"/>
  <c r="H17" i="4"/>
  <c r="H19" i="4" s="1"/>
  <c r="H21" i="4" s="1"/>
  <c r="F70" i="4"/>
  <c r="F72" i="4" s="1"/>
  <c r="F75" i="4" s="1"/>
  <c r="F77" i="4" s="1"/>
  <c r="F80" i="4" s="1"/>
  <c r="D72" i="3"/>
  <c r="D71" i="3"/>
  <c r="D67" i="1"/>
  <c r="D69" i="1" s="1"/>
  <c r="D72" i="1" s="1"/>
  <c r="C71" i="3"/>
  <c r="C72" i="3"/>
  <c r="C27" i="3"/>
  <c r="C28" i="3"/>
  <c r="E67" i="1"/>
  <c r="E69" i="1" s="1"/>
  <c r="E72" i="1" s="1"/>
  <c r="F13" i="1"/>
  <c r="E28" i="3" s="1"/>
  <c r="D15" i="1"/>
  <c r="D17" i="1" s="1"/>
  <c r="E74" i="1" l="1"/>
  <c r="E77" i="1" s="1"/>
  <c r="D86" i="1" s="1"/>
  <c r="D82" i="3" s="1"/>
  <c r="F93" i="4"/>
  <c r="D74" i="1"/>
  <c r="E93" i="4"/>
  <c r="C94" i="4" s="1"/>
  <c r="H23" i="4"/>
  <c r="F23" i="4"/>
  <c r="D19" i="1"/>
  <c r="D32" i="4"/>
  <c r="D80" i="3"/>
  <c r="D79" i="3"/>
  <c r="C31" i="1"/>
  <c r="C38" i="3" s="1"/>
  <c r="C36" i="3"/>
  <c r="C34" i="3"/>
  <c r="C35" i="3"/>
  <c r="D78" i="3"/>
  <c r="F15" i="1"/>
  <c r="F17" i="1" s="1"/>
  <c r="E27" i="3"/>
  <c r="D77" i="1"/>
  <c r="C86" i="1" s="1"/>
  <c r="D21" i="1" l="1"/>
  <c r="D35" i="4"/>
  <c r="F19" i="1"/>
  <c r="F32" i="4"/>
  <c r="C33" i="4" s="1"/>
  <c r="C82" i="3"/>
  <c r="E34" i="3"/>
  <c r="C80" i="3"/>
  <c r="C79" i="3"/>
  <c r="C78" i="3"/>
  <c r="F21" i="1" l="1"/>
  <c r="F35" i="4"/>
  <c r="E36" i="3"/>
  <c r="E31" i="1"/>
  <c r="E38" i="3" s="1"/>
  <c r="E35" i="3"/>
</calcChain>
</file>

<file path=xl/sharedStrings.xml><?xml version="1.0" encoding="utf-8"?>
<sst xmlns="http://schemas.openxmlformats.org/spreadsheetml/2006/main" count="602" uniqueCount="340">
  <si>
    <t>Gross Profit</t>
  </si>
  <si>
    <t>Less: Operating Expenses</t>
  </si>
  <si>
    <t>Statement of Financial Position</t>
  </si>
  <si>
    <t>Assets</t>
  </si>
  <si>
    <t>Non current Assets</t>
  </si>
  <si>
    <t>Property, plant and equipment</t>
  </si>
  <si>
    <t>Current Assets</t>
  </si>
  <si>
    <t>Inventories</t>
  </si>
  <si>
    <t>Trade and other receivables</t>
  </si>
  <si>
    <t>Advances, deposits and prepayments</t>
  </si>
  <si>
    <t>Cash &amp; cash equivalents</t>
  </si>
  <si>
    <t>Total Asstes</t>
  </si>
  <si>
    <t>Equity and Liabilities</t>
  </si>
  <si>
    <t>Shareholders' equity</t>
  </si>
  <si>
    <t>Share capital</t>
  </si>
  <si>
    <t>Retained earnings</t>
  </si>
  <si>
    <t>Non current liabilities</t>
  </si>
  <si>
    <t>Deferred tax liabilities</t>
  </si>
  <si>
    <t>Current Liabilities</t>
  </si>
  <si>
    <t>Short-term Borrowings</t>
  </si>
  <si>
    <t>Total Equity and Liabilities</t>
  </si>
  <si>
    <t>Unclaimed Dividend</t>
  </si>
  <si>
    <t>Income Statement</t>
  </si>
  <si>
    <t>Ratios</t>
  </si>
  <si>
    <t>Less: Cost of sales</t>
  </si>
  <si>
    <t>Profit before contribution to WPPF</t>
  </si>
  <si>
    <t>Profit before tax</t>
  </si>
  <si>
    <t>Operating Profit/EBIT</t>
  </si>
  <si>
    <t>Total Comprehensive Income</t>
  </si>
  <si>
    <t>Debt ratio(%)</t>
  </si>
  <si>
    <t>Current Ratio (Times)</t>
  </si>
  <si>
    <t>Quick Ratio (Times)</t>
  </si>
  <si>
    <t>Inventory turnover (Times)</t>
  </si>
  <si>
    <t>Average age of inventory (Days)</t>
  </si>
  <si>
    <t>Times interest earned ratio (Times)</t>
  </si>
  <si>
    <t>Price earning ratio (Taka)</t>
  </si>
  <si>
    <t>Market/Book Ratio (Taka)</t>
  </si>
  <si>
    <t>Meghna Cement Mills Ltd</t>
  </si>
  <si>
    <t>Revenue Net</t>
  </si>
  <si>
    <t>Selling and distribution overhead</t>
  </si>
  <si>
    <t>Administrative Overhead</t>
  </si>
  <si>
    <t>Less: Net Finance Cost</t>
  </si>
  <si>
    <t>Profit Before WPPF &amp; income tax</t>
  </si>
  <si>
    <t>Profit Before Income Tax</t>
  </si>
  <si>
    <t>Profit After Tax/ Total Comprehensive Income</t>
  </si>
  <si>
    <t>Earning Per Share</t>
  </si>
  <si>
    <t>Less: Contribution to WPPF</t>
  </si>
  <si>
    <t>Other operating income</t>
  </si>
  <si>
    <t>Income tax expense</t>
  </si>
  <si>
    <t>Intangible Assets</t>
  </si>
  <si>
    <t>Capital work-in-progress</t>
  </si>
  <si>
    <t>Advance income tax</t>
  </si>
  <si>
    <t>General Reserve</t>
  </si>
  <si>
    <t xml:space="preserve">Revaluation Reserve </t>
  </si>
  <si>
    <t>Long term borrowing</t>
  </si>
  <si>
    <t>Gratuity Payable</t>
  </si>
  <si>
    <t>Long term borrowing- Current Portion</t>
  </si>
  <si>
    <t>Payable for other expenses</t>
  </si>
  <si>
    <t>Income tax provision</t>
  </si>
  <si>
    <t>Trade Payable</t>
  </si>
  <si>
    <t>Payable for other finance</t>
  </si>
  <si>
    <t>Provision for WPPF</t>
  </si>
  <si>
    <t>Advanced received against sales</t>
  </si>
  <si>
    <t>Preference Share</t>
  </si>
  <si>
    <t>Aramit Cement Ltd</t>
  </si>
  <si>
    <t>Profit Before Other Income</t>
  </si>
  <si>
    <t>Profit  after tax</t>
  </si>
  <si>
    <t>Revaluation Surplus of Property, Plant &amp; Equipment</t>
  </si>
  <si>
    <t>Deferred tax on revaluation surplus of asset</t>
  </si>
  <si>
    <t>Revenue</t>
  </si>
  <si>
    <t>Less: Sahre of profit</t>
  </si>
  <si>
    <t>Capital work in progress</t>
  </si>
  <si>
    <t>Investment</t>
  </si>
  <si>
    <t>Trades receivable</t>
  </si>
  <si>
    <t>Due from associated companies</t>
  </si>
  <si>
    <t>Others Receivables</t>
  </si>
  <si>
    <t>Share Premium</t>
  </si>
  <si>
    <t>Reserves &amp; Surplus</t>
  </si>
  <si>
    <t>Term Loan &amp; Lease Finance</t>
  </si>
  <si>
    <t>Provision for Employees Retiral Gratuity</t>
  </si>
  <si>
    <t>Current Portion Of Term Loan &amp; Lease Finance</t>
  </si>
  <si>
    <t>Current Portion of Redeemable Debentures</t>
  </si>
  <si>
    <t>Creditors and Accruals</t>
  </si>
  <si>
    <t>Provision for Income Tax</t>
  </si>
  <si>
    <t>Provision For WPP &amp; WF</t>
  </si>
  <si>
    <t>Short Term Loan</t>
  </si>
  <si>
    <t>Due to Associated Companies</t>
  </si>
  <si>
    <t>Shareholders Equity and Liabilities</t>
  </si>
  <si>
    <t>Total Shareholders Equity and Liabilities</t>
  </si>
  <si>
    <t>Provision for Deferred Tax</t>
  </si>
  <si>
    <t>Liquidity Ratios</t>
  </si>
  <si>
    <t>Long-term Solvency Ratios</t>
  </si>
  <si>
    <t>Debt/Equity Ratio (Times)</t>
  </si>
  <si>
    <t>Coverage Ratios</t>
  </si>
  <si>
    <t>Activity Ratios</t>
  </si>
  <si>
    <t>Receivable Ratios</t>
  </si>
  <si>
    <t>Asset efficiency Ratios</t>
  </si>
  <si>
    <t>Total asset turnover</t>
  </si>
  <si>
    <t>NWC turnover</t>
  </si>
  <si>
    <t>Fixed asset turnover</t>
  </si>
  <si>
    <t>Profitability Ratios</t>
  </si>
  <si>
    <t>Profit margin(%)</t>
  </si>
  <si>
    <t>Market Ratios</t>
  </si>
  <si>
    <t>Market Price Per Share</t>
  </si>
  <si>
    <t>Average daily operating Cost</t>
  </si>
  <si>
    <t>Total Sales</t>
  </si>
  <si>
    <t>Depreciation</t>
  </si>
  <si>
    <t>Factory Expense (Depreciation)</t>
  </si>
  <si>
    <t>Selling and distribution overhead (depreciation)</t>
  </si>
  <si>
    <t>Administrative Overhead (Depreciation)</t>
  </si>
  <si>
    <t>Total Depreciation</t>
  </si>
  <si>
    <t>Outstanding Shares</t>
  </si>
  <si>
    <t>Book Value Per Share</t>
  </si>
  <si>
    <t>Average Daily Operating Cost</t>
  </si>
  <si>
    <t>Total sales</t>
  </si>
  <si>
    <t>General And Administrative Expense (Depreciation)</t>
  </si>
  <si>
    <t>Factory Overhead (Depreciation)</t>
  </si>
  <si>
    <t>Cash Ratio (Taka)</t>
  </si>
  <si>
    <t>NWC to total asset (Taka)</t>
  </si>
  <si>
    <t>Interval measure (Days)</t>
  </si>
  <si>
    <t>Receivables turnover (Times)</t>
  </si>
  <si>
    <t>Average age of receivables (Days)</t>
  </si>
  <si>
    <t>Equity Multiplier (Taka)</t>
  </si>
  <si>
    <t>Total asset turnover (Taka)</t>
  </si>
  <si>
    <t>NWC turnover (Taka)</t>
  </si>
  <si>
    <t>Fixed asset turnover (Taka)</t>
  </si>
  <si>
    <t>Return on asset (%)</t>
  </si>
  <si>
    <t>Return on equity (%)</t>
  </si>
  <si>
    <t>Long term debt Ratio (%)</t>
  </si>
  <si>
    <t>Long term debt Ratio(%)</t>
  </si>
  <si>
    <t>Cash Coverage Ratio (Times)</t>
  </si>
  <si>
    <t>Notes</t>
  </si>
  <si>
    <t>31 June 2019</t>
  </si>
  <si>
    <t>32 June 2020</t>
  </si>
  <si>
    <t>33 June 2021</t>
  </si>
  <si>
    <t xml:space="preserve">Revenue Net </t>
  </si>
  <si>
    <t xml:space="preserve">Dividend </t>
  </si>
  <si>
    <t>Addition to Retain Earnings</t>
  </si>
  <si>
    <t>(8295406783*1.1246)</t>
  </si>
  <si>
    <t>(11441092*1.1246)</t>
  </si>
  <si>
    <t>Sales Growth Rate (%)</t>
  </si>
  <si>
    <t>Tax Rate (%)</t>
  </si>
  <si>
    <t>Average Sales Growth Rate of 4 Years (%)</t>
  </si>
  <si>
    <t>Average Tax Rate of 5 Years (%)</t>
  </si>
  <si>
    <t>Cash Dividend</t>
  </si>
  <si>
    <t>(9329014468*1.1246)</t>
  </si>
  <si>
    <t>(12866652*1.1246)</t>
  </si>
  <si>
    <t>(307518944*0.3857)</t>
  </si>
  <si>
    <t>(390207062*0.3857)</t>
  </si>
  <si>
    <t>(483198121*0.3857)</t>
  </si>
  <si>
    <t>(14469837*1.1246)</t>
  </si>
  <si>
    <t>(10491409671*1.1246)</t>
  </si>
  <si>
    <t>Proforma Income Statement</t>
  </si>
  <si>
    <t>For the following ending years</t>
  </si>
  <si>
    <t>Calculation 2023</t>
  </si>
  <si>
    <t>Calculation 2024</t>
  </si>
  <si>
    <t>Calculation 2025</t>
  </si>
  <si>
    <t>(3834035030*1.1246)</t>
  </si>
  <si>
    <t>(0*1.1246)</t>
  </si>
  <si>
    <t>(523562528*1.1246)</t>
  </si>
  <si>
    <t>(1691774765*1.1246)</t>
  </si>
  <si>
    <t>(1979564181*1.1246)</t>
  </si>
  <si>
    <t>(582400179*1.1246)</t>
  </si>
  <si>
    <t>(178529254*1.1246)</t>
  </si>
  <si>
    <t>(1372042950*1.1246)</t>
  </si>
  <si>
    <t>(4674475384*1.1246)</t>
  </si>
  <si>
    <t>EFN</t>
  </si>
  <si>
    <t>(4311755795*1.1246)</t>
  </si>
  <si>
    <t>(5256915017*1.1246)</t>
  </si>
  <si>
    <t>(588798419*1.1246)</t>
  </si>
  <si>
    <t>(1902569901*1.1246)</t>
  </si>
  <si>
    <t>(2226217878*1.1246)</t>
  </si>
  <si>
    <t>(654967241*1.1246)</t>
  </si>
  <si>
    <t>(200773999*1.1246)</t>
  </si>
  <si>
    <t>(1542999502*1.1246)</t>
  </si>
  <si>
    <t>(4849000567*1.1246)</t>
  </si>
  <si>
    <t>(5911926628*1.1246)</t>
  </si>
  <si>
    <t>(662162702*1.1246)</t>
  </si>
  <si>
    <t>(2139630111*1.1246)</t>
  </si>
  <si>
    <t>(2503604626*1.1246)</t>
  </si>
  <si>
    <t>(736576159*1.1246)</t>
  </si>
  <si>
    <t>(225790439*1.1246)</t>
  </si>
  <si>
    <t>(1735257240*1.1246)</t>
  </si>
  <si>
    <t>Proforma Balance Sheet</t>
  </si>
  <si>
    <t>Dividend Payout Rate (%)</t>
  </si>
  <si>
    <t>31 June 2024</t>
  </si>
  <si>
    <t>32 June 2025</t>
  </si>
  <si>
    <t>(3799395456*1.1246)</t>
  </si>
  <si>
    <t>(436904007*1.1246)</t>
  </si>
  <si>
    <t>(256893127*1.1246)</t>
  </si>
  <si>
    <t>(174193857*1.1246)</t>
  </si>
  <si>
    <t>(4272800130*1.1246)</t>
  </si>
  <si>
    <t>(491342246*1.1246)</t>
  </si>
  <si>
    <t>(288902011*1.1246)</t>
  </si>
  <si>
    <t>(195898412*1.1246)</t>
  </si>
  <si>
    <t>(4805191026*1.1246)</t>
  </si>
  <si>
    <t>(552563490*1.1246)</t>
  </si>
  <si>
    <t>(324899202*1.1246)</t>
  </si>
  <si>
    <t>(220307354*1.1246)</t>
  </si>
  <si>
    <t>Dividend Paid</t>
  </si>
  <si>
    <t>As the sales growth has decreased significantly in 2022, we have calculated the average sales growth rate from 2018 to 2021.</t>
  </si>
  <si>
    <t>728268185*1.067</t>
  </si>
  <si>
    <t>785199999*1.067</t>
  </si>
  <si>
    <t>102471032*1.067</t>
  </si>
  <si>
    <t>777062153*1.067</t>
  </si>
  <si>
    <t>837808399*1.067</t>
  </si>
  <si>
    <t>109336591*1.067</t>
  </si>
  <si>
    <t>829125317*1.067</t>
  </si>
  <si>
    <t>893941562*1.067</t>
  </si>
  <si>
    <t>116662143*1.067</t>
  </si>
  <si>
    <t>2040508376*1.067</t>
  </si>
  <si>
    <t>318484598*1.067</t>
  </si>
  <si>
    <t>5000000*1.067</t>
  </si>
  <si>
    <t>121340908*1.067</t>
  </si>
  <si>
    <t>2443354563*1.067</t>
  </si>
  <si>
    <t>421825887*1.067</t>
  </si>
  <si>
    <t>1140695970*1.067</t>
  </si>
  <si>
    <t>0*1.067</t>
  </si>
  <si>
    <t>113786122*1.067</t>
  </si>
  <si>
    <t>321531676*1.067</t>
  </si>
  <si>
    <t>183061401*1.067</t>
  </si>
  <si>
    <t>120356906*1.067</t>
  </si>
  <si>
    <t>3926667436*1.067</t>
  </si>
  <si>
    <t>26300781*1.067</t>
  </si>
  <si>
    <t>2179262946*1.067</t>
  </si>
  <si>
    <t>340141551*1.067</t>
  </si>
  <si>
    <t>5340000*1.067</t>
  </si>
  <si>
    <t>129592090*1.067</t>
  </si>
  <si>
    <t>2609502673*1.067</t>
  </si>
  <si>
    <t>450510047*1.067</t>
  </si>
  <si>
    <t>1218263296*1.067</t>
  </si>
  <si>
    <t>121523578*1.067</t>
  </si>
  <si>
    <t>343395830*1.067</t>
  </si>
  <si>
    <t>195509576*1.067</t>
  </si>
  <si>
    <t>128541176*1.067</t>
  </si>
  <si>
    <t>4193680822*1.067</t>
  </si>
  <si>
    <t>28089234*1.067</t>
  </si>
  <si>
    <t>2327452826*1.067</t>
  </si>
  <si>
    <t>363271176*1.067</t>
  </si>
  <si>
    <t>5703120*1.067</t>
  </si>
  <si>
    <t>138404352*1.067</t>
  </si>
  <si>
    <t>2786948855*1.067</t>
  </si>
  <si>
    <t>481144730*1.067</t>
  </si>
  <si>
    <t>1301105200*1.067</t>
  </si>
  <si>
    <t>129787181*1.067</t>
  </si>
  <si>
    <t>366746746*1.067</t>
  </si>
  <si>
    <t>208804227*1.067</t>
  </si>
  <si>
    <t>137281976*1.067</t>
  </si>
  <si>
    <t>4478851118*1.067</t>
  </si>
  <si>
    <t>29999302*1.067</t>
  </si>
  <si>
    <t>OCF</t>
  </si>
  <si>
    <t>NWC</t>
  </si>
  <si>
    <t>NCS</t>
  </si>
  <si>
    <t>CFFA</t>
  </si>
  <si>
    <t>Year</t>
  </si>
  <si>
    <t>Less: Depreciation Expense</t>
  </si>
  <si>
    <t>82220753*1.067</t>
  </si>
  <si>
    <t>Less: Operating Expenses (Excluding Depreciation)</t>
  </si>
  <si>
    <t>87811764*1.067</t>
  </si>
  <si>
    <t>93782964*1.067</t>
  </si>
  <si>
    <t>(188908887*0.1682)</t>
  </si>
  <si>
    <t>(239704198*0.1682)</t>
  </si>
  <si>
    <t>(296828606*0.1682)</t>
  </si>
  <si>
    <t>Less: Cost of sales ( Excluding Factory Depreciation)</t>
  </si>
  <si>
    <t>(7173862802*1.1246)</t>
  </si>
  <si>
    <t>Selling and distribution overhead (Excluding Depreciation)</t>
  </si>
  <si>
    <t>Administrative Overhead (Excluding Depreciation)</t>
  </si>
  <si>
    <t>(123559716*1.1246)</t>
  </si>
  <si>
    <t>(214793346*1.1246)</t>
  </si>
  <si>
    <t>(8067726107*1.1246)</t>
  </si>
  <si>
    <t>(138955257*1.1246)</t>
  </si>
  <si>
    <t>(241556597*1.1246)</t>
  </si>
  <si>
    <t>(9072964780*1.1246)</t>
  </si>
  <si>
    <t>(156269082*1.1246)</t>
  </si>
  <si>
    <t>(271654549*1.1246)</t>
  </si>
  <si>
    <t>(183116956+182618868)</t>
  </si>
  <si>
    <t>(365735824+253530227)</t>
  </si>
  <si>
    <t>(619266051+333277141)</t>
  </si>
  <si>
    <r>
      <rPr>
        <b/>
        <sz val="12"/>
        <color rgb="FF7030A0"/>
        <rFont val="Times New Roman"/>
        <family val="1"/>
      </rPr>
      <t>Due to extremely higher dividend payment rate in 2022, we have taken into account the dividend payout rates of 2021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(16.82%)</t>
    </r>
  </si>
  <si>
    <t>(-530192992)*(-0.12)</t>
  </si>
  <si>
    <t>(-532908639)*(-0.12)</t>
  </si>
  <si>
    <t>(-535812205)*(-0.12)</t>
  </si>
  <si>
    <t>We are assuming that they will experience loss in the upcoming years, so they will not pay any dividend and will not keep any retain earnings.</t>
  </si>
  <si>
    <t>Interest expense</t>
  </si>
  <si>
    <t>CF to creditors</t>
  </si>
  <si>
    <t>Net new borrowing</t>
  </si>
  <si>
    <t>Dividend</t>
  </si>
  <si>
    <t>CF to stockholders</t>
  </si>
  <si>
    <t>Net New issuence</t>
  </si>
  <si>
    <t>Increase in Equity or Net new issuence</t>
  </si>
  <si>
    <t>Increase in Debt or Net new borrowing</t>
  </si>
  <si>
    <t>EBIT</t>
  </si>
  <si>
    <t>Taxes</t>
  </si>
  <si>
    <t>Beginning Current Asset</t>
  </si>
  <si>
    <t>Ending Current Asset</t>
  </si>
  <si>
    <t>Ending Current Liability</t>
  </si>
  <si>
    <t>Beginning Current Liability</t>
  </si>
  <si>
    <t>Ending Net Fixed Asset</t>
  </si>
  <si>
    <t>Beginning Net Fixed Asset</t>
  </si>
  <si>
    <t>Cash Flow From Assets= Cash Flow to Creditors + Cash Flow to Stockholders</t>
  </si>
  <si>
    <t>Cash Flow From Asset = Operating Cash Flow - Net Capital Spending - Net Working Capital</t>
  </si>
  <si>
    <t>Due to possible calculation errors, we found different cash flow results using two formulas for both companies . So we have discussed the results that we have found using the first formula (CFFA= OCF - NCS - NWC) in our project report.</t>
  </si>
  <si>
    <t>Meghna Cement Mills LTd</t>
  </si>
  <si>
    <t>WAAC</t>
  </si>
  <si>
    <t>β</t>
  </si>
  <si>
    <t>Return of Meghna</t>
  </si>
  <si>
    <t>Closing Price</t>
  </si>
  <si>
    <t>DSE Index</t>
  </si>
  <si>
    <t>Return of DSE index</t>
  </si>
  <si>
    <t>Return of Aramit</t>
  </si>
  <si>
    <t>Weight</t>
  </si>
  <si>
    <t>Total Amount</t>
  </si>
  <si>
    <t>Cost of source in percentage</t>
  </si>
  <si>
    <t>Meghna Cement Mills LTd (2022)</t>
  </si>
  <si>
    <t>Tax rate</t>
  </si>
  <si>
    <r>
      <t>Common Stock (R</t>
    </r>
    <r>
      <rPr>
        <sz val="8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)</t>
    </r>
  </si>
  <si>
    <r>
      <t>Debt (R</t>
    </r>
    <r>
      <rPr>
        <sz val="8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)</t>
    </r>
  </si>
  <si>
    <r>
      <t>R</t>
    </r>
    <r>
      <rPr>
        <sz val="8"/>
        <color rgb="FF000000"/>
        <rFont val="Times New Roman"/>
        <family val="1"/>
      </rPr>
      <t xml:space="preserve">rf </t>
    </r>
    <r>
      <rPr>
        <sz val="12"/>
        <color rgb="FF000000"/>
        <rFont val="Times New Roman"/>
        <family val="1"/>
      </rPr>
      <t>(91 day T-bill)</t>
    </r>
  </si>
  <si>
    <t>Tax Rate</t>
  </si>
  <si>
    <t>Aramit Cement LTd (2022)</t>
  </si>
  <si>
    <r>
      <t>R</t>
    </r>
    <r>
      <rPr>
        <sz val="8"/>
        <color rgb="FF000000"/>
        <rFont val="Times New Roman"/>
        <family val="1"/>
      </rPr>
      <t>rf</t>
    </r>
    <r>
      <rPr>
        <sz val="12"/>
        <color rgb="FF000000"/>
        <rFont val="Times New Roman"/>
        <family val="1"/>
      </rPr>
      <t xml:space="preserve"> (91 day T-bill)</t>
    </r>
  </si>
  <si>
    <r>
      <t>R</t>
    </r>
    <r>
      <rPr>
        <b/>
        <sz val="8"/>
        <color theme="0"/>
        <rFont val="Times New Roman"/>
        <family val="1"/>
      </rPr>
      <t>m</t>
    </r>
    <r>
      <rPr>
        <b/>
        <sz val="12"/>
        <color theme="0"/>
        <rFont val="Times New Roman"/>
        <family val="1"/>
      </rPr>
      <t xml:space="preserve"> (%)</t>
    </r>
  </si>
  <si>
    <t>WACC</t>
  </si>
  <si>
    <t>PV of FCF</t>
  </si>
  <si>
    <t>Total PV of FCF (2023-2025)</t>
  </si>
  <si>
    <t>PV of FCF (2026- Infinity)</t>
  </si>
  <si>
    <t>Number of shares outstanding (2022)</t>
  </si>
  <si>
    <t>Price of share</t>
  </si>
  <si>
    <t>Current market price in 2022</t>
  </si>
  <si>
    <t>So the current market price of Meghna Cement Mills Ltd is undervalued</t>
  </si>
  <si>
    <r>
      <t>V</t>
    </r>
    <r>
      <rPr>
        <sz val="8"/>
        <color rgb="FF000000"/>
        <rFont val="Times New Roman"/>
        <family val="1"/>
      </rPr>
      <t>c</t>
    </r>
  </si>
  <si>
    <t>Meghna Cement Mills Ltd.</t>
  </si>
  <si>
    <r>
      <t>V</t>
    </r>
    <r>
      <rPr>
        <sz val="8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(2022)</t>
    </r>
  </si>
  <si>
    <t>So the current market price of Aramit Cement Ltd is overvalued</t>
  </si>
  <si>
    <r>
      <t>R</t>
    </r>
    <r>
      <rPr>
        <sz val="8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 xml:space="preserve"> (2022)</t>
    </r>
  </si>
  <si>
    <r>
      <t>V</t>
    </r>
    <r>
      <rPr>
        <b/>
        <sz val="8"/>
        <color rgb="FF000000"/>
        <rFont val="Times New Roman"/>
        <family val="1"/>
      </rPr>
      <t>e</t>
    </r>
  </si>
  <si>
    <t>Average CFFA Growth Rate (3 years)(%)</t>
  </si>
  <si>
    <t>CFFA Growth Rate</t>
  </si>
  <si>
    <t>The cost of Debt for both of the companies is calculated by dividing the interest expense by the long term borrowing and multiplying the value with 100.</t>
  </si>
  <si>
    <r>
      <t>The R</t>
    </r>
    <r>
      <rPr>
        <b/>
        <sz val="8"/>
        <color rgb="FFFF0000"/>
        <rFont val="Times New Roman"/>
        <family val="1"/>
      </rPr>
      <t>rf</t>
    </r>
    <r>
      <rPr>
        <b/>
        <sz val="12"/>
        <color rgb="FFFF0000"/>
        <rFont val="Times New Roman"/>
        <family val="1"/>
      </rPr>
      <t xml:space="preserve"> is collected from the Bangladesh Bank website for both of the companies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</si>
</sst>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d\ mmmm\ yyyy"/>
    <numFmt numFmtId="166" formatCode="_(* #,##0_);_(* \(#,##0\);_(* &quot;-&quot;??_);_(@_)"/>
    <numFmt numFmtId="167" formatCode="0.000"/>
    <numFmt numFmtId="168" formatCode="0.0"/>
    <numFmt numFmtId="169" formatCode="_-* #,##0_-;\-* #,##0_-;_-* &quot;-&quot;??_-;_-@_-"/>
    <numFmt numFmtId="170" formatCode="_(* #,##0.000_);_(* \(#,##0.000\);_(* &quot;-&quot;??_);_(@_)"/>
    <numFmt numFmtId="171" formatCode="#,##0.000"/>
    <numFmt numFmtId="172" formatCode="_(* #,##0.00_);_(* \(#,##0.00\);_(* &quot;-&quot;???_);_(@_)"/>
    <numFmt numFmtId="173" formatCode="0.0000000"/>
  </numFmts>
  <fonts count="21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42021"/>
      <name val="Times New Roman"/>
      <family val="1"/>
    </font>
    <font>
      <b/>
      <sz val="12"/>
      <color theme="0"/>
      <name val="Times New Roman"/>
      <family val="1"/>
    </font>
    <font>
      <sz val="10"/>
      <color rgb="FF000000"/>
      <name val="Arial"/>
      <scheme val="minor"/>
    </font>
    <font>
      <b/>
      <sz val="12"/>
      <color rgb="FF242021"/>
      <name val="Times New Roman"/>
      <family val="1"/>
    </font>
    <font>
      <sz val="8"/>
      <name val="Arial"/>
      <family val="2"/>
      <scheme val="minor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0"/>
      <name val="Times New Roman"/>
      <family val="1"/>
    </font>
    <font>
      <b/>
      <sz val="12"/>
      <color theme="5"/>
      <name val="Times New Roman"/>
      <family val="1"/>
    </font>
    <font>
      <b/>
      <sz val="11"/>
      <color theme="5"/>
      <name val="Times New Roman"/>
      <family val="1"/>
    </font>
    <font>
      <b/>
      <sz val="8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95">
    <xf numFmtId="0" fontId="0" fillId="0" borderId="0" xfId="0"/>
    <xf numFmtId="0" fontId="4" fillId="4" borderId="6" xfId="0" applyFont="1" applyFill="1" applyBorder="1"/>
    <xf numFmtId="0" fontId="4" fillId="5" borderId="6" xfId="0" applyFont="1" applyFill="1" applyBorder="1"/>
    <xf numFmtId="0" fontId="4" fillId="0" borderId="0" xfId="0" applyFont="1"/>
    <xf numFmtId="3" fontId="4" fillId="0" borderId="0" xfId="0" applyNumberFormat="1" applyFont="1"/>
    <xf numFmtId="3" fontId="3" fillId="5" borderId="6" xfId="0" applyNumberFormat="1" applyFont="1" applyFill="1" applyBorder="1"/>
    <xf numFmtId="3" fontId="3" fillId="4" borderId="6" xfId="0" applyNumberFormat="1" applyFont="1" applyFill="1" applyBorder="1"/>
    <xf numFmtId="0" fontId="6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3" fontId="4" fillId="5" borderId="6" xfId="0" applyNumberFormat="1" applyFont="1" applyFill="1" applyBorder="1"/>
    <xf numFmtId="15" fontId="6" fillId="2" borderId="9" xfId="0" applyNumberFormat="1" applyFont="1" applyFill="1" applyBorder="1" applyAlignment="1">
      <alignment horizontal="center"/>
    </xf>
    <xf numFmtId="166" fontId="4" fillId="5" borderId="6" xfId="1" applyNumberFormat="1" applyFont="1" applyFill="1" applyBorder="1"/>
    <xf numFmtId="3" fontId="5" fillId="5" borderId="6" xfId="0" applyNumberFormat="1" applyFont="1" applyFill="1" applyBorder="1" applyAlignment="1">
      <alignment vertical="center" wrapText="1"/>
    </xf>
    <xf numFmtId="3" fontId="4" fillId="0" borderId="10" xfId="0" applyNumberFormat="1" applyFont="1" applyBorder="1"/>
    <xf numFmtId="3" fontId="4" fillId="5" borderId="10" xfId="0" applyNumberFormat="1" applyFont="1" applyFill="1" applyBorder="1"/>
    <xf numFmtId="0" fontId="4" fillId="5" borderId="10" xfId="0" applyFont="1" applyFill="1" applyBorder="1"/>
    <xf numFmtId="3" fontId="3" fillId="5" borderId="11" xfId="0" applyNumberFormat="1" applyFont="1" applyFill="1" applyBorder="1"/>
    <xf numFmtId="3" fontId="4" fillId="4" borderId="6" xfId="0" applyNumberFormat="1" applyFont="1" applyFill="1" applyBorder="1"/>
    <xf numFmtId="0" fontId="4" fillId="4" borderId="10" xfId="0" applyFont="1" applyFill="1" applyBorder="1"/>
    <xf numFmtId="166" fontId="4" fillId="4" borderId="6" xfId="1" applyNumberFormat="1" applyFont="1" applyFill="1" applyBorder="1" applyAlignment="1">
      <alignment horizontal="right"/>
    </xf>
    <xf numFmtId="3" fontId="5" fillId="4" borderId="6" xfId="0" applyNumberFormat="1" applyFont="1" applyFill="1" applyBorder="1" applyAlignment="1">
      <alignment vertical="center" wrapText="1"/>
    </xf>
    <xf numFmtId="166" fontId="4" fillId="4" borderId="6" xfId="1" applyNumberFormat="1" applyFont="1" applyFill="1" applyBorder="1"/>
    <xf numFmtId="166" fontId="4" fillId="4" borderId="10" xfId="1" applyNumberFormat="1" applyFont="1" applyFill="1" applyBorder="1"/>
    <xf numFmtId="3" fontId="4" fillId="4" borderId="10" xfId="0" applyNumberFormat="1" applyFont="1" applyFill="1" applyBorder="1"/>
    <xf numFmtId="3" fontId="3" fillId="4" borderId="11" xfId="0" applyNumberFormat="1" applyFont="1" applyFill="1" applyBorder="1"/>
    <xf numFmtId="3" fontId="4" fillId="5" borderId="9" xfId="0" applyNumberFormat="1" applyFont="1" applyFill="1" applyBorder="1"/>
    <xf numFmtId="3" fontId="4" fillId="4" borderId="7" xfId="0" applyNumberFormat="1" applyFont="1" applyFill="1" applyBorder="1"/>
    <xf numFmtId="3" fontId="5" fillId="5" borderId="9" xfId="0" applyNumberFormat="1" applyFont="1" applyFill="1" applyBorder="1"/>
    <xf numFmtId="3" fontId="5" fillId="4" borderId="10" xfId="0" applyNumberFormat="1" applyFont="1" applyFill="1" applyBorder="1"/>
    <xf numFmtId="3" fontId="5" fillId="5" borderId="6" xfId="0" applyNumberFormat="1" applyFont="1" applyFill="1" applyBorder="1"/>
    <xf numFmtId="3" fontId="5" fillId="4" borderId="6" xfId="0" applyNumberFormat="1" applyFont="1" applyFill="1" applyBorder="1"/>
    <xf numFmtId="3" fontId="5" fillId="5" borderId="10" xfId="0" applyNumberFormat="1" applyFont="1" applyFill="1" applyBorder="1"/>
    <xf numFmtId="3" fontId="8" fillId="5" borderId="6" xfId="0" applyNumberFormat="1" applyFont="1" applyFill="1" applyBorder="1"/>
    <xf numFmtId="3" fontId="4" fillId="4" borderId="10" xfId="0" applyNumberFormat="1" applyFont="1" applyFill="1" applyBorder="1" applyAlignment="1">
      <alignment horizontal="right"/>
    </xf>
    <xf numFmtId="3" fontId="3" fillId="5" borderId="12" xfId="0" applyNumberFormat="1" applyFont="1" applyFill="1" applyBorder="1"/>
    <xf numFmtId="166" fontId="1" fillId="4" borderId="6" xfId="1" applyNumberFormat="1" applyFont="1" applyFill="1" applyBorder="1"/>
    <xf numFmtId="3" fontId="4" fillId="5" borderId="9" xfId="0" applyNumberFormat="1" applyFont="1" applyFill="1" applyBorder="1" applyAlignment="1">
      <alignment horizontal="right"/>
    </xf>
    <xf numFmtId="0" fontId="4" fillId="5" borderId="9" xfId="0" applyFont="1" applyFill="1" applyBorder="1"/>
    <xf numFmtId="0" fontId="6" fillId="7" borderId="9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2" fontId="4" fillId="7" borderId="6" xfId="0" applyNumberFormat="1" applyFont="1" applyFill="1" applyBorder="1" applyAlignment="1">
      <alignment horizontal="center"/>
    </xf>
    <xf numFmtId="2" fontId="4" fillId="7" borderId="4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2" fillId="4" borderId="0" xfId="0" applyFont="1" applyFill="1"/>
    <xf numFmtId="167" fontId="4" fillId="4" borderId="6" xfId="0" applyNumberFormat="1" applyFont="1" applyFill="1" applyBorder="1" applyAlignment="1">
      <alignment horizontal="center"/>
    </xf>
    <xf numFmtId="1" fontId="4" fillId="4" borderId="6" xfId="0" applyNumberFormat="1" applyFont="1" applyFill="1" applyBorder="1" applyAlignment="1">
      <alignment horizontal="center"/>
    </xf>
    <xf numFmtId="166" fontId="4" fillId="5" borderId="10" xfId="1" applyNumberFormat="1" applyFont="1" applyFill="1" applyBorder="1"/>
    <xf numFmtId="0" fontId="4" fillId="0" borderId="18" xfId="0" applyFont="1" applyBorder="1"/>
    <xf numFmtId="0" fontId="6" fillId="2" borderId="0" xfId="0" applyFont="1" applyFill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4" fillId="4" borderId="19" xfId="0" applyFont="1" applyFill="1" applyBorder="1"/>
    <xf numFmtId="2" fontId="4" fillId="4" borderId="20" xfId="0" applyNumberFormat="1" applyFont="1" applyFill="1" applyBorder="1" applyAlignment="1">
      <alignment horizontal="center"/>
    </xf>
    <xf numFmtId="0" fontId="4" fillId="7" borderId="19" xfId="0" applyFont="1" applyFill="1" applyBorder="1"/>
    <xf numFmtId="2" fontId="4" fillId="7" borderId="20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" fontId="4" fillId="4" borderId="20" xfId="0" applyNumberFormat="1" applyFont="1" applyFill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2" fontId="4" fillId="4" borderId="17" xfId="0" applyNumberFormat="1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4" fillId="7" borderId="21" xfId="0" applyFont="1" applyFill="1" applyBorder="1"/>
    <xf numFmtId="2" fontId="4" fillId="7" borderId="10" xfId="0" applyNumberFormat="1" applyFont="1" applyFill="1" applyBorder="1" applyAlignment="1">
      <alignment horizontal="center"/>
    </xf>
    <xf numFmtId="2" fontId="4" fillId="7" borderId="22" xfId="0" applyNumberFormat="1" applyFont="1" applyFill="1" applyBorder="1" applyAlignment="1">
      <alignment horizontal="center"/>
    </xf>
    <xf numFmtId="3" fontId="4" fillId="5" borderId="20" xfId="0" applyNumberFormat="1" applyFont="1" applyFill="1" applyBorder="1"/>
    <xf numFmtId="0" fontId="3" fillId="5" borderId="16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166" fontId="4" fillId="4" borderId="27" xfId="1" applyNumberFormat="1" applyFont="1" applyFill="1" applyBorder="1" applyAlignment="1">
      <alignment horizontal="right"/>
    </xf>
    <xf numFmtId="166" fontId="4" fillId="7" borderId="17" xfId="1" applyNumberFormat="1" applyFont="1" applyFill="1" applyBorder="1" applyAlignment="1">
      <alignment horizontal="right"/>
    </xf>
    <xf numFmtId="0" fontId="4" fillId="0" borderId="19" xfId="0" applyFont="1" applyBorder="1"/>
    <xf numFmtId="168" fontId="4" fillId="0" borderId="17" xfId="1" applyNumberFormat="1" applyFont="1" applyBorder="1" applyAlignment="1">
      <alignment horizontal="right"/>
    </xf>
    <xf numFmtId="2" fontId="4" fillId="0" borderId="17" xfId="0" applyNumberFormat="1" applyFont="1" applyBorder="1"/>
    <xf numFmtId="0" fontId="4" fillId="7" borderId="28" xfId="0" applyFont="1" applyFill="1" applyBorder="1"/>
    <xf numFmtId="2" fontId="4" fillId="7" borderId="29" xfId="0" applyNumberFormat="1" applyFont="1" applyFill="1" applyBorder="1"/>
    <xf numFmtId="0" fontId="4" fillId="0" borderId="16" xfId="0" applyFont="1" applyBorder="1"/>
    <xf numFmtId="15" fontId="6" fillId="2" borderId="23" xfId="0" applyNumberFormat="1" applyFont="1" applyFill="1" applyBorder="1" applyAlignment="1">
      <alignment horizontal="center"/>
    </xf>
    <xf numFmtId="0" fontId="4" fillId="5" borderId="23" xfId="0" applyFont="1" applyFill="1" applyBorder="1"/>
    <xf numFmtId="0" fontId="3" fillId="4" borderId="16" xfId="0" applyFont="1" applyFill="1" applyBorder="1"/>
    <xf numFmtId="0" fontId="4" fillId="4" borderId="20" xfId="0" applyFont="1" applyFill="1" applyBorder="1"/>
    <xf numFmtId="0" fontId="4" fillId="5" borderId="16" xfId="0" applyFont="1" applyFill="1" applyBorder="1"/>
    <xf numFmtId="0" fontId="4" fillId="4" borderId="16" xfId="0" applyFont="1" applyFill="1" applyBorder="1"/>
    <xf numFmtId="3" fontId="4" fillId="4" borderId="20" xfId="0" applyNumberFormat="1" applyFont="1" applyFill="1" applyBorder="1"/>
    <xf numFmtId="3" fontId="4" fillId="5" borderId="22" xfId="0" applyNumberFormat="1" applyFont="1" applyFill="1" applyBorder="1"/>
    <xf numFmtId="3" fontId="3" fillId="5" borderId="32" xfId="0" applyNumberFormat="1" applyFont="1" applyFill="1" applyBorder="1"/>
    <xf numFmtId="0" fontId="4" fillId="5" borderId="20" xfId="0" applyFont="1" applyFill="1" applyBorder="1"/>
    <xf numFmtId="0" fontId="3" fillId="5" borderId="16" xfId="0" applyFont="1" applyFill="1" applyBorder="1"/>
    <xf numFmtId="3" fontId="4" fillId="4" borderId="22" xfId="0" applyNumberFormat="1" applyFont="1" applyFill="1" applyBorder="1"/>
    <xf numFmtId="0" fontId="4" fillId="4" borderId="33" xfId="0" applyFont="1" applyFill="1" applyBorder="1"/>
    <xf numFmtId="0" fontId="4" fillId="4" borderId="22" xfId="0" applyFont="1" applyFill="1" applyBorder="1"/>
    <xf numFmtId="0" fontId="4" fillId="4" borderId="34" xfId="0" applyFont="1" applyFill="1" applyBorder="1"/>
    <xf numFmtId="0" fontId="1" fillId="5" borderId="16" xfId="0" applyFont="1" applyFill="1" applyBorder="1"/>
    <xf numFmtId="3" fontId="5" fillId="5" borderId="17" xfId="0" applyNumberFormat="1" applyFont="1" applyFill="1" applyBorder="1"/>
    <xf numFmtId="0" fontId="1" fillId="4" borderId="16" xfId="0" applyFont="1" applyFill="1" applyBorder="1"/>
    <xf numFmtId="3" fontId="5" fillId="4" borderId="35" xfId="0" applyNumberFormat="1" applyFont="1" applyFill="1" applyBorder="1"/>
    <xf numFmtId="0" fontId="2" fillId="5" borderId="16" xfId="0" applyFont="1" applyFill="1" applyBorder="1" applyAlignment="1">
      <alignment horizontal="center"/>
    </xf>
    <xf numFmtId="3" fontId="3" fillId="5" borderId="17" xfId="0" applyNumberFormat="1" applyFont="1" applyFill="1" applyBorder="1"/>
    <xf numFmtId="0" fontId="1" fillId="4" borderId="16" xfId="0" applyFont="1" applyFill="1" applyBorder="1" applyAlignment="1">
      <alignment horizontal="left"/>
    </xf>
    <xf numFmtId="3" fontId="4" fillId="0" borderId="35" xfId="0" applyNumberFormat="1" applyFont="1" applyBorder="1"/>
    <xf numFmtId="3" fontId="8" fillId="5" borderId="17" xfId="0" applyNumberFormat="1" applyFont="1" applyFill="1" applyBorder="1"/>
    <xf numFmtId="0" fontId="4" fillId="4" borderId="16" xfId="0" applyFont="1" applyFill="1" applyBorder="1" applyAlignment="1">
      <alignment horizontal="left"/>
    </xf>
    <xf numFmtId="3" fontId="4" fillId="4" borderId="35" xfId="0" applyNumberFormat="1" applyFont="1" applyFill="1" applyBorder="1" applyAlignment="1">
      <alignment horizontal="right"/>
    </xf>
    <xf numFmtId="3" fontId="5" fillId="4" borderId="17" xfId="0" applyNumberFormat="1" applyFont="1" applyFill="1" applyBorder="1"/>
    <xf numFmtId="3" fontId="5" fillId="5" borderId="35" xfId="0" applyNumberFormat="1" applyFont="1" applyFill="1" applyBorder="1"/>
    <xf numFmtId="0" fontId="3" fillId="4" borderId="16" xfId="0" applyFont="1" applyFill="1" applyBorder="1" applyAlignment="1">
      <alignment horizontal="center"/>
    </xf>
    <xf numFmtId="3" fontId="3" fillId="4" borderId="17" xfId="0" applyNumberFormat="1" applyFont="1" applyFill="1" applyBorder="1"/>
    <xf numFmtId="3" fontId="3" fillId="5" borderId="36" xfId="0" applyNumberFormat="1" applyFont="1" applyFill="1" applyBorder="1"/>
    <xf numFmtId="0" fontId="4" fillId="4" borderId="35" xfId="0" applyFont="1" applyFill="1" applyBorder="1"/>
    <xf numFmtId="164" fontId="4" fillId="0" borderId="27" xfId="0" applyNumberFormat="1" applyFont="1" applyBorder="1"/>
    <xf numFmtId="166" fontId="4" fillId="0" borderId="17" xfId="1" applyNumberFormat="1" applyFont="1" applyBorder="1"/>
    <xf numFmtId="43" fontId="4" fillId="0" borderId="17" xfId="1" applyFont="1" applyBorder="1"/>
    <xf numFmtId="0" fontId="3" fillId="4" borderId="19" xfId="0" applyFont="1" applyFill="1" applyBorder="1"/>
    <xf numFmtId="0" fontId="4" fillId="5" borderId="19" xfId="0" applyFont="1" applyFill="1" applyBorder="1"/>
    <xf numFmtId="0" fontId="3" fillId="5" borderId="19" xfId="0" applyFont="1" applyFill="1" applyBorder="1"/>
    <xf numFmtId="3" fontId="5" fillId="5" borderId="20" xfId="0" applyNumberFormat="1" applyFont="1" applyFill="1" applyBorder="1" applyAlignment="1">
      <alignment vertical="center" wrapText="1"/>
    </xf>
    <xf numFmtId="3" fontId="5" fillId="4" borderId="20" xfId="0" applyNumberFormat="1" applyFont="1" applyFill="1" applyBorder="1" applyAlignment="1">
      <alignment vertical="center" wrapText="1"/>
    </xf>
    <xf numFmtId="3" fontId="3" fillId="4" borderId="32" xfId="0" applyNumberFormat="1" applyFont="1" applyFill="1" applyBorder="1"/>
    <xf numFmtId="0" fontId="4" fillId="5" borderId="21" xfId="0" applyFont="1" applyFill="1" applyBorder="1"/>
    <xf numFmtId="0" fontId="4" fillId="5" borderId="22" xfId="0" applyFont="1" applyFill="1" applyBorder="1"/>
    <xf numFmtId="166" fontId="4" fillId="7" borderId="17" xfId="1" applyNumberFormat="1" applyFont="1" applyFill="1" applyBorder="1"/>
    <xf numFmtId="43" fontId="4" fillId="7" borderId="29" xfId="1" applyFont="1" applyFill="1" applyBorder="1"/>
    <xf numFmtId="166" fontId="4" fillId="7" borderId="35" xfId="1" applyNumberFormat="1" applyFont="1" applyFill="1" applyBorder="1"/>
    <xf numFmtId="0" fontId="4" fillId="0" borderId="27" xfId="0" applyFont="1" applyBorder="1"/>
    <xf numFmtId="3" fontId="4" fillId="7" borderId="17" xfId="0" applyNumberFormat="1" applyFont="1" applyFill="1" applyBorder="1"/>
    <xf numFmtId="3" fontId="4" fillId="0" borderId="17" xfId="0" applyNumberFormat="1" applyFont="1" applyBorder="1"/>
    <xf numFmtId="3" fontId="4" fillId="0" borderId="30" xfId="0" applyNumberFormat="1" applyFont="1" applyBorder="1"/>
    <xf numFmtId="0" fontId="3" fillId="0" borderId="19" xfId="0" applyFont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6" fillId="0" borderId="0" xfId="0" applyFont="1" applyAlignment="1">
      <alignment textRotation="135"/>
    </xf>
    <xf numFmtId="0" fontId="0" fillId="0" borderId="0" xfId="0" applyAlignment="1">
      <alignment textRotation="135"/>
    </xf>
    <xf numFmtId="3" fontId="4" fillId="4" borderId="4" xfId="0" applyNumberFormat="1" applyFont="1" applyFill="1" applyBorder="1"/>
    <xf numFmtId="3" fontId="4" fillId="5" borderId="5" xfId="0" applyNumberFormat="1" applyFont="1" applyFill="1" applyBorder="1"/>
    <xf numFmtId="3" fontId="4" fillId="4" borderId="41" xfId="0" applyNumberFormat="1" applyFont="1" applyFill="1" applyBorder="1"/>
    <xf numFmtId="3" fontId="3" fillId="5" borderId="4" xfId="0" applyNumberFormat="1" applyFont="1" applyFill="1" applyBorder="1"/>
    <xf numFmtId="3" fontId="4" fillId="0" borderId="41" xfId="0" applyNumberFormat="1" applyFont="1" applyBorder="1"/>
    <xf numFmtId="3" fontId="4" fillId="4" borderId="41" xfId="0" applyNumberFormat="1" applyFont="1" applyFill="1" applyBorder="1" applyAlignment="1">
      <alignment horizontal="right"/>
    </xf>
    <xf numFmtId="3" fontId="4" fillId="5" borderId="41" xfId="0" applyNumberFormat="1" applyFont="1" applyFill="1" applyBorder="1"/>
    <xf numFmtId="3" fontId="3" fillId="4" borderId="4" xfId="0" applyNumberFormat="1" applyFont="1" applyFill="1" applyBorder="1"/>
    <xf numFmtId="3" fontId="4" fillId="5" borderId="4" xfId="0" applyNumberFormat="1" applyFont="1" applyFill="1" applyBorder="1"/>
    <xf numFmtId="3" fontId="3" fillId="5" borderId="42" xfId="0" applyNumberFormat="1" applyFont="1" applyFill="1" applyBorder="1"/>
    <xf numFmtId="0" fontId="4" fillId="4" borderId="41" xfId="0" applyFont="1" applyFill="1" applyBorder="1"/>
    <xf numFmtId="0" fontId="4" fillId="4" borderId="6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3" fontId="4" fillId="5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3" fontId="1" fillId="4" borderId="7" xfId="0" applyNumberFormat="1" applyFont="1" applyFill="1" applyBorder="1" applyAlignment="1">
      <alignment horizontal="right"/>
    </xf>
    <xf numFmtId="3" fontId="4" fillId="4" borderId="7" xfId="0" applyNumberFormat="1" applyFont="1" applyFill="1" applyBorder="1" applyAlignment="1">
      <alignment horizontal="right"/>
    </xf>
    <xf numFmtId="166" fontId="4" fillId="4" borderId="9" xfId="1" applyNumberFormat="1" applyFont="1" applyFill="1" applyBorder="1" applyAlignment="1">
      <alignment horizontal="right"/>
    </xf>
    <xf numFmtId="166" fontId="4" fillId="7" borderId="6" xfId="1" applyNumberFormat="1" applyFont="1" applyFill="1" applyBorder="1" applyAlignment="1">
      <alignment horizontal="right"/>
    </xf>
    <xf numFmtId="168" fontId="4" fillId="0" borderId="6" xfId="1" applyNumberFormat="1" applyFont="1" applyBorder="1" applyAlignment="1">
      <alignment horizontal="right"/>
    </xf>
    <xf numFmtId="2" fontId="4" fillId="0" borderId="6" xfId="0" applyNumberFormat="1" applyFont="1" applyBorder="1"/>
    <xf numFmtId="2" fontId="4" fillId="7" borderId="7" xfId="0" applyNumberFormat="1" applyFont="1" applyFill="1" applyBorder="1"/>
    <xf numFmtId="0" fontId="4" fillId="0" borderId="9" xfId="0" applyFont="1" applyBorder="1"/>
    <xf numFmtId="0" fontId="4" fillId="7" borderId="6" xfId="0" applyFont="1" applyFill="1" applyBorder="1"/>
    <xf numFmtId="3" fontId="4" fillId="0" borderId="6" xfId="0" applyNumberFormat="1" applyFont="1" applyBorder="1"/>
    <xf numFmtId="3" fontId="4" fillId="7" borderId="6" xfId="0" applyNumberFormat="1" applyFont="1" applyFill="1" applyBorder="1"/>
    <xf numFmtId="3" fontId="4" fillId="0" borderId="24" xfId="0" applyNumberFormat="1" applyFont="1" applyBorder="1"/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/>
    <xf numFmtId="3" fontId="4" fillId="4" borderId="43" xfId="0" applyNumberFormat="1" applyFont="1" applyFill="1" applyBorder="1"/>
    <xf numFmtId="3" fontId="4" fillId="5" borderId="6" xfId="0" applyNumberFormat="1" applyFont="1" applyFill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3" fontId="4" fillId="4" borderId="43" xfId="0" applyNumberFormat="1" applyFont="1" applyFill="1" applyBorder="1" applyAlignment="1">
      <alignment horizontal="right"/>
    </xf>
    <xf numFmtId="3" fontId="3" fillId="5" borderId="11" xfId="0" applyNumberFormat="1" applyFont="1" applyFill="1" applyBorder="1" applyAlignment="1">
      <alignment horizontal="right"/>
    </xf>
    <xf numFmtId="3" fontId="4" fillId="5" borderId="43" xfId="0" applyNumberFormat="1" applyFont="1" applyFill="1" applyBorder="1" applyAlignment="1">
      <alignment horizontal="right"/>
    </xf>
    <xf numFmtId="166" fontId="3" fillId="4" borderId="6" xfId="1" applyNumberFormat="1" applyFont="1" applyFill="1" applyBorder="1" applyAlignment="1">
      <alignment horizontal="right"/>
    </xf>
    <xf numFmtId="166" fontId="4" fillId="5" borderId="6" xfId="1" applyNumberFormat="1" applyFont="1" applyFill="1" applyBorder="1" applyAlignment="1">
      <alignment horizontal="right"/>
    </xf>
    <xf numFmtId="166" fontId="3" fillId="5" borderId="6" xfId="1" applyNumberFormat="1" applyFont="1" applyFill="1" applyBorder="1" applyAlignment="1">
      <alignment horizontal="right"/>
    </xf>
    <xf numFmtId="166" fontId="4" fillId="5" borderId="10" xfId="1" applyNumberFormat="1" applyFont="1" applyFill="1" applyBorder="1" applyAlignment="1">
      <alignment horizontal="right"/>
    </xf>
    <xf numFmtId="0" fontId="4" fillId="4" borderId="44" xfId="0" applyFont="1" applyFill="1" applyBorder="1"/>
    <xf numFmtId="165" fontId="6" fillId="3" borderId="45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right"/>
    </xf>
    <xf numFmtId="3" fontId="3" fillId="5" borderId="6" xfId="0" applyNumberFormat="1" applyFont="1" applyFill="1" applyBorder="1" applyAlignment="1">
      <alignment horizontal="right"/>
    </xf>
    <xf numFmtId="3" fontId="4" fillId="5" borderId="35" xfId="0" applyNumberFormat="1" applyFont="1" applyFill="1" applyBorder="1"/>
    <xf numFmtId="3" fontId="4" fillId="4" borderId="29" xfId="0" applyNumberFormat="1" applyFont="1" applyFill="1" applyBorder="1"/>
    <xf numFmtId="15" fontId="6" fillId="2" borderId="46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right"/>
    </xf>
    <xf numFmtId="3" fontId="4" fillId="5" borderId="7" xfId="0" applyNumberFormat="1" applyFont="1" applyFill="1" applyBorder="1"/>
    <xf numFmtId="165" fontId="6" fillId="3" borderId="43" xfId="0" applyNumberFormat="1" applyFont="1" applyFill="1" applyBorder="1" applyAlignment="1">
      <alignment horizontal="center"/>
    </xf>
    <xf numFmtId="3" fontId="4" fillId="5" borderId="17" xfId="0" applyNumberFormat="1" applyFont="1" applyFill="1" applyBorder="1"/>
    <xf numFmtId="166" fontId="1" fillId="4" borderId="17" xfId="1" applyNumberFormat="1" applyFont="1" applyFill="1" applyBorder="1"/>
    <xf numFmtId="3" fontId="4" fillId="5" borderId="27" xfId="0" applyNumberFormat="1" applyFont="1" applyFill="1" applyBorder="1" applyAlignment="1">
      <alignment horizontal="right"/>
    </xf>
    <xf numFmtId="3" fontId="4" fillId="4" borderId="17" xfId="0" applyNumberFormat="1" applyFont="1" applyFill="1" applyBorder="1"/>
    <xf numFmtId="0" fontId="3" fillId="0" borderId="0" xfId="0" applyFont="1"/>
    <xf numFmtId="0" fontId="0" fillId="0" borderId="17" xfId="0" applyBorder="1"/>
    <xf numFmtId="0" fontId="6" fillId="2" borderId="14" xfId="0" applyFont="1" applyFill="1" applyBorder="1" applyAlignment="1">
      <alignment horizontal="center"/>
    </xf>
    <xf numFmtId="166" fontId="4" fillId="0" borderId="7" xfId="1" applyNumberFormat="1" applyFont="1" applyBorder="1"/>
    <xf numFmtId="0" fontId="3" fillId="4" borderId="6" xfId="0" applyFont="1" applyFill="1" applyBorder="1"/>
    <xf numFmtId="0" fontId="6" fillId="2" borderId="9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165" fontId="6" fillId="2" borderId="47" xfId="0" applyNumberFormat="1" applyFont="1" applyFill="1" applyBorder="1" applyAlignment="1">
      <alignment horizontal="center"/>
    </xf>
    <xf numFmtId="3" fontId="4" fillId="5" borderId="20" xfId="0" applyNumberFormat="1" applyFont="1" applyFill="1" applyBorder="1" applyAlignment="1">
      <alignment horizontal="right"/>
    </xf>
    <xf numFmtId="166" fontId="1" fillId="4" borderId="6" xfId="1" applyNumberFormat="1" applyFont="1" applyFill="1" applyBorder="1" applyAlignment="1">
      <alignment horizontal="right"/>
    </xf>
    <xf numFmtId="43" fontId="1" fillId="4" borderId="6" xfId="1" applyFont="1" applyFill="1" applyBorder="1" applyAlignment="1">
      <alignment horizontal="right"/>
    </xf>
    <xf numFmtId="43" fontId="4" fillId="5" borderId="6" xfId="1" applyFont="1" applyFill="1" applyBorder="1" applyAlignment="1">
      <alignment horizontal="right"/>
    </xf>
    <xf numFmtId="43" fontId="4" fillId="4" borderId="7" xfId="1" applyFont="1" applyFill="1" applyBorder="1" applyAlignment="1">
      <alignment horizontal="right"/>
    </xf>
    <xf numFmtId="43" fontId="4" fillId="5" borderId="9" xfId="1" applyFont="1" applyFill="1" applyBorder="1" applyAlignment="1">
      <alignment horizontal="right"/>
    </xf>
    <xf numFmtId="43" fontId="2" fillId="5" borderId="6" xfId="1" applyFont="1" applyFill="1" applyBorder="1" applyAlignment="1">
      <alignment horizontal="right"/>
    </xf>
    <xf numFmtId="43" fontId="4" fillId="4" borderId="6" xfId="1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15" fontId="6" fillId="2" borderId="6" xfId="0" applyNumberFormat="1" applyFont="1" applyFill="1" applyBorder="1" applyAlignment="1">
      <alignment horizontal="center"/>
    </xf>
    <xf numFmtId="15" fontId="6" fillId="2" borderId="20" xfId="0" applyNumberFormat="1" applyFont="1" applyFill="1" applyBorder="1" applyAlignment="1">
      <alignment horizontal="center"/>
    </xf>
    <xf numFmtId="166" fontId="4" fillId="4" borderId="0" xfId="1" applyNumberFormat="1" applyFont="1" applyFill="1" applyBorder="1" applyAlignment="1">
      <alignment horizontal="right"/>
    </xf>
    <xf numFmtId="166" fontId="3" fillId="5" borderId="0" xfId="1" applyNumberFormat="1" applyFont="1" applyFill="1" applyBorder="1" applyAlignment="1">
      <alignment horizontal="right"/>
    </xf>
    <xf numFmtId="3" fontId="4" fillId="4" borderId="9" xfId="0" applyNumberFormat="1" applyFont="1" applyFill="1" applyBorder="1"/>
    <xf numFmtId="3" fontId="4" fillId="5" borderId="35" xfId="0" applyNumberFormat="1" applyFont="1" applyFill="1" applyBorder="1" applyAlignment="1">
      <alignment horizontal="right"/>
    </xf>
    <xf numFmtId="166" fontId="3" fillId="4" borderId="0" xfId="1" applyNumberFormat="1" applyFont="1" applyFill="1" applyBorder="1" applyAlignment="1">
      <alignment horizontal="right"/>
    </xf>
    <xf numFmtId="166" fontId="4" fillId="5" borderId="0" xfId="1" applyNumberFormat="1" applyFont="1" applyFill="1" applyBorder="1" applyAlignment="1">
      <alignment horizontal="right"/>
    </xf>
    <xf numFmtId="3" fontId="4" fillId="5" borderId="2" xfId="0" applyNumberFormat="1" applyFont="1" applyFill="1" applyBorder="1" applyAlignment="1">
      <alignment horizontal="right"/>
    </xf>
    <xf numFmtId="166" fontId="4" fillId="4" borderId="2" xfId="1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164" fontId="4" fillId="5" borderId="17" xfId="0" applyNumberFormat="1" applyFont="1" applyFill="1" applyBorder="1"/>
    <xf numFmtId="2" fontId="4" fillId="5" borderId="17" xfId="0" applyNumberFormat="1" applyFont="1" applyFill="1" applyBorder="1"/>
    <xf numFmtId="0" fontId="4" fillId="4" borderId="13" xfId="0" applyFont="1" applyFill="1" applyBorder="1"/>
    <xf numFmtId="15" fontId="6" fillId="2" borderId="14" xfId="0" applyNumberFormat="1" applyFont="1" applyFill="1" applyBorder="1" applyAlignment="1">
      <alignment horizontal="center"/>
    </xf>
    <xf numFmtId="15" fontId="6" fillId="2" borderId="15" xfId="0" applyNumberFormat="1" applyFont="1" applyFill="1" applyBorder="1" applyAlignment="1">
      <alignment horizontal="center"/>
    </xf>
    <xf numFmtId="15" fontId="6" fillId="2" borderId="5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right"/>
    </xf>
    <xf numFmtId="3" fontId="5" fillId="5" borderId="6" xfId="0" applyNumberFormat="1" applyFont="1" applyFill="1" applyBorder="1" applyAlignment="1">
      <alignment horizontal="right"/>
    </xf>
    <xf numFmtId="3" fontId="5" fillId="4" borderId="7" xfId="0" applyNumberFormat="1" applyFont="1" applyFill="1" applyBorder="1"/>
    <xf numFmtId="0" fontId="4" fillId="5" borderId="7" xfId="0" applyFont="1" applyFill="1" applyBorder="1" applyAlignment="1">
      <alignment horizontal="right"/>
    </xf>
    <xf numFmtId="3" fontId="5" fillId="5" borderId="7" xfId="0" applyNumberFormat="1" applyFont="1" applyFill="1" applyBorder="1" applyAlignment="1">
      <alignment horizontal="right"/>
    </xf>
    <xf numFmtId="3" fontId="4" fillId="5" borderId="27" xfId="0" applyNumberFormat="1" applyFont="1" applyFill="1" applyBorder="1"/>
    <xf numFmtId="3" fontId="5" fillId="4" borderId="29" xfId="0" applyNumberFormat="1" applyFont="1" applyFill="1" applyBorder="1"/>
    <xf numFmtId="3" fontId="4" fillId="4" borderId="29" xfId="0" applyNumberFormat="1" applyFont="1" applyFill="1" applyBorder="1" applyAlignment="1">
      <alignment horizontal="right"/>
    </xf>
    <xf numFmtId="3" fontId="4" fillId="5" borderId="29" xfId="0" applyNumberFormat="1" applyFont="1" applyFill="1" applyBorder="1"/>
    <xf numFmtId="3" fontId="5" fillId="5" borderId="9" xfId="0" applyNumberFormat="1" applyFont="1" applyFill="1" applyBorder="1" applyAlignment="1">
      <alignment horizontal="right"/>
    </xf>
    <xf numFmtId="3" fontId="5" fillId="4" borderId="7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0" borderId="10" xfId="0" applyBorder="1" applyAlignment="1">
      <alignment horizontal="right"/>
    </xf>
    <xf numFmtId="3" fontId="8" fillId="5" borderId="6" xfId="0" applyNumberFormat="1" applyFont="1" applyFill="1" applyBorder="1" applyAlignment="1">
      <alignment horizontal="right"/>
    </xf>
    <xf numFmtId="3" fontId="5" fillId="4" borderId="6" xfId="0" applyNumberFormat="1" applyFont="1" applyFill="1" applyBorder="1" applyAlignment="1">
      <alignment horizontal="right"/>
    </xf>
    <xf numFmtId="3" fontId="3" fillId="5" borderId="48" xfId="0" applyNumberFormat="1" applyFont="1" applyFill="1" applyBorder="1"/>
    <xf numFmtId="0" fontId="4" fillId="4" borderId="49" xfId="0" applyFont="1" applyFill="1" applyBorder="1"/>
    <xf numFmtId="0" fontId="1" fillId="5" borderId="50" xfId="0" applyFont="1" applyFill="1" applyBorder="1"/>
    <xf numFmtId="0" fontId="1" fillId="4" borderId="50" xfId="0" applyFont="1" applyFill="1" applyBorder="1"/>
    <xf numFmtId="0" fontId="2" fillId="5" borderId="50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left"/>
    </xf>
    <xf numFmtId="0" fontId="3" fillId="5" borderId="50" xfId="0" applyFont="1" applyFill="1" applyBorder="1" applyAlignment="1">
      <alignment horizontal="center"/>
    </xf>
    <xf numFmtId="0" fontId="4" fillId="4" borderId="50" xfId="0" applyFont="1" applyFill="1" applyBorder="1"/>
    <xf numFmtId="0" fontId="4" fillId="0" borderId="50" xfId="0" applyFont="1" applyBorder="1" applyAlignment="1">
      <alignment horizontal="left"/>
    </xf>
    <xf numFmtId="3" fontId="4" fillId="0" borderId="29" xfId="0" applyNumberFormat="1" applyFont="1" applyBorder="1" applyAlignment="1">
      <alignment horizontal="right"/>
    </xf>
    <xf numFmtId="0" fontId="4" fillId="5" borderId="51" xfId="0" applyFont="1" applyFill="1" applyBorder="1" applyAlignment="1">
      <alignment horizontal="left"/>
    </xf>
    <xf numFmtId="3" fontId="1" fillId="5" borderId="19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>
      <alignment horizontal="right"/>
    </xf>
    <xf numFmtId="3" fontId="2" fillId="5" borderId="18" xfId="0" applyNumberFormat="1" applyFont="1" applyFill="1" applyBorder="1" applyAlignment="1">
      <alignment horizontal="right"/>
    </xf>
    <xf numFmtId="3" fontId="1" fillId="4" borderId="19" xfId="0" applyNumberFormat="1" applyFont="1" applyFill="1" applyBorder="1" applyAlignment="1">
      <alignment horizontal="right"/>
    </xf>
    <xf numFmtId="3" fontId="4" fillId="4" borderId="28" xfId="0" applyNumberFormat="1" applyFont="1" applyFill="1" applyBorder="1" applyAlignment="1">
      <alignment horizontal="right"/>
    </xf>
    <xf numFmtId="3" fontId="3" fillId="5" borderId="18" xfId="0" applyNumberFormat="1" applyFont="1" applyFill="1" applyBorder="1" applyAlignment="1">
      <alignment horizontal="right"/>
    </xf>
    <xf numFmtId="3" fontId="3" fillId="5" borderId="19" xfId="0" applyNumberFormat="1" applyFont="1" applyFill="1" applyBorder="1" applyAlignment="1">
      <alignment horizontal="right"/>
    </xf>
    <xf numFmtId="3" fontId="4" fillId="5" borderId="21" xfId="0" applyNumberFormat="1" applyFont="1" applyFill="1" applyBorder="1" applyAlignment="1">
      <alignment horizontal="right"/>
    </xf>
    <xf numFmtId="3" fontId="4" fillId="5" borderId="52" xfId="0" applyNumberFormat="1" applyFont="1" applyFill="1" applyBorder="1"/>
    <xf numFmtId="15" fontId="6" fillId="2" borderId="53" xfId="0" applyNumberFormat="1" applyFont="1" applyFill="1" applyBorder="1" applyAlignment="1">
      <alignment horizontal="center"/>
    </xf>
    <xf numFmtId="165" fontId="6" fillId="3" borderId="38" xfId="0" applyNumberFormat="1" applyFont="1" applyFill="1" applyBorder="1" applyAlignment="1">
      <alignment horizontal="center"/>
    </xf>
    <xf numFmtId="165" fontId="6" fillId="3" borderId="54" xfId="0" applyNumberFormat="1" applyFont="1" applyFill="1" applyBorder="1" applyAlignment="1">
      <alignment horizontal="center"/>
    </xf>
    <xf numFmtId="165" fontId="6" fillId="3" borderId="55" xfId="0" applyNumberFormat="1" applyFont="1" applyFill="1" applyBorder="1" applyAlignment="1">
      <alignment horizontal="center"/>
    </xf>
    <xf numFmtId="1" fontId="4" fillId="0" borderId="28" xfId="1" applyNumberFormat="1" applyFont="1" applyBorder="1" applyAlignment="1">
      <alignment horizontal="right"/>
    </xf>
    <xf numFmtId="0" fontId="10" fillId="5" borderId="21" xfId="0" applyFont="1" applyFill="1" applyBorder="1" applyAlignment="1">
      <alignment horizontal="center"/>
    </xf>
    <xf numFmtId="3" fontId="10" fillId="5" borderId="10" xfId="0" applyNumberFormat="1" applyFont="1" applyFill="1" applyBorder="1"/>
    <xf numFmtId="3" fontId="4" fillId="0" borderId="6" xfId="0" applyNumberFormat="1" applyFont="1" applyBorder="1" applyAlignment="1">
      <alignment horizontal="right"/>
    </xf>
    <xf numFmtId="0" fontId="4" fillId="0" borderId="7" xfId="0" applyFont="1" applyBorder="1"/>
    <xf numFmtId="3" fontId="1" fillId="0" borderId="8" xfId="0" applyNumberFormat="1" applyFont="1" applyBorder="1" applyAlignment="1">
      <alignment horizontal="right"/>
    </xf>
    <xf numFmtId="166" fontId="4" fillId="0" borderId="8" xfId="1" applyNumberFormat="1" applyFont="1" applyFill="1" applyBorder="1" applyAlignment="1">
      <alignment horizontal="right"/>
    </xf>
    <xf numFmtId="0" fontId="10" fillId="4" borderId="33" xfId="0" applyFont="1" applyFill="1" applyBorder="1" applyAlignment="1">
      <alignment horizontal="center"/>
    </xf>
    <xf numFmtId="0" fontId="10" fillId="4" borderId="10" xfId="0" applyFont="1" applyFill="1" applyBorder="1"/>
    <xf numFmtId="166" fontId="10" fillId="4" borderId="10" xfId="0" applyNumberFormat="1" applyFont="1" applyFill="1" applyBorder="1"/>
    <xf numFmtId="3" fontId="10" fillId="4" borderId="10" xfId="0" applyNumberFormat="1" applyFont="1" applyFill="1" applyBorder="1"/>
    <xf numFmtId="0" fontId="10" fillId="4" borderId="10" xfId="0" applyFont="1" applyFill="1" applyBorder="1" applyAlignment="1">
      <alignment horizontal="right"/>
    </xf>
    <xf numFmtId="43" fontId="4" fillId="5" borderId="7" xfId="1" applyFont="1" applyFill="1" applyBorder="1" applyAlignment="1">
      <alignment horizontal="right"/>
    </xf>
    <xf numFmtId="3" fontId="4" fillId="5" borderId="57" xfId="0" applyNumberFormat="1" applyFont="1" applyFill="1" applyBorder="1"/>
    <xf numFmtId="3" fontId="4" fillId="5" borderId="1" xfId="0" applyNumberFormat="1" applyFont="1" applyFill="1" applyBorder="1"/>
    <xf numFmtId="0" fontId="4" fillId="5" borderId="16" xfId="0" applyFont="1" applyFill="1" applyBorder="1" applyAlignment="1">
      <alignment horizontal="left"/>
    </xf>
    <xf numFmtId="3" fontId="4" fillId="5" borderId="7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43" fontId="2" fillId="4" borderId="6" xfId="1" applyFont="1" applyFill="1" applyBorder="1" applyAlignment="1">
      <alignment horizontal="right"/>
    </xf>
    <xf numFmtId="3" fontId="2" fillId="4" borderId="6" xfId="0" applyNumberFormat="1" applyFont="1" applyFill="1" applyBorder="1" applyAlignment="1">
      <alignment horizontal="right"/>
    </xf>
    <xf numFmtId="43" fontId="3" fillId="4" borderId="9" xfId="1" applyFont="1" applyFill="1" applyBorder="1" applyAlignment="1">
      <alignment horizontal="right"/>
    </xf>
    <xf numFmtId="3" fontId="3" fillId="4" borderId="9" xfId="0" applyNumberFormat="1" applyFont="1" applyFill="1" applyBorder="1" applyAlignment="1">
      <alignment horizontal="right"/>
    </xf>
    <xf numFmtId="3" fontId="3" fillId="4" borderId="27" xfId="0" applyNumberFormat="1" applyFont="1" applyFill="1" applyBorder="1" applyAlignment="1">
      <alignment horizontal="right"/>
    </xf>
    <xf numFmtId="43" fontId="3" fillId="4" borderId="6" xfId="1" applyFont="1" applyFill="1" applyBorder="1" applyAlignment="1">
      <alignment horizontal="right"/>
    </xf>
    <xf numFmtId="0" fontId="4" fillId="4" borderId="33" xfId="0" applyFont="1" applyFill="1" applyBorder="1" applyAlignment="1">
      <alignment horizontal="left"/>
    </xf>
    <xf numFmtId="3" fontId="4" fillId="4" borderId="35" xfId="0" applyNumberFormat="1" applyFont="1" applyFill="1" applyBorder="1"/>
    <xf numFmtId="166" fontId="4" fillId="5" borderId="60" xfId="1" applyNumberFormat="1" applyFont="1" applyFill="1" applyBorder="1" applyAlignment="1">
      <alignment horizontal="right"/>
    </xf>
    <xf numFmtId="166" fontId="4" fillId="4" borderId="60" xfId="1" applyNumberFormat="1" applyFont="1" applyFill="1" applyBorder="1" applyAlignment="1">
      <alignment horizontal="right"/>
    </xf>
    <xf numFmtId="3" fontId="3" fillId="4" borderId="59" xfId="0" applyNumberFormat="1" applyFont="1" applyFill="1" applyBorder="1" applyAlignment="1">
      <alignment horizontal="right"/>
    </xf>
    <xf numFmtId="3" fontId="3" fillId="4" borderId="62" xfId="0" applyNumberFormat="1" applyFont="1" applyFill="1" applyBorder="1"/>
    <xf numFmtId="3" fontId="1" fillId="5" borderId="59" xfId="0" applyNumberFormat="1" applyFont="1" applyFill="1" applyBorder="1" applyAlignment="1">
      <alignment horizontal="right"/>
    </xf>
    <xf numFmtId="166" fontId="4" fillId="4" borderId="57" xfId="1" applyNumberFormat="1" applyFont="1" applyFill="1" applyBorder="1" applyAlignment="1">
      <alignment horizontal="right"/>
    </xf>
    <xf numFmtId="3" fontId="2" fillId="5" borderId="59" xfId="0" applyNumberFormat="1" applyFont="1" applyFill="1" applyBorder="1" applyAlignment="1">
      <alignment horizontal="right"/>
    </xf>
    <xf numFmtId="3" fontId="1" fillId="4" borderId="60" xfId="0" applyNumberFormat="1" applyFont="1" applyFill="1" applyBorder="1" applyAlignment="1">
      <alignment horizontal="right"/>
    </xf>
    <xf numFmtId="3" fontId="2" fillId="4" borderId="60" xfId="0" applyNumberFormat="1" applyFont="1" applyFill="1" applyBorder="1" applyAlignment="1">
      <alignment horizontal="right"/>
    </xf>
    <xf numFmtId="3" fontId="3" fillId="4" borderId="60" xfId="0" applyNumberFormat="1" applyFont="1" applyFill="1" applyBorder="1" applyAlignment="1">
      <alignment horizontal="right"/>
    </xf>
    <xf numFmtId="3" fontId="4" fillId="5" borderId="57" xfId="0" applyNumberFormat="1" applyFont="1" applyFill="1" applyBorder="1" applyAlignment="1">
      <alignment horizontal="right"/>
    </xf>
    <xf numFmtId="3" fontId="3" fillId="4" borderId="61" xfId="0" applyNumberFormat="1" applyFont="1" applyFill="1" applyBorder="1" applyAlignment="1">
      <alignment horizontal="right"/>
    </xf>
    <xf numFmtId="166" fontId="4" fillId="5" borderId="57" xfId="1" applyNumberFormat="1" applyFont="1" applyFill="1" applyBorder="1" applyAlignment="1">
      <alignment horizontal="right"/>
    </xf>
    <xf numFmtId="3" fontId="4" fillId="4" borderId="56" xfId="0" applyNumberFormat="1" applyFont="1" applyFill="1" applyBorder="1"/>
    <xf numFmtId="3" fontId="4" fillId="5" borderId="3" xfId="0" applyNumberFormat="1" applyFont="1" applyFill="1" applyBorder="1"/>
    <xf numFmtId="3" fontId="1" fillId="4" borderId="1" xfId="0" applyNumberFormat="1" applyFont="1" applyFill="1" applyBorder="1" applyAlignment="1">
      <alignment horizontal="right"/>
    </xf>
    <xf numFmtId="3" fontId="3" fillId="5" borderId="0" xfId="0" applyNumberFormat="1" applyFont="1" applyFill="1"/>
    <xf numFmtId="166" fontId="1" fillId="4" borderId="0" xfId="1" applyNumberFormat="1" applyFont="1" applyFill="1" applyBorder="1"/>
    <xf numFmtId="3" fontId="3" fillId="4" borderId="0" xfId="0" applyNumberFormat="1" applyFont="1" applyFill="1"/>
    <xf numFmtId="3" fontId="3" fillId="4" borderId="3" xfId="0" applyNumberFormat="1" applyFont="1" applyFill="1" applyBorder="1" applyAlignment="1">
      <alignment horizontal="right"/>
    </xf>
    <xf numFmtId="3" fontId="3" fillId="4" borderId="63" xfId="0" applyNumberFormat="1" applyFont="1" applyFill="1" applyBorder="1"/>
    <xf numFmtId="0" fontId="4" fillId="5" borderId="1" xfId="0" applyFont="1" applyFill="1" applyBorder="1" applyAlignment="1">
      <alignment horizontal="right"/>
    </xf>
    <xf numFmtId="169" fontId="4" fillId="4" borderId="2" xfId="0" applyNumberFormat="1" applyFont="1" applyFill="1" applyBorder="1"/>
    <xf numFmtId="3" fontId="4" fillId="5" borderId="17" xfId="0" applyNumberFormat="1" applyFont="1" applyFill="1" applyBorder="1" applyAlignment="1">
      <alignment horizontal="right"/>
    </xf>
    <xf numFmtId="3" fontId="4" fillId="4" borderId="17" xfId="0" applyNumberFormat="1" applyFont="1" applyFill="1" applyBorder="1" applyAlignment="1">
      <alignment horizontal="right"/>
    </xf>
    <xf numFmtId="0" fontId="4" fillId="5" borderId="29" xfId="0" applyFont="1" applyFill="1" applyBorder="1" applyAlignment="1">
      <alignment horizontal="right"/>
    </xf>
    <xf numFmtId="166" fontId="4" fillId="0" borderId="58" xfId="1" applyNumberFormat="1" applyFont="1" applyFill="1" applyBorder="1" applyAlignment="1">
      <alignment horizontal="right"/>
    </xf>
    <xf numFmtId="166" fontId="4" fillId="5" borderId="17" xfId="1" applyNumberFormat="1" applyFont="1" applyFill="1" applyBorder="1" applyAlignment="1">
      <alignment horizontal="right"/>
    </xf>
    <xf numFmtId="43" fontId="4" fillId="0" borderId="17" xfId="0" applyNumberFormat="1" applyFont="1" applyBorder="1"/>
    <xf numFmtId="3" fontId="5" fillId="4" borderId="17" xfId="0" applyNumberFormat="1" applyFont="1" applyFill="1" applyBorder="1" applyAlignment="1">
      <alignment vertical="center" wrapText="1"/>
    </xf>
    <xf numFmtId="3" fontId="5" fillId="5" borderId="6" xfId="0" applyNumberFormat="1" applyFont="1" applyFill="1" applyBorder="1" applyAlignment="1">
      <alignment horizontal="right" vertical="center" wrapText="1"/>
    </xf>
    <xf numFmtId="3" fontId="5" fillId="4" borderId="6" xfId="0" applyNumberFormat="1" applyFont="1" applyFill="1" applyBorder="1" applyAlignment="1">
      <alignment horizontal="right" vertical="center" wrapText="1"/>
    </xf>
    <xf numFmtId="0" fontId="4" fillId="4" borderId="17" xfId="0" applyFont="1" applyFill="1" applyBorder="1"/>
    <xf numFmtId="0" fontId="4" fillId="5" borderId="17" xfId="0" applyFont="1" applyFill="1" applyBorder="1"/>
    <xf numFmtId="3" fontId="5" fillId="5" borderId="17" xfId="0" applyNumberFormat="1" applyFont="1" applyFill="1" applyBorder="1" applyAlignment="1">
      <alignment horizontal="right" vertical="center" wrapText="1"/>
    </xf>
    <xf numFmtId="3" fontId="5" fillId="4" borderId="17" xfId="0" applyNumberFormat="1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center"/>
    </xf>
    <xf numFmtId="0" fontId="0" fillId="5" borderId="9" xfId="0" applyFill="1" applyBorder="1"/>
    <xf numFmtId="0" fontId="0" fillId="0" borderId="6" xfId="0" applyBorder="1"/>
    <xf numFmtId="0" fontId="10" fillId="5" borderId="10" xfId="0" applyFont="1" applyFill="1" applyBorder="1"/>
    <xf numFmtId="3" fontId="10" fillId="5" borderId="35" xfId="0" applyNumberFormat="1" applyFont="1" applyFill="1" applyBorder="1"/>
    <xf numFmtId="0" fontId="4" fillId="5" borderId="27" xfId="0" applyFont="1" applyFill="1" applyBorder="1"/>
    <xf numFmtId="3" fontId="4" fillId="4" borderId="27" xfId="0" applyNumberFormat="1" applyFont="1" applyFill="1" applyBorder="1"/>
    <xf numFmtId="3" fontId="10" fillId="4" borderId="35" xfId="0" applyNumberFormat="1" applyFont="1" applyFill="1" applyBorder="1"/>
    <xf numFmtId="3" fontId="4" fillId="5" borderId="60" xfId="0" applyNumberFormat="1" applyFont="1" applyFill="1" applyBorder="1" applyAlignment="1">
      <alignment horizontal="right"/>
    </xf>
    <xf numFmtId="3" fontId="4" fillId="4" borderId="60" xfId="0" applyNumberFormat="1" applyFont="1" applyFill="1" applyBorder="1" applyAlignment="1">
      <alignment horizontal="right"/>
    </xf>
    <xf numFmtId="166" fontId="4" fillId="4" borderId="59" xfId="1" applyNumberFormat="1" applyFont="1" applyFill="1" applyBorder="1" applyAlignment="1">
      <alignment horizontal="right"/>
    </xf>
    <xf numFmtId="166" fontId="3" fillId="5" borderId="60" xfId="1" applyNumberFormat="1" applyFont="1" applyFill="1" applyBorder="1" applyAlignment="1">
      <alignment horizontal="right"/>
    </xf>
    <xf numFmtId="0" fontId="10" fillId="4" borderId="56" xfId="0" applyFont="1" applyFill="1" applyBorder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6" fontId="4" fillId="0" borderId="0" xfId="1" applyNumberFormat="1" applyFont="1" applyFill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4" fillId="0" borderId="6" xfId="0" applyFont="1" applyBorder="1"/>
    <xf numFmtId="0" fontId="2" fillId="8" borderId="38" xfId="0" applyFont="1" applyFill="1" applyBorder="1" applyAlignment="1">
      <alignment horizontal="center"/>
    </xf>
    <xf numFmtId="168" fontId="4" fillId="0" borderId="6" xfId="0" applyNumberFormat="1" applyFont="1" applyBorder="1"/>
    <xf numFmtId="0" fontId="4" fillId="7" borderId="16" xfId="0" applyFont="1" applyFill="1" applyBorder="1"/>
    <xf numFmtId="0" fontId="4" fillId="7" borderId="31" xfId="0" applyFont="1" applyFill="1" applyBorder="1"/>
    <xf numFmtId="0" fontId="3" fillId="0" borderId="16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164" fontId="4" fillId="0" borderId="9" xfId="0" applyNumberFormat="1" applyFont="1" applyBorder="1"/>
    <xf numFmtId="166" fontId="4" fillId="7" borderId="6" xfId="1" applyNumberFormat="1" applyFont="1" applyFill="1" applyBorder="1"/>
    <xf numFmtId="166" fontId="4" fillId="0" borderId="6" xfId="1" applyNumberFormat="1" applyFont="1" applyBorder="1"/>
    <xf numFmtId="43" fontId="4" fillId="0" borderId="6" xfId="1" applyFont="1" applyBorder="1"/>
    <xf numFmtId="43" fontId="4" fillId="7" borderId="7" xfId="1" applyFont="1" applyFill="1" applyBorder="1"/>
    <xf numFmtId="0" fontId="2" fillId="8" borderId="26" xfId="0" applyFont="1" applyFill="1" applyBorder="1" applyAlignment="1">
      <alignment horizontal="center"/>
    </xf>
    <xf numFmtId="166" fontId="4" fillId="7" borderId="10" xfId="1" applyNumberFormat="1" applyFont="1" applyFill="1" applyBorder="1"/>
    <xf numFmtId="0" fontId="2" fillId="8" borderId="38" xfId="0" applyFont="1" applyFill="1" applyBorder="1" applyAlignment="1">
      <alignment horizontal="right"/>
    </xf>
    <xf numFmtId="0" fontId="2" fillId="8" borderId="39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4" fillId="0" borderId="17" xfId="1" applyNumberFormat="1" applyFont="1" applyFill="1" applyBorder="1" applyAlignment="1">
      <alignment horizontal="right"/>
    </xf>
    <xf numFmtId="0" fontId="2" fillId="6" borderId="38" xfId="0" applyFont="1" applyFill="1" applyBorder="1" applyAlignment="1">
      <alignment horizontal="right"/>
    </xf>
    <xf numFmtId="0" fontId="2" fillId="6" borderId="39" xfId="0" applyFont="1" applyFill="1" applyBorder="1" applyAlignment="1">
      <alignment horizontal="right"/>
    </xf>
    <xf numFmtId="0" fontId="4" fillId="5" borderId="0" xfId="0" applyFont="1" applyFill="1"/>
    <xf numFmtId="164" fontId="4" fillId="5" borderId="0" xfId="0" applyNumberFormat="1" applyFont="1" applyFill="1"/>
    <xf numFmtId="2" fontId="4" fillId="5" borderId="0" xfId="0" applyNumberFormat="1" applyFont="1" applyFill="1"/>
    <xf numFmtId="43" fontId="4" fillId="0" borderId="0" xfId="0" applyNumberFormat="1" applyFont="1"/>
    <xf numFmtId="0" fontId="2" fillId="6" borderId="49" xfId="0" applyFont="1" applyFill="1" applyBorder="1" applyAlignment="1">
      <alignment horizontal="center"/>
    </xf>
    <xf numFmtId="0" fontId="4" fillId="0" borderId="69" xfId="0" applyFont="1" applyBorder="1"/>
    <xf numFmtId="0" fontId="4" fillId="5" borderId="50" xfId="0" applyFont="1" applyFill="1" applyBorder="1"/>
    <xf numFmtId="0" fontId="10" fillId="0" borderId="69" xfId="0" applyFont="1" applyBorder="1"/>
    <xf numFmtId="0" fontId="4" fillId="5" borderId="67" xfId="0" applyFont="1" applyFill="1" applyBorder="1"/>
    <xf numFmtId="0" fontId="3" fillId="0" borderId="50" xfId="0" applyFont="1" applyBorder="1"/>
    <xf numFmtId="0" fontId="4" fillId="0" borderId="51" xfId="0" applyFont="1" applyBorder="1"/>
    <xf numFmtId="166" fontId="0" fillId="0" borderId="70" xfId="1" applyNumberFormat="1" applyFont="1" applyBorder="1"/>
    <xf numFmtId="0" fontId="2" fillId="8" borderId="49" xfId="0" applyFont="1" applyFill="1" applyBorder="1" applyAlignment="1">
      <alignment horizontal="center"/>
    </xf>
    <xf numFmtId="0" fontId="4" fillId="0" borderId="71" xfId="0" applyFont="1" applyBorder="1"/>
    <xf numFmtId="0" fontId="0" fillId="5" borderId="5" xfId="0" applyFill="1" applyBorder="1"/>
    <xf numFmtId="2" fontId="4" fillId="5" borderId="9" xfId="0" applyNumberFormat="1" applyFont="1" applyFill="1" applyBorder="1"/>
    <xf numFmtId="2" fontId="4" fillId="5" borderId="23" xfId="0" applyNumberFormat="1" applyFont="1" applyFill="1" applyBorder="1"/>
    <xf numFmtId="0" fontId="0" fillId="0" borderId="9" xfId="0" applyBorder="1"/>
    <xf numFmtId="2" fontId="4" fillId="0" borderId="9" xfId="0" applyNumberFormat="1" applyFont="1" applyBorder="1"/>
    <xf numFmtId="2" fontId="4" fillId="0" borderId="23" xfId="0" applyNumberFormat="1" applyFont="1" applyBorder="1"/>
    <xf numFmtId="0" fontId="4" fillId="5" borderId="69" xfId="0" applyFont="1" applyFill="1" applyBorder="1"/>
    <xf numFmtId="0" fontId="10" fillId="0" borderId="67" xfId="0" applyFont="1" applyBorder="1"/>
    <xf numFmtId="0" fontId="4" fillId="0" borderId="49" xfId="0" applyFont="1" applyBorder="1"/>
    <xf numFmtId="0" fontId="3" fillId="4" borderId="50" xfId="0" applyFont="1" applyFill="1" applyBorder="1"/>
    <xf numFmtId="0" fontId="3" fillId="5" borderId="50" xfId="0" applyFont="1" applyFill="1" applyBorder="1"/>
    <xf numFmtId="0" fontId="4" fillId="4" borderId="51" xfId="0" applyFont="1" applyFill="1" applyBorder="1"/>
    <xf numFmtId="15" fontId="6" fillId="2" borderId="43" xfId="0" applyNumberFormat="1" applyFont="1" applyFill="1" applyBorder="1" applyAlignment="1">
      <alignment horizontal="center"/>
    </xf>
    <xf numFmtId="15" fontId="6" fillId="2" borderId="72" xfId="0" applyNumberFormat="1" applyFont="1" applyFill="1" applyBorder="1" applyAlignment="1">
      <alignment horizontal="center"/>
    </xf>
    <xf numFmtId="166" fontId="3" fillId="4" borderId="19" xfId="1" applyNumberFormat="1" applyFont="1" applyFill="1" applyBorder="1" applyAlignment="1">
      <alignment horizontal="right"/>
    </xf>
    <xf numFmtId="166" fontId="4" fillId="5" borderId="19" xfId="1" applyNumberFormat="1" applyFont="1" applyFill="1" applyBorder="1" applyAlignment="1">
      <alignment horizontal="right"/>
    </xf>
    <xf numFmtId="166" fontId="4" fillId="4" borderId="19" xfId="1" applyNumberFormat="1" applyFont="1" applyFill="1" applyBorder="1" applyAlignment="1">
      <alignment horizontal="right"/>
    </xf>
    <xf numFmtId="166" fontId="4" fillId="5" borderId="21" xfId="1" applyNumberFormat="1" applyFont="1" applyFill="1" applyBorder="1" applyAlignment="1">
      <alignment horizontal="right"/>
    </xf>
    <xf numFmtId="166" fontId="3" fillId="5" borderId="73" xfId="1" applyNumberFormat="1" applyFont="1" applyFill="1" applyBorder="1" applyAlignment="1">
      <alignment horizontal="right"/>
    </xf>
    <xf numFmtId="166" fontId="3" fillId="5" borderId="19" xfId="1" applyNumberFormat="1" applyFont="1" applyFill="1" applyBorder="1" applyAlignment="1">
      <alignment horizontal="right"/>
    </xf>
    <xf numFmtId="166" fontId="4" fillId="4" borderId="21" xfId="1" applyNumberFormat="1" applyFont="1" applyFill="1" applyBorder="1" applyAlignment="1">
      <alignment horizontal="right"/>
    </xf>
    <xf numFmtId="0" fontId="4" fillId="4" borderId="74" xfId="0" applyFont="1" applyFill="1" applyBorder="1"/>
    <xf numFmtId="0" fontId="3" fillId="4" borderId="50" xfId="0" applyFont="1" applyFill="1" applyBorder="1" applyAlignment="1">
      <alignment horizontal="center"/>
    </xf>
    <xf numFmtId="0" fontId="4" fillId="5" borderId="51" xfId="0" applyFont="1" applyFill="1" applyBorder="1"/>
    <xf numFmtId="0" fontId="1" fillId="4" borderId="50" xfId="0" applyFont="1" applyFill="1" applyBorder="1" applyAlignment="1">
      <alignment horizontal="left"/>
    </xf>
    <xf numFmtId="165" fontId="6" fillId="3" borderId="15" xfId="0" applyNumberFormat="1" applyFont="1" applyFill="1" applyBorder="1" applyAlignment="1">
      <alignment horizontal="center"/>
    </xf>
    <xf numFmtId="3" fontId="1" fillId="4" borderId="21" xfId="0" applyNumberFormat="1" applyFont="1" applyFill="1" applyBorder="1" applyAlignment="1">
      <alignment horizontal="right"/>
    </xf>
    <xf numFmtId="3" fontId="2" fillId="5" borderId="53" xfId="0" applyNumberFormat="1" applyFont="1" applyFill="1" applyBorder="1" applyAlignment="1">
      <alignment horizontal="right"/>
    </xf>
    <xf numFmtId="3" fontId="4" fillId="4" borderId="21" xfId="0" applyNumberFormat="1" applyFont="1" applyFill="1" applyBorder="1" applyAlignment="1">
      <alignment horizontal="right"/>
    </xf>
    <xf numFmtId="3" fontId="3" fillId="5" borderId="53" xfId="0" applyNumberFormat="1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4" fillId="5" borderId="21" xfId="0" applyFont="1" applyFill="1" applyBorder="1" applyAlignment="1">
      <alignment horizontal="right"/>
    </xf>
    <xf numFmtId="3" fontId="3" fillId="4" borderId="53" xfId="0" applyNumberFormat="1" applyFont="1" applyFill="1" applyBorder="1" applyAlignment="1">
      <alignment horizontal="right"/>
    </xf>
    <xf numFmtId="0" fontId="4" fillId="5" borderId="19" xfId="0" applyFont="1" applyFill="1" applyBorder="1" applyAlignment="1">
      <alignment horizontal="right"/>
    </xf>
    <xf numFmtId="0" fontId="4" fillId="4" borderId="21" xfId="0" applyFont="1" applyFill="1" applyBorder="1" applyAlignment="1">
      <alignment horizontal="right"/>
    </xf>
    <xf numFmtId="3" fontId="3" fillId="5" borderId="75" xfId="0" applyNumberFormat="1" applyFont="1" applyFill="1" applyBorder="1" applyAlignment="1">
      <alignment horizontal="right"/>
    </xf>
    <xf numFmtId="3" fontId="4" fillId="5" borderId="19" xfId="0" applyNumberFormat="1" applyFont="1" applyFill="1" applyBorder="1" applyAlignment="1">
      <alignment horizontal="right"/>
    </xf>
    <xf numFmtId="3" fontId="4" fillId="4" borderId="19" xfId="0" applyNumberFormat="1" applyFont="1" applyFill="1" applyBorder="1" applyAlignment="1">
      <alignment horizontal="right"/>
    </xf>
    <xf numFmtId="3" fontId="4" fillId="4" borderId="53" xfId="0" applyNumberFormat="1" applyFont="1" applyFill="1" applyBorder="1" applyAlignment="1">
      <alignment horizontal="right"/>
    </xf>
    <xf numFmtId="0" fontId="3" fillId="5" borderId="19" xfId="0" applyFont="1" applyFill="1" applyBorder="1" applyAlignment="1">
      <alignment horizontal="right"/>
    </xf>
    <xf numFmtId="3" fontId="3" fillId="5" borderId="73" xfId="0" applyNumberFormat="1" applyFont="1" applyFill="1" applyBorder="1" applyAlignment="1">
      <alignment horizontal="right"/>
    </xf>
    <xf numFmtId="3" fontId="4" fillId="5" borderId="19" xfId="0" applyNumberFormat="1" applyFont="1" applyFill="1" applyBorder="1"/>
    <xf numFmtId="3" fontId="4" fillId="4" borderId="19" xfId="0" applyNumberFormat="1" applyFont="1" applyFill="1" applyBorder="1"/>
    <xf numFmtId="3" fontId="4" fillId="5" borderId="21" xfId="0" applyNumberFormat="1" applyFont="1" applyFill="1" applyBorder="1"/>
    <xf numFmtId="3" fontId="4" fillId="4" borderId="53" xfId="0" applyNumberFormat="1" applyFont="1" applyFill="1" applyBorder="1"/>
    <xf numFmtId="0" fontId="4" fillId="4" borderId="21" xfId="0" applyFont="1" applyFill="1" applyBorder="1"/>
    <xf numFmtId="3" fontId="4" fillId="4" borderId="21" xfId="0" applyNumberFormat="1" applyFont="1" applyFill="1" applyBorder="1"/>
    <xf numFmtId="3" fontId="4" fillId="5" borderId="53" xfId="0" applyNumberFormat="1" applyFont="1" applyFill="1" applyBorder="1" applyAlignment="1">
      <alignment horizontal="right"/>
    </xf>
    <xf numFmtId="3" fontId="3" fillId="4" borderId="73" xfId="0" applyNumberFormat="1" applyFont="1" applyFill="1" applyBorder="1" applyAlignment="1">
      <alignment horizontal="right"/>
    </xf>
    <xf numFmtId="43" fontId="0" fillId="0" borderId="0" xfId="0" applyNumberFormat="1"/>
    <xf numFmtId="0" fontId="10" fillId="0" borderId="0" xfId="0" applyFont="1"/>
    <xf numFmtId="172" fontId="10" fillId="0" borderId="0" xfId="0" applyNumberFormat="1" applyFont="1"/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6" fillId="2" borderId="15" xfId="0" applyFont="1" applyFill="1" applyBorder="1"/>
    <xf numFmtId="166" fontId="12" fillId="2" borderId="16" xfId="1" applyNumberFormat="1" applyFont="1" applyFill="1" applyBorder="1" applyAlignment="1">
      <alignment horizontal="center"/>
    </xf>
    <xf numFmtId="166" fontId="6" fillId="2" borderId="0" xfId="1" applyNumberFormat="1" applyFont="1" applyFill="1" applyBorder="1" applyAlignment="1">
      <alignment horizontal="center"/>
    </xf>
    <xf numFmtId="166" fontId="6" fillId="2" borderId="17" xfId="1" applyNumberFormat="1" applyFont="1" applyFill="1" applyBorder="1" applyAlignment="1">
      <alignment horizontal="center"/>
    </xf>
    <xf numFmtId="166" fontId="4" fillId="0" borderId="35" xfId="1" applyNumberFormat="1" applyFont="1" applyBorder="1"/>
    <xf numFmtId="0" fontId="6" fillId="2" borderId="14" xfId="0" applyFont="1" applyFill="1" applyBorder="1"/>
    <xf numFmtId="0" fontId="4" fillId="0" borderId="33" xfId="1" applyNumberFormat="1" applyFont="1" applyBorder="1" applyAlignment="1">
      <alignment horizontal="center"/>
    </xf>
    <xf numFmtId="0" fontId="4" fillId="0" borderId="16" xfId="1" applyNumberFormat="1" applyFont="1" applyBorder="1" applyAlignment="1">
      <alignment horizontal="center"/>
    </xf>
    <xf numFmtId="166" fontId="4" fillId="0" borderId="4" xfId="1" applyNumberFormat="1" applyFont="1" applyFill="1" applyBorder="1"/>
    <xf numFmtId="166" fontId="4" fillId="0" borderId="41" xfId="1" applyNumberFormat="1" applyFont="1" applyFill="1" applyBorder="1"/>
    <xf numFmtId="0" fontId="4" fillId="0" borderId="19" xfId="1" applyNumberFormat="1" applyFont="1" applyBorder="1" applyAlignment="1">
      <alignment horizontal="center"/>
    </xf>
    <xf numFmtId="0" fontId="4" fillId="0" borderId="21" xfId="1" applyNumberFormat="1" applyFont="1" applyBorder="1" applyAlignment="1">
      <alignment horizontal="center"/>
    </xf>
    <xf numFmtId="166" fontId="4" fillId="0" borderId="10" xfId="1" applyNumberFormat="1" applyFont="1" applyBorder="1"/>
    <xf numFmtId="166" fontId="4" fillId="0" borderId="10" xfId="1" applyNumberFormat="1" applyFont="1" applyBorder="1" applyAlignment="1">
      <alignment vertical="center"/>
    </xf>
    <xf numFmtId="166" fontId="4" fillId="0" borderId="6" xfId="1" applyNumberFormat="1" applyFont="1" applyFill="1" applyBorder="1" applyAlignment="1">
      <alignment horizontal="right"/>
    </xf>
    <xf numFmtId="166" fontId="4" fillId="0" borderId="10" xfId="1" applyNumberFormat="1" applyFont="1" applyFill="1" applyBorder="1" applyAlignment="1">
      <alignment horizontal="right"/>
    </xf>
    <xf numFmtId="166" fontId="4" fillId="0" borderId="6" xfId="1" applyNumberFormat="1" applyFont="1" applyBorder="1" applyAlignment="1">
      <alignment horizontal="center"/>
    </xf>
    <xf numFmtId="166" fontId="4" fillId="0" borderId="10" xfId="1" applyNumberFormat="1" applyFont="1" applyBorder="1" applyAlignment="1">
      <alignment horizontal="center"/>
    </xf>
    <xf numFmtId="0" fontId="4" fillId="7" borderId="19" xfId="1" applyNumberFormat="1" applyFont="1" applyFill="1" applyBorder="1" applyAlignment="1">
      <alignment horizontal="center"/>
    </xf>
    <xf numFmtId="166" fontId="4" fillId="7" borderId="4" xfId="1" applyNumberFormat="1" applyFont="1" applyFill="1" applyBorder="1"/>
    <xf numFmtId="166" fontId="4" fillId="7" borderId="6" xfId="1" applyNumberFormat="1" applyFont="1" applyFill="1" applyBorder="1" applyAlignment="1">
      <alignment horizontal="center"/>
    </xf>
    <xf numFmtId="0" fontId="4" fillId="7" borderId="16" xfId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/>
    <xf numFmtId="170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0" fontId="2" fillId="8" borderId="25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right"/>
    </xf>
    <xf numFmtId="0" fontId="2" fillId="6" borderId="40" xfId="0" applyFont="1" applyFill="1" applyBorder="1"/>
    <xf numFmtId="0" fontId="6" fillId="2" borderId="0" xfId="0" applyFont="1" applyFill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17" xfId="1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66" fontId="4" fillId="0" borderId="2" xfId="1" applyNumberFormat="1" applyFont="1" applyFill="1" applyBorder="1" applyAlignment="1">
      <alignment horizontal="center"/>
    </xf>
    <xf numFmtId="166" fontId="4" fillId="0" borderId="35" xfId="1" applyNumberFormat="1" applyFont="1" applyBorder="1" applyAlignment="1">
      <alignment horizontal="center"/>
    </xf>
    <xf numFmtId="166" fontId="4" fillId="7" borderId="0" xfId="1" applyNumberFormat="1" applyFont="1" applyFill="1" applyBorder="1" applyAlignment="1">
      <alignment horizontal="center"/>
    </xf>
    <xf numFmtId="166" fontId="4" fillId="7" borderId="17" xfId="1" applyNumberFormat="1" applyFont="1" applyFill="1" applyBorder="1" applyAlignment="1">
      <alignment horizontal="center"/>
    </xf>
    <xf numFmtId="166" fontId="4" fillId="0" borderId="6" xfId="1" applyNumberFormat="1" applyFont="1" applyFill="1" applyBorder="1" applyAlignment="1">
      <alignment horizontal="center"/>
    </xf>
    <xf numFmtId="166" fontId="4" fillId="0" borderId="10" xfId="1" applyNumberFormat="1" applyFont="1" applyFill="1" applyBorder="1" applyAlignment="1">
      <alignment horizontal="center"/>
    </xf>
    <xf numFmtId="166" fontId="4" fillId="0" borderId="0" xfId="1" applyNumberFormat="1" applyFont="1" applyBorder="1"/>
    <xf numFmtId="166" fontId="4" fillId="0" borderId="0" xfId="1" applyNumberFormat="1" applyFont="1" applyFill="1" applyBorder="1"/>
    <xf numFmtId="166" fontId="4" fillId="7" borderId="0" xfId="1" applyNumberFormat="1" applyFont="1" applyFill="1" applyBorder="1"/>
    <xf numFmtId="166" fontId="4" fillId="0" borderId="2" xfId="1" applyNumberFormat="1" applyFont="1" applyBorder="1"/>
    <xf numFmtId="166" fontId="4" fillId="0" borderId="2" xfId="1" applyNumberFormat="1" applyFont="1" applyFill="1" applyBorder="1"/>
    <xf numFmtId="166" fontId="4" fillId="0" borderId="6" xfId="1" applyNumberFormat="1" applyFont="1" applyFill="1" applyBorder="1"/>
    <xf numFmtId="166" fontId="4" fillId="0" borderId="10" xfId="1" applyNumberFormat="1" applyFont="1" applyFill="1" applyBorder="1"/>
    <xf numFmtId="0" fontId="6" fillId="2" borderId="8" xfId="0" applyFont="1" applyFill="1" applyBorder="1" applyAlignment="1">
      <alignment horizontal="center"/>
    </xf>
    <xf numFmtId="166" fontId="4" fillId="0" borderId="4" xfId="1" applyNumberFormat="1" applyFont="1" applyBorder="1"/>
    <xf numFmtId="166" fontId="4" fillId="7" borderId="41" xfId="1" applyNumberFormat="1" applyFont="1" applyFill="1" applyBorder="1"/>
    <xf numFmtId="166" fontId="4" fillId="0" borderId="4" xfId="1" applyNumberFormat="1" applyFont="1" applyBorder="1" applyAlignment="1">
      <alignment horizontal="center"/>
    </xf>
    <xf numFmtId="166" fontId="4" fillId="0" borderId="6" xfId="1" applyNumberFormat="1" applyFont="1" applyBorder="1" applyAlignment="1">
      <alignment horizontal="center" vertical="center"/>
    </xf>
    <xf numFmtId="166" fontId="4" fillId="7" borderId="41" xfId="1" applyNumberFormat="1" applyFont="1" applyFill="1" applyBorder="1" applyAlignment="1">
      <alignment horizontal="center"/>
    </xf>
    <xf numFmtId="166" fontId="4" fillId="7" borderId="10" xfId="1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6" fillId="2" borderId="15" xfId="0" applyFont="1" applyFill="1" applyBorder="1" applyAlignment="1">
      <alignment horizontal="right"/>
    </xf>
    <xf numFmtId="0" fontId="6" fillId="2" borderId="5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66" fontId="5" fillId="4" borderId="6" xfId="1" applyNumberFormat="1" applyFont="1" applyFill="1" applyBorder="1"/>
    <xf numFmtId="166" fontId="5" fillId="7" borderId="6" xfId="1" applyNumberFormat="1" applyFont="1" applyFill="1" applyBorder="1"/>
    <xf numFmtId="166" fontId="5" fillId="4" borderId="10" xfId="1" applyNumberFormat="1" applyFont="1" applyFill="1" applyBorder="1"/>
    <xf numFmtId="0" fontId="3" fillId="0" borderId="0" xfId="0" applyFont="1" applyAlignment="1"/>
    <xf numFmtId="166" fontId="13" fillId="7" borderId="8" xfId="1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right"/>
    </xf>
    <xf numFmtId="0" fontId="14" fillId="0" borderId="0" xfId="0" applyFont="1"/>
    <xf numFmtId="0" fontId="0" fillId="0" borderId="0" xfId="0" applyAlignment="1"/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73" fontId="4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9" fontId="4" fillId="0" borderId="0" xfId="0" applyNumberFormat="1" applyFont="1"/>
    <xf numFmtId="0" fontId="4" fillId="5" borderId="8" xfId="0" applyFont="1" applyFill="1" applyBorder="1"/>
    <xf numFmtId="0" fontId="4" fillId="5" borderId="8" xfId="0" applyFont="1" applyFill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166" fontId="4" fillId="5" borderId="8" xfId="1" applyNumberFormat="1" applyFont="1" applyFill="1" applyBorder="1" applyAlignment="1">
      <alignment horizontal="center"/>
    </xf>
    <xf numFmtId="173" fontId="4" fillId="5" borderId="8" xfId="0" applyNumberFormat="1" applyFont="1" applyFill="1" applyBorder="1" applyAlignment="1">
      <alignment horizontal="center"/>
    </xf>
    <xf numFmtId="0" fontId="4" fillId="5" borderId="78" xfId="0" applyFont="1" applyFill="1" applyBorder="1"/>
    <xf numFmtId="166" fontId="4" fillId="5" borderId="58" xfId="1" applyNumberFormat="1" applyFont="1" applyFill="1" applyBorder="1" applyAlignment="1">
      <alignment horizontal="center"/>
    </xf>
    <xf numFmtId="0" fontId="4" fillId="0" borderId="79" xfId="0" applyFont="1" applyBorder="1"/>
    <xf numFmtId="0" fontId="4" fillId="0" borderId="24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6" fontId="4" fillId="0" borderId="80" xfId="1" applyNumberFormat="1" applyFont="1" applyBorder="1" applyAlignment="1">
      <alignment horizontal="center"/>
    </xf>
    <xf numFmtId="0" fontId="4" fillId="0" borderId="78" xfId="0" applyFont="1" applyBorder="1"/>
    <xf numFmtId="0" fontId="6" fillId="2" borderId="78" xfId="0" applyFont="1" applyFill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4" fillId="5" borderId="7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4" fillId="0" borderId="2" xfId="0" applyFont="1" applyBorder="1"/>
    <xf numFmtId="0" fontId="4" fillId="0" borderId="35" xfId="0" applyFont="1" applyBorder="1"/>
    <xf numFmtId="0" fontId="4" fillId="5" borderId="17" xfId="0" applyFont="1" applyFill="1" applyBorder="1" applyAlignment="1">
      <alignment horizontal="center"/>
    </xf>
    <xf numFmtId="173" fontId="4" fillId="0" borderId="76" xfId="0" applyNumberFormat="1" applyFont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2" fontId="3" fillId="0" borderId="67" xfId="0" applyNumberFormat="1" applyFont="1" applyBorder="1" applyAlignment="1">
      <alignment horizontal="center"/>
    </xf>
    <xf numFmtId="2" fontId="3" fillId="5" borderId="45" xfId="0" applyNumberFormat="1" applyFont="1" applyFill="1" applyBorder="1" applyAlignment="1">
      <alignment horizontal="center"/>
    </xf>
    <xf numFmtId="0" fontId="3" fillId="5" borderId="44" xfId="0" applyFont="1" applyFill="1" applyBorder="1"/>
    <xf numFmtId="0" fontId="4" fillId="0" borderId="28" xfId="0" applyFont="1" applyBorder="1"/>
    <xf numFmtId="0" fontId="4" fillId="0" borderId="81" xfId="0" applyNumberFormat="1" applyFon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8" borderId="44" xfId="0" applyFont="1" applyFill="1" applyBorder="1" applyAlignment="1">
      <alignment horizontal="center"/>
    </xf>
    <xf numFmtId="0" fontId="3" fillId="8" borderId="45" xfId="0" applyFont="1" applyFill="1" applyBorder="1" applyAlignment="1">
      <alignment horizontal="center"/>
    </xf>
    <xf numFmtId="166" fontId="4" fillId="0" borderId="8" xfId="1" applyNumberFormat="1" applyFont="1" applyBorder="1"/>
    <xf numFmtId="0" fontId="3" fillId="0" borderId="31" xfId="0" applyFont="1" applyBorder="1" applyAlignment="1">
      <alignment horizontal="center"/>
    </xf>
    <xf numFmtId="0" fontId="4" fillId="5" borderId="83" xfId="0" applyFont="1" applyFill="1" applyBorder="1"/>
    <xf numFmtId="0" fontId="4" fillId="0" borderId="68" xfId="0" applyFont="1" applyBorder="1"/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4" fillId="0" borderId="37" xfId="0" applyFont="1" applyBorder="1"/>
    <xf numFmtId="0" fontId="6" fillId="2" borderId="38" xfId="0" applyFont="1" applyFill="1" applyBorder="1"/>
    <xf numFmtId="0" fontId="6" fillId="2" borderId="39" xfId="0" applyFont="1" applyFill="1" applyBorder="1"/>
    <xf numFmtId="166" fontId="4" fillId="0" borderId="58" xfId="1" applyNumberFormat="1" applyFont="1" applyBorder="1"/>
    <xf numFmtId="166" fontId="4" fillId="5" borderId="8" xfId="1" applyNumberFormat="1" applyFont="1" applyFill="1" applyBorder="1" applyAlignment="1">
      <alignment vertical="center"/>
    </xf>
    <xf numFmtId="166" fontId="4" fillId="5" borderId="58" xfId="1" applyNumberFormat="1" applyFont="1" applyFill="1" applyBorder="1" applyAlignment="1">
      <alignment vertical="center"/>
    </xf>
    <xf numFmtId="166" fontId="4" fillId="5" borderId="8" xfId="1" applyNumberFormat="1" applyFont="1" applyFill="1" applyBorder="1"/>
    <xf numFmtId="166" fontId="4" fillId="5" borderId="58" xfId="1" applyNumberFormat="1" applyFont="1" applyFill="1" applyBorder="1"/>
    <xf numFmtId="2" fontId="4" fillId="5" borderId="8" xfId="0" applyNumberFormat="1" applyFont="1" applyFill="1" applyBorder="1"/>
    <xf numFmtId="2" fontId="4" fillId="5" borderId="58" xfId="0" applyNumberFormat="1" applyFont="1" applyFill="1" applyBorder="1"/>
    <xf numFmtId="0" fontId="4" fillId="5" borderId="18" xfId="0" applyFont="1" applyFill="1" applyBorder="1"/>
    <xf numFmtId="0" fontId="3" fillId="0" borderId="78" xfId="0" applyFont="1" applyBorder="1"/>
    <xf numFmtId="0" fontId="6" fillId="2" borderId="8" xfId="0" applyFont="1" applyFill="1" applyBorder="1" applyAlignment="1">
      <alignment horizontal="right"/>
    </xf>
    <xf numFmtId="0" fontId="6" fillId="2" borderId="58" xfId="0" applyFont="1" applyFill="1" applyBorder="1" applyAlignment="1">
      <alignment horizontal="right"/>
    </xf>
    <xf numFmtId="0" fontId="3" fillId="0" borderId="44" xfId="0" applyFont="1" applyBorder="1"/>
    <xf numFmtId="0" fontId="4" fillId="5" borderId="23" xfId="0" applyNumberFormat="1" applyFont="1" applyFill="1" applyBorder="1" applyAlignment="1">
      <alignment horizontal="center"/>
    </xf>
    <xf numFmtId="10" fontId="4" fillId="5" borderId="22" xfId="0" applyNumberFormat="1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2" fontId="4" fillId="0" borderId="0" xfId="0" applyNumberFormat="1" applyFont="1" applyBorder="1" applyAlignment="1"/>
    <xf numFmtId="2" fontId="4" fillId="0" borderId="39" xfId="0" applyNumberFormat="1" applyFont="1" applyBorder="1" applyAlignment="1"/>
    <xf numFmtId="2" fontId="3" fillId="0" borderId="45" xfId="0" applyNumberFormat="1" applyFont="1" applyBorder="1" applyAlignment="1"/>
    <xf numFmtId="0" fontId="3" fillId="5" borderId="45" xfId="0" applyFont="1" applyFill="1" applyBorder="1" applyAlignment="1"/>
    <xf numFmtId="166" fontId="4" fillId="5" borderId="58" xfId="1" applyNumberFormat="1" applyFont="1" applyFill="1" applyBorder="1" applyAlignment="1"/>
    <xf numFmtId="166" fontId="4" fillId="0" borderId="58" xfId="1" applyNumberFormat="1" applyFont="1" applyBorder="1" applyAlignment="1"/>
    <xf numFmtId="166" fontId="3" fillId="0" borderId="58" xfId="1" applyNumberFormat="1" applyFont="1" applyBorder="1" applyAlignment="1"/>
    <xf numFmtId="166" fontId="4" fillId="5" borderId="80" xfId="1" applyNumberFormat="1" applyFont="1" applyFill="1" applyBorder="1" applyAlignment="1"/>
    <xf numFmtId="166" fontId="4" fillId="0" borderId="58" xfId="1" applyNumberFormat="1" applyFont="1" applyBorder="1" applyAlignment="1">
      <alignment horizontal="center"/>
    </xf>
    <xf numFmtId="166" fontId="3" fillId="0" borderId="58" xfId="1" applyNumberFormat="1" applyFont="1" applyBorder="1" applyAlignment="1">
      <alignment horizontal="center"/>
    </xf>
    <xf numFmtId="166" fontId="4" fillId="5" borderId="23" xfId="1" applyNumberFormat="1" applyFont="1" applyFill="1" applyBorder="1" applyAlignment="1">
      <alignment horizontal="center"/>
    </xf>
    <xf numFmtId="2" fontId="3" fillId="0" borderId="45" xfId="0" applyNumberFormat="1" applyFont="1" applyBorder="1" applyAlignment="1">
      <alignment horizontal="right"/>
    </xf>
    <xf numFmtId="0" fontId="3" fillId="5" borderId="45" xfId="0" applyFont="1" applyFill="1" applyBorder="1" applyAlignment="1">
      <alignment horizontal="right"/>
    </xf>
    <xf numFmtId="0" fontId="4" fillId="5" borderId="79" xfId="0" applyFont="1" applyFill="1" applyBorder="1"/>
    <xf numFmtId="0" fontId="4" fillId="5" borderId="24" xfId="0" applyFont="1" applyFill="1" applyBorder="1"/>
    <xf numFmtId="2" fontId="4" fillId="5" borderId="24" xfId="0" applyNumberFormat="1" applyFont="1" applyFill="1" applyBorder="1"/>
    <xf numFmtId="2" fontId="4" fillId="5" borderId="80" xfId="0" applyNumberFormat="1" applyFont="1" applyFill="1" applyBorder="1"/>
    <xf numFmtId="0" fontId="18" fillId="0" borderId="0" xfId="0" applyFont="1" applyBorder="1" applyAlignment="1"/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7" xfId="0" applyFont="1" applyFill="1" applyBorder="1" applyAlignment="1">
      <alignment horizontal="center"/>
    </xf>
    <xf numFmtId="2" fontId="3" fillId="5" borderId="64" xfId="0" applyNumberFormat="1" applyFont="1" applyFill="1" applyBorder="1" applyAlignment="1">
      <alignment horizontal="center"/>
    </xf>
    <xf numFmtId="2" fontId="3" fillId="5" borderId="65" xfId="0" applyNumberFormat="1" applyFont="1" applyFill="1" applyBorder="1" applyAlignment="1">
      <alignment horizontal="center"/>
    </xf>
    <xf numFmtId="2" fontId="3" fillId="5" borderId="66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2" fontId="10" fillId="0" borderId="64" xfId="0" applyNumberFormat="1" applyFont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2" fontId="10" fillId="0" borderId="66" xfId="0" applyNumberFormat="1" applyFont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2" fontId="3" fillId="0" borderId="65" xfId="0" applyNumberFormat="1" applyFont="1" applyBorder="1" applyAlignment="1">
      <alignment horizontal="center"/>
    </xf>
    <xf numFmtId="2" fontId="3" fillId="0" borderId="66" xfId="0" applyNumberFormat="1" applyFont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6" fillId="2" borderId="64" xfId="0" applyFont="1" applyFill="1" applyBorder="1" applyAlignment="1">
      <alignment horizontal="center"/>
    </xf>
    <xf numFmtId="0" fontId="6" fillId="2" borderId="65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66" fontId="3" fillId="8" borderId="13" xfId="1" applyNumberFormat="1" applyFont="1" applyFill="1" applyBorder="1" applyAlignment="1">
      <alignment horizontal="center"/>
    </xf>
    <xf numFmtId="166" fontId="3" fillId="8" borderId="14" xfId="1" applyNumberFormat="1" applyFont="1" applyFill="1" applyBorder="1" applyAlignment="1">
      <alignment horizontal="center"/>
    </xf>
    <xf numFmtId="166" fontId="3" fillId="8" borderId="15" xfId="1" applyNumberFormat="1" applyFont="1" applyFill="1" applyBorder="1" applyAlignment="1">
      <alignment horizontal="center"/>
    </xf>
    <xf numFmtId="166" fontId="3" fillId="6" borderId="13" xfId="1" applyNumberFormat="1" applyFont="1" applyFill="1" applyBorder="1" applyAlignment="1">
      <alignment horizontal="center"/>
    </xf>
    <xf numFmtId="166" fontId="3" fillId="6" borderId="14" xfId="1" applyNumberFormat="1" applyFont="1" applyFill="1" applyBorder="1" applyAlignment="1">
      <alignment horizontal="center"/>
    </xf>
    <xf numFmtId="166" fontId="3" fillId="6" borderId="15" xfId="1" applyNumberFormat="1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7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80" xfId="0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8" fillId="0" borderId="64" xfId="0" applyFont="1" applyBorder="1" applyAlignment="1">
      <alignment horizontal="center"/>
    </xf>
    <xf numFmtId="0" fontId="18" fillId="0" borderId="65" xfId="0" applyFont="1" applyBorder="1" applyAlignment="1">
      <alignment horizontal="center"/>
    </xf>
    <xf numFmtId="0" fontId="18" fillId="0" borderId="66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82" xfId="1" applyNumberFormat="1" applyFont="1" applyBorder="1" applyAlignment="1">
      <alignment horizontal="center" vertical="center"/>
    </xf>
    <xf numFmtId="0" fontId="4" fillId="0" borderId="84" xfId="1" applyNumberFormat="1" applyFont="1" applyBorder="1" applyAlignment="1">
      <alignment horizontal="center" vertical="center"/>
    </xf>
    <xf numFmtId="0" fontId="4" fillId="0" borderId="30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9984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O100"/>
  <sheetViews>
    <sheetView topLeftCell="G20" zoomScale="90" zoomScaleNormal="90" workbookViewId="0">
      <selection activeCell="L20" sqref="L20"/>
    </sheetView>
  </sheetViews>
  <sheetFormatPr defaultColWidth="12.5703125" defaultRowHeight="15.75" customHeight="1" x14ac:dyDescent="0.2"/>
  <cols>
    <col min="1" max="1" width="11.42578125" customWidth="1"/>
    <col min="2" max="2" width="72" bestFit="1" customWidth="1"/>
    <col min="3" max="3" width="19.5703125" customWidth="1"/>
    <col min="4" max="6" width="24" bestFit="1" customWidth="1"/>
    <col min="7" max="7" width="21.140625" bestFit="1" customWidth="1"/>
    <col min="9" max="9" width="13.5703125" bestFit="1" customWidth="1"/>
    <col min="10" max="10" width="46.28515625" bestFit="1" customWidth="1"/>
    <col min="11" max="11" width="22" customWidth="1"/>
    <col min="12" max="12" width="20.140625" bestFit="1" customWidth="1"/>
    <col min="13" max="15" width="16.7109375" bestFit="1" customWidth="1"/>
  </cols>
  <sheetData>
    <row r="3" spans="2:15" ht="15.75" customHeight="1" thickBot="1" x14ac:dyDescent="0.25"/>
    <row r="4" spans="2:15" ht="15.75" customHeight="1" x14ac:dyDescent="0.25">
      <c r="B4" s="604" t="s">
        <v>37</v>
      </c>
      <c r="C4" s="605"/>
      <c r="D4" s="605"/>
      <c r="E4" s="605"/>
      <c r="F4" s="605"/>
      <c r="G4" s="606"/>
      <c r="J4" s="604" t="s">
        <v>37</v>
      </c>
      <c r="K4" s="605"/>
      <c r="L4" s="605"/>
      <c r="M4" s="605"/>
      <c r="N4" s="605"/>
      <c r="O4" s="606"/>
    </row>
    <row r="5" spans="2:15" ht="15.75" customHeight="1" thickBot="1" x14ac:dyDescent="0.3">
      <c r="B5" s="607" t="s">
        <v>22</v>
      </c>
      <c r="C5" s="608"/>
      <c r="D5" s="608"/>
      <c r="E5" s="608"/>
      <c r="F5" s="608"/>
      <c r="G5" s="609"/>
      <c r="J5" s="607" t="s">
        <v>2</v>
      </c>
      <c r="K5" s="608"/>
      <c r="L5" s="608"/>
      <c r="M5" s="608"/>
      <c r="N5" s="608"/>
      <c r="O5" s="609"/>
    </row>
    <row r="6" spans="2:15" ht="15.75" customHeight="1" x14ac:dyDescent="0.25">
      <c r="B6" s="241"/>
      <c r="C6" s="260">
        <v>43281</v>
      </c>
      <c r="D6" s="261">
        <v>43646</v>
      </c>
      <c r="E6" s="262">
        <v>44012</v>
      </c>
      <c r="F6" s="262">
        <v>44377</v>
      </c>
      <c r="G6" s="263">
        <v>44742</v>
      </c>
      <c r="J6" s="391"/>
      <c r="K6" s="260">
        <v>43281</v>
      </c>
      <c r="L6" s="395">
        <v>43646</v>
      </c>
      <c r="M6" s="395">
        <v>44012</v>
      </c>
      <c r="N6" s="395">
        <v>44377</v>
      </c>
      <c r="O6" s="396">
        <v>44742</v>
      </c>
    </row>
    <row r="7" spans="2:15" ht="15.75" customHeight="1" x14ac:dyDescent="0.25">
      <c r="B7" s="242" t="s">
        <v>38</v>
      </c>
      <c r="C7" s="251">
        <v>5533351168</v>
      </c>
      <c r="D7" s="26">
        <v>7709220427</v>
      </c>
      <c r="E7" s="259">
        <v>7735543690</v>
      </c>
      <c r="F7" s="259">
        <v>9646847877</v>
      </c>
      <c r="G7" s="183">
        <v>8295406783</v>
      </c>
      <c r="J7" s="246" t="s">
        <v>3</v>
      </c>
      <c r="K7" s="70"/>
      <c r="L7" s="38"/>
      <c r="M7" s="38"/>
      <c r="N7" s="38"/>
      <c r="O7" s="80"/>
    </row>
    <row r="8" spans="2:15" ht="15.75" customHeight="1" x14ac:dyDescent="0.25">
      <c r="B8" s="243" t="s">
        <v>24</v>
      </c>
      <c r="C8" s="252">
        <v>4964425757</v>
      </c>
      <c r="D8" s="27">
        <v>6926720679</v>
      </c>
      <c r="E8" s="27">
        <v>6974580417</v>
      </c>
      <c r="F8" s="27">
        <v>8851502298</v>
      </c>
      <c r="G8" s="178">
        <v>7360803352</v>
      </c>
      <c r="J8" s="392" t="s">
        <v>4</v>
      </c>
      <c r="K8" s="397"/>
      <c r="L8" s="1"/>
      <c r="M8" s="1"/>
      <c r="N8" s="1"/>
      <c r="O8" s="82"/>
    </row>
    <row r="9" spans="2:15" ht="15.75" customHeight="1" x14ac:dyDescent="0.25">
      <c r="B9" s="244" t="s">
        <v>0</v>
      </c>
      <c r="C9" s="253">
        <v>568925411</v>
      </c>
      <c r="D9" s="5">
        <f t="shared" ref="D9:F9" si="0">D7-D8</f>
        <v>782499748</v>
      </c>
      <c r="E9" s="5">
        <f t="shared" si="0"/>
        <v>760963273</v>
      </c>
      <c r="F9" s="5">
        <f t="shared" si="0"/>
        <v>795345579</v>
      </c>
      <c r="G9" s="99">
        <f t="shared" ref="G9" si="1">G7-G8</f>
        <v>934603431</v>
      </c>
      <c r="J9" s="375" t="s">
        <v>5</v>
      </c>
      <c r="K9" s="398">
        <v>957032725</v>
      </c>
      <c r="L9" s="10">
        <v>854452000</v>
      </c>
      <c r="M9" s="10">
        <v>3310049447</v>
      </c>
      <c r="N9" s="10">
        <v>3586955261</v>
      </c>
      <c r="O9" s="68">
        <v>3834035030</v>
      </c>
    </row>
    <row r="10" spans="2:15" x14ac:dyDescent="0.25">
      <c r="B10" s="243" t="s">
        <v>47</v>
      </c>
      <c r="C10" s="254">
        <v>132969651</v>
      </c>
      <c r="D10" s="36">
        <v>110721322</v>
      </c>
      <c r="E10" s="36">
        <v>152395578</v>
      </c>
      <c r="F10" s="36">
        <v>9845602</v>
      </c>
      <c r="G10" s="184">
        <v>11441092</v>
      </c>
      <c r="J10" s="247" t="s">
        <v>49</v>
      </c>
      <c r="K10" s="399">
        <v>0</v>
      </c>
      <c r="L10" s="18">
        <v>6439890</v>
      </c>
      <c r="M10" s="18">
        <v>4293260</v>
      </c>
      <c r="N10" s="18">
        <v>4241237</v>
      </c>
      <c r="O10" s="85">
        <v>0</v>
      </c>
    </row>
    <row r="11" spans="2:15" ht="16.5" thickBot="1" x14ac:dyDescent="0.3">
      <c r="B11" s="242" t="s">
        <v>39</v>
      </c>
      <c r="C11" s="251">
        <v>159789574</v>
      </c>
      <c r="D11" s="10">
        <v>221689702</v>
      </c>
      <c r="E11" s="10">
        <v>202081882</v>
      </c>
      <c r="F11" s="10">
        <v>160619032</v>
      </c>
      <c r="G11" s="183">
        <v>136649645</v>
      </c>
      <c r="J11" s="375" t="s">
        <v>50</v>
      </c>
      <c r="K11" s="398">
        <v>775539146</v>
      </c>
      <c r="L11" s="15">
        <v>3004879431</v>
      </c>
      <c r="M11" s="15">
        <v>1513096276</v>
      </c>
      <c r="N11" s="15">
        <v>4463787650</v>
      </c>
      <c r="O11" s="86">
        <v>4674475384</v>
      </c>
    </row>
    <row r="12" spans="2:15" ht="15.75" customHeight="1" x14ac:dyDescent="0.25">
      <c r="B12" s="243" t="s">
        <v>40</v>
      </c>
      <c r="C12" s="252">
        <v>190567152</v>
      </c>
      <c r="D12" s="27">
        <v>226371366</v>
      </c>
      <c r="E12" s="27">
        <v>197702068</v>
      </c>
      <c r="F12" s="27">
        <v>211141700</v>
      </c>
      <c r="G12" s="178">
        <v>219293009</v>
      </c>
      <c r="J12" s="247"/>
      <c r="K12" s="399">
        <f>K9+K10+K11</f>
        <v>1732571871</v>
      </c>
      <c r="L12" s="18">
        <f t="shared" ref="L12:O12" si="2">L9+L10+L11</f>
        <v>3865771321</v>
      </c>
      <c r="M12" s="18">
        <f t="shared" si="2"/>
        <v>4827438983</v>
      </c>
      <c r="N12" s="18">
        <f t="shared" si="2"/>
        <v>8054984148</v>
      </c>
      <c r="O12" s="85">
        <f t="shared" si="2"/>
        <v>8508510414</v>
      </c>
    </row>
    <row r="13" spans="2:15" ht="17.25" customHeight="1" x14ac:dyDescent="0.25">
      <c r="B13" s="244" t="s">
        <v>27</v>
      </c>
      <c r="C13" s="253">
        <v>351538336</v>
      </c>
      <c r="D13" s="5">
        <f>D9+D10-D11-D12</f>
        <v>445160002</v>
      </c>
      <c r="E13" s="5">
        <f>E9+E10-E11-E12</f>
        <v>513574901</v>
      </c>
      <c r="F13" s="5">
        <f>F9+F10-F11-F12</f>
        <v>433430449</v>
      </c>
      <c r="G13" s="99">
        <f>G9+G10-G11-G12</f>
        <v>590101869</v>
      </c>
      <c r="J13" s="375"/>
      <c r="K13" s="398"/>
      <c r="L13" s="10"/>
      <c r="M13" s="10"/>
      <c r="N13" s="10"/>
      <c r="O13" s="68"/>
    </row>
    <row r="14" spans="2:15" x14ac:dyDescent="0.25">
      <c r="B14" s="245" t="s">
        <v>41</v>
      </c>
      <c r="C14" s="255">
        <v>237504762</v>
      </c>
      <c r="D14" s="27">
        <v>318967554</v>
      </c>
      <c r="E14" s="27">
        <v>437857481</v>
      </c>
      <c r="F14" s="27">
        <v>326801355</v>
      </c>
      <c r="G14" s="178">
        <v>344410005</v>
      </c>
      <c r="J14" s="392" t="s">
        <v>6</v>
      </c>
      <c r="K14" s="397"/>
      <c r="L14" s="1"/>
      <c r="M14" s="1"/>
      <c r="N14" s="1"/>
      <c r="O14" s="82"/>
    </row>
    <row r="15" spans="2:15" x14ac:dyDescent="0.25">
      <c r="B15" s="246" t="s">
        <v>42</v>
      </c>
      <c r="C15" s="256">
        <v>114033574</v>
      </c>
      <c r="D15" s="37">
        <f t="shared" ref="D15:F15" si="3">D13-D14</f>
        <v>126192448</v>
      </c>
      <c r="E15" s="37">
        <f>E13-E14</f>
        <v>75717420</v>
      </c>
      <c r="F15" s="37">
        <f t="shared" si="3"/>
        <v>106629094</v>
      </c>
      <c r="G15" s="185">
        <f t="shared" ref="G15" si="4">G13-G14</f>
        <v>245691864</v>
      </c>
      <c r="J15" s="375" t="s">
        <v>7</v>
      </c>
      <c r="K15" s="398">
        <v>741532520</v>
      </c>
      <c r="L15" s="10">
        <v>537762578</v>
      </c>
      <c r="M15" s="10">
        <v>899011423</v>
      </c>
      <c r="N15" s="10">
        <v>718095434</v>
      </c>
      <c r="O15" s="68">
        <v>523562528</v>
      </c>
    </row>
    <row r="16" spans="2:15" x14ac:dyDescent="0.25">
      <c r="B16" s="247" t="s">
        <v>46</v>
      </c>
      <c r="C16" s="255">
        <v>5430170</v>
      </c>
      <c r="D16" s="27">
        <v>6009164</v>
      </c>
      <c r="E16" s="27">
        <v>3605591</v>
      </c>
      <c r="F16" s="27">
        <v>5077576</v>
      </c>
      <c r="G16" s="178">
        <v>11699613</v>
      </c>
      <c r="J16" s="247" t="s">
        <v>8</v>
      </c>
      <c r="K16" s="399">
        <v>1377420333</v>
      </c>
      <c r="L16" s="18">
        <v>1136062449</v>
      </c>
      <c r="M16" s="18">
        <v>1672016145</v>
      </c>
      <c r="N16" s="18">
        <v>1874139902</v>
      </c>
      <c r="O16" s="85">
        <v>1691774765</v>
      </c>
    </row>
    <row r="17" spans="2:15" x14ac:dyDescent="0.25">
      <c r="B17" s="246" t="s">
        <v>43</v>
      </c>
      <c r="C17" s="256">
        <v>108603404</v>
      </c>
      <c r="D17" s="10">
        <f>D15-D16</f>
        <v>120183284</v>
      </c>
      <c r="E17" s="10">
        <f>E15-E16</f>
        <v>72111829</v>
      </c>
      <c r="F17" s="10">
        <f>F15-F16</f>
        <v>101551518</v>
      </c>
      <c r="G17" s="183">
        <f>G15-G16</f>
        <v>233992251</v>
      </c>
      <c r="J17" s="375" t="s">
        <v>9</v>
      </c>
      <c r="K17" s="398">
        <v>1252890642</v>
      </c>
      <c r="L17" s="10">
        <v>1333509244</v>
      </c>
      <c r="M17" s="10">
        <v>2065891382</v>
      </c>
      <c r="N17" s="10">
        <v>1551469087</v>
      </c>
      <c r="O17" s="68">
        <v>1979564181</v>
      </c>
    </row>
    <row r="18" spans="2:15" x14ac:dyDescent="0.25">
      <c r="B18" s="247" t="s">
        <v>48</v>
      </c>
      <c r="C18" s="255">
        <v>27150851</v>
      </c>
      <c r="D18" s="27">
        <v>47979331</v>
      </c>
      <c r="E18" s="27">
        <v>18027958</v>
      </c>
      <c r="F18" s="27">
        <v>27174610</v>
      </c>
      <c r="G18" s="178">
        <v>178174848</v>
      </c>
      <c r="J18" s="247" t="s">
        <v>51</v>
      </c>
      <c r="K18" s="399">
        <v>895793743</v>
      </c>
      <c r="L18" s="18">
        <v>795695487</v>
      </c>
      <c r="M18" s="18">
        <v>487063726</v>
      </c>
      <c r="N18" s="18">
        <v>634831399</v>
      </c>
      <c r="O18" s="85">
        <v>582400179</v>
      </c>
    </row>
    <row r="19" spans="2:15" ht="16.5" thickBot="1" x14ac:dyDescent="0.3">
      <c r="B19" s="246" t="s">
        <v>44</v>
      </c>
      <c r="C19" s="257">
        <v>81452553</v>
      </c>
      <c r="D19" s="5">
        <f>D17-D18</f>
        <v>72203953</v>
      </c>
      <c r="E19" s="5">
        <f>E17-E18</f>
        <v>54083871</v>
      </c>
      <c r="F19" s="5">
        <f>F17-F18</f>
        <v>74376908</v>
      </c>
      <c r="G19" s="99">
        <f>G17-G18</f>
        <v>55817403</v>
      </c>
      <c r="J19" s="375" t="s">
        <v>10</v>
      </c>
      <c r="K19" s="400">
        <v>881210972</v>
      </c>
      <c r="L19" s="15">
        <v>447185833</v>
      </c>
      <c r="M19" s="15">
        <v>414003253</v>
      </c>
      <c r="N19" s="15">
        <v>145715609</v>
      </c>
      <c r="O19" s="86">
        <v>178529254</v>
      </c>
    </row>
    <row r="20" spans="2:15" x14ac:dyDescent="0.25">
      <c r="B20" s="248" t="s">
        <v>199</v>
      </c>
      <c r="C20" s="264">
        <v>20589917</v>
      </c>
      <c r="D20" s="233">
        <v>5530030</v>
      </c>
      <c r="E20" s="233">
        <v>10349993</v>
      </c>
      <c r="F20" s="233">
        <v>12507152</v>
      </c>
      <c r="G20" s="249">
        <v>205315011</v>
      </c>
      <c r="J20" s="247"/>
      <c r="K20" s="399">
        <f>K15+K16+K17+K18+K19</f>
        <v>5148848210</v>
      </c>
      <c r="L20" s="18">
        <f t="shared" ref="L20:O20" si="5">(L15+L16+L17+L18+L19)</f>
        <v>4250215591</v>
      </c>
      <c r="M20" s="18">
        <f t="shared" si="5"/>
        <v>5537985929</v>
      </c>
      <c r="N20" s="18">
        <f t="shared" si="5"/>
        <v>4924251431</v>
      </c>
      <c r="O20" s="85">
        <f t="shared" si="5"/>
        <v>4955830907</v>
      </c>
    </row>
    <row r="21" spans="2:15" ht="15.75" customHeight="1" thickBot="1" x14ac:dyDescent="0.3">
      <c r="B21" s="250" t="s">
        <v>137</v>
      </c>
      <c r="C21" s="258">
        <f>C19-C20</f>
        <v>60862636</v>
      </c>
      <c r="D21" s="147">
        <f t="shared" ref="D21:G21" si="6">D19-D20</f>
        <v>66673923</v>
      </c>
      <c r="E21" s="147">
        <f t="shared" si="6"/>
        <v>43733878</v>
      </c>
      <c r="F21" s="147">
        <f t="shared" si="6"/>
        <v>61869756</v>
      </c>
      <c r="G21" s="209">
        <f t="shared" si="6"/>
        <v>-149497608</v>
      </c>
      <c r="J21" s="246" t="s">
        <v>11</v>
      </c>
      <c r="K21" s="401">
        <f>K12+K20</f>
        <v>6881420081</v>
      </c>
      <c r="L21" s="17">
        <f>L12+L20</f>
        <v>8115986912</v>
      </c>
      <c r="M21" s="17">
        <f>M12+M20</f>
        <v>10365424912</v>
      </c>
      <c r="N21" s="17">
        <f>N12+N20</f>
        <v>12979235579</v>
      </c>
      <c r="O21" s="87">
        <f>O12+O20</f>
        <v>13464341321</v>
      </c>
    </row>
    <row r="22" spans="2:15" x14ac:dyDescent="0.25">
      <c r="B22" s="8"/>
      <c r="C22" s="8"/>
      <c r="D22" s="9"/>
      <c r="E22" s="9"/>
      <c r="F22" s="9"/>
      <c r="G22" s="9"/>
      <c r="J22" s="247"/>
      <c r="K22" s="399"/>
      <c r="L22" s="1"/>
      <c r="M22" s="1"/>
      <c r="N22" s="1"/>
      <c r="O22" s="82"/>
    </row>
    <row r="23" spans="2:15" ht="15.75" customHeight="1" x14ac:dyDescent="0.25">
      <c r="B23" s="8"/>
      <c r="C23" s="8"/>
      <c r="D23" s="9"/>
      <c r="E23" s="9"/>
      <c r="F23" s="9"/>
      <c r="G23" s="9"/>
      <c r="J23" s="246" t="s">
        <v>12</v>
      </c>
      <c r="K23" s="402"/>
      <c r="L23" s="2"/>
      <c r="M23" s="2"/>
      <c r="N23" s="2"/>
      <c r="O23" s="88"/>
    </row>
    <row r="24" spans="2:15" ht="15.75" customHeight="1" x14ac:dyDescent="0.25">
      <c r="B24" s="8"/>
      <c r="C24" s="8"/>
      <c r="D24" s="9"/>
      <c r="E24" s="9"/>
      <c r="F24" s="9"/>
      <c r="G24" s="9"/>
      <c r="J24" s="392" t="s">
        <v>13</v>
      </c>
      <c r="K24" s="397"/>
      <c r="L24" s="1"/>
      <c r="M24" s="1"/>
      <c r="N24" s="1"/>
      <c r="O24" s="82"/>
    </row>
    <row r="25" spans="2:15" ht="15.75" customHeight="1" thickBot="1" x14ac:dyDescent="0.3">
      <c r="B25" s="8"/>
      <c r="C25" s="8"/>
      <c r="D25" s="9"/>
      <c r="E25" s="9"/>
      <c r="F25" s="9"/>
      <c r="J25" s="375" t="s">
        <v>14</v>
      </c>
      <c r="K25" s="398">
        <v>225004000</v>
      </c>
      <c r="L25" s="10">
        <v>247504400</v>
      </c>
      <c r="M25" s="10">
        <v>259879620</v>
      </c>
      <c r="N25" s="10">
        <v>272873600</v>
      </c>
      <c r="O25" s="68">
        <v>286517280</v>
      </c>
    </row>
    <row r="26" spans="2:15" ht="15.75" customHeight="1" x14ac:dyDescent="0.25">
      <c r="B26" s="466" t="s">
        <v>131</v>
      </c>
      <c r="C26" s="350">
        <v>2019</v>
      </c>
      <c r="D26" s="350">
        <v>2020</v>
      </c>
      <c r="E26" s="350">
        <v>2021</v>
      </c>
      <c r="F26" s="361">
        <v>2022</v>
      </c>
      <c r="J26" s="247" t="s">
        <v>63</v>
      </c>
      <c r="K26" s="399">
        <v>0</v>
      </c>
      <c r="L26" s="18">
        <v>0</v>
      </c>
      <c r="M26" s="18">
        <v>0</v>
      </c>
      <c r="N26" s="18">
        <v>1000000000</v>
      </c>
      <c r="O26" s="85">
        <v>1000000000</v>
      </c>
    </row>
    <row r="27" spans="2:15" ht="15.75" customHeight="1" x14ac:dyDescent="0.25">
      <c r="B27" s="93" t="s">
        <v>104</v>
      </c>
      <c r="C27" s="151">
        <f>(D11+D12-C37)/365</f>
        <v>873774.65753424657</v>
      </c>
      <c r="D27" s="151">
        <f>(E11+E12-D37)/365</f>
        <v>840893.89863013697</v>
      </c>
      <c r="E27" s="151">
        <f>(F11+F12-E37)/365</f>
        <v>491383.92328767123</v>
      </c>
      <c r="F27" s="71">
        <f>(G11+G12-F37)/365</f>
        <v>414828.79999999999</v>
      </c>
      <c r="J27" s="375" t="s">
        <v>52</v>
      </c>
      <c r="K27" s="398">
        <v>166000000</v>
      </c>
      <c r="L27" s="10">
        <v>166000000</v>
      </c>
      <c r="M27" s="10">
        <v>166000000</v>
      </c>
      <c r="N27" s="10">
        <v>166000000</v>
      </c>
      <c r="O27" s="68">
        <v>166000000</v>
      </c>
    </row>
    <row r="28" spans="2:15" ht="16.5" customHeight="1" x14ac:dyDescent="0.25">
      <c r="B28" s="352" t="s">
        <v>105</v>
      </c>
      <c r="C28" s="152">
        <v>7709220427</v>
      </c>
      <c r="D28" s="10">
        <v>7735543690</v>
      </c>
      <c r="E28" s="10">
        <v>9646847877</v>
      </c>
      <c r="F28" s="183">
        <v>8295406783</v>
      </c>
      <c r="J28" s="247" t="s">
        <v>53</v>
      </c>
      <c r="K28" s="399">
        <v>31602353</v>
      </c>
      <c r="L28" s="18">
        <v>39488741</v>
      </c>
      <c r="M28" s="18">
        <v>33999277</v>
      </c>
      <c r="N28" s="18">
        <v>28639088</v>
      </c>
      <c r="O28" s="85">
        <v>23210490</v>
      </c>
    </row>
    <row r="29" spans="2:15" ht="15.75" customHeight="1" thickBot="1" x14ac:dyDescent="0.3">
      <c r="B29" s="78" t="s">
        <v>103</v>
      </c>
      <c r="C29" s="351">
        <v>89.6</v>
      </c>
      <c r="D29" s="153">
        <v>72.599999999999994</v>
      </c>
      <c r="E29" s="153">
        <v>73.2</v>
      </c>
      <c r="F29" s="74">
        <v>69.7</v>
      </c>
      <c r="J29" s="375" t="s">
        <v>15</v>
      </c>
      <c r="K29" s="400">
        <v>439827014</v>
      </c>
      <c r="L29" s="15">
        <v>368366308</v>
      </c>
      <c r="M29" s="15">
        <v>390813983</v>
      </c>
      <c r="N29" s="15">
        <v>446349848</v>
      </c>
      <c r="O29" s="86">
        <v>183116956</v>
      </c>
    </row>
    <row r="30" spans="2:15" ht="15.75" customHeight="1" x14ac:dyDescent="0.25">
      <c r="B30" s="352" t="s">
        <v>111</v>
      </c>
      <c r="C30" s="152">
        <v>22500400</v>
      </c>
      <c r="D30" s="152">
        <v>22500400</v>
      </c>
      <c r="E30" s="152">
        <v>22500400</v>
      </c>
      <c r="F30" s="72">
        <v>22500400</v>
      </c>
      <c r="J30" s="247"/>
      <c r="K30" s="399">
        <f>K25+K26+K27+K28+K29</f>
        <v>862433367</v>
      </c>
      <c r="L30" s="18">
        <f t="shared" ref="L30:O30" si="7">L25+L26+L27+L28+L29</f>
        <v>821359449</v>
      </c>
      <c r="M30" s="18">
        <f t="shared" si="7"/>
        <v>850692880</v>
      </c>
      <c r="N30" s="18">
        <f t="shared" si="7"/>
        <v>1913862536</v>
      </c>
      <c r="O30" s="85">
        <f t="shared" si="7"/>
        <v>1658844726</v>
      </c>
    </row>
    <row r="31" spans="2:15" ht="15.75" customHeight="1" x14ac:dyDescent="0.25">
      <c r="B31" s="78" t="s">
        <v>45</v>
      </c>
      <c r="C31" s="154">
        <f>D19/C30</f>
        <v>3.2090075287550444</v>
      </c>
      <c r="D31" s="154">
        <f>E19/D30</f>
        <v>2.4036848678245719</v>
      </c>
      <c r="E31" s="154">
        <f>F19/E30</f>
        <v>3.3055815896606284</v>
      </c>
      <c r="F31" s="75">
        <f>G19/F30</f>
        <v>2.480729364811292</v>
      </c>
      <c r="J31" s="393" t="s">
        <v>16</v>
      </c>
      <c r="K31" s="402"/>
      <c r="L31" s="2"/>
      <c r="M31" s="2"/>
      <c r="N31" s="2"/>
      <c r="O31" s="88"/>
    </row>
    <row r="32" spans="2:15" ht="15.75" customHeight="1" x14ac:dyDescent="0.25">
      <c r="B32" s="353" t="s">
        <v>112</v>
      </c>
      <c r="C32" s="155">
        <f>L30/C30</f>
        <v>36.504215436170021</v>
      </c>
      <c r="D32" s="155">
        <f>M30/D30</f>
        <v>37.807900303994593</v>
      </c>
      <c r="E32" s="155">
        <f>N30/E30</f>
        <v>85.059044994755652</v>
      </c>
      <c r="F32" s="77">
        <f>O30/F30</f>
        <v>73.725121597838267</v>
      </c>
      <c r="J32" s="247" t="s">
        <v>54</v>
      </c>
      <c r="K32" s="399">
        <v>1245817868</v>
      </c>
      <c r="L32" s="18">
        <v>1781502433</v>
      </c>
      <c r="M32" s="18">
        <v>2995934959</v>
      </c>
      <c r="N32" s="18">
        <v>4721480969</v>
      </c>
      <c r="O32" s="85">
        <v>4753940677</v>
      </c>
    </row>
    <row r="33" spans="2:15" ht="15.75" customHeight="1" x14ac:dyDescent="0.25">
      <c r="B33" s="354" t="s">
        <v>106</v>
      </c>
      <c r="C33" s="349"/>
      <c r="D33" s="156"/>
      <c r="E33" s="156"/>
      <c r="F33" s="125"/>
      <c r="J33" s="375" t="s">
        <v>55</v>
      </c>
      <c r="K33" s="398">
        <v>106495860</v>
      </c>
      <c r="L33" s="10">
        <v>136317660</v>
      </c>
      <c r="M33" s="10">
        <v>156599250</v>
      </c>
      <c r="N33" s="10">
        <v>179184380</v>
      </c>
      <c r="O33" s="68">
        <v>194838700</v>
      </c>
    </row>
    <row r="34" spans="2:15" ht="15.75" customHeight="1" thickBot="1" x14ac:dyDescent="0.3">
      <c r="B34" s="352" t="s">
        <v>107</v>
      </c>
      <c r="C34" s="159">
        <v>118027853</v>
      </c>
      <c r="D34" s="157">
        <v>84871917</v>
      </c>
      <c r="E34" s="159">
        <v>175858719</v>
      </c>
      <c r="F34" s="126">
        <v>186940550</v>
      </c>
      <c r="J34" s="247" t="s">
        <v>17</v>
      </c>
      <c r="K34" s="403">
        <v>100182507</v>
      </c>
      <c r="L34" s="24">
        <v>88314531</v>
      </c>
      <c r="M34" s="24">
        <v>76304290</v>
      </c>
      <c r="N34" s="24">
        <v>157156562</v>
      </c>
      <c r="O34" s="90">
        <v>229673348</v>
      </c>
    </row>
    <row r="35" spans="2:15" ht="15.75" customHeight="1" x14ac:dyDescent="0.25">
      <c r="B35" s="78" t="s">
        <v>108</v>
      </c>
      <c r="C35" s="158">
        <v>8264532</v>
      </c>
      <c r="D35" s="158">
        <v>5942891</v>
      </c>
      <c r="E35" s="158">
        <v>12313958</v>
      </c>
      <c r="F35" s="127">
        <v>13089929</v>
      </c>
      <c r="J35" s="375"/>
      <c r="K35" s="398">
        <f>K32+K33+K34</f>
        <v>1452496235</v>
      </c>
      <c r="L35" s="10">
        <f>L32+L33+L34</f>
        <v>2006134624</v>
      </c>
      <c r="M35" s="10">
        <f>M32+M33+M34</f>
        <v>3228838499</v>
      </c>
      <c r="N35" s="10">
        <f>N32+N33+N34</f>
        <v>5057821911</v>
      </c>
      <c r="O35" s="68">
        <f>O32+O33+O34</f>
        <v>5178452725</v>
      </c>
    </row>
    <row r="36" spans="2:15" ht="15.75" customHeight="1" x14ac:dyDescent="0.25">
      <c r="B36" s="352" t="s">
        <v>109</v>
      </c>
      <c r="C36" s="159">
        <v>2840933</v>
      </c>
      <c r="D36" s="159">
        <v>2042869</v>
      </c>
      <c r="E36" s="159">
        <v>4232923</v>
      </c>
      <c r="F36" s="126">
        <v>4499663</v>
      </c>
      <c r="J36" s="392" t="s">
        <v>18</v>
      </c>
      <c r="K36" s="397"/>
      <c r="L36" s="1"/>
      <c r="M36" s="1"/>
      <c r="N36" s="1"/>
      <c r="O36" s="82"/>
    </row>
    <row r="37" spans="2:15" ht="15.75" customHeight="1" thickBot="1" x14ac:dyDescent="0.3">
      <c r="B37" s="355" t="s">
        <v>110</v>
      </c>
      <c r="C37" s="160">
        <f>C34+C35+C36</f>
        <v>129133318</v>
      </c>
      <c r="D37" s="160">
        <f>D34+D35+D36</f>
        <v>92857677</v>
      </c>
      <c r="E37" s="160">
        <f>E34+E35+E36</f>
        <v>192405600</v>
      </c>
      <c r="F37" s="128">
        <f>F34+F35+F36</f>
        <v>204530142</v>
      </c>
      <c r="J37" s="375" t="s">
        <v>19</v>
      </c>
      <c r="K37" s="398">
        <v>3116918132</v>
      </c>
      <c r="L37" s="10">
        <v>3594858182</v>
      </c>
      <c r="M37" s="10">
        <v>3780005597</v>
      </c>
      <c r="N37" s="10">
        <v>3288068194</v>
      </c>
      <c r="O37" s="68">
        <v>3799395456</v>
      </c>
    </row>
    <row r="38" spans="2:15" ht="15.75" customHeight="1" x14ac:dyDescent="0.25">
      <c r="B38" s="3"/>
      <c r="C38" s="3"/>
      <c r="D38" s="4"/>
      <c r="E38" s="4"/>
      <c r="F38" s="4"/>
      <c r="J38" s="247" t="s">
        <v>56</v>
      </c>
      <c r="K38" s="399">
        <v>25156964</v>
      </c>
      <c r="L38" s="18">
        <v>187951059</v>
      </c>
      <c r="M38" s="18">
        <v>374446068</v>
      </c>
      <c r="N38" s="18">
        <v>490683155</v>
      </c>
      <c r="O38" s="85">
        <v>534504911</v>
      </c>
    </row>
    <row r="39" spans="2:15" ht="15.75" customHeight="1" x14ac:dyDescent="0.25">
      <c r="B39" s="3"/>
      <c r="C39" s="3"/>
      <c r="D39" s="4"/>
      <c r="E39" s="4"/>
      <c r="F39" s="4"/>
      <c r="J39" s="375" t="s">
        <v>57</v>
      </c>
      <c r="K39" s="398">
        <v>214270225</v>
      </c>
      <c r="L39" s="10">
        <v>322891482</v>
      </c>
      <c r="M39" s="10">
        <v>506935374</v>
      </c>
      <c r="N39" s="10">
        <v>410727278</v>
      </c>
      <c r="O39" s="68">
        <v>436904007</v>
      </c>
    </row>
    <row r="40" spans="2:15" ht="15.75" customHeight="1" x14ac:dyDescent="0.25">
      <c r="B40" s="3"/>
      <c r="C40" s="3"/>
      <c r="D40" s="3"/>
      <c r="E40" s="3"/>
      <c r="F40" s="3"/>
      <c r="J40" s="247" t="s">
        <v>58</v>
      </c>
      <c r="K40" s="399">
        <v>191770250</v>
      </c>
      <c r="L40" s="18">
        <v>110456494</v>
      </c>
      <c r="M40" s="18">
        <v>140494692</v>
      </c>
      <c r="N40" s="18">
        <v>85030302</v>
      </c>
      <c r="O40" s="85">
        <v>256893127</v>
      </c>
    </row>
    <row r="41" spans="2:15" ht="15.75" customHeight="1" x14ac:dyDescent="0.25">
      <c r="B41" s="3"/>
      <c r="C41" s="3"/>
      <c r="D41" s="3"/>
      <c r="E41" s="3"/>
      <c r="F41" s="3"/>
      <c r="J41" s="375" t="s">
        <v>59</v>
      </c>
      <c r="K41" s="398">
        <v>742096124</v>
      </c>
      <c r="L41" s="10">
        <v>847046178</v>
      </c>
      <c r="M41" s="10">
        <v>1193990918</v>
      </c>
      <c r="N41" s="10">
        <v>1334279209</v>
      </c>
      <c r="O41" s="68">
        <v>1372042950</v>
      </c>
    </row>
    <row r="42" spans="2:15" ht="15.75" customHeight="1" x14ac:dyDescent="0.25">
      <c r="B42" s="3"/>
      <c r="C42" s="3"/>
      <c r="D42" s="3"/>
      <c r="E42" s="3"/>
      <c r="F42" s="3"/>
      <c r="J42" s="247" t="s">
        <v>60</v>
      </c>
      <c r="K42" s="399">
        <v>123091026</v>
      </c>
      <c r="L42" s="18">
        <v>117560996</v>
      </c>
      <c r="M42" s="18">
        <v>131961443</v>
      </c>
      <c r="N42" s="18">
        <v>636700</v>
      </c>
      <c r="O42" s="85">
        <v>636700</v>
      </c>
    </row>
    <row r="43" spans="2:15" ht="15.75" customHeight="1" x14ac:dyDescent="0.25">
      <c r="B43" s="3"/>
      <c r="C43" s="3"/>
      <c r="D43" s="3"/>
      <c r="E43" s="3"/>
      <c r="F43" s="3"/>
      <c r="J43" s="375" t="s">
        <v>21</v>
      </c>
      <c r="K43" s="398">
        <v>0</v>
      </c>
      <c r="L43" s="10">
        <v>0</v>
      </c>
      <c r="M43" s="10">
        <v>0</v>
      </c>
      <c r="N43" s="10">
        <v>131704972</v>
      </c>
      <c r="O43" s="68">
        <v>30033641</v>
      </c>
    </row>
    <row r="44" spans="2:15" ht="15.75" customHeight="1" x14ac:dyDescent="0.25">
      <c r="B44" s="3"/>
      <c r="C44" s="3"/>
      <c r="D44" s="3"/>
      <c r="E44" s="3"/>
      <c r="F44" s="3"/>
      <c r="J44" s="247" t="s">
        <v>61</v>
      </c>
      <c r="K44" s="398">
        <v>5430171</v>
      </c>
      <c r="L44" s="18">
        <v>6009164</v>
      </c>
      <c r="M44" s="18">
        <v>13353837</v>
      </c>
      <c r="N44" s="18">
        <v>13624081</v>
      </c>
      <c r="O44" s="85">
        <v>22439221</v>
      </c>
    </row>
    <row r="45" spans="2:15" ht="17.25" customHeight="1" thickBot="1" x14ac:dyDescent="0.3">
      <c r="B45" s="3"/>
      <c r="C45" s="3"/>
      <c r="D45" s="3"/>
      <c r="E45" s="3"/>
      <c r="F45" s="3"/>
      <c r="J45" s="375" t="s">
        <v>62</v>
      </c>
      <c r="K45" s="403">
        <v>147757587</v>
      </c>
      <c r="L45" s="15">
        <v>101719284</v>
      </c>
      <c r="M45" s="15">
        <v>144705604</v>
      </c>
      <c r="N45" s="15">
        <v>252797241</v>
      </c>
      <c r="O45" s="86">
        <v>174193857</v>
      </c>
    </row>
    <row r="46" spans="2:15" ht="15.75" customHeight="1" x14ac:dyDescent="0.25">
      <c r="B46" s="3"/>
      <c r="C46" s="3"/>
      <c r="D46" s="3"/>
      <c r="E46" s="3"/>
      <c r="F46" s="3"/>
      <c r="J46" s="247"/>
      <c r="K46" s="399">
        <f>K37+K38+K39+K40+K41+K42+K43+K44+K45</f>
        <v>4566490479</v>
      </c>
      <c r="L46" s="18">
        <f t="shared" ref="L46:O46" si="8">L37+L38+L39+L40+L41+L44+L42+L45+L43</f>
        <v>5288492839</v>
      </c>
      <c r="M46" s="18">
        <f t="shared" si="8"/>
        <v>6285893533</v>
      </c>
      <c r="N46" s="18">
        <f t="shared" si="8"/>
        <v>6007551132</v>
      </c>
      <c r="O46" s="85">
        <f t="shared" si="8"/>
        <v>6627043870</v>
      </c>
    </row>
    <row r="47" spans="2:15" ht="15.75" customHeight="1" thickBot="1" x14ac:dyDescent="0.3">
      <c r="B47" s="3"/>
      <c r="C47" s="3"/>
      <c r="D47" s="3"/>
      <c r="E47" s="3"/>
      <c r="F47" s="3"/>
      <c r="J47" s="246" t="s">
        <v>20</v>
      </c>
      <c r="K47" s="401">
        <f>K46+K35+K30</f>
        <v>6881420081</v>
      </c>
      <c r="L47" s="17">
        <f>L30+L35+L46</f>
        <v>8115986912</v>
      </c>
      <c r="M47" s="17">
        <f>M30+M35+M46</f>
        <v>10365424912</v>
      </c>
      <c r="N47" s="17">
        <f>N30+N35+N46</f>
        <v>12979235579</v>
      </c>
      <c r="O47" s="87">
        <f>O30+O35+O46</f>
        <v>13464341321</v>
      </c>
    </row>
    <row r="48" spans="2:15" ht="15.75" customHeight="1" thickTop="1" thickBot="1" x14ac:dyDescent="0.3">
      <c r="B48" s="3"/>
      <c r="C48" s="3"/>
      <c r="D48" s="3"/>
      <c r="E48" s="3"/>
      <c r="F48" s="3"/>
      <c r="J48" s="394"/>
      <c r="K48" s="404"/>
      <c r="L48" s="19"/>
      <c r="M48" s="19"/>
      <c r="N48" s="19"/>
      <c r="O48" s="92"/>
    </row>
    <row r="49" spans="2:15" ht="15.75" customHeight="1" x14ac:dyDescent="0.25">
      <c r="B49" s="3"/>
      <c r="C49" s="3"/>
      <c r="D49" s="3"/>
      <c r="E49" s="3"/>
      <c r="F49" s="3"/>
      <c r="J49" s="3"/>
      <c r="K49" s="3"/>
      <c r="L49" s="3"/>
      <c r="M49" s="3"/>
      <c r="N49" s="3"/>
    </row>
    <row r="50" spans="2:15" ht="15.75" customHeight="1" x14ac:dyDescent="0.25">
      <c r="J50" s="3"/>
      <c r="K50" s="3"/>
      <c r="L50" s="3"/>
      <c r="M50" s="3"/>
      <c r="N50" s="3"/>
    </row>
    <row r="51" spans="2:15" ht="15.75" customHeight="1" x14ac:dyDescent="0.25">
      <c r="I51" s="3"/>
      <c r="J51" s="3"/>
      <c r="K51" s="3"/>
      <c r="L51" s="3"/>
      <c r="M51" s="3"/>
      <c r="N51" s="3"/>
    </row>
    <row r="52" spans="2:15" ht="15.75" customHeight="1" x14ac:dyDescent="0.25">
      <c r="I52" s="3"/>
      <c r="J52" s="3"/>
      <c r="K52" s="3"/>
      <c r="L52" s="3"/>
      <c r="M52" s="3"/>
      <c r="N52" s="3"/>
    </row>
    <row r="53" spans="2:15" ht="15.75" customHeight="1" x14ac:dyDescent="0.25">
      <c r="I53" s="3"/>
      <c r="J53" s="3"/>
      <c r="K53" s="3"/>
      <c r="L53" s="3"/>
      <c r="M53" s="3"/>
      <c r="N53" s="3"/>
    </row>
    <row r="54" spans="2:15" ht="15.75" customHeight="1" x14ac:dyDescent="0.25">
      <c r="I54" s="3"/>
      <c r="J54" s="3"/>
      <c r="K54" s="3"/>
      <c r="L54" s="3"/>
      <c r="M54" s="3"/>
      <c r="N54" s="3"/>
    </row>
    <row r="55" spans="2:15" ht="15.75" customHeight="1" x14ac:dyDescent="0.25">
      <c r="I55" s="3"/>
      <c r="J55" s="3"/>
      <c r="K55" s="3"/>
      <c r="L55" s="3"/>
      <c r="M55" s="3"/>
      <c r="N55" s="3"/>
    </row>
    <row r="56" spans="2:15" ht="15.75" customHeight="1" x14ac:dyDescent="0.25">
      <c r="J56" s="3"/>
      <c r="K56" s="3"/>
      <c r="L56" s="3"/>
      <c r="M56" s="3"/>
      <c r="N56" s="3"/>
    </row>
    <row r="57" spans="2:15" ht="15.75" customHeight="1" thickBot="1" x14ac:dyDescent="0.3">
      <c r="J57" s="3"/>
      <c r="K57" s="3"/>
      <c r="L57" s="3"/>
      <c r="M57" s="3"/>
      <c r="N57" s="3"/>
    </row>
    <row r="58" spans="2:15" ht="15.75" customHeight="1" x14ac:dyDescent="0.25">
      <c r="B58" s="598" t="s">
        <v>64</v>
      </c>
      <c r="C58" s="599"/>
      <c r="D58" s="599"/>
      <c r="E58" s="599"/>
      <c r="F58" s="599"/>
      <c r="G58" s="600"/>
      <c r="J58" s="598" t="s">
        <v>64</v>
      </c>
      <c r="K58" s="599"/>
      <c r="L58" s="599"/>
      <c r="M58" s="599"/>
      <c r="N58" s="599"/>
      <c r="O58" s="600"/>
    </row>
    <row r="59" spans="2:15" ht="15.75" customHeight="1" thickBot="1" x14ac:dyDescent="0.3">
      <c r="B59" s="601" t="s">
        <v>22</v>
      </c>
      <c r="C59" s="602"/>
      <c r="D59" s="602"/>
      <c r="E59" s="602"/>
      <c r="F59" s="602"/>
      <c r="G59" s="603"/>
      <c r="J59" s="601" t="s">
        <v>2</v>
      </c>
      <c r="K59" s="602"/>
      <c r="L59" s="602"/>
      <c r="M59" s="602"/>
      <c r="N59" s="602"/>
      <c r="O59" s="603"/>
    </row>
    <row r="60" spans="2:15" ht="15.75" customHeight="1" x14ac:dyDescent="0.25">
      <c r="B60" s="241"/>
      <c r="C60" s="260">
        <v>43281</v>
      </c>
      <c r="D60" s="395" t="s">
        <v>132</v>
      </c>
      <c r="E60" s="395" t="s">
        <v>133</v>
      </c>
      <c r="F60" s="395" t="s">
        <v>134</v>
      </c>
      <c r="G60" s="408">
        <v>44742</v>
      </c>
      <c r="J60" s="391"/>
      <c r="K60" s="260">
        <v>43281</v>
      </c>
      <c r="L60" s="395">
        <v>43646</v>
      </c>
      <c r="M60" s="395">
        <v>44012</v>
      </c>
      <c r="N60" s="395">
        <v>44377</v>
      </c>
      <c r="O60" s="396">
        <v>44742</v>
      </c>
    </row>
    <row r="61" spans="2:15" ht="15.75" customHeight="1" x14ac:dyDescent="0.25">
      <c r="B61" s="242" t="s">
        <v>69</v>
      </c>
      <c r="C61" s="251">
        <v>1723283629</v>
      </c>
      <c r="D61" s="134">
        <v>1862346781</v>
      </c>
      <c r="E61" s="26">
        <v>1932088686</v>
      </c>
      <c r="F61" s="28">
        <v>2017083183</v>
      </c>
      <c r="G61" s="95">
        <v>728268185</v>
      </c>
      <c r="J61" s="246" t="s">
        <v>3</v>
      </c>
      <c r="K61" s="70"/>
      <c r="L61" s="2"/>
      <c r="M61" s="2"/>
      <c r="N61" s="2"/>
      <c r="O61" s="88"/>
    </row>
    <row r="62" spans="2:15" ht="15.75" customHeight="1" thickBot="1" x14ac:dyDescent="0.3">
      <c r="B62" s="243" t="s">
        <v>24</v>
      </c>
      <c r="C62" s="409">
        <v>1450679745</v>
      </c>
      <c r="D62" s="135">
        <v>1520997183</v>
      </c>
      <c r="E62" s="24">
        <v>1530764459</v>
      </c>
      <c r="F62" s="29">
        <v>1493681203</v>
      </c>
      <c r="G62" s="97">
        <v>785199999</v>
      </c>
      <c r="J62" s="392" t="s">
        <v>4</v>
      </c>
      <c r="K62" s="114"/>
      <c r="L62" s="1"/>
      <c r="M62" s="1"/>
      <c r="N62" s="1"/>
      <c r="O62" s="82"/>
    </row>
    <row r="63" spans="2:15" ht="15.75" customHeight="1" x14ac:dyDescent="0.25">
      <c r="B63" s="244" t="s">
        <v>0</v>
      </c>
      <c r="C63" s="410">
        <v>272603884</v>
      </c>
      <c r="D63" s="136">
        <f t="shared" ref="D63:E63" si="9">D61-D62</f>
        <v>341349598</v>
      </c>
      <c r="E63" s="5">
        <f t="shared" si="9"/>
        <v>401324227</v>
      </c>
      <c r="F63" s="5">
        <f>F61-F62</f>
        <v>523401980</v>
      </c>
      <c r="G63" s="99">
        <f>G61-G62</f>
        <v>-56931814</v>
      </c>
      <c r="J63" s="375" t="s">
        <v>5</v>
      </c>
      <c r="K63" s="419">
        <v>891778059</v>
      </c>
      <c r="L63" s="10">
        <v>891048709</v>
      </c>
      <c r="M63" s="10">
        <v>2182120953</v>
      </c>
      <c r="N63" s="10">
        <v>2117333867</v>
      </c>
      <c r="O63" s="68">
        <v>2040508376</v>
      </c>
    </row>
    <row r="64" spans="2:15" ht="15.75" customHeight="1" thickBot="1" x14ac:dyDescent="0.3">
      <c r="B64" s="407" t="s">
        <v>1</v>
      </c>
      <c r="C64" s="409">
        <v>121597474</v>
      </c>
      <c r="D64" s="137">
        <v>141392564</v>
      </c>
      <c r="E64" s="14">
        <v>169810064</v>
      </c>
      <c r="F64" s="14">
        <v>172594180</v>
      </c>
      <c r="G64" s="101">
        <v>158928835</v>
      </c>
      <c r="J64" s="247" t="s">
        <v>71</v>
      </c>
      <c r="K64" s="420">
        <v>144404773</v>
      </c>
      <c r="L64" s="18">
        <v>237848130</v>
      </c>
      <c r="M64" s="18">
        <v>177519105</v>
      </c>
      <c r="N64" s="18">
        <v>289068263</v>
      </c>
      <c r="O64" s="85">
        <v>318484598</v>
      </c>
    </row>
    <row r="65" spans="2:15" ht="15.75" customHeight="1" thickBot="1" x14ac:dyDescent="0.3">
      <c r="B65" s="244" t="s">
        <v>27</v>
      </c>
      <c r="C65" s="410">
        <v>151006410</v>
      </c>
      <c r="D65" s="136">
        <f t="shared" ref="D65:E65" si="10">D63-D64</f>
        <v>199957034</v>
      </c>
      <c r="E65" s="5">
        <f t="shared" si="10"/>
        <v>231514163</v>
      </c>
      <c r="F65" s="5">
        <f>F63-F64</f>
        <v>350807800</v>
      </c>
      <c r="G65" s="99">
        <f>G63-G64</f>
        <v>-215860649</v>
      </c>
      <c r="J65" s="375" t="s">
        <v>72</v>
      </c>
      <c r="K65" s="258">
        <v>39532500</v>
      </c>
      <c r="L65" s="15">
        <v>39632500</v>
      </c>
      <c r="M65" s="15">
        <v>39532500</v>
      </c>
      <c r="N65" s="15">
        <v>5000000</v>
      </c>
      <c r="O65" s="86">
        <v>5000000</v>
      </c>
    </row>
    <row r="66" spans="2:15" ht="15.75" customHeight="1" thickBot="1" x14ac:dyDescent="0.3">
      <c r="B66" s="247" t="s">
        <v>41</v>
      </c>
      <c r="C66" s="411">
        <v>287594008</v>
      </c>
      <c r="D66" s="135">
        <v>348479771</v>
      </c>
      <c r="E66" s="24">
        <v>361283537</v>
      </c>
      <c r="F66" s="29">
        <v>381329808</v>
      </c>
      <c r="G66" s="97">
        <v>414263491</v>
      </c>
      <c r="J66" s="247"/>
      <c r="K66" s="421">
        <v>1075715332</v>
      </c>
      <c r="L66" s="18">
        <f>L63+L64+L65</f>
        <v>1168529339</v>
      </c>
      <c r="M66" s="18">
        <f>M63+M64+M65</f>
        <v>2399172558</v>
      </c>
      <c r="N66" s="18">
        <f t="shared" ref="N66:O66" si="11">N63+N64+N65</f>
        <v>2411402130</v>
      </c>
      <c r="O66" s="85">
        <f t="shared" si="11"/>
        <v>2363992974</v>
      </c>
    </row>
    <row r="67" spans="2:15" ht="15.75" customHeight="1" x14ac:dyDescent="0.25">
      <c r="B67" s="246" t="s">
        <v>65</v>
      </c>
      <c r="C67" s="412">
        <v>-136587598</v>
      </c>
      <c r="D67" s="136">
        <f>D65-D66</f>
        <v>-148522737</v>
      </c>
      <c r="E67" s="5">
        <f>E65-E66</f>
        <v>-129769374</v>
      </c>
      <c r="F67" s="33">
        <f>F65-F66</f>
        <v>-30522008</v>
      </c>
      <c r="G67" s="102">
        <f>G65-G66</f>
        <v>-630124140</v>
      </c>
      <c r="J67" s="393" t="s">
        <v>6</v>
      </c>
      <c r="K67" s="422"/>
      <c r="L67" s="2"/>
      <c r="M67" s="2"/>
      <c r="N67" s="2"/>
      <c r="O67" s="88"/>
    </row>
    <row r="68" spans="2:15" ht="15.75" customHeight="1" thickBot="1" x14ac:dyDescent="0.3">
      <c r="B68" s="245" t="s">
        <v>47</v>
      </c>
      <c r="C68" s="411">
        <v>4312265</v>
      </c>
      <c r="D68" s="138">
        <v>3858536</v>
      </c>
      <c r="E68" s="34">
        <v>1063377</v>
      </c>
      <c r="F68" s="34">
        <v>95072221</v>
      </c>
      <c r="G68" s="104">
        <v>102471032</v>
      </c>
      <c r="J68" s="247" t="s">
        <v>7</v>
      </c>
      <c r="K68" s="420">
        <v>196676351</v>
      </c>
      <c r="L68" s="18">
        <v>128023667</v>
      </c>
      <c r="M68" s="18">
        <v>123598709</v>
      </c>
      <c r="N68" s="18">
        <v>144104896</v>
      </c>
      <c r="O68" s="85">
        <v>121340908</v>
      </c>
    </row>
    <row r="69" spans="2:15" ht="15.75" customHeight="1" x14ac:dyDescent="0.25">
      <c r="B69" s="246" t="s">
        <v>25</v>
      </c>
      <c r="C69" s="412">
        <v>-132275333</v>
      </c>
      <c r="D69" s="136">
        <f>D67+D68</f>
        <v>-144664201</v>
      </c>
      <c r="E69" s="5">
        <f>E67+E68</f>
        <v>-128705997</v>
      </c>
      <c r="F69" s="5">
        <f>F67+F68</f>
        <v>64550213</v>
      </c>
      <c r="G69" s="99">
        <f>G67+G68</f>
        <v>-527653108</v>
      </c>
      <c r="J69" s="375" t="s">
        <v>73</v>
      </c>
      <c r="K69" s="419">
        <v>1726756394</v>
      </c>
      <c r="L69" s="10">
        <v>2107210444</v>
      </c>
      <c r="M69" s="10">
        <v>2389970660</v>
      </c>
      <c r="N69" s="10">
        <v>2626752421</v>
      </c>
      <c r="O69" s="68">
        <v>2443354563</v>
      </c>
    </row>
    <row r="70" spans="2:15" x14ac:dyDescent="0.25">
      <c r="B70" s="247" t="s">
        <v>46</v>
      </c>
      <c r="C70" s="413">
        <v>0</v>
      </c>
      <c r="D70" s="133">
        <v>0</v>
      </c>
      <c r="E70" s="18">
        <v>0</v>
      </c>
      <c r="F70" s="31">
        <v>3227511</v>
      </c>
      <c r="G70" s="105">
        <v>0</v>
      </c>
      <c r="J70" s="247" t="s">
        <v>9</v>
      </c>
      <c r="K70" s="420">
        <v>599676261</v>
      </c>
      <c r="L70" s="18">
        <v>667896348</v>
      </c>
      <c r="M70" s="18">
        <v>787105593</v>
      </c>
      <c r="N70" s="18">
        <v>677010171</v>
      </c>
      <c r="O70" s="85">
        <v>421825887</v>
      </c>
    </row>
    <row r="71" spans="2:15" ht="16.5" thickBot="1" x14ac:dyDescent="0.3">
      <c r="B71" s="375" t="s">
        <v>70</v>
      </c>
      <c r="C71" s="414">
        <v>0</v>
      </c>
      <c r="D71" s="139">
        <v>0</v>
      </c>
      <c r="E71" s="15">
        <v>0</v>
      </c>
      <c r="F71" s="32">
        <v>1999385</v>
      </c>
      <c r="G71" s="106">
        <v>0</v>
      </c>
      <c r="J71" s="375" t="s">
        <v>74</v>
      </c>
      <c r="K71" s="419">
        <v>431365258</v>
      </c>
      <c r="L71" s="10">
        <v>635816554</v>
      </c>
      <c r="M71" s="10">
        <v>601454565</v>
      </c>
      <c r="N71" s="10">
        <v>1039968760</v>
      </c>
      <c r="O71" s="68">
        <v>1140695970</v>
      </c>
    </row>
    <row r="72" spans="2:15" x14ac:dyDescent="0.25">
      <c r="B72" s="405" t="s">
        <v>26</v>
      </c>
      <c r="C72" s="415">
        <v>-132275333</v>
      </c>
      <c r="D72" s="140">
        <f>D69-D70</f>
        <v>-144664201</v>
      </c>
      <c r="E72" s="6">
        <f>E69-E70</f>
        <v>-128705997</v>
      </c>
      <c r="F72" s="6">
        <f>F69-F70-F71</f>
        <v>59323317</v>
      </c>
      <c r="G72" s="108">
        <f>G69-G70</f>
        <v>-527653108</v>
      </c>
      <c r="J72" s="247" t="s">
        <v>75</v>
      </c>
      <c r="K72" s="420">
        <v>3248955</v>
      </c>
      <c r="L72" s="18">
        <v>2898955</v>
      </c>
      <c r="M72" s="18">
        <v>2918955</v>
      </c>
      <c r="N72" s="18">
        <v>0</v>
      </c>
      <c r="O72" s="85">
        <v>0</v>
      </c>
    </row>
    <row r="73" spans="2:15" ht="16.5" thickBot="1" x14ac:dyDescent="0.3">
      <c r="B73" s="375" t="s">
        <v>48</v>
      </c>
      <c r="C73" s="258">
        <v>22338839</v>
      </c>
      <c r="D73" s="139">
        <v>29920457</v>
      </c>
      <c r="E73" s="15">
        <v>103597904</v>
      </c>
      <c r="F73" s="32">
        <v>39058076</v>
      </c>
      <c r="G73" s="106">
        <v>44395650</v>
      </c>
      <c r="J73" s="375" t="s">
        <v>10</v>
      </c>
      <c r="K73" s="258">
        <v>66895725</v>
      </c>
      <c r="L73" s="15">
        <v>77213627</v>
      </c>
      <c r="M73" s="15">
        <v>84659705</v>
      </c>
      <c r="N73" s="15">
        <v>102859081</v>
      </c>
      <c r="O73" s="86">
        <v>113786122</v>
      </c>
    </row>
    <row r="74" spans="2:15" x14ac:dyDescent="0.25">
      <c r="B74" s="405" t="s">
        <v>66</v>
      </c>
      <c r="C74" s="415">
        <v>-154614172</v>
      </c>
      <c r="D74" s="140">
        <f t="shared" ref="D74" si="12">D72-D73</f>
        <v>-174584658</v>
      </c>
      <c r="E74" s="6">
        <f>E72-E73</f>
        <v>-232303901</v>
      </c>
      <c r="F74" s="6">
        <f>F72-F73</f>
        <v>20265241</v>
      </c>
      <c r="G74" s="108">
        <f t="shared" ref="G74" si="13">G72-G73</f>
        <v>-572048758</v>
      </c>
      <c r="J74" s="247"/>
      <c r="K74" s="421">
        <v>3024618944</v>
      </c>
      <c r="L74" s="18">
        <f>L68+L69+L70+L71+L72+L73</f>
        <v>3619059595</v>
      </c>
      <c r="M74" s="18">
        <f t="shared" ref="M74:O74" si="14">M68+M69+M70+M71+M72+M73</f>
        <v>3989708187</v>
      </c>
      <c r="N74" s="18">
        <f t="shared" si="14"/>
        <v>4590695329</v>
      </c>
      <c r="O74" s="85">
        <f t="shared" si="14"/>
        <v>4241003450</v>
      </c>
    </row>
    <row r="75" spans="2:15" ht="16.5" thickBot="1" x14ac:dyDescent="0.3">
      <c r="B75" s="375" t="s">
        <v>67</v>
      </c>
      <c r="C75" s="416">
        <v>0</v>
      </c>
      <c r="D75" s="141">
        <v>0</v>
      </c>
      <c r="E75" s="10">
        <v>1257921422</v>
      </c>
      <c r="F75" s="30">
        <v>0</v>
      </c>
      <c r="G75" s="95">
        <v>0</v>
      </c>
      <c r="J75" s="246" t="s">
        <v>11</v>
      </c>
      <c r="K75" s="423">
        <v>4100334276</v>
      </c>
      <c r="L75" s="17">
        <f>L66+L74</f>
        <v>4787588934</v>
      </c>
      <c r="M75" s="17">
        <f t="shared" ref="M75:O75" si="15">M66+M74</f>
        <v>6388880745</v>
      </c>
      <c r="N75" s="17">
        <f t="shared" si="15"/>
        <v>7002097459</v>
      </c>
      <c r="O75" s="87">
        <f t="shared" si="15"/>
        <v>6604996424</v>
      </c>
    </row>
    <row r="76" spans="2:15" ht="17.25" thickTop="1" thickBot="1" x14ac:dyDescent="0.3">
      <c r="B76" s="247" t="s">
        <v>68</v>
      </c>
      <c r="C76" s="417">
        <v>0</v>
      </c>
      <c r="D76" s="135">
        <v>0</v>
      </c>
      <c r="E76" s="24">
        <v>187610809</v>
      </c>
      <c r="F76" s="29">
        <v>0</v>
      </c>
      <c r="G76" s="97">
        <v>0</v>
      </c>
      <c r="J76" s="247"/>
      <c r="K76" s="54"/>
      <c r="L76" s="1"/>
      <c r="M76" s="1"/>
      <c r="N76" s="1"/>
      <c r="O76" s="82"/>
    </row>
    <row r="77" spans="2:15" ht="16.5" thickBot="1" x14ac:dyDescent="0.3">
      <c r="B77" s="246" t="s">
        <v>28</v>
      </c>
      <c r="C77" s="418">
        <v>-154614172</v>
      </c>
      <c r="D77" s="142">
        <f>D74+D75+D76</f>
        <v>-174584658</v>
      </c>
      <c r="E77" s="35">
        <f>E74+E75-E76</f>
        <v>838006712</v>
      </c>
      <c r="F77" s="35">
        <f>F74+F75-F76</f>
        <v>20265241</v>
      </c>
      <c r="G77" s="109">
        <f>G74+G75-G76</f>
        <v>-572048758</v>
      </c>
      <c r="J77" s="246" t="s">
        <v>87</v>
      </c>
      <c r="K77" s="70"/>
      <c r="L77" s="2"/>
      <c r="M77" s="2"/>
      <c r="N77" s="2"/>
      <c r="O77" s="88"/>
    </row>
    <row r="78" spans="2:15" ht="17.25" thickTop="1" thickBot="1" x14ac:dyDescent="0.3">
      <c r="B78" s="394"/>
      <c r="C78" s="417"/>
      <c r="D78" s="143"/>
      <c r="E78" s="19"/>
      <c r="F78" s="19"/>
      <c r="G78" s="110"/>
      <c r="J78" s="392" t="s">
        <v>13</v>
      </c>
      <c r="K78" s="114"/>
      <c r="L78" s="1"/>
      <c r="M78" s="1"/>
      <c r="N78" s="1"/>
      <c r="O78" s="82"/>
    </row>
    <row r="79" spans="2:15" ht="15.75" customHeight="1" x14ac:dyDescent="0.25">
      <c r="B79" s="3"/>
      <c r="C79" s="3"/>
      <c r="D79" s="3"/>
      <c r="E79" s="3"/>
      <c r="F79" s="3"/>
      <c r="G79" s="3"/>
      <c r="J79" s="375" t="s">
        <v>14</v>
      </c>
      <c r="K79" s="424">
        <v>338800000</v>
      </c>
      <c r="L79" s="12">
        <v>338800000</v>
      </c>
      <c r="M79" s="10">
        <v>338800000</v>
      </c>
      <c r="N79" s="10">
        <v>338800000</v>
      </c>
      <c r="O79" s="68">
        <v>338800000</v>
      </c>
    </row>
    <row r="80" spans="2:15" ht="15.75" customHeight="1" x14ac:dyDescent="0.25">
      <c r="B80" s="3"/>
      <c r="C80" s="3"/>
      <c r="D80" s="3"/>
      <c r="E80" s="3"/>
      <c r="F80" s="3"/>
      <c r="G80" s="3"/>
      <c r="J80" s="247" t="s">
        <v>76</v>
      </c>
      <c r="K80" s="425">
        <v>84700000</v>
      </c>
      <c r="L80" s="22">
        <v>84700000</v>
      </c>
      <c r="M80" s="18">
        <v>84700000</v>
      </c>
      <c r="N80" s="18">
        <v>84700000</v>
      </c>
      <c r="O80" s="85">
        <v>84700000</v>
      </c>
    </row>
    <row r="81" spans="2:15" ht="15.75" customHeight="1" thickBot="1" x14ac:dyDescent="0.3">
      <c r="B81" s="3"/>
      <c r="C81" s="3"/>
      <c r="D81" s="3"/>
      <c r="E81" s="3"/>
      <c r="F81" s="3"/>
      <c r="G81" s="3"/>
      <c r="J81" s="375" t="s">
        <v>77</v>
      </c>
      <c r="K81" s="426">
        <v>220284947</v>
      </c>
      <c r="L81" s="48">
        <v>394869605</v>
      </c>
      <c r="M81" s="15">
        <v>444797251</v>
      </c>
      <c r="N81" s="15">
        <v>563369547</v>
      </c>
      <c r="O81" s="86">
        <v>2858855</v>
      </c>
    </row>
    <row r="82" spans="2:15" ht="15.75" customHeight="1" x14ac:dyDescent="0.25">
      <c r="B82" s="3"/>
      <c r="C82" s="3"/>
      <c r="D82" s="3"/>
      <c r="E82" s="3"/>
      <c r="F82" s="3"/>
      <c r="G82" s="3"/>
      <c r="J82" s="247"/>
      <c r="K82" s="427">
        <v>203215053</v>
      </c>
      <c r="L82" s="18">
        <f>L79+L80-L81</f>
        <v>28630395</v>
      </c>
      <c r="M82" s="18">
        <f>M79+M80+M81</f>
        <v>868297251</v>
      </c>
      <c r="N82" s="18">
        <f>N79+N80+N81</f>
        <v>986869547</v>
      </c>
      <c r="O82" s="85">
        <f>O79+O80+O81</f>
        <v>426358855</v>
      </c>
    </row>
    <row r="83" spans="2:15" ht="15.75" customHeight="1" x14ac:dyDescent="0.25">
      <c r="B83" s="3"/>
      <c r="C83" s="3"/>
      <c r="D83" s="3"/>
      <c r="E83" s="3"/>
      <c r="F83" s="3"/>
      <c r="G83" s="3"/>
      <c r="J83" s="393" t="s">
        <v>16</v>
      </c>
      <c r="K83" s="116"/>
      <c r="L83" s="2"/>
      <c r="M83" s="2"/>
      <c r="N83" s="2"/>
      <c r="O83" s="88"/>
    </row>
    <row r="84" spans="2:15" ht="15.75" customHeight="1" thickBot="1" x14ac:dyDescent="0.3">
      <c r="B84" s="3"/>
      <c r="C84" s="3"/>
      <c r="D84" s="3"/>
      <c r="E84" s="3"/>
      <c r="F84" s="3"/>
      <c r="G84" s="3"/>
      <c r="J84" s="247" t="s">
        <v>78</v>
      </c>
      <c r="K84" s="425">
        <v>693332563</v>
      </c>
      <c r="L84" s="18">
        <v>397653136</v>
      </c>
      <c r="M84" s="18">
        <v>341964329</v>
      </c>
      <c r="N84" s="18">
        <v>465497244</v>
      </c>
      <c r="O84" s="85">
        <v>1310125938</v>
      </c>
    </row>
    <row r="85" spans="2:15" x14ac:dyDescent="0.25">
      <c r="B85" s="467" t="s">
        <v>131</v>
      </c>
      <c r="C85" s="347">
        <v>2019</v>
      </c>
      <c r="D85" s="347">
        <v>2020</v>
      </c>
      <c r="E85" s="347">
        <v>2021</v>
      </c>
      <c r="F85" s="348">
        <v>2022</v>
      </c>
      <c r="J85" s="375" t="s">
        <v>89</v>
      </c>
      <c r="K85" s="424">
        <v>35458134</v>
      </c>
      <c r="L85" s="10">
        <v>54181358</v>
      </c>
      <c r="M85" s="10">
        <v>258893060</v>
      </c>
      <c r="N85" s="10">
        <v>237156852</v>
      </c>
      <c r="O85" s="68">
        <v>210019252</v>
      </c>
    </row>
    <row r="86" spans="2:15" ht="15.75" customHeight="1" thickBot="1" x14ac:dyDescent="0.3">
      <c r="B86" s="49" t="s">
        <v>45</v>
      </c>
      <c r="C86" s="356">
        <f>D77/C89</f>
        <v>-5.7353698423127462</v>
      </c>
      <c r="D86" s="356">
        <f>E77/D89</f>
        <v>27.529786859395532</v>
      </c>
      <c r="E86" s="356">
        <f>F77/E89</f>
        <v>0.66574379106438897</v>
      </c>
      <c r="F86" s="111">
        <f>G77/F89</f>
        <v>-18.792666162943494</v>
      </c>
      <c r="J86" s="247" t="s">
        <v>79</v>
      </c>
      <c r="K86" s="428">
        <v>23664070</v>
      </c>
      <c r="L86" s="19">
        <v>30139314</v>
      </c>
      <c r="M86" s="19">
        <v>37751723</v>
      </c>
      <c r="N86" s="19">
        <v>38989767</v>
      </c>
      <c r="O86" s="92">
        <v>41434223</v>
      </c>
    </row>
    <row r="87" spans="2:15" x14ac:dyDescent="0.25">
      <c r="B87" s="56" t="s">
        <v>113</v>
      </c>
      <c r="C87" s="357">
        <f>(D64-C95)/365</f>
        <v>186065.67123287672</v>
      </c>
      <c r="D87" s="357">
        <f>(E64-D95)/365</f>
        <v>299167.46301369864</v>
      </c>
      <c r="E87" s="357">
        <f>(F64-E95)/365</f>
        <v>266931.48219178081</v>
      </c>
      <c r="F87" s="122">
        <f>(G64-F95)/365</f>
        <v>225262.33698630138</v>
      </c>
      <c r="J87" s="375"/>
      <c r="K87" s="424">
        <v>752454767</v>
      </c>
      <c r="L87" s="10">
        <f>L85+L84+L86</f>
        <v>481973808</v>
      </c>
      <c r="M87" s="10">
        <f>M85+M84+M86</f>
        <v>638609112</v>
      </c>
      <c r="N87" s="10">
        <f>N85+N84+N86</f>
        <v>741643863</v>
      </c>
      <c r="O87" s="68">
        <f>O85+O84+O86</f>
        <v>1561579413</v>
      </c>
    </row>
    <row r="88" spans="2:15" x14ac:dyDescent="0.25">
      <c r="B88" s="73" t="s">
        <v>114</v>
      </c>
      <c r="C88" s="358">
        <v>2110980412</v>
      </c>
      <c r="D88" s="358">
        <v>2182754154</v>
      </c>
      <c r="E88" s="358">
        <v>2306279829</v>
      </c>
      <c r="F88" s="112">
        <v>818612075</v>
      </c>
      <c r="J88" s="392" t="s">
        <v>18</v>
      </c>
      <c r="K88" s="114"/>
      <c r="L88" s="1"/>
      <c r="M88" s="1"/>
      <c r="N88" s="1"/>
      <c r="O88" s="82"/>
    </row>
    <row r="89" spans="2:15" x14ac:dyDescent="0.25">
      <c r="B89" s="56" t="s">
        <v>111</v>
      </c>
      <c r="C89" s="357">
        <v>30440000</v>
      </c>
      <c r="D89" s="357">
        <v>30440000</v>
      </c>
      <c r="E89" s="357">
        <v>30440000</v>
      </c>
      <c r="F89" s="122">
        <v>30440000</v>
      </c>
      <c r="J89" s="375" t="s">
        <v>80</v>
      </c>
      <c r="K89" s="424">
        <v>158406249</v>
      </c>
      <c r="L89" s="12">
        <v>195561128</v>
      </c>
      <c r="M89" s="13">
        <v>210346143</v>
      </c>
      <c r="N89" s="13">
        <v>89798499</v>
      </c>
      <c r="O89" s="117">
        <v>321531676</v>
      </c>
    </row>
    <row r="90" spans="2:15" x14ac:dyDescent="0.25">
      <c r="B90" s="73" t="s">
        <v>112</v>
      </c>
      <c r="C90" s="359">
        <f>L82/C89</f>
        <v>0.94055174113009199</v>
      </c>
      <c r="D90" s="359">
        <f>M82/D89</f>
        <v>28.524876839684627</v>
      </c>
      <c r="E90" s="359">
        <f>N82/E89</f>
        <v>32.420155946123522</v>
      </c>
      <c r="F90" s="113">
        <f>O82/F89</f>
        <v>14.006532687253614</v>
      </c>
      <c r="J90" s="247" t="s">
        <v>81</v>
      </c>
      <c r="K90" s="425">
        <v>17836805</v>
      </c>
      <c r="L90" s="20">
        <v>17836805</v>
      </c>
      <c r="M90" s="21">
        <v>17811065</v>
      </c>
      <c r="N90" s="21">
        <v>17811065</v>
      </c>
      <c r="O90" s="118">
        <v>17811065</v>
      </c>
    </row>
    <row r="91" spans="2:15" x14ac:dyDescent="0.25">
      <c r="B91" s="76" t="s">
        <v>103</v>
      </c>
      <c r="C91" s="360">
        <v>15.4</v>
      </c>
      <c r="D91" s="360">
        <v>17.399999999999999</v>
      </c>
      <c r="E91" s="360">
        <v>38.1</v>
      </c>
      <c r="F91" s="123">
        <v>30.2</v>
      </c>
      <c r="J91" s="375" t="s">
        <v>82</v>
      </c>
      <c r="K91" s="424">
        <v>795916975</v>
      </c>
      <c r="L91" s="12">
        <v>582879547</v>
      </c>
      <c r="M91" s="13">
        <v>299762526</v>
      </c>
      <c r="N91" s="13">
        <v>277750321</v>
      </c>
      <c r="O91" s="117">
        <v>183061401</v>
      </c>
    </row>
    <row r="92" spans="2:15" x14ac:dyDescent="0.25">
      <c r="B92" s="129" t="s">
        <v>106</v>
      </c>
      <c r="C92" s="358"/>
      <c r="D92" s="358"/>
      <c r="E92" s="358"/>
      <c r="F92" s="112"/>
      <c r="J92" s="247" t="s">
        <v>83</v>
      </c>
      <c r="K92" s="425">
        <v>34767893</v>
      </c>
      <c r="L92" s="22">
        <v>45965125</v>
      </c>
      <c r="M92" s="21">
        <v>82345762</v>
      </c>
      <c r="N92" s="21">
        <v>122195942</v>
      </c>
      <c r="O92" s="118">
        <v>120356906</v>
      </c>
    </row>
    <row r="93" spans="2:15" x14ac:dyDescent="0.25">
      <c r="B93" s="56" t="s">
        <v>116</v>
      </c>
      <c r="C93" s="357">
        <v>71575761</v>
      </c>
      <c r="D93" s="357">
        <v>57277158</v>
      </c>
      <c r="E93" s="357">
        <v>71826984</v>
      </c>
      <c r="F93" s="122">
        <v>73378385</v>
      </c>
      <c r="J93" s="375" t="s">
        <v>84</v>
      </c>
      <c r="K93" s="424">
        <v>31335</v>
      </c>
      <c r="L93" s="12">
        <v>31335</v>
      </c>
      <c r="M93" s="10">
        <v>31335</v>
      </c>
      <c r="N93" s="10">
        <v>3258846</v>
      </c>
      <c r="O93" s="68">
        <v>325883</v>
      </c>
    </row>
    <row r="94" spans="2:15" x14ac:dyDescent="0.25">
      <c r="B94" s="73" t="s">
        <v>115</v>
      </c>
      <c r="C94" s="358">
        <v>1902833</v>
      </c>
      <c r="D94" s="358">
        <v>3336782</v>
      </c>
      <c r="E94" s="358">
        <v>3337205</v>
      </c>
      <c r="F94" s="112">
        <v>3329697</v>
      </c>
      <c r="J94" s="247" t="s">
        <v>85</v>
      </c>
      <c r="K94" s="425">
        <v>2116422870</v>
      </c>
      <c r="L94" s="22">
        <v>3368683081</v>
      </c>
      <c r="M94" s="18">
        <v>4226532692</v>
      </c>
      <c r="N94" s="18">
        <v>4720433496</v>
      </c>
      <c r="O94" s="85">
        <v>3926667436</v>
      </c>
    </row>
    <row r="95" spans="2:15" ht="15.75" customHeight="1" thickBot="1" x14ac:dyDescent="0.3">
      <c r="B95" s="130" t="s">
        <v>110</v>
      </c>
      <c r="C95" s="362">
        <f>C93+C94</f>
        <v>73478594</v>
      </c>
      <c r="D95" s="362">
        <f>D93+D94</f>
        <v>60613940</v>
      </c>
      <c r="E95" s="362">
        <f>E93+E94</f>
        <v>75164189</v>
      </c>
      <c r="F95" s="124">
        <f>F93+F94</f>
        <v>76708082</v>
      </c>
      <c r="J95" s="375" t="s">
        <v>86</v>
      </c>
      <c r="K95" s="115">
        <v>0</v>
      </c>
      <c r="L95" s="12">
        <v>44661240</v>
      </c>
      <c r="M95" s="10">
        <v>23878388</v>
      </c>
      <c r="N95" s="10">
        <v>23461127</v>
      </c>
      <c r="O95" s="68">
        <v>26300781</v>
      </c>
    </row>
    <row r="96" spans="2:15" ht="15.75" customHeight="1" thickBot="1" x14ac:dyDescent="0.3">
      <c r="J96" s="247" t="s">
        <v>21</v>
      </c>
      <c r="K96" s="429">
        <v>21282329</v>
      </c>
      <c r="L96" s="23">
        <v>21266470</v>
      </c>
      <c r="M96" s="24">
        <v>21266471</v>
      </c>
      <c r="N96" s="24">
        <v>18874753</v>
      </c>
      <c r="O96" s="90">
        <v>21003008</v>
      </c>
    </row>
    <row r="97" spans="10:15" x14ac:dyDescent="0.25">
      <c r="J97" s="375"/>
      <c r="K97" s="430">
        <v>3144664456</v>
      </c>
      <c r="L97" s="10">
        <f t="shared" ref="L97:O97" si="16">L89+L90+L91+L92+L93+L94+L95+L96</f>
        <v>4276884731</v>
      </c>
      <c r="M97" s="10">
        <f t="shared" si="16"/>
        <v>4881974382</v>
      </c>
      <c r="N97" s="10">
        <f t="shared" si="16"/>
        <v>5273584049</v>
      </c>
      <c r="O97" s="68">
        <f t="shared" si="16"/>
        <v>4617058156</v>
      </c>
    </row>
    <row r="98" spans="10:15" ht="16.5" thickBot="1" x14ac:dyDescent="0.3">
      <c r="J98" s="405" t="s">
        <v>88</v>
      </c>
      <c r="K98" s="431">
        <v>4100334276</v>
      </c>
      <c r="L98" s="25">
        <f t="shared" ref="L98:O98" si="17">L82+L87+L97</f>
        <v>4787488934</v>
      </c>
      <c r="M98" s="25">
        <f t="shared" si="17"/>
        <v>6388880745</v>
      </c>
      <c r="N98" s="25">
        <f t="shared" si="17"/>
        <v>7002097459</v>
      </c>
      <c r="O98" s="119">
        <f t="shared" si="17"/>
        <v>6604996424</v>
      </c>
    </row>
    <row r="99" spans="10:15" ht="17.25" thickTop="1" thickBot="1" x14ac:dyDescent="0.3">
      <c r="J99" s="406"/>
      <c r="K99" s="120"/>
      <c r="L99" s="16"/>
      <c r="M99" s="16"/>
      <c r="N99" s="16"/>
      <c r="O99" s="121"/>
    </row>
    <row r="100" spans="10:15" ht="15.75" customHeight="1" x14ac:dyDescent="0.25">
      <c r="J100" s="3"/>
      <c r="K100" s="3"/>
      <c r="L100" s="3"/>
      <c r="M100" s="3"/>
      <c r="N100" s="3"/>
    </row>
  </sheetData>
  <mergeCells count="8">
    <mergeCell ref="B58:G58"/>
    <mergeCell ref="J58:O58"/>
    <mergeCell ref="J59:O59"/>
    <mergeCell ref="B59:G59"/>
    <mergeCell ref="B4:G4"/>
    <mergeCell ref="B5:G5"/>
    <mergeCell ref="J4:O4"/>
    <mergeCell ref="J5:O5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056F-EDB1-4435-8428-60CC5763C876}">
  <dimension ref="A5:F83"/>
  <sheetViews>
    <sheetView topLeftCell="A22" zoomScale="90" zoomScaleNormal="90" workbookViewId="0">
      <selection activeCell="D4" sqref="D4"/>
    </sheetView>
  </sheetViews>
  <sheetFormatPr defaultRowHeight="12.75" x14ac:dyDescent="0.2"/>
  <cols>
    <col min="1" max="1" width="25.5703125" bestFit="1" customWidth="1"/>
    <col min="2" max="2" width="39.85546875" bestFit="1" customWidth="1"/>
    <col min="3" max="3" width="14.7109375" bestFit="1" customWidth="1"/>
    <col min="4" max="5" width="15.28515625" bestFit="1" customWidth="1"/>
    <col min="6" max="6" width="11.7109375" customWidth="1"/>
  </cols>
  <sheetData>
    <row r="5" spans="1:6" ht="13.5" thickBot="1" x14ac:dyDescent="0.25"/>
    <row r="6" spans="1:6" ht="15.75" x14ac:dyDescent="0.25">
      <c r="B6" s="604" t="s">
        <v>37</v>
      </c>
      <c r="C6" s="605"/>
      <c r="D6" s="605"/>
      <c r="E6" s="605"/>
      <c r="F6" s="606"/>
    </row>
    <row r="7" spans="1:6" ht="16.5" thickBot="1" x14ac:dyDescent="0.3">
      <c r="B7" s="613" t="s">
        <v>23</v>
      </c>
      <c r="C7" s="614"/>
      <c r="D7" s="614"/>
      <c r="E7" s="614"/>
      <c r="F7" s="615"/>
    </row>
    <row r="8" spans="1:6" ht="15.75" x14ac:dyDescent="0.25">
      <c r="B8" s="73"/>
      <c r="C8" s="50">
        <v>2019</v>
      </c>
      <c r="D8" s="50">
        <v>2020</v>
      </c>
      <c r="E8" s="7">
        <v>2021</v>
      </c>
      <c r="F8" s="51">
        <v>2022</v>
      </c>
    </row>
    <row r="9" spans="1:6" ht="15.75" customHeight="1" x14ac:dyDescent="0.25">
      <c r="A9" s="131"/>
      <c r="B9" s="52" t="s">
        <v>90</v>
      </c>
      <c r="C9" s="39"/>
      <c r="D9" s="39"/>
      <c r="E9" s="40"/>
      <c r="F9" s="53"/>
    </row>
    <row r="10" spans="1:6" ht="15.75" x14ac:dyDescent="0.25">
      <c r="A10" s="131"/>
      <c r="B10" s="54" t="s">
        <v>30</v>
      </c>
      <c r="C10" s="43">
        <f>'Income statement'!L20/'Income statement'!L46</f>
        <v>0.80367237328124519</v>
      </c>
      <c r="D10" s="43">
        <f>'Income statement'!M20/'Income statement'!M46</f>
        <v>0.88101809232472728</v>
      </c>
      <c r="E10" s="43">
        <f>'Income statement'!N20/'Income statement'!N46</f>
        <v>0.81967699030813679</v>
      </c>
      <c r="F10" s="55">
        <f>'Income statement'!O20/'Income statement'!O46</f>
        <v>0.74781923950052254</v>
      </c>
    </row>
    <row r="11" spans="1:6" ht="15.75" x14ac:dyDescent="0.25">
      <c r="A11" s="131"/>
      <c r="B11" s="56" t="s">
        <v>31</v>
      </c>
      <c r="C11" s="41">
        <f>('Income statement'!L20-'Income statement'!L15)/'Income statement'!L46</f>
        <v>0.70198696037224606</v>
      </c>
      <c r="D11" s="41">
        <f>('Income statement'!M20-'Income statement'!M15)/'Income statement'!M46</f>
        <v>0.73799762621591958</v>
      </c>
      <c r="E11" s="41">
        <f>('Income statement'!N20-'Income statement'!N15)/'Income statement'!N46</f>
        <v>0.70014485180082198</v>
      </c>
      <c r="F11" s="57">
        <f>('Income statement'!O20-'Income statement'!O15)/'Income statement'!O46</f>
        <v>0.6688153067862519</v>
      </c>
    </row>
    <row r="12" spans="1:6" ht="15.75" x14ac:dyDescent="0.25">
      <c r="A12" s="131"/>
      <c r="B12" s="54" t="s">
        <v>117</v>
      </c>
      <c r="C12" s="43">
        <f>'Income statement'!L19/'Income statement'!L46</f>
        <v>8.455827522394041E-2</v>
      </c>
      <c r="D12" s="43">
        <f>'Income statement'!M19/'Income statement'!M46</f>
        <v>6.5862275717293792E-2</v>
      </c>
      <c r="E12" s="43">
        <f>'Income statement'!N19/'Income statement'!N46</f>
        <v>2.4255408867654395E-2</v>
      </c>
      <c r="F12" s="55">
        <f>'Income statement'!O19/'Income statement'!O46</f>
        <v>2.693950085470009E-2</v>
      </c>
    </row>
    <row r="13" spans="1:6" ht="15.75" x14ac:dyDescent="0.25">
      <c r="A13" s="131"/>
      <c r="B13" s="56" t="s">
        <v>118</v>
      </c>
      <c r="C13" s="41">
        <f>('Income statement'!L20-'Income statement'!L46)/'Income statement'!L21</f>
        <v>-0.1279298820042257</v>
      </c>
      <c r="D13" s="41">
        <f>('Income statement'!M20-'Income statement'!M46)/'Income statement'!M21</f>
        <v>-7.2154070899124567E-2</v>
      </c>
      <c r="E13" s="41">
        <f>('Income statement'!N20-'Income statement'!N46)/'Income statement'!N21</f>
        <v>-8.3464060298955145E-2</v>
      </c>
      <c r="F13" s="57">
        <f>('Income statement'!O20-'Income statement'!O46)/'Income statement'!O21</f>
        <v>-0.12412140506223282</v>
      </c>
    </row>
    <row r="14" spans="1:6" ht="15.75" x14ac:dyDescent="0.25">
      <c r="A14" s="131"/>
      <c r="B14" s="54" t="s">
        <v>119</v>
      </c>
      <c r="C14" s="47">
        <f>'Income statement'!L20/'Income statement'!C27</f>
        <v>4864.201032098963</v>
      </c>
      <c r="D14" s="47">
        <f>'Income statement'!M20/'Income statement'!D27</f>
        <v>6585.8319795418756</v>
      </c>
      <c r="E14" s="47">
        <f>'Income statement'!N20/'Income statement'!E27</f>
        <v>10021.189537609662</v>
      </c>
      <c r="F14" s="59">
        <f>'Income statement'!O20/'Income statement'!F27</f>
        <v>11946.689590983076</v>
      </c>
    </row>
    <row r="15" spans="1:6" ht="15.75" x14ac:dyDescent="0.25">
      <c r="A15" s="131"/>
      <c r="B15" s="52" t="s">
        <v>94</v>
      </c>
      <c r="C15" s="41"/>
      <c r="D15" s="41"/>
      <c r="E15" s="42"/>
      <c r="F15" s="60"/>
    </row>
    <row r="16" spans="1:6" ht="15.75" x14ac:dyDescent="0.25">
      <c r="A16" s="131"/>
      <c r="B16" s="54" t="s">
        <v>32</v>
      </c>
      <c r="C16" s="43">
        <f>'Income statement'!D8/'Income statement'!L15</f>
        <v>12.880629784172152</v>
      </c>
      <c r="D16" s="43">
        <f>'Income statement'!E8/'Income statement'!M15</f>
        <v>7.758055391249461</v>
      </c>
      <c r="E16" s="43">
        <f>'Income statement'!F8/'Income statement'!N15</f>
        <v>12.326359253803583</v>
      </c>
      <c r="F16" s="55">
        <f>'Income statement'!G8/'Income statement'!O15</f>
        <v>14.059072142000201</v>
      </c>
    </row>
    <row r="17" spans="1:6" ht="15.75" x14ac:dyDescent="0.25">
      <c r="A17" s="131"/>
      <c r="B17" s="56" t="s">
        <v>33</v>
      </c>
      <c r="C17" s="41">
        <f t="shared" ref="C17:F17" si="0">365/C16</f>
        <v>28.337123736644902</v>
      </c>
      <c r="D17" s="41">
        <f t="shared" si="0"/>
        <v>47.04787238457903</v>
      </c>
      <c r="E17" s="41">
        <f t="shared" si="0"/>
        <v>29.611338797169232</v>
      </c>
      <c r="F17" s="57">
        <f t="shared" si="0"/>
        <v>25.96188399301229</v>
      </c>
    </row>
    <row r="18" spans="1:6" ht="15.75" x14ac:dyDescent="0.25">
      <c r="A18" s="131"/>
      <c r="B18" s="61" t="s">
        <v>95</v>
      </c>
      <c r="C18" s="43"/>
      <c r="D18" s="43"/>
      <c r="E18" s="44"/>
      <c r="F18" s="62"/>
    </row>
    <row r="19" spans="1:6" ht="15.75" x14ac:dyDescent="0.25">
      <c r="A19" s="131"/>
      <c r="B19" s="56" t="s">
        <v>120</v>
      </c>
      <c r="C19" s="41">
        <f>'Income statement'!C28/'Income statement'!L16</f>
        <v>6.7859125471367463</v>
      </c>
      <c r="D19" s="41">
        <f>'Income statement'!D28/'Income statement'!M16</f>
        <v>4.626476671970174</v>
      </c>
      <c r="E19" s="41">
        <f>'Income statement'!E28/'Income statement'!N16</f>
        <v>5.1473467197968024</v>
      </c>
      <c r="F19" s="57">
        <f>'Income statement'!F28/'Income statement'!O16</f>
        <v>4.903375410615018</v>
      </c>
    </row>
    <row r="20" spans="1:6" ht="15.75" x14ac:dyDescent="0.25">
      <c r="A20" s="131"/>
      <c r="B20" s="54" t="s">
        <v>121</v>
      </c>
      <c r="C20" s="43">
        <f t="shared" ref="C20:F20" si="1">365/C19</f>
        <v>53.787902137643727</v>
      </c>
      <c r="D20" s="43">
        <f t="shared" si="1"/>
        <v>78.893729695294368</v>
      </c>
      <c r="E20" s="43">
        <f t="shared" si="1"/>
        <v>70.910319407123367</v>
      </c>
      <c r="F20" s="55">
        <f t="shared" si="1"/>
        <v>74.438518252107272</v>
      </c>
    </row>
    <row r="21" spans="1:6" ht="15.75" x14ac:dyDescent="0.25">
      <c r="A21" s="131"/>
      <c r="B21" s="52" t="s">
        <v>91</v>
      </c>
      <c r="C21" s="41"/>
      <c r="D21" s="41"/>
      <c r="E21" s="42"/>
      <c r="F21" s="60"/>
    </row>
    <row r="22" spans="1:6" ht="15.75" x14ac:dyDescent="0.25">
      <c r="A22" s="131"/>
      <c r="B22" s="54" t="s">
        <v>29</v>
      </c>
      <c r="C22" s="43">
        <f>(('Income statement'!L21-'Income statement'!L30)/'Income statement'!L21)*100</f>
        <v>89.879734185061736</v>
      </c>
      <c r="D22" s="43">
        <f>(('Income statement'!M21-'Income statement'!M30)/'Income statement'!M21)*100</f>
        <v>91.792976291640898</v>
      </c>
      <c r="E22" s="43">
        <f>(('Income statement'!N21-'Income statement'!N30)/'Income statement'!N21)*100</f>
        <v>85.254427933363274</v>
      </c>
      <c r="F22" s="55">
        <f>(('Income statement'!O21-'Income statement'!O30)/'Income statement'!O21)*100</f>
        <v>87.679718699549454</v>
      </c>
    </row>
    <row r="23" spans="1:6" ht="15.75" x14ac:dyDescent="0.25">
      <c r="A23" s="131"/>
      <c r="B23" s="63" t="s">
        <v>92</v>
      </c>
      <c r="C23" s="41">
        <f>('Income statement'!L21-'Income statement'!L30)/'Income statement'!L30</f>
        <v>8.8811633833167232</v>
      </c>
      <c r="D23" s="41">
        <f>('Income statement'!M21-'Income statement'!M30)/'Income statement'!M30</f>
        <v>11.184685161582639</v>
      </c>
      <c r="E23" s="41">
        <f>('Income statement'!N21-'Income statement'!N30)/'Income statement'!N30</f>
        <v>5.7816968747017681</v>
      </c>
      <c r="F23" s="57">
        <f>('Income statement'!O21-'Income statement'!O30)/'Income statement'!O30</f>
        <v>7.1166977897122363</v>
      </c>
    </row>
    <row r="24" spans="1:6" ht="15.75" x14ac:dyDescent="0.25">
      <c r="A24" s="131"/>
      <c r="B24" s="64" t="s">
        <v>122</v>
      </c>
      <c r="C24" s="43">
        <f>'Income statement'!L21/'Income statement'!L30</f>
        <v>9.8811633833167232</v>
      </c>
      <c r="D24" s="43">
        <f>'Income statement'!M21/'Income statement'!M30</f>
        <v>12.184685161582639</v>
      </c>
      <c r="E24" s="43">
        <f>'Income statement'!N21/'Income statement'!N30</f>
        <v>6.7816968747017681</v>
      </c>
      <c r="F24" s="55">
        <f>'Income statement'!O21/'Income statement'!O30</f>
        <v>8.1166977897122354</v>
      </c>
    </row>
    <row r="25" spans="1:6" ht="15.75" x14ac:dyDescent="0.25">
      <c r="A25" s="131"/>
      <c r="B25" s="56" t="s">
        <v>128</v>
      </c>
      <c r="C25" s="41">
        <f>('Income statement'!L35/('Income statement'!L35+'Income statement'!L30))*100</f>
        <v>70.950975393963276</v>
      </c>
      <c r="D25" s="41">
        <f>('Income statement'!M35/('Income statement'!M35+'Income statement'!M30))*100</f>
        <v>79.147289211229761</v>
      </c>
      <c r="E25" s="41">
        <f>('Income statement'!N35/('Income statement'!N35+'Income statement'!N30))*100</f>
        <v>72.548061368102239</v>
      </c>
      <c r="F25" s="57">
        <f>('Income statement'!O35/('Income statement'!O35+'Income statement'!O30))*100</f>
        <v>75.738298093826785</v>
      </c>
    </row>
    <row r="26" spans="1:6" ht="15.75" x14ac:dyDescent="0.25">
      <c r="A26" s="131"/>
      <c r="B26" s="61" t="s">
        <v>93</v>
      </c>
      <c r="C26" s="43"/>
      <c r="D26" s="43"/>
      <c r="E26" s="44"/>
      <c r="F26" s="62"/>
    </row>
    <row r="27" spans="1:6" ht="15.75" x14ac:dyDescent="0.25">
      <c r="A27" s="131"/>
      <c r="B27" s="56" t="s">
        <v>34</v>
      </c>
      <c r="C27" s="41">
        <f>'Income statement'!D13/'Income statement'!D14</f>
        <v>1.3956278512265232</v>
      </c>
      <c r="D27" s="41">
        <f>'Income statement'!E13/'Income statement'!E14</f>
        <v>1.1729270899450499</v>
      </c>
      <c r="E27" s="41">
        <f>'Income statement'!F13/'Income statement'!F14</f>
        <v>1.3262810645323058</v>
      </c>
      <c r="F27" s="57">
        <f>'Income statement'!G13/'Income statement'!G14</f>
        <v>1.7133702866732923</v>
      </c>
    </row>
    <row r="28" spans="1:6" ht="15.75" x14ac:dyDescent="0.25">
      <c r="A28" s="131"/>
      <c r="B28" s="54" t="s">
        <v>130</v>
      </c>
      <c r="C28" s="43">
        <f>('Income statement'!D13+'Income statement'!C37)/'Income statement'!D14</f>
        <v>1.8004756684436938</v>
      </c>
      <c r="D28" s="43">
        <f>('Income statement'!E13+'Income statement'!D37)/'Income statement'!E14</f>
        <v>1.3849999242104989</v>
      </c>
      <c r="E28" s="43">
        <f>('Income statement'!F13+'Income statement'!E37)/'Income statement'!F14</f>
        <v>1.9150350493497801</v>
      </c>
      <c r="F28" s="55">
        <f>('Income statement'!G13+'Income statement'!F37)/'Income statement'!G14</f>
        <v>2.3072268501607551</v>
      </c>
    </row>
    <row r="29" spans="1:6" ht="15.75" x14ac:dyDescent="0.25">
      <c r="A29" s="131"/>
      <c r="B29" s="52" t="s">
        <v>96</v>
      </c>
      <c r="C29" s="41"/>
      <c r="D29" s="41"/>
      <c r="E29" s="42"/>
      <c r="F29" s="60"/>
    </row>
    <row r="30" spans="1:6" ht="15.75" x14ac:dyDescent="0.25">
      <c r="A30" s="131"/>
      <c r="B30" s="54" t="s">
        <v>123</v>
      </c>
      <c r="C30" s="43">
        <f>'Income statement'!C28/'Income statement'!L21</f>
        <v>0.94988083526865108</v>
      </c>
      <c r="D30" s="43">
        <f>'Income statement'!D28/'Income statement'!M21</f>
        <v>0.74628331743975107</v>
      </c>
      <c r="E30" s="43">
        <f>'Income statement'!E28/'Income statement'!N21</f>
        <v>0.74325239096578999</v>
      </c>
      <c r="F30" s="55">
        <f>'Income statement'!F28/'Income statement'!O21</f>
        <v>0.61610193809197777</v>
      </c>
    </row>
    <row r="31" spans="1:6" ht="15.75" x14ac:dyDescent="0.25">
      <c r="A31" s="131"/>
      <c r="B31" s="56" t="s">
        <v>124</v>
      </c>
      <c r="C31" s="41">
        <f>'Income statement'!C28/('Income statement'!L20-'Income statement'!L46)</f>
        <v>-7.4250114233457616</v>
      </c>
      <c r="D31" s="41">
        <f>'Income statement'!D28/('Income statement'!M20-'Income statement'!M46)</f>
        <v>-10.342913547914669</v>
      </c>
      <c r="E31" s="41">
        <f>'Income statement'!E28/('Income statement'!N20-'Income statement'!N46)</f>
        <v>-8.9050591153075569</v>
      </c>
      <c r="F31" s="57">
        <f>'Income statement'!F28/('Income statement'!O20-'Income statement'!O46)</f>
        <v>-4.9637041877109951</v>
      </c>
    </row>
    <row r="32" spans="1:6" ht="15.75" x14ac:dyDescent="0.25">
      <c r="A32" s="131"/>
      <c r="B32" s="54" t="s">
        <v>125</v>
      </c>
      <c r="C32" s="43">
        <f>'Income statement'!C28/'Income statement'!L12</f>
        <v>1.9942256762890398</v>
      </c>
      <c r="D32" s="43">
        <f>'Income statement'!D28/'Income statement'!M12</f>
        <v>1.6024114892474033</v>
      </c>
      <c r="E32" s="43">
        <f>'Income statement'!E28/'Income statement'!N12</f>
        <v>1.1976246879883989</v>
      </c>
      <c r="F32" s="55">
        <f>'Income statement'!F28/'Income statement'!O12</f>
        <v>0.97495406121271744</v>
      </c>
    </row>
    <row r="33" spans="1:6" ht="15.75" x14ac:dyDescent="0.25">
      <c r="A33" s="131"/>
      <c r="B33" s="52" t="s">
        <v>100</v>
      </c>
      <c r="C33" s="41"/>
      <c r="D33" s="41"/>
      <c r="E33" s="42"/>
      <c r="F33" s="60"/>
    </row>
    <row r="34" spans="1:6" ht="15.75" x14ac:dyDescent="0.25">
      <c r="A34" s="132"/>
      <c r="B34" s="54" t="s">
        <v>101</v>
      </c>
      <c r="C34" s="43">
        <f>('Income statement'!D19/'Income statement'!C28)*100</f>
        <v>0.93659214551863268</v>
      </c>
      <c r="D34" s="43">
        <f>('Income statement'!E19/'Income statement'!D28)*100</f>
        <v>0.69916056540299887</v>
      </c>
      <c r="E34" s="43">
        <f>('Income statement'!F19/'Income statement'!E28)*100</f>
        <v>0.77099700283788353</v>
      </c>
      <c r="F34" s="55">
        <f>('Income statement'!G19/'Income statement'!F28)*100</f>
        <v>0.6728711980030696</v>
      </c>
    </row>
    <row r="35" spans="1:6" ht="15.75" x14ac:dyDescent="0.25">
      <c r="A35" s="132"/>
      <c r="B35" s="56" t="s">
        <v>126</v>
      </c>
      <c r="C35" s="41">
        <f>('Income statement'!D19/'Income statement'!L21)*100</f>
        <v>0.88965092949129676</v>
      </c>
      <c r="D35" s="41">
        <f>('Income statement'!E19/'Income statement'!M21)*100</f>
        <v>0.521771866172002</v>
      </c>
      <c r="E35" s="41">
        <f>('Income statement'!F19/'Income statement'!N21)*100</f>
        <v>0.57304536578671494</v>
      </c>
      <c r="F35" s="57">
        <f>('Income statement'!G19/'Income statement'!O21)*100</f>
        <v>0.41455724917596209</v>
      </c>
    </row>
    <row r="36" spans="1:6" ht="15.75" x14ac:dyDescent="0.25">
      <c r="A36" s="132"/>
      <c r="B36" s="54" t="s">
        <v>127</v>
      </c>
      <c r="C36" s="43">
        <f>('Income statement'!D19/'Income statement'!L25)*100</f>
        <v>29.172795715954948</v>
      </c>
      <c r="D36" s="43">
        <f>('Income statement'!E19/'Income statement'!M25)*100</f>
        <v>20.811124396749541</v>
      </c>
      <c r="E36" s="43">
        <f>('Income statement'!F19/'Income statement'!N25)*100</f>
        <v>27.256908693255777</v>
      </c>
      <c r="F36" s="55">
        <f>('Income statement'!G19/'Income statement'!O25)*100</f>
        <v>19.481339135985095</v>
      </c>
    </row>
    <row r="37" spans="1:6" ht="15.75" x14ac:dyDescent="0.25">
      <c r="A37" s="132"/>
      <c r="B37" s="52" t="s">
        <v>102</v>
      </c>
      <c r="C37" s="41"/>
      <c r="D37" s="41"/>
      <c r="E37" s="42"/>
      <c r="F37" s="60"/>
    </row>
    <row r="38" spans="1:6" ht="15.75" x14ac:dyDescent="0.25">
      <c r="A38" s="132"/>
      <c r="B38" s="54" t="s">
        <v>35</v>
      </c>
      <c r="C38" s="43">
        <f>'Income statement'!C29/'Income statement'!C31</f>
        <v>27.921405355742777</v>
      </c>
      <c r="D38" s="43">
        <f>'Income statement'!D29/'Income statement'!D31</f>
        <v>30.203626511867096</v>
      </c>
      <c r="E38" s="43">
        <f>'Income statement'!E29/'Income statement'!E31</f>
        <v>22.144363409137686</v>
      </c>
      <c r="F38" s="55">
        <f>'Income statement'!F29/'Income statement'!F31</f>
        <v>28.096575542935959</v>
      </c>
    </row>
    <row r="39" spans="1:6" ht="16.5" thickBot="1" x14ac:dyDescent="0.3">
      <c r="A39" s="132"/>
      <c r="B39" s="65" t="s">
        <v>36</v>
      </c>
      <c r="C39" s="66">
        <f>'Income statement'!C29/'Income statement'!C32</f>
        <v>2.4545110456262615</v>
      </c>
      <c r="D39" s="66">
        <f>'Income statement'!D29/'Income statement'!D32</f>
        <v>1.9202335865324276</v>
      </c>
      <c r="E39" s="66">
        <f>'Income statement'!E29/'Income statement'!E32</f>
        <v>0.86057867219780304</v>
      </c>
      <c r="F39" s="67">
        <f>'Income statement'!F29/'Income statement'!F32</f>
        <v>0.94540366281394794</v>
      </c>
    </row>
    <row r="40" spans="1:6" ht="15.75" x14ac:dyDescent="0.25">
      <c r="B40" s="3"/>
    </row>
    <row r="42" spans="1:6" ht="15.75" x14ac:dyDescent="0.25">
      <c r="B42" s="3"/>
    </row>
    <row r="43" spans="1:6" ht="15.75" x14ac:dyDescent="0.25">
      <c r="B43" s="3"/>
    </row>
    <row r="44" spans="1:6" ht="15.75" x14ac:dyDescent="0.25">
      <c r="B44" s="3"/>
    </row>
    <row r="49" spans="2:6" ht="16.5" thickBot="1" x14ac:dyDescent="0.3">
      <c r="B49" s="45"/>
      <c r="C49" s="45"/>
      <c r="D49" s="45"/>
      <c r="E49" s="45"/>
    </row>
    <row r="50" spans="2:6" ht="15.75" x14ac:dyDescent="0.25">
      <c r="B50" s="598" t="s">
        <v>64</v>
      </c>
      <c r="C50" s="599"/>
      <c r="D50" s="599"/>
      <c r="E50" s="599"/>
      <c r="F50" s="600"/>
    </row>
    <row r="51" spans="2:6" ht="16.5" thickBot="1" x14ac:dyDescent="0.3">
      <c r="B51" s="610" t="s">
        <v>23</v>
      </c>
      <c r="C51" s="611"/>
      <c r="D51" s="611"/>
      <c r="E51" s="611"/>
      <c r="F51" s="612"/>
    </row>
    <row r="52" spans="2:6" ht="15.75" x14ac:dyDescent="0.25">
      <c r="B52" s="73"/>
      <c r="C52" s="50">
        <v>2019</v>
      </c>
      <c r="D52" s="50">
        <v>2020</v>
      </c>
      <c r="E52" s="7">
        <v>2021</v>
      </c>
      <c r="F52" s="51">
        <v>2022</v>
      </c>
    </row>
    <row r="53" spans="2:6" ht="15.75" x14ac:dyDescent="0.25">
      <c r="B53" s="52" t="s">
        <v>90</v>
      </c>
      <c r="C53" s="39"/>
      <c r="D53" s="39"/>
      <c r="E53" s="40"/>
      <c r="F53" s="53"/>
    </row>
    <row r="54" spans="2:6" ht="15.75" x14ac:dyDescent="0.25">
      <c r="B54" s="54" t="s">
        <v>30</v>
      </c>
      <c r="C54" s="43">
        <f>'Income statement'!L74/'Income statement'!L97</f>
        <v>0.84619058558396298</v>
      </c>
      <c r="D54" s="43">
        <f>'Income statement'!M74/'Income statement'!M97</f>
        <v>0.81723251185220991</v>
      </c>
      <c r="E54" s="43">
        <f>'Income statement'!N74/'Income statement'!N97</f>
        <v>0.87050766354439879</v>
      </c>
      <c r="F54" s="55">
        <f>'Income statement'!O74/'Income statement'!O97</f>
        <v>0.91855101380706972</v>
      </c>
    </row>
    <row r="55" spans="2:6" ht="15.75" x14ac:dyDescent="0.25">
      <c r="B55" s="56" t="s">
        <v>31</v>
      </c>
      <c r="C55" s="41">
        <f>('Income statement'!L74-'Income statement'!L68)/'Income statement'!L97</f>
        <v>0.81625672599872556</v>
      </c>
      <c r="D55" s="41">
        <f>('Income statement'!M74-'Income statement'!M68)/'Income statement'!M97</f>
        <v>0.79191515061088247</v>
      </c>
      <c r="E55" s="41">
        <f>('Income statement'!N74-'Income statement'!N68)/'Income statement'!N97</f>
        <v>0.84318186487293811</v>
      </c>
      <c r="F55" s="57">
        <f>('Income statement'!O74-'Income statement'!O68)/'Income statement'!O97</f>
        <v>0.89227001324347188</v>
      </c>
    </row>
    <row r="56" spans="2:6" ht="15.75" x14ac:dyDescent="0.25">
      <c r="B56" s="54" t="s">
        <v>117</v>
      </c>
      <c r="C56" s="46">
        <f>'Income statement'!L73/'Income statement'!L97</f>
        <v>1.8053707746747312E-2</v>
      </c>
      <c r="D56" s="46">
        <f>'Income statement'!M73/'Income statement'!M97</f>
        <v>1.7341284155882323E-2</v>
      </c>
      <c r="E56" s="46">
        <f>'Income statement'!N73/'Income statement'!N97</f>
        <v>1.9504587400954496E-2</v>
      </c>
      <c r="F56" s="58">
        <f>'Income statement'!O73/'Income statement'!O97</f>
        <v>2.4644723578396269E-2</v>
      </c>
    </row>
    <row r="57" spans="2:6" ht="15.75" x14ac:dyDescent="0.25">
      <c r="B57" s="56" t="s">
        <v>118</v>
      </c>
      <c r="C57" s="41">
        <f>('Income statement'!L74-'Income statement'!L97)/'Income statement'!L75</f>
        <v>-0.13740217572321758</v>
      </c>
      <c r="D57" s="41">
        <f>('Income statement'!M74-'Income statement'!M97)/'Income statement'!M75</f>
        <v>-0.13965923463171481</v>
      </c>
      <c r="E57" s="41">
        <f>('Income statement'!N74-'Income statement'!N97)/'Income statement'!N75</f>
        <v>-9.752630893794019E-2</v>
      </c>
      <c r="F57" s="57">
        <f>('Income statement'!O74-'Income statement'!O97)/'Income statement'!O75</f>
        <v>-5.6934884117962999E-2</v>
      </c>
    </row>
    <row r="58" spans="2:6" ht="15.75" x14ac:dyDescent="0.25">
      <c r="B58" s="54" t="s">
        <v>119</v>
      </c>
      <c r="C58" s="47">
        <f>'Income statement'!L74/'Income statement'!C87</f>
        <v>19450.442260627671</v>
      </c>
      <c r="D58" s="47">
        <f>'Income statement'!M74/'Income statement'!D87</f>
        <v>13336.036435276768</v>
      </c>
      <c r="E58" s="47">
        <f>'Income statement'!N74/'Income statement'!E87</f>
        <v>17198.028839856917</v>
      </c>
      <c r="F58" s="59">
        <f>'Income statement'!O74/'Income statement'!F87</f>
        <v>18826.953083852201</v>
      </c>
    </row>
    <row r="59" spans="2:6" ht="15.75" x14ac:dyDescent="0.25">
      <c r="B59" s="52" t="s">
        <v>94</v>
      </c>
      <c r="C59" s="41"/>
      <c r="D59" s="41"/>
      <c r="E59" s="42"/>
      <c r="F59" s="60"/>
    </row>
    <row r="60" spans="2:6" ht="15.75" x14ac:dyDescent="0.25">
      <c r="B60" s="54" t="s">
        <v>32</v>
      </c>
      <c r="C60" s="43">
        <f>'Income statement'!D62/'Income statement'!L68</f>
        <v>11.880593788959349</v>
      </c>
      <c r="D60" s="43">
        <f>'Income statement'!E62/'Income statement'!M68</f>
        <v>12.38495508072014</v>
      </c>
      <c r="E60" s="43">
        <f>'Income statement'!F62/'Income statement'!N68</f>
        <v>10.365235633631768</v>
      </c>
      <c r="F60" s="55">
        <f>'Income statement'!G62/'Income statement'!O68</f>
        <v>6.471024586366207</v>
      </c>
    </row>
    <row r="61" spans="2:6" ht="15.75" x14ac:dyDescent="0.25">
      <c r="B61" s="56" t="s">
        <v>33</v>
      </c>
      <c r="C61" s="41">
        <f t="shared" ref="C61:F61" si="2">365/C60</f>
        <v>30.722370151161549</v>
      </c>
      <c r="D61" s="41">
        <f t="shared" si="2"/>
        <v>29.471241326357447</v>
      </c>
      <c r="E61" s="41">
        <f t="shared" si="2"/>
        <v>35.213864199642067</v>
      </c>
      <c r="F61" s="57">
        <f t="shared" si="2"/>
        <v>56.405287157928285</v>
      </c>
    </row>
    <row r="62" spans="2:6" ht="15.75" x14ac:dyDescent="0.25">
      <c r="B62" s="61" t="s">
        <v>95</v>
      </c>
      <c r="C62" s="43"/>
      <c r="D62" s="43"/>
      <c r="E62" s="44"/>
      <c r="F62" s="62"/>
    </row>
    <row r="63" spans="2:6" ht="15.75" x14ac:dyDescent="0.25">
      <c r="B63" s="56" t="s">
        <v>120</v>
      </c>
      <c r="C63" s="41">
        <f>'Income statement'!C88/'Income statement'!L69</f>
        <v>1.0017890799709799</v>
      </c>
      <c r="D63" s="41">
        <f>'Income statement'!D88/'Income statement'!M69</f>
        <v>0.91329746868105899</v>
      </c>
      <c r="E63" s="41">
        <f>'Income statement'!E88/'Income statement'!N69</f>
        <v>0.87799665113547454</v>
      </c>
      <c r="F63" s="57">
        <f>'Income statement'!F88/'Income statement'!O69</f>
        <v>0.33503613736472682</v>
      </c>
    </row>
    <row r="64" spans="2:6" ht="15.75" x14ac:dyDescent="0.25">
      <c r="B64" s="54" t="s">
        <v>121</v>
      </c>
      <c r="C64" s="43">
        <f t="shared" ref="C64:F64" si="3">365/C63</f>
        <v>364.34815201875972</v>
      </c>
      <c r="D64" s="43">
        <f t="shared" si="3"/>
        <v>399.65072992824093</v>
      </c>
      <c r="E64" s="43">
        <f t="shared" si="3"/>
        <v>415.71912549775845</v>
      </c>
      <c r="F64" s="55">
        <f t="shared" si="3"/>
        <v>1089.4347185081529</v>
      </c>
    </row>
    <row r="65" spans="2:6" ht="15.75" x14ac:dyDescent="0.25">
      <c r="B65" s="52" t="s">
        <v>91</v>
      </c>
      <c r="C65" s="41"/>
      <c r="D65" s="41"/>
      <c r="E65" s="42"/>
      <c r="F65" s="60"/>
    </row>
    <row r="66" spans="2:6" ht="15.75" x14ac:dyDescent="0.25">
      <c r="B66" s="54" t="s">
        <v>29</v>
      </c>
      <c r="C66" s="43">
        <f>(('Income statement'!L75-'Income statement'!L82)/'Income statement'!L75)*100</f>
        <v>99.401987192411696</v>
      </c>
      <c r="D66" s="43">
        <f>(('Income statement'!M75-'Income statement'!M82)/'Income statement'!M75)*100</f>
        <v>86.409243095051707</v>
      </c>
      <c r="E66" s="43">
        <f>(('Income statement'!N75-'Income statement'!N82)/'Income statement'!N75)*100</f>
        <v>85.90608667219351</v>
      </c>
      <c r="F66" s="55">
        <f>(('Income statement'!O75-'Income statement'!O82)/'Income statement'!O75)*100</f>
        <v>93.544904075181975</v>
      </c>
    </row>
    <row r="67" spans="2:6" ht="15.75" x14ac:dyDescent="0.25">
      <c r="B67" s="63" t="s">
        <v>92</v>
      </c>
      <c r="C67" s="41">
        <f>('Income statement'!L75-'Income statement'!L82)/'Income statement'!L82</f>
        <v>166.22049884397333</v>
      </c>
      <c r="D67" s="41">
        <f>('Income statement'!M75-'Income statement'!M82)/'Income statement'!M82</f>
        <v>6.3579419232780685</v>
      </c>
      <c r="E67" s="41">
        <f>('Income statement'!N75-'Income statement'!N82)/'Income statement'!N82</f>
        <v>6.0952614560716603</v>
      </c>
      <c r="F67" s="57">
        <f>('Income statement'!O75-'Income statement'!O82)/'Income statement'!O82</f>
        <v>14.491636555783508</v>
      </c>
    </row>
    <row r="68" spans="2:6" ht="15.75" x14ac:dyDescent="0.25">
      <c r="B68" s="64" t="s">
        <v>122</v>
      </c>
      <c r="C68" s="43">
        <f>'Income statement'!L75/'Income statement'!L82</f>
        <v>167.22049884397333</v>
      </c>
      <c r="D68" s="43">
        <f>'Income statement'!M75/'Income statement'!M82</f>
        <v>7.3579419232780685</v>
      </c>
      <c r="E68" s="43">
        <f>'Income statement'!N75/'Income statement'!N82</f>
        <v>7.0952614560716603</v>
      </c>
      <c r="F68" s="55">
        <f>'Income statement'!O75/'Income statement'!O82</f>
        <v>15.491636555783508</v>
      </c>
    </row>
    <row r="69" spans="2:6" ht="15.75" x14ac:dyDescent="0.25">
      <c r="B69" s="56" t="s">
        <v>129</v>
      </c>
      <c r="C69" s="41">
        <f>('Income statement'!L87/('Income statement'!L87+'Income statement'!L82))*100</f>
        <v>94.392839927328211</v>
      </c>
      <c r="D69" s="41">
        <f>('Income statement'!M87/('Income statement'!M87+'Income statement'!M82))*100</f>
        <v>42.378818464117138</v>
      </c>
      <c r="E69" s="41">
        <f>('Income statement'!N87/('Income statement'!N87+'Income statement'!N82))*100</f>
        <v>42.90645699994888</v>
      </c>
      <c r="F69" s="57">
        <f>('Income statement'!O87/('Income statement'!O87+'Income statement'!O82))*100</f>
        <v>78.552711527156944</v>
      </c>
    </row>
    <row r="70" spans="2:6" ht="15.75" x14ac:dyDescent="0.25">
      <c r="B70" s="61" t="s">
        <v>93</v>
      </c>
      <c r="C70" s="43"/>
      <c r="D70" s="43"/>
      <c r="E70" s="44"/>
      <c r="F70" s="62"/>
    </row>
    <row r="71" spans="2:6" ht="15.75" x14ac:dyDescent="0.25">
      <c r="B71" s="56" t="s">
        <v>34</v>
      </c>
      <c r="C71" s="41">
        <f>'Income statement'!D65/'Income statement'!D66</f>
        <v>0.57379811007738524</v>
      </c>
      <c r="D71" s="41">
        <f>'Income statement'!E65/'Income statement'!E66</f>
        <v>0.64081016511970212</v>
      </c>
      <c r="E71" s="41">
        <f>'Income statement'!F65/'Income statement'!F66</f>
        <v>0.91995902927158535</v>
      </c>
      <c r="F71" s="57">
        <f>'Income statement'!G65/'Income statement'!G66</f>
        <v>-0.5210708973627608</v>
      </c>
    </row>
    <row r="72" spans="2:6" ht="15.75" x14ac:dyDescent="0.25">
      <c r="B72" s="54" t="s">
        <v>130</v>
      </c>
      <c r="C72" s="43">
        <f>('Income statement'!D65+'Income statement'!C95)/'Income statement'!D66</f>
        <v>0.78465279983210279</v>
      </c>
      <c r="D72" s="43">
        <f>('Income statement'!E65+'Income statement'!D95)/'Income statement'!E66</f>
        <v>0.80858404295349884</v>
      </c>
      <c r="E72" s="43">
        <f>('Income statement'!F65+'Income statement'!E95)/'Income statement'!F66</f>
        <v>1.1170697387496127</v>
      </c>
      <c r="F72" s="55">
        <f>('Income statement'!G65+'Income statement'!F95)/'Income statement'!G66</f>
        <v>-0.33590352522761896</v>
      </c>
    </row>
    <row r="73" spans="2:6" ht="15.75" x14ac:dyDescent="0.25">
      <c r="B73" s="52" t="s">
        <v>96</v>
      </c>
      <c r="C73" s="41"/>
      <c r="D73" s="41"/>
      <c r="E73" s="42"/>
      <c r="F73" s="60"/>
    </row>
    <row r="74" spans="2:6" ht="15.75" x14ac:dyDescent="0.25">
      <c r="B74" s="54" t="s">
        <v>97</v>
      </c>
      <c r="C74" s="43">
        <f>'Income statement'!C88/'Income statement'!L75</f>
        <v>0.44092766549117435</v>
      </c>
      <c r="D74" s="43">
        <f>'Income statement'!D88/'Income statement'!M75</f>
        <v>0.3416489117766433</v>
      </c>
      <c r="E74" s="43">
        <f>'Income statement'!E88/'Income statement'!N75</f>
        <v>0.32936985560457621</v>
      </c>
      <c r="F74" s="55">
        <f>'Income statement'!F88/'Income statement'!O75</f>
        <v>0.12393830707091387</v>
      </c>
    </row>
    <row r="75" spans="2:6" ht="15.75" x14ac:dyDescent="0.25">
      <c r="B75" s="56" t="s">
        <v>98</v>
      </c>
      <c r="C75" s="41">
        <f>'Income statement'!C88/('Income statement'!L74-'Income statement'!L97)</f>
        <v>-3.2090297200196982</v>
      </c>
      <c r="D75" s="41">
        <f>'Income statement'!D88/('Income statement'!M74-'Income statement'!M97)</f>
        <v>-2.446303767005316</v>
      </c>
      <c r="E75" s="41">
        <f>'Income statement'!E88/('Income statement'!N74-'Income statement'!N97)</f>
        <v>-3.3772410664507682</v>
      </c>
      <c r="F75" s="57">
        <f>'Income statement'!F88/('Income statement'!O74-'Income statement'!O97)</f>
        <v>-2.1768430548506417</v>
      </c>
    </row>
    <row r="76" spans="2:6" ht="15.75" x14ac:dyDescent="0.25">
      <c r="B76" s="54" t="s">
        <v>99</v>
      </c>
      <c r="C76" s="43">
        <f>'Income statement'!C88/'Income statement'!L66</f>
        <v>1.8065275227120334</v>
      </c>
      <c r="D76" s="43">
        <f>'Income statement'!D88/'Income statement'!M66</f>
        <v>0.90979456509772227</v>
      </c>
      <c r="E76" s="43">
        <f>'Income statement'!E88/'Income statement'!N66</f>
        <v>0.95640615072360413</v>
      </c>
      <c r="F76" s="55">
        <f>'Income statement'!F88/'Income statement'!O66</f>
        <v>0.34628363282098318</v>
      </c>
    </row>
    <row r="77" spans="2:6" ht="15.75" x14ac:dyDescent="0.25">
      <c r="B77" s="52" t="s">
        <v>100</v>
      </c>
      <c r="C77" s="41"/>
      <c r="D77" s="41"/>
      <c r="E77" s="42"/>
      <c r="F77" s="60"/>
    </row>
    <row r="78" spans="2:6" ht="15.75" x14ac:dyDescent="0.25">
      <c r="B78" s="54" t="s">
        <v>101</v>
      </c>
      <c r="C78" s="43">
        <f>('Income statement'!D77/'Income statement'!C88)*100</f>
        <v>-8.2703116053357295</v>
      </c>
      <c r="D78" s="43">
        <f>('Income statement'!E77/'Income statement'!D88)*100</f>
        <v>38.392171214715738</v>
      </c>
      <c r="E78" s="43">
        <f>('Income statement'!F77/'Income statement'!E88)*100</f>
        <v>0.87869827178720905</v>
      </c>
      <c r="F78" s="55">
        <f>('Income statement'!G77/'Income statement'!F88)*100</f>
        <v>-69.880322495853733</v>
      </c>
    </row>
    <row r="79" spans="2:6" ht="15.75" x14ac:dyDescent="0.25">
      <c r="B79" s="56" t="s">
        <v>126</v>
      </c>
      <c r="C79" s="41">
        <f>('Income statement'!D77/'Income statement'!L75)*100</f>
        <v>-3.6466091890252494</v>
      </c>
      <c r="D79" s="41">
        <f>('Income statement'!E77/'Income statement'!M75)*100</f>
        <v>13.116643516250202</v>
      </c>
      <c r="E79" s="41">
        <f>('Income statement'!F77/'Income statement'!N75)*100</f>
        <v>0.2894167228985437</v>
      </c>
      <c r="F79" s="57">
        <f>('Income statement'!G77/'Income statement'!O75)*100</f>
        <v>-8.6608488677056084</v>
      </c>
    </row>
    <row r="80" spans="2:6" ht="15.75" x14ac:dyDescent="0.25">
      <c r="B80" s="54" t="s">
        <v>127</v>
      </c>
      <c r="C80" s="43">
        <f>('Income statement'!D77/'Income statement'!L79)*100</f>
        <v>-51.530300472255021</v>
      </c>
      <c r="D80" s="43">
        <f>('Income statement'!E77/'Income statement'!M79)*100</f>
        <v>247.34554663518301</v>
      </c>
      <c r="E80" s="43">
        <f>('Income statement'!F77/'Income statement'!N79)*100</f>
        <v>5.9814760920897285</v>
      </c>
      <c r="F80" s="55">
        <f>('Income statement'!G77/'Income statement'!O79)*100</f>
        <v>-168.84556021251475</v>
      </c>
    </row>
    <row r="81" spans="2:6" ht="15.75" x14ac:dyDescent="0.25">
      <c r="B81" s="52" t="s">
        <v>102</v>
      </c>
      <c r="C81" s="41"/>
      <c r="D81" s="41"/>
      <c r="E81" s="42"/>
      <c r="F81" s="60"/>
    </row>
    <row r="82" spans="2:6" ht="15.75" x14ac:dyDescent="0.25">
      <c r="B82" s="54" t="s">
        <v>35</v>
      </c>
      <c r="C82" s="43">
        <f>'Income statement'!C91/'Income statement'!C86</f>
        <v>-2.6850927531100703</v>
      </c>
      <c r="D82" s="43">
        <f>'Income statement'!D91/'Income statement'!D86</f>
        <v>0.63204267032171446</v>
      </c>
      <c r="E82" s="43">
        <f>'Income statement'!E91/'Income statement'!E86</f>
        <v>57.229223180716183</v>
      </c>
      <c r="F82" s="55">
        <f>'Income statement'!F91/'Income statement'!F86</f>
        <v>-1.6070098696027586</v>
      </c>
    </row>
    <row r="83" spans="2:6" ht="16.5" thickBot="1" x14ac:dyDescent="0.3">
      <c r="B83" s="65" t="s">
        <v>36</v>
      </c>
      <c r="C83" s="66">
        <f>'Income statement'!C91/'Income statement'!C90</f>
        <v>16.373368233305897</v>
      </c>
      <c r="D83" s="66">
        <f>'Income statement'!D91/'Income statement'!D90</f>
        <v>0.60999386948421874</v>
      </c>
      <c r="E83" s="66">
        <f>'Income statement'!E91/'Income statement'!E90</f>
        <v>1.1751948406206114</v>
      </c>
      <c r="F83" s="67">
        <f>'Income statement'!F91/'Income statement'!F90</f>
        <v>2.1561367594910159</v>
      </c>
    </row>
  </sheetData>
  <mergeCells count="4">
    <mergeCell ref="B51:F51"/>
    <mergeCell ref="B6:F6"/>
    <mergeCell ref="B7:F7"/>
    <mergeCell ref="B50:F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DDCA-70A2-4092-90D8-1478C5E0A804}">
  <dimension ref="B3:Q101"/>
  <sheetViews>
    <sheetView topLeftCell="A58" zoomScale="80" zoomScaleNormal="80" workbookViewId="0">
      <selection activeCell="L71" sqref="L71"/>
    </sheetView>
  </sheetViews>
  <sheetFormatPr defaultRowHeight="12.75" x14ac:dyDescent="0.2"/>
  <cols>
    <col min="2" max="2" width="54.5703125" bestFit="1" customWidth="1"/>
    <col min="3" max="3" width="23.140625" bestFit="1" customWidth="1"/>
    <col min="4" max="4" width="18.7109375" bestFit="1" customWidth="1"/>
    <col min="5" max="5" width="22.5703125" bestFit="1" customWidth="1"/>
    <col min="6" max="6" width="17" bestFit="1" customWidth="1"/>
    <col min="7" max="7" width="22.85546875" bestFit="1" customWidth="1"/>
    <col min="8" max="10" width="15.7109375" bestFit="1" customWidth="1"/>
    <col min="11" max="11" width="45.5703125" bestFit="1" customWidth="1"/>
    <col min="12" max="12" width="24.7109375" bestFit="1" customWidth="1"/>
    <col min="13" max="13" width="19" bestFit="1" customWidth="1"/>
    <col min="14" max="14" width="24.7109375" bestFit="1" customWidth="1"/>
    <col min="15" max="15" width="16.7109375" bestFit="1" customWidth="1"/>
    <col min="16" max="16" width="24.7109375" bestFit="1" customWidth="1"/>
    <col min="17" max="17" width="19" bestFit="1" customWidth="1"/>
    <col min="18" max="19" width="15.7109375" bestFit="1" customWidth="1"/>
  </cols>
  <sheetData>
    <row r="3" spans="2:17" ht="13.5" thickBot="1" x14ac:dyDescent="0.25"/>
    <row r="4" spans="2:17" ht="15.75" x14ac:dyDescent="0.25">
      <c r="B4" s="633" t="s">
        <v>37</v>
      </c>
      <c r="C4" s="634"/>
      <c r="D4" s="634"/>
      <c r="E4" s="634"/>
      <c r="F4" s="634"/>
      <c r="G4" s="634"/>
      <c r="H4" s="635"/>
      <c r="K4" s="633" t="s">
        <v>37</v>
      </c>
      <c r="L4" s="634"/>
      <c r="M4" s="634"/>
      <c r="N4" s="634"/>
      <c r="O4" s="634"/>
      <c r="P4" s="634"/>
      <c r="Q4" s="635"/>
    </row>
    <row r="5" spans="2:17" ht="16.5" thickBot="1" x14ac:dyDescent="0.3">
      <c r="B5" s="641" t="s">
        <v>152</v>
      </c>
      <c r="C5" s="642"/>
      <c r="D5" s="642"/>
      <c r="E5" s="642"/>
      <c r="F5" s="642"/>
      <c r="G5" s="642"/>
      <c r="H5" s="643"/>
      <c r="K5" s="636" t="s">
        <v>183</v>
      </c>
      <c r="L5" s="637"/>
      <c r="M5" s="637"/>
      <c r="N5" s="637"/>
      <c r="O5" s="637"/>
      <c r="P5" s="637"/>
      <c r="Q5" s="638"/>
    </row>
    <row r="6" spans="2:17" ht="16.5" thickBot="1" x14ac:dyDescent="0.3">
      <c r="B6" s="641" t="s">
        <v>153</v>
      </c>
      <c r="C6" s="642"/>
      <c r="D6" s="642"/>
      <c r="E6" s="642"/>
      <c r="F6" s="642"/>
      <c r="G6" s="642"/>
      <c r="H6" s="643"/>
      <c r="K6" s="78"/>
      <c r="L6" s="203" t="s">
        <v>154</v>
      </c>
      <c r="M6" s="204">
        <v>45107</v>
      </c>
      <c r="N6" s="204" t="s">
        <v>155</v>
      </c>
      <c r="O6" s="204">
        <v>45473</v>
      </c>
      <c r="P6" s="204" t="s">
        <v>156</v>
      </c>
      <c r="Q6" s="205">
        <v>45838</v>
      </c>
    </row>
    <row r="7" spans="2:17" ht="16.5" thickBot="1" x14ac:dyDescent="0.3">
      <c r="B7" s="173"/>
      <c r="C7" s="193" t="s">
        <v>154</v>
      </c>
      <c r="D7" s="179">
        <v>45107</v>
      </c>
      <c r="E7" s="179" t="s">
        <v>155</v>
      </c>
      <c r="F7" s="182">
        <v>45473</v>
      </c>
      <c r="G7" s="194" t="s">
        <v>156</v>
      </c>
      <c r="H7" s="174">
        <v>45838</v>
      </c>
      <c r="K7" s="69" t="s">
        <v>3</v>
      </c>
      <c r="L7" s="161"/>
      <c r="M7" s="161"/>
      <c r="N7" s="339"/>
      <c r="O7" s="38"/>
      <c r="P7" s="38"/>
      <c r="Q7" s="331"/>
    </row>
    <row r="8" spans="2:17" ht="15.75" x14ac:dyDescent="0.25">
      <c r="B8" s="94" t="s">
        <v>135</v>
      </c>
      <c r="C8" s="200" t="s">
        <v>138</v>
      </c>
      <c r="D8" s="294">
        <f>8295406783*1.1246</f>
        <v>9329014468.1618004</v>
      </c>
      <c r="E8" s="180" t="s">
        <v>145</v>
      </c>
      <c r="F8" s="304">
        <f>9329014468*1.1246</f>
        <v>10491409670.712801</v>
      </c>
      <c r="G8" s="37" t="s">
        <v>151</v>
      </c>
      <c r="H8" s="183">
        <f>10491409671*1.1246</f>
        <v>11798639316.006601</v>
      </c>
      <c r="K8" s="81" t="s">
        <v>4</v>
      </c>
      <c r="L8" s="191"/>
      <c r="M8" s="169"/>
      <c r="N8" s="210"/>
      <c r="O8" s="1"/>
      <c r="P8" s="1"/>
      <c r="Q8" s="322"/>
    </row>
    <row r="9" spans="2:17" ht="15.75" x14ac:dyDescent="0.25">
      <c r="B9" s="96" t="s">
        <v>263</v>
      </c>
      <c r="C9" s="199" t="s">
        <v>264</v>
      </c>
      <c r="D9" s="295">
        <f>(7173862802*1.1246)</f>
        <v>8067726107.1292</v>
      </c>
      <c r="E9" s="149" t="s">
        <v>269</v>
      </c>
      <c r="F9" s="305">
        <f>(8067726107*1.1246)</f>
        <v>9072964779.9321995</v>
      </c>
      <c r="G9" s="150" t="s">
        <v>272</v>
      </c>
      <c r="H9" s="228">
        <f>(9072964780*1.1246)</f>
        <v>10203456191.588001</v>
      </c>
      <c r="K9" s="83" t="s">
        <v>5</v>
      </c>
      <c r="L9" s="164" t="s">
        <v>157</v>
      </c>
      <c r="M9" s="170">
        <f>3834035030*1.1246</f>
        <v>4311755794.7379999</v>
      </c>
      <c r="N9" s="340" t="s">
        <v>167</v>
      </c>
      <c r="O9" s="10">
        <f>4311755795*1.1246</f>
        <v>4849000567.0570002</v>
      </c>
      <c r="P9" s="164" t="s">
        <v>175</v>
      </c>
      <c r="Q9" s="183">
        <f>4849000567*1.1246</f>
        <v>5453186037.6482</v>
      </c>
    </row>
    <row r="10" spans="2:17" ht="15.75" x14ac:dyDescent="0.25">
      <c r="B10" s="98" t="s">
        <v>0</v>
      </c>
      <c r="C10" s="201"/>
      <c r="D10" s="296">
        <f>D8-D9</f>
        <v>1261288361.0326004</v>
      </c>
      <c r="E10" s="175"/>
      <c r="F10" s="306">
        <f>F8-F9</f>
        <v>1418444890.7806015</v>
      </c>
      <c r="G10" s="176"/>
      <c r="H10" s="99">
        <f t="shared" ref="H10" si="0">H8-H9</f>
        <v>1595183124.4186001</v>
      </c>
      <c r="K10" s="84" t="s">
        <v>49</v>
      </c>
      <c r="L10" s="165" t="s">
        <v>158</v>
      </c>
      <c r="M10" s="20">
        <v>0</v>
      </c>
      <c r="N10" s="341" t="s">
        <v>158</v>
      </c>
      <c r="O10" s="18">
        <f>0*1.1246</f>
        <v>0</v>
      </c>
      <c r="P10" s="165" t="s">
        <v>158</v>
      </c>
      <c r="Q10" s="186">
        <f>0*1.1246</f>
        <v>0</v>
      </c>
    </row>
    <row r="11" spans="2:17" ht="16.5" thickBot="1" x14ac:dyDescent="0.3">
      <c r="B11" s="96" t="s">
        <v>47</v>
      </c>
      <c r="C11" s="197" t="s">
        <v>139</v>
      </c>
      <c r="D11" s="297">
        <f>11441092*1.1246</f>
        <v>12866652.063200001</v>
      </c>
      <c r="E11" s="197" t="s">
        <v>146</v>
      </c>
      <c r="F11" s="307">
        <f>12866652*1.1246</f>
        <v>14469836.839200001</v>
      </c>
      <c r="G11" s="196" t="s">
        <v>150</v>
      </c>
      <c r="H11" s="184">
        <f>14469837*1.1246</f>
        <v>16272778.690200001</v>
      </c>
      <c r="K11" s="83" t="s">
        <v>50</v>
      </c>
      <c r="L11" s="147" t="s">
        <v>165</v>
      </c>
      <c r="M11" s="172">
        <f>4674475384*1.1246</f>
        <v>5256915016.8464003</v>
      </c>
      <c r="N11" s="212" t="s">
        <v>168</v>
      </c>
      <c r="O11" s="15">
        <f>5256915017*1.1246</f>
        <v>5911926628.1182003</v>
      </c>
      <c r="P11" s="147" t="s">
        <v>176</v>
      </c>
      <c r="Q11" s="177">
        <f>5911926628*1.1246</f>
        <v>6648552685.8488007</v>
      </c>
    </row>
    <row r="12" spans="2:17" ht="15.75" x14ac:dyDescent="0.25">
      <c r="B12" s="94" t="s">
        <v>265</v>
      </c>
      <c r="C12" s="198" t="s">
        <v>267</v>
      </c>
      <c r="D12" s="290">
        <f>(123559716*1.1246)</f>
        <v>138955256.61360002</v>
      </c>
      <c r="E12" s="198" t="s">
        <v>270</v>
      </c>
      <c r="F12" s="211">
        <f>(138955257*1.1246)</f>
        <v>156269082.02220002</v>
      </c>
      <c r="G12" s="164" t="s">
        <v>273</v>
      </c>
      <c r="H12" s="313">
        <f>(156269082*1.1246)</f>
        <v>175740209.61720002</v>
      </c>
      <c r="K12" s="84"/>
      <c r="L12" s="165"/>
      <c r="M12" s="20">
        <f>M9+M10+M11</f>
        <v>9568670811.5844002</v>
      </c>
      <c r="N12" s="206"/>
      <c r="O12" s="18">
        <f>O9+O10+O11</f>
        <v>10760927195.175201</v>
      </c>
      <c r="P12" s="165"/>
      <c r="Q12" s="186">
        <f t="shared" ref="Q12" si="1">Q9+Q10+Q11</f>
        <v>12101738723.497002</v>
      </c>
    </row>
    <row r="13" spans="2:17" ht="15.75" x14ac:dyDescent="0.25">
      <c r="B13" s="96" t="s">
        <v>266</v>
      </c>
      <c r="C13" s="202" t="s">
        <v>268</v>
      </c>
      <c r="D13" s="291">
        <f>(214793346*1.1246)</f>
        <v>241556596.91160002</v>
      </c>
      <c r="E13" s="202" t="s">
        <v>271</v>
      </c>
      <c r="F13" s="206">
        <f>(241556597*1.1246)</f>
        <v>271654548.98620003</v>
      </c>
      <c r="G13" s="165" t="s">
        <v>274</v>
      </c>
      <c r="H13" s="314">
        <f>(271654549*1.1246)</f>
        <v>305502705.80540001</v>
      </c>
      <c r="K13" s="83"/>
      <c r="L13" s="164"/>
      <c r="M13" s="170"/>
      <c r="N13" s="211"/>
      <c r="O13" s="10"/>
      <c r="P13" s="164"/>
      <c r="Q13" s="183"/>
    </row>
    <row r="14" spans="2:17" ht="15.75" x14ac:dyDescent="0.25">
      <c r="B14" s="94" t="s">
        <v>110</v>
      </c>
      <c r="C14" s="276"/>
      <c r="D14" s="277">
        <v>204530142</v>
      </c>
      <c r="E14" s="181"/>
      <c r="F14" s="278">
        <v>204530142</v>
      </c>
      <c r="G14" s="181"/>
      <c r="H14" s="229">
        <v>204530142</v>
      </c>
      <c r="K14" s="81" t="s">
        <v>6</v>
      </c>
      <c r="L14" s="144"/>
      <c r="M14" s="169"/>
      <c r="N14" s="210"/>
      <c r="O14" s="1"/>
      <c r="P14" s="144"/>
      <c r="Q14" s="322"/>
    </row>
    <row r="15" spans="2:17" ht="15.75" x14ac:dyDescent="0.25">
      <c r="B15" s="281" t="s">
        <v>27</v>
      </c>
      <c r="C15" s="282"/>
      <c r="D15" s="298">
        <f>D10+D11-D12-D13-D14</f>
        <v>689113017.57060039</v>
      </c>
      <c r="E15" s="283"/>
      <c r="F15" s="308">
        <f>F10+F11-F12-F13-F14</f>
        <v>800460954.61140132</v>
      </c>
      <c r="G15" s="221"/>
      <c r="H15" s="108">
        <f>H10+H11-H12-H13-H14</f>
        <v>925682845.68620014</v>
      </c>
      <c r="K15" s="83" t="s">
        <v>7</v>
      </c>
      <c r="L15" s="164" t="s">
        <v>159</v>
      </c>
      <c r="M15" s="170">
        <f>523562528*1.1246</f>
        <v>588798418.98880005</v>
      </c>
      <c r="N15" s="340" t="s">
        <v>169</v>
      </c>
      <c r="O15" s="10">
        <f>588798419*1.1246</f>
        <v>662162702.00740004</v>
      </c>
      <c r="P15" s="164" t="s">
        <v>177</v>
      </c>
      <c r="Q15" s="183">
        <f>662162702*1.1246</f>
        <v>744668174.66920006</v>
      </c>
    </row>
    <row r="16" spans="2:17" ht="15.75" x14ac:dyDescent="0.25">
      <c r="B16" s="279" t="s">
        <v>41</v>
      </c>
      <c r="C16" s="276"/>
      <c r="D16" s="277">
        <v>344410005</v>
      </c>
      <c r="E16" s="280"/>
      <c r="F16" s="278">
        <v>344410005</v>
      </c>
      <c r="G16" s="280"/>
      <c r="H16" s="229">
        <v>344410005</v>
      </c>
      <c r="K16" s="84" t="s">
        <v>8</v>
      </c>
      <c r="L16" s="165" t="s">
        <v>160</v>
      </c>
      <c r="M16" s="20">
        <f>1691774765*1.1246</f>
        <v>1902569900.7190001</v>
      </c>
      <c r="N16" s="341" t="s">
        <v>170</v>
      </c>
      <c r="O16" s="18">
        <f>1902569901*1.1246</f>
        <v>2139630110.6646001</v>
      </c>
      <c r="P16" s="165" t="s">
        <v>178</v>
      </c>
      <c r="Q16" s="186">
        <f>2139630111*1.1246</f>
        <v>2406228022.8306003</v>
      </c>
    </row>
    <row r="17" spans="2:17" ht="15.75" x14ac:dyDescent="0.25">
      <c r="B17" s="107" t="s">
        <v>42</v>
      </c>
      <c r="C17" s="284"/>
      <c r="D17" s="292">
        <f>D15-D16</f>
        <v>344703012.57060039</v>
      </c>
      <c r="E17" s="285"/>
      <c r="F17" s="309">
        <f>F15-F16</f>
        <v>456050949.61140132</v>
      </c>
      <c r="G17" s="214"/>
      <c r="H17" s="286">
        <f>H15-H16</f>
        <v>581272840.68620014</v>
      </c>
      <c r="K17" s="83" t="s">
        <v>9</v>
      </c>
      <c r="L17" s="164" t="s">
        <v>161</v>
      </c>
      <c r="M17" s="170">
        <f>1979564181*1.1246</f>
        <v>2226217877.9526</v>
      </c>
      <c r="N17" s="340" t="s">
        <v>171</v>
      </c>
      <c r="O17" s="10">
        <f>2226217878*1.1246</f>
        <v>2503604625.5988002</v>
      </c>
      <c r="P17" s="164" t="s">
        <v>179</v>
      </c>
      <c r="Q17" s="183">
        <f>2503604626*1.1246</f>
        <v>2815553762.3996</v>
      </c>
    </row>
    <row r="18" spans="2:17" ht="15.75" x14ac:dyDescent="0.25">
      <c r="B18" s="83" t="s">
        <v>46</v>
      </c>
      <c r="C18" s="276"/>
      <c r="D18" s="277">
        <v>11699613</v>
      </c>
      <c r="E18" s="280"/>
      <c r="F18" s="278">
        <v>11699613</v>
      </c>
      <c r="G18" s="280"/>
      <c r="H18" s="229">
        <v>11699613</v>
      </c>
      <c r="K18" s="84" t="s">
        <v>51</v>
      </c>
      <c r="L18" s="165" t="s">
        <v>162</v>
      </c>
      <c r="M18" s="20">
        <f>582400179*1.1246</f>
        <v>654967241.30340004</v>
      </c>
      <c r="N18" s="341" t="s">
        <v>172</v>
      </c>
      <c r="O18" s="18">
        <f>654967241*1.1246</f>
        <v>736576159.22860003</v>
      </c>
      <c r="P18" s="165" t="s">
        <v>180</v>
      </c>
      <c r="Q18" s="186">
        <f>736576159*1.1246</f>
        <v>828353548.41140008</v>
      </c>
    </row>
    <row r="19" spans="2:17" ht="16.5" thickBot="1" x14ac:dyDescent="0.3">
      <c r="B19" s="107" t="s">
        <v>43</v>
      </c>
      <c r="C19" s="287"/>
      <c r="D19" s="299">
        <f>D17-D18</f>
        <v>333003399.57060039</v>
      </c>
      <c r="E19" s="221"/>
      <c r="F19" s="308">
        <f>F17-F18</f>
        <v>444351336.61140132</v>
      </c>
      <c r="G19" s="165"/>
      <c r="H19" s="108">
        <f>H17-H18</f>
        <v>569573227.68620014</v>
      </c>
      <c r="K19" s="83" t="s">
        <v>10</v>
      </c>
      <c r="L19" s="147" t="s">
        <v>163</v>
      </c>
      <c r="M19" s="172">
        <f>178529254*1.1246</f>
        <v>200773999.04840001</v>
      </c>
      <c r="N19" s="212" t="s">
        <v>173</v>
      </c>
      <c r="O19" s="15">
        <f>200773999*1.1246</f>
        <v>225790439.27540001</v>
      </c>
      <c r="P19" s="147" t="s">
        <v>181</v>
      </c>
      <c r="Q19" s="177">
        <f>225790439*1.1246</f>
        <v>253923927.69940001</v>
      </c>
    </row>
    <row r="20" spans="2:17" ht="15.75" x14ac:dyDescent="0.25">
      <c r="B20" s="83" t="s">
        <v>48</v>
      </c>
      <c r="C20" s="276" t="s">
        <v>147</v>
      </c>
      <c r="D20" s="300">
        <f>307518944*0.3857</f>
        <v>118610056.7008</v>
      </c>
      <c r="E20" s="280" t="s">
        <v>148</v>
      </c>
      <c r="F20" s="278">
        <f>390207062*0.3857</f>
        <v>150502863.8134</v>
      </c>
      <c r="G20" s="280" t="s">
        <v>149</v>
      </c>
      <c r="H20" s="229">
        <f>483198121*0.3857</f>
        <v>186369515.26969999</v>
      </c>
      <c r="K20" s="84"/>
      <c r="L20" s="18"/>
      <c r="M20" s="20">
        <f>M15+M16+M17+M18+M19</f>
        <v>5573327438.0122004</v>
      </c>
      <c r="N20" s="206"/>
      <c r="O20" s="18">
        <f>(O15+O16+O17+O18+O19)</f>
        <v>6267764036.7747993</v>
      </c>
      <c r="P20" s="165"/>
      <c r="Q20" s="186">
        <f t="shared" ref="Q20" si="2">(Q15+Q16+Q17+Q18+Q19)</f>
        <v>7048727436.0102005</v>
      </c>
    </row>
    <row r="21" spans="2:17" ht="16.5" thickBot="1" x14ac:dyDescent="0.3">
      <c r="B21" s="107" t="s">
        <v>44</v>
      </c>
      <c r="C21" s="287"/>
      <c r="D21" s="301">
        <f>D19-D20</f>
        <v>214393342.86980039</v>
      </c>
      <c r="E21" s="221"/>
      <c r="F21" s="310">
        <f>F19-F20</f>
        <v>293848472.79800129</v>
      </c>
      <c r="G21" s="221"/>
      <c r="H21" s="293">
        <f>H19-H20</f>
        <v>383203712.41650015</v>
      </c>
      <c r="K21" s="69" t="s">
        <v>11</v>
      </c>
      <c r="L21" s="5"/>
      <c r="M21" s="171">
        <f>M12+M20</f>
        <v>15141998249.5966</v>
      </c>
      <c r="N21" s="207"/>
      <c r="O21" s="5">
        <f>O12+O20</f>
        <v>17028691231.950001</v>
      </c>
      <c r="P21" s="176"/>
      <c r="Q21" s="99">
        <f>Q12+Q20</f>
        <v>19150466159.507202</v>
      </c>
    </row>
    <row r="22" spans="2:17" ht="16.5" thickTop="1" x14ac:dyDescent="0.25">
      <c r="B22" s="83" t="s">
        <v>136</v>
      </c>
      <c r="C22" s="224" t="s">
        <v>260</v>
      </c>
      <c r="D22" s="302">
        <f>(188908887*0.1682)</f>
        <v>31774474.793399997</v>
      </c>
      <c r="E22" s="224" t="s">
        <v>261</v>
      </c>
      <c r="F22" s="311">
        <f>(239704198*0.1682)</f>
        <v>40318246.103599995</v>
      </c>
      <c r="G22" s="224" t="s">
        <v>262</v>
      </c>
      <c r="H22" s="315">
        <f>(296828606*0.1682)</f>
        <v>49926571.529199995</v>
      </c>
      <c r="K22" s="84"/>
      <c r="L22" s="1"/>
      <c r="M22" s="20"/>
      <c r="N22" s="206"/>
      <c r="O22" s="1"/>
      <c r="P22" s="144"/>
      <c r="Q22" s="322"/>
    </row>
    <row r="23" spans="2:17" ht="16.5" thickBot="1" x14ac:dyDescent="0.3">
      <c r="B23" s="288" t="s">
        <v>137</v>
      </c>
      <c r="C23" s="148"/>
      <c r="D23" s="303">
        <f>D21-D22</f>
        <v>182618868.0764004</v>
      </c>
      <c r="E23" s="148"/>
      <c r="F23" s="312">
        <f>F21-F22</f>
        <v>253530226.69440129</v>
      </c>
      <c r="G23" s="148"/>
      <c r="H23" s="289">
        <f>H21-H22</f>
        <v>333277140.88730013</v>
      </c>
      <c r="K23" s="69" t="s">
        <v>12</v>
      </c>
      <c r="L23" s="2"/>
      <c r="M23" s="171"/>
      <c r="N23" s="207"/>
      <c r="O23" s="2"/>
      <c r="P23" s="145"/>
      <c r="Q23" s="323"/>
    </row>
    <row r="24" spans="2:17" ht="15.75" x14ac:dyDescent="0.25">
      <c r="K24" s="81" t="s">
        <v>13</v>
      </c>
      <c r="L24" s="1"/>
      <c r="M24" s="169"/>
      <c r="N24" s="210"/>
      <c r="O24" s="1"/>
      <c r="P24" s="144"/>
      <c r="Q24" s="322"/>
    </row>
    <row r="25" spans="2:17" ht="15.75" x14ac:dyDescent="0.25">
      <c r="K25" s="83" t="s">
        <v>14</v>
      </c>
      <c r="L25" s="10"/>
      <c r="M25" s="10">
        <v>286517280</v>
      </c>
      <c r="N25" s="211"/>
      <c r="O25" s="10">
        <v>286517280</v>
      </c>
      <c r="P25" s="164"/>
      <c r="Q25" s="183">
        <v>286517280</v>
      </c>
    </row>
    <row r="26" spans="2:17" ht="15.75" x14ac:dyDescent="0.25">
      <c r="K26" s="84" t="s">
        <v>63</v>
      </c>
      <c r="L26" s="18"/>
      <c r="M26" s="18">
        <v>1000000000</v>
      </c>
      <c r="N26" s="206"/>
      <c r="O26" s="18">
        <v>1000000000</v>
      </c>
      <c r="P26" s="165"/>
      <c r="Q26" s="186">
        <v>1000000000</v>
      </c>
    </row>
    <row r="27" spans="2:17" ht="16.5" thickBot="1" x14ac:dyDescent="0.3">
      <c r="K27" s="83" t="s">
        <v>52</v>
      </c>
      <c r="L27" s="10"/>
      <c r="M27" s="10">
        <v>166000000</v>
      </c>
      <c r="N27" s="211"/>
      <c r="O27" s="10">
        <v>166000000</v>
      </c>
      <c r="P27" s="164"/>
      <c r="Q27" s="183">
        <v>166000000</v>
      </c>
    </row>
    <row r="28" spans="2:17" ht="15.75" x14ac:dyDescent="0.25">
      <c r="B28" s="381" t="s">
        <v>131</v>
      </c>
      <c r="C28" s="468">
        <v>2018</v>
      </c>
      <c r="D28" s="363">
        <v>2019</v>
      </c>
      <c r="E28" s="363">
        <v>2020</v>
      </c>
      <c r="F28" s="363">
        <v>2021</v>
      </c>
      <c r="G28" s="364">
        <v>2022</v>
      </c>
      <c r="K28" s="84" t="s">
        <v>53</v>
      </c>
      <c r="L28" s="18"/>
      <c r="M28" s="18">
        <v>23210490</v>
      </c>
      <c r="N28" s="206"/>
      <c r="O28" s="18">
        <v>23210490</v>
      </c>
      <c r="P28" s="165"/>
      <c r="Q28" s="186">
        <v>23210490</v>
      </c>
    </row>
    <row r="29" spans="2:17" ht="16.5" thickBot="1" x14ac:dyDescent="0.3">
      <c r="B29" s="374" t="s">
        <v>105</v>
      </c>
      <c r="C29" s="365">
        <v>5533351168</v>
      </c>
      <c r="D29" s="342">
        <v>7709220427</v>
      </c>
      <c r="E29" s="342">
        <v>7677983980</v>
      </c>
      <c r="F29" s="342">
        <v>9585895429</v>
      </c>
      <c r="G29" s="366">
        <v>8249491068</v>
      </c>
      <c r="K29" s="83" t="s">
        <v>15</v>
      </c>
      <c r="L29" s="147" t="s">
        <v>275</v>
      </c>
      <c r="M29" s="147">
        <f>(183116956+182618868)</f>
        <v>365735824</v>
      </c>
      <c r="N29" s="212" t="s">
        <v>276</v>
      </c>
      <c r="O29" s="147">
        <f>(365735824+253530227)</f>
        <v>619266051</v>
      </c>
      <c r="P29" s="147" t="s">
        <v>277</v>
      </c>
      <c r="Q29" s="209">
        <f>(619266051+333277141)</f>
        <v>952543192</v>
      </c>
    </row>
    <row r="30" spans="2:17" ht="16.5" thickBot="1" x14ac:dyDescent="0.3">
      <c r="B30" s="375" t="s">
        <v>140</v>
      </c>
      <c r="C30" s="369"/>
      <c r="D30" s="370">
        <f>((D29-C29)/C29)*100</f>
        <v>39.322811673029172</v>
      </c>
      <c r="E30" s="370">
        <f>((E29-D29)/D29)*100</f>
        <v>-0.40518295326724096</v>
      </c>
      <c r="F30" s="370">
        <f t="shared" ref="F30:G30" si="3">((F29-E29)/E29)*100</f>
        <v>24.849119950885857</v>
      </c>
      <c r="G30" s="215">
        <f t="shared" si="3"/>
        <v>-13.941361773643024</v>
      </c>
      <c r="K30" s="84"/>
      <c r="L30" s="18"/>
      <c r="M30" s="20">
        <f>M25+M26+M27+M28+M29</f>
        <v>1841463594</v>
      </c>
      <c r="N30" s="206"/>
      <c r="O30" s="18">
        <f t="shared" ref="O30:Q30" si="4">O25+O26+O27+O28+O29</f>
        <v>2094993821</v>
      </c>
      <c r="P30" s="165"/>
      <c r="Q30" s="186">
        <f t="shared" si="4"/>
        <v>2428270962</v>
      </c>
    </row>
    <row r="31" spans="2:17" ht="16.5" thickBot="1" x14ac:dyDescent="0.3">
      <c r="B31" s="376" t="s">
        <v>142</v>
      </c>
      <c r="C31" s="631">
        <f>(D30+E30+F30+G30)/4</f>
        <v>12.45634672425119</v>
      </c>
      <c r="D31" s="631"/>
      <c r="E31" s="631"/>
      <c r="F31" s="631"/>
      <c r="G31" s="632"/>
      <c r="K31" s="89" t="s">
        <v>16</v>
      </c>
      <c r="L31" s="2"/>
      <c r="M31" s="171"/>
      <c r="N31" s="207"/>
      <c r="O31" s="2"/>
      <c r="P31" s="145"/>
      <c r="Q31" s="323"/>
    </row>
    <row r="32" spans="2:17" ht="16.5" thickBot="1" x14ac:dyDescent="0.3">
      <c r="B32" s="377" t="s">
        <v>141</v>
      </c>
      <c r="C32" s="371">
        <f>('Income statement'!C18/'Income statement'!C17)*100</f>
        <v>25</v>
      </c>
      <c r="D32" s="371">
        <f>('Income statement'!D18/'Income statement'!D17)*100</f>
        <v>39.921800605814703</v>
      </c>
      <c r="E32" s="371">
        <f>('Income statement'!E18/'Income statement'!E17)*100</f>
        <v>25.000001040051277</v>
      </c>
      <c r="F32" s="371">
        <f>('Income statement'!F18/'Income statement'!F17)*100</f>
        <v>26.759432586719186</v>
      </c>
      <c r="G32" s="216">
        <f>('Income statement'!G18/'Income statement'!G17)*100</f>
        <v>76.145619027358308</v>
      </c>
      <c r="K32" s="84" t="s">
        <v>54</v>
      </c>
      <c r="L32" s="18"/>
      <c r="M32" s="18">
        <v>4753940677</v>
      </c>
      <c r="N32" s="206"/>
      <c r="O32" s="18">
        <v>4753940677</v>
      </c>
      <c r="P32" s="165"/>
      <c r="Q32" s="186">
        <v>4753940677</v>
      </c>
    </row>
    <row r="33" spans="2:17" ht="16.5" thickBot="1" x14ac:dyDescent="0.3">
      <c r="B33" s="378" t="s">
        <v>143</v>
      </c>
      <c r="C33" s="639">
        <f>(C32+D32+E32+F32+G32)/5</f>
        <v>38.565370651988687</v>
      </c>
      <c r="D33" s="639"/>
      <c r="E33" s="639"/>
      <c r="F33" s="639"/>
      <c r="G33" s="640"/>
      <c r="K33" s="83" t="s">
        <v>55</v>
      </c>
      <c r="L33" s="10"/>
      <c r="M33" s="10">
        <v>194838700</v>
      </c>
      <c r="N33" s="211"/>
      <c r="O33" s="10">
        <v>194838700</v>
      </c>
      <c r="P33" s="164"/>
      <c r="Q33" s="183">
        <v>194838700</v>
      </c>
    </row>
    <row r="34" spans="2:17" ht="16.5" thickBot="1" x14ac:dyDescent="0.3">
      <c r="B34" s="375" t="s">
        <v>144</v>
      </c>
      <c r="C34" s="211">
        <v>20589917</v>
      </c>
      <c r="D34" s="211">
        <v>5530030</v>
      </c>
      <c r="E34" s="211">
        <v>10349993</v>
      </c>
      <c r="F34" s="211">
        <v>12507152</v>
      </c>
      <c r="G34" s="317">
        <v>205315011</v>
      </c>
      <c r="K34" s="84" t="s">
        <v>17</v>
      </c>
      <c r="L34" s="24"/>
      <c r="M34" s="24">
        <v>229673348</v>
      </c>
      <c r="N34" s="213"/>
      <c r="O34" s="24">
        <v>229673348</v>
      </c>
      <c r="P34" s="34"/>
      <c r="Q34" s="289">
        <v>229673348</v>
      </c>
    </row>
    <row r="35" spans="2:17" ht="16.5" thickBot="1" x14ac:dyDescent="0.3">
      <c r="B35" s="379" t="s">
        <v>184</v>
      </c>
      <c r="C35" s="372">
        <f>(C34/'Income statement'!C19)*100</f>
        <v>25.278418222201086</v>
      </c>
      <c r="D35" s="372">
        <f>(D34/'Income statement'!D19)*100</f>
        <v>7.6589019994514702</v>
      </c>
      <c r="E35" s="372">
        <f>(E34/'Income statement'!E19)*100</f>
        <v>19.136930860588734</v>
      </c>
      <c r="F35" s="372">
        <f>(F34/'Income statement'!F19)*100</f>
        <v>16.815907431914219</v>
      </c>
      <c r="G35" s="318">
        <f>(G34/'Income statement'!G19)*100</f>
        <v>367.83332789596102</v>
      </c>
      <c r="K35" s="83"/>
      <c r="L35" s="10"/>
      <c r="M35" s="170">
        <f>M32+M33+M34</f>
        <v>5178452725</v>
      </c>
      <c r="N35" s="211"/>
      <c r="O35" s="10">
        <f>O32+O33+O34</f>
        <v>5178452725</v>
      </c>
      <c r="P35" s="164"/>
      <c r="Q35" s="183">
        <f>Q32+Q33+Q34</f>
        <v>5178452725</v>
      </c>
    </row>
    <row r="36" spans="2:17" ht="16.5" thickBot="1" x14ac:dyDescent="0.3">
      <c r="B36" s="644" t="s">
        <v>278</v>
      </c>
      <c r="C36" s="645"/>
      <c r="D36" s="645"/>
      <c r="E36" s="645"/>
      <c r="F36" s="645"/>
      <c r="G36" s="646"/>
      <c r="K36" s="81" t="s">
        <v>18</v>
      </c>
      <c r="L36" s="1"/>
      <c r="M36" s="169"/>
      <c r="N36" s="210"/>
      <c r="O36" s="1"/>
      <c r="P36" s="144"/>
      <c r="Q36" s="322"/>
    </row>
    <row r="37" spans="2:17" ht="15.75" x14ac:dyDescent="0.25">
      <c r="K37" s="83" t="s">
        <v>19</v>
      </c>
      <c r="L37" s="195" t="s">
        <v>187</v>
      </c>
      <c r="M37" s="10">
        <f>(3799395456*1.1246)</f>
        <v>4272800129.8176003</v>
      </c>
      <c r="N37" s="334" t="s">
        <v>191</v>
      </c>
      <c r="O37" s="10">
        <f>(4272800130*1.1246)</f>
        <v>4805191026.198</v>
      </c>
      <c r="P37" s="164" t="s">
        <v>195</v>
      </c>
      <c r="Q37" s="183">
        <f>(4805191026*1.1246)</f>
        <v>5403917827.8396006</v>
      </c>
    </row>
    <row r="38" spans="2:17" ht="15.75" x14ac:dyDescent="0.25">
      <c r="K38" s="84" t="s">
        <v>56</v>
      </c>
      <c r="L38" s="165"/>
      <c r="M38" s="18">
        <v>534504911</v>
      </c>
      <c r="N38" s="335"/>
      <c r="O38" s="18">
        <v>534504911</v>
      </c>
      <c r="P38" s="165"/>
      <c r="Q38" s="186">
        <v>534504911</v>
      </c>
    </row>
    <row r="39" spans="2:17" ht="15.75" x14ac:dyDescent="0.25">
      <c r="B39" s="459"/>
      <c r="C39" s="460"/>
      <c r="D39" s="460"/>
      <c r="E39" s="460"/>
      <c r="K39" s="83" t="s">
        <v>57</v>
      </c>
      <c r="L39" s="164" t="s">
        <v>188</v>
      </c>
      <c r="M39" s="10">
        <f>436904007*1.1246</f>
        <v>491342246.27220005</v>
      </c>
      <c r="N39" s="334" t="s">
        <v>192</v>
      </c>
      <c r="O39" s="10">
        <f>(491342246*1.1246)</f>
        <v>552563489.85160005</v>
      </c>
      <c r="P39" s="164" t="s">
        <v>196</v>
      </c>
      <c r="Q39" s="183">
        <f>(552563490*1.1246)</f>
        <v>621412900.85399997</v>
      </c>
    </row>
    <row r="40" spans="2:17" ht="15.75" x14ac:dyDescent="0.25">
      <c r="B40" s="459"/>
      <c r="C40" s="461"/>
      <c r="D40" s="461"/>
      <c r="E40" s="461"/>
      <c r="F40" s="432"/>
      <c r="G40" s="432"/>
      <c r="K40" s="84" t="s">
        <v>58</v>
      </c>
      <c r="L40" s="165" t="s">
        <v>189</v>
      </c>
      <c r="M40" s="18">
        <f>256893127*1.1246</f>
        <v>288902010.62419999</v>
      </c>
      <c r="N40" s="335" t="s">
        <v>193</v>
      </c>
      <c r="O40" s="18">
        <f>(288902011*1.1246)</f>
        <v>324899201.57060003</v>
      </c>
      <c r="P40" s="165" t="s">
        <v>197</v>
      </c>
      <c r="Q40" s="186">
        <f>(324899202*1.1246)</f>
        <v>365381642.56920004</v>
      </c>
    </row>
    <row r="41" spans="2:17" ht="15.75" x14ac:dyDescent="0.25">
      <c r="B41" s="459"/>
      <c r="C41" s="462"/>
      <c r="D41" s="463"/>
      <c r="E41" s="463"/>
      <c r="K41" s="83" t="s">
        <v>59</v>
      </c>
      <c r="L41" s="164" t="s">
        <v>164</v>
      </c>
      <c r="M41" s="10">
        <f>1372042950*1.1246</f>
        <v>1542999501.5700002</v>
      </c>
      <c r="N41" s="334" t="s">
        <v>174</v>
      </c>
      <c r="O41" s="10">
        <f>(1542999502*1.1246)</f>
        <v>1735257239.9492002</v>
      </c>
      <c r="P41" s="164" t="s">
        <v>182</v>
      </c>
      <c r="Q41" s="183">
        <f>(1735257240*1.1246)</f>
        <v>1951470292.1040001</v>
      </c>
    </row>
    <row r="42" spans="2:17" ht="15.75" x14ac:dyDescent="0.25">
      <c r="K42" s="84" t="s">
        <v>60</v>
      </c>
      <c r="L42" s="165"/>
      <c r="M42" s="18">
        <v>636700</v>
      </c>
      <c r="N42" s="206"/>
      <c r="O42" s="18">
        <v>636700</v>
      </c>
      <c r="P42" s="20"/>
      <c r="Q42" s="186">
        <v>636700</v>
      </c>
    </row>
    <row r="43" spans="2:17" ht="15.75" x14ac:dyDescent="0.25">
      <c r="K43" s="83" t="s">
        <v>21</v>
      </c>
      <c r="L43" s="164"/>
      <c r="M43" s="10">
        <v>30033641</v>
      </c>
      <c r="N43" s="211"/>
      <c r="O43" s="10">
        <v>30033641</v>
      </c>
      <c r="P43" s="170"/>
      <c r="Q43" s="183">
        <v>30033641</v>
      </c>
    </row>
    <row r="44" spans="2:17" ht="15.75" x14ac:dyDescent="0.25">
      <c r="K44" s="84" t="s">
        <v>61</v>
      </c>
      <c r="L44" s="165"/>
      <c r="M44" s="18">
        <v>22439221</v>
      </c>
      <c r="N44" s="206"/>
      <c r="O44" s="18">
        <v>22439221</v>
      </c>
      <c r="P44" s="20"/>
      <c r="Q44" s="186">
        <v>22439221</v>
      </c>
    </row>
    <row r="45" spans="2:17" ht="15.75" x14ac:dyDescent="0.25">
      <c r="K45" s="83" t="s">
        <v>62</v>
      </c>
      <c r="L45" s="164" t="s">
        <v>190</v>
      </c>
      <c r="M45" s="10">
        <f>174193857*1.1246</f>
        <v>195898411.58220002</v>
      </c>
      <c r="N45" s="334" t="s">
        <v>194</v>
      </c>
      <c r="O45" s="10">
        <f>(195898412*1.1246)</f>
        <v>220307354.13519999</v>
      </c>
      <c r="P45" s="164" t="s">
        <v>198</v>
      </c>
      <c r="Q45" s="183">
        <f>(220307354*1.1246)</f>
        <v>247757650.30840001</v>
      </c>
    </row>
    <row r="46" spans="2:17" ht="15.75" x14ac:dyDescent="0.25">
      <c r="K46" s="84"/>
      <c r="L46" s="208"/>
      <c r="M46" s="151">
        <f>M37+M38+M39+M40+M41+M42+M43+M44+M45</f>
        <v>7379556772.8662004</v>
      </c>
      <c r="N46" s="336"/>
      <c r="O46" s="208">
        <f>O37+O38+O39+O40+O41+O44+O42+O45+O43</f>
        <v>8225832784.7045984</v>
      </c>
      <c r="P46" s="214"/>
      <c r="Q46" s="332">
        <f>Q37+Q38+Q39+Q40+Q41+Q44+Q42+Q45+Q43</f>
        <v>9177554786.6751995</v>
      </c>
    </row>
    <row r="47" spans="2:17" ht="15.75" x14ac:dyDescent="0.25">
      <c r="K47" s="69" t="s">
        <v>20</v>
      </c>
      <c r="L47" s="5"/>
      <c r="M47" s="171">
        <f>M46+M35+M30</f>
        <v>14399473091.866199</v>
      </c>
      <c r="N47" s="337"/>
      <c r="O47" s="5">
        <f>O30+O35+O46</f>
        <v>15499279330.704597</v>
      </c>
      <c r="P47" s="176"/>
      <c r="Q47" s="99">
        <f>Q30+Q35+Q46</f>
        <v>16784278473.6752</v>
      </c>
    </row>
    <row r="48" spans="2:17" ht="16.5" thickBot="1" x14ac:dyDescent="0.3">
      <c r="K48" s="271" t="s">
        <v>166</v>
      </c>
      <c r="L48" s="272"/>
      <c r="M48" s="273">
        <f>M21-M47</f>
        <v>742525157.73040009</v>
      </c>
      <c r="N48" s="338"/>
      <c r="O48" s="274">
        <f>O21-O47</f>
        <v>1529411901.2454033</v>
      </c>
      <c r="P48" s="275"/>
      <c r="Q48" s="333">
        <f>Q21-Q47</f>
        <v>2366187685.8320026</v>
      </c>
    </row>
    <row r="49" spans="2:17" ht="15.75" x14ac:dyDescent="0.25">
      <c r="K49" s="436"/>
      <c r="L49" s="433"/>
      <c r="M49" s="434"/>
      <c r="N49" s="433"/>
      <c r="O49" s="435"/>
      <c r="P49" s="433"/>
      <c r="Q49" s="435"/>
    </row>
    <row r="58" spans="2:17" ht="13.5" thickBot="1" x14ac:dyDescent="0.25"/>
    <row r="59" spans="2:17" ht="15.75" x14ac:dyDescent="0.25">
      <c r="B59" s="598" t="s">
        <v>64</v>
      </c>
      <c r="C59" s="599"/>
      <c r="D59" s="599"/>
      <c r="E59" s="599"/>
      <c r="F59" s="599"/>
      <c r="G59" s="599"/>
      <c r="H59" s="600"/>
      <c r="K59" s="598" t="s">
        <v>64</v>
      </c>
      <c r="L59" s="599"/>
      <c r="M59" s="599"/>
      <c r="N59" s="599"/>
      <c r="O59" s="599"/>
      <c r="P59" s="599"/>
      <c r="Q59" s="600"/>
    </row>
    <row r="60" spans="2:17" ht="15.75" x14ac:dyDescent="0.25">
      <c r="B60" s="621" t="s">
        <v>152</v>
      </c>
      <c r="C60" s="622"/>
      <c r="D60" s="622"/>
      <c r="E60" s="622"/>
      <c r="F60" s="622"/>
      <c r="G60" s="622"/>
      <c r="H60" s="623"/>
      <c r="K60" s="621" t="s">
        <v>183</v>
      </c>
      <c r="L60" s="622"/>
      <c r="M60" s="622"/>
      <c r="N60" s="622"/>
      <c r="O60" s="622"/>
      <c r="P60" s="622"/>
      <c r="Q60" s="623"/>
    </row>
    <row r="61" spans="2:17" ht="16.5" thickBot="1" x14ac:dyDescent="0.3">
      <c r="B61" s="621" t="s">
        <v>153</v>
      </c>
      <c r="C61" s="622"/>
      <c r="D61" s="622"/>
      <c r="E61" s="622"/>
      <c r="F61" s="622"/>
      <c r="G61" s="622"/>
      <c r="H61" s="623"/>
      <c r="K61" s="49"/>
      <c r="L61" s="50" t="s">
        <v>154</v>
      </c>
      <c r="M61" s="11">
        <v>45107</v>
      </c>
      <c r="N61" s="50" t="s">
        <v>155</v>
      </c>
      <c r="O61" s="11">
        <v>45473</v>
      </c>
      <c r="P61" s="50" t="s">
        <v>156</v>
      </c>
      <c r="Q61" s="79">
        <v>45838</v>
      </c>
    </row>
    <row r="62" spans="2:17" ht="15.75" x14ac:dyDescent="0.25">
      <c r="B62" s="217"/>
      <c r="C62" s="192" t="s">
        <v>154</v>
      </c>
      <c r="D62" s="220">
        <v>45107</v>
      </c>
      <c r="E62" s="189" t="s">
        <v>155</v>
      </c>
      <c r="F62" s="218" t="s">
        <v>185</v>
      </c>
      <c r="G62" s="189" t="s">
        <v>156</v>
      </c>
      <c r="H62" s="219" t="s">
        <v>186</v>
      </c>
      <c r="K62" s="70" t="s">
        <v>3</v>
      </c>
      <c r="L62" s="38"/>
      <c r="M62" s="326"/>
      <c r="N62" s="327"/>
      <c r="O62" s="38"/>
      <c r="P62" s="327"/>
      <c r="Q62" s="323"/>
    </row>
    <row r="63" spans="2:17" ht="15.75" x14ac:dyDescent="0.25">
      <c r="B63" s="94" t="s">
        <v>69</v>
      </c>
      <c r="C63" s="222" t="s">
        <v>201</v>
      </c>
      <c r="D63" s="180">
        <f>728268185*1.067</f>
        <v>777062153.39499998</v>
      </c>
      <c r="E63" s="230" t="s">
        <v>204</v>
      </c>
      <c r="F63" s="26">
        <f>777062153*1.067</f>
        <v>829125317.25099993</v>
      </c>
      <c r="G63" s="230" t="s">
        <v>207</v>
      </c>
      <c r="H63" s="226">
        <f>829125317*1.067</f>
        <v>884676713.23899996</v>
      </c>
      <c r="K63" s="114" t="s">
        <v>4</v>
      </c>
      <c r="L63" s="1"/>
      <c r="M63" s="191"/>
      <c r="N63" s="328"/>
      <c r="O63" s="1"/>
      <c r="P63" s="328"/>
      <c r="Q63" s="322"/>
    </row>
    <row r="64" spans="2:17" ht="15.75" x14ac:dyDescent="0.25">
      <c r="B64" s="96" t="s">
        <v>24</v>
      </c>
      <c r="C64" s="231" t="s">
        <v>202</v>
      </c>
      <c r="D64" s="149">
        <f>785199999*1.067</f>
        <v>837808398.93299997</v>
      </c>
      <c r="E64" s="231" t="s">
        <v>205</v>
      </c>
      <c r="F64" s="27">
        <f>837808399*1.067</f>
        <v>893941561.73299992</v>
      </c>
      <c r="G64" s="231" t="s">
        <v>208</v>
      </c>
      <c r="H64" s="178">
        <f>893941562*1.067</f>
        <v>953835646.65399992</v>
      </c>
      <c r="K64" s="115" t="s">
        <v>5</v>
      </c>
      <c r="L64" s="164" t="s">
        <v>210</v>
      </c>
      <c r="M64" s="164">
        <f>2040508376*1.068</f>
        <v>2179262945.5680003</v>
      </c>
      <c r="N64" s="164" t="s">
        <v>224</v>
      </c>
      <c r="O64" s="164">
        <f>2179262946*1.068</f>
        <v>2327452826.3280001</v>
      </c>
      <c r="P64" s="164" t="s">
        <v>237</v>
      </c>
      <c r="Q64" s="313">
        <f>2327452826*1.068</f>
        <v>2485719618.1680002</v>
      </c>
    </row>
    <row r="65" spans="2:17" ht="15.75" x14ac:dyDescent="0.25">
      <c r="B65" s="98" t="s">
        <v>0</v>
      </c>
      <c r="C65" s="176"/>
      <c r="D65" s="175">
        <f>D63-D64</f>
        <v>-60746245.537999988</v>
      </c>
      <c r="E65" s="232"/>
      <c r="F65" s="5">
        <f>F63-F64</f>
        <v>-64816244.481999993</v>
      </c>
      <c r="G65" s="232"/>
      <c r="H65" s="99">
        <f>H63-H64</f>
        <v>-69158933.414999962</v>
      </c>
      <c r="J65" s="188"/>
      <c r="K65" s="84" t="s">
        <v>71</v>
      </c>
      <c r="L65" s="165" t="s">
        <v>211</v>
      </c>
      <c r="M65" s="505">
        <f>318484598*1.068</f>
        <v>340141550.66400003</v>
      </c>
      <c r="N65" s="165" t="s">
        <v>225</v>
      </c>
      <c r="O65" s="165">
        <f>340141551*1.068</f>
        <v>363271176.46799999</v>
      </c>
      <c r="P65" s="165" t="s">
        <v>238</v>
      </c>
      <c r="Q65" s="314">
        <f>363271176*1.068</f>
        <v>387973615.96799999</v>
      </c>
    </row>
    <row r="66" spans="2:17" ht="16.5" thickBot="1" x14ac:dyDescent="0.3">
      <c r="B66" s="100" t="s">
        <v>257</v>
      </c>
      <c r="C66" s="267" t="s">
        <v>256</v>
      </c>
      <c r="D66" s="267">
        <f>82220753*1.068</f>
        <v>87811764.204000011</v>
      </c>
      <c r="E66" s="267" t="s">
        <v>258</v>
      </c>
      <c r="F66" s="267">
        <f>87811764*1.068</f>
        <v>93782963.952000007</v>
      </c>
      <c r="G66" s="267" t="s">
        <v>259</v>
      </c>
      <c r="H66" s="267">
        <f>93782964*1.068</f>
        <v>100160205.552</v>
      </c>
      <c r="K66" s="115" t="s">
        <v>72</v>
      </c>
      <c r="L66" s="147" t="s">
        <v>212</v>
      </c>
      <c r="M66" s="147">
        <f>5000000*1.068</f>
        <v>5340000</v>
      </c>
      <c r="N66" s="147" t="s">
        <v>226</v>
      </c>
      <c r="O66" s="147">
        <f>5340000*1.068</f>
        <v>5703120</v>
      </c>
      <c r="P66" s="147" t="s">
        <v>239</v>
      </c>
      <c r="Q66" s="209">
        <f>5703120*1.068</f>
        <v>6090932.1600000001</v>
      </c>
    </row>
    <row r="67" spans="2:17" ht="15.75" x14ac:dyDescent="0.25">
      <c r="B67" s="100" t="s">
        <v>255</v>
      </c>
      <c r="C67" s="233"/>
      <c r="D67" s="190">
        <v>76708082</v>
      </c>
      <c r="E67" s="268"/>
      <c r="F67" s="190">
        <v>76708082</v>
      </c>
      <c r="G67" s="268"/>
      <c r="H67" s="190">
        <v>76708082</v>
      </c>
      <c r="K67" s="54"/>
      <c r="L67" s="165"/>
      <c r="M67" s="165">
        <f>M64+M65+M66</f>
        <v>2524744496.2320004</v>
      </c>
      <c r="N67" s="165"/>
      <c r="O67" s="165">
        <f>O64+O65+O66</f>
        <v>2696427122.796</v>
      </c>
      <c r="P67" s="165"/>
      <c r="Q67" s="186">
        <f>Q64+Q65+Q66</f>
        <v>2879784166.296</v>
      </c>
    </row>
    <row r="68" spans="2:17" ht="15.75" x14ac:dyDescent="0.25">
      <c r="B68" s="98" t="s">
        <v>27</v>
      </c>
      <c r="C68" s="176"/>
      <c r="D68" s="175">
        <f>D65-D66-D67</f>
        <v>-225266091.74199998</v>
      </c>
      <c r="E68" s="232"/>
      <c r="F68" s="5">
        <f>F65-F66-F67</f>
        <v>-235307290.43400002</v>
      </c>
      <c r="G68" s="232"/>
      <c r="H68" s="99">
        <f>H65-H66-H67</f>
        <v>-246027220.96699995</v>
      </c>
      <c r="K68" s="116" t="s">
        <v>6</v>
      </c>
      <c r="L68" s="145"/>
      <c r="M68" s="145"/>
      <c r="N68" s="145"/>
      <c r="O68" s="145"/>
      <c r="P68" s="145"/>
      <c r="Q68" s="323"/>
    </row>
    <row r="69" spans="2:17" ht="15.75" x14ac:dyDescent="0.25">
      <c r="B69" s="84" t="s">
        <v>41</v>
      </c>
      <c r="C69" s="231"/>
      <c r="D69" s="223">
        <v>414263491</v>
      </c>
      <c r="E69" s="234"/>
      <c r="F69" s="223">
        <v>414263491</v>
      </c>
      <c r="G69" s="234"/>
      <c r="H69" s="227">
        <v>414263491</v>
      </c>
      <c r="K69" s="54" t="s">
        <v>7</v>
      </c>
      <c r="L69" s="165" t="s">
        <v>213</v>
      </c>
      <c r="M69" s="165">
        <f>121340908*1.068</f>
        <v>129592089.744</v>
      </c>
      <c r="N69" s="165" t="s">
        <v>227</v>
      </c>
      <c r="O69" s="165">
        <f>129592090*1.068</f>
        <v>138404352.12</v>
      </c>
      <c r="P69" s="165" t="s">
        <v>240</v>
      </c>
      <c r="Q69" s="314">
        <f>138404352*1.068</f>
        <v>147815847.93600002</v>
      </c>
    </row>
    <row r="70" spans="2:17" ht="15.75" x14ac:dyDescent="0.25">
      <c r="B70" s="69" t="s">
        <v>65</v>
      </c>
      <c r="C70" s="238"/>
      <c r="D70" s="176">
        <f>D68-D69</f>
        <v>-639529582.74199998</v>
      </c>
      <c r="E70" s="232"/>
      <c r="F70" s="5">
        <f>F68-F69</f>
        <v>-649570781.43400002</v>
      </c>
      <c r="G70" s="232"/>
      <c r="H70" s="99">
        <f>H68-H69</f>
        <v>-660290711.96700001</v>
      </c>
      <c r="K70" s="115" t="s">
        <v>73</v>
      </c>
      <c r="L70" s="164" t="s">
        <v>214</v>
      </c>
      <c r="M70" s="164">
        <f>2443354563*1.068</f>
        <v>2609502673.2839999</v>
      </c>
      <c r="N70" s="164" t="s">
        <v>228</v>
      </c>
      <c r="O70" s="164">
        <f>2609502673*1.068</f>
        <v>2786948854.7639999</v>
      </c>
      <c r="P70" s="164" t="s">
        <v>241</v>
      </c>
      <c r="Q70" s="313">
        <f>2786948855*1.068</f>
        <v>2976461377.1400003</v>
      </c>
    </row>
    <row r="71" spans="2:17" ht="15.75" x14ac:dyDescent="0.25">
      <c r="B71" s="103" t="s">
        <v>47</v>
      </c>
      <c r="C71" s="150" t="s">
        <v>203</v>
      </c>
      <c r="D71" s="150">
        <f>102471032*1.067</f>
        <v>109336591.14399999</v>
      </c>
      <c r="E71" s="150" t="s">
        <v>206</v>
      </c>
      <c r="F71" s="150">
        <f>109336591*1.067</f>
        <v>116662142.59699999</v>
      </c>
      <c r="G71" s="150" t="s">
        <v>209</v>
      </c>
      <c r="H71" s="228">
        <f>116662143*1.067</f>
        <v>124478506.581</v>
      </c>
      <c r="K71" s="54" t="s">
        <v>9</v>
      </c>
      <c r="L71" s="165" t="s">
        <v>215</v>
      </c>
      <c r="M71" s="165">
        <f>421825887*1.068</f>
        <v>450510047.31600004</v>
      </c>
      <c r="N71" s="165" t="s">
        <v>229</v>
      </c>
      <c r="O71" s="165">
        <f>450510047*1.068</f>
        <v>481144730.19600004</v>
      </c>
      <c r="P71" s="165" t="s">
        <v>242</v>
      </c>
      <c r="Q71" s="314">
        <f>481144730*1.068</f>
        <v>513862571.64000005</v>
      </c>
    </row>
    <row r="72" spans="2:17" ht="15.75" x14ac:dyDescent="0.25">
      <c r="B72" s="69" t="s">
        <v>25</v>
      </c>
      <c r="C72" s="176"/>
      <c r="D72" s="176">
        <f>D70+D71</f>
        <v>-530192991.59799999</v>
      </c>
      <c r="E72" s="232"/>
      <c r="F72" s="5">
        <f>F70+F71</f>
        <v>-532908638.83700001</v>
      </c>
      <c r="G72" s="232"/>
      <c r="H72" s="99">
        <f>H70+H71</f>
        <v>-535812205.38600004</v>
      </c>
      <c r="K72" s="115" t="s">
        <v>74</v>
      </c>
      <c r="L72" s="164" t="s">
        <v>216</v>
      </c>
      <c r="M72" s="164">
        <f>1140695970*1.068</f>
        <v>1218263295.96</v>
      </c>
      <c r="N72" s="164" t="s">
        <v>230</v>
      </c>
      <c r="O72" s="164">
        <f>1218263296*1.068</f>
        <v>1301105200.128</v>
      </c>
      <c r="P72" s="164" t="s">
        <v>243</v>
      </c>
      <c r="Q72" s="313">
        <f>1301105200*1.068</f>
        <v>1389580353.6000001</v>
      </c>
    </row>
    <row r="73" spans="2:17" ht="15.75" x14ac:dyDescent="0.25">
      <c r="B73" s="84" t="s">
        <v>46</v>
      </c>
      <c r="C73" s="239"/>
      <c r="D73" s="144">
        <v>0</v>
      </c>
      <c r="E73" s="235"/>
      <c r="F73" s="18">
        <v>0</v>
      </c>
      <c r="G73" s="235"/>
      <c r="H73" s="186">
        <v>0</v>
      </c>
      <c r="K73" s="54" t="s">
        <v>75</v>
      </c>
      <c r="L73" s="165" t="s">
        <v>217</v>
      </c>
      <c r="M73" s="165">
        <f>0*1.068</f>
        <v>0</v>
      </c>
      <c r="N73" s="165" t="s">
        <v>217</v>
      </c>
      <c r="O73" s="165">
        <f>0*1.068</f>
        <v>0</v>
      </c>
      <c r="P73" s="165" t="s">
        <v>217</v>
      </c>
      <c r="Q73" s="314">
        <f>0*1.068</f>
        <v>0</v>
      </c>
    </row>
    <row r="74" spans="2:17" ht="16.5" thickBot="1" x14ac:dyDescent="0.3">
      <c r="B74" s="83" t="s">
        <v>70</v>
      </c>
      <c r="C74" s="225"/>
      <c r="D74" s="224">
        <v>0</v>
      </c>
      <c r="E74" s="236"/>
      <c r="F74" s="181">
        <v>0</v>
      </c>
      <c r="G74" s="236"/>
      <c r="H74" s="229">
        <v>0</v>
      </c>
      <c r="K74" s="115" t="s">
        <v>10</v>
      </c>
      <c r="L74" s="147" t="s">
        <v>218</v>
      </c>
      <c r="M74" s="147">
        <f>113786122*1.068</f>
        <v>121523578.296</v>
      </c>
      <c r="N74" s="147" t="s">
        <v>231</v>
      </c>
      <c r="O74" s="147">
        <f>121523578*1.068</f>
        <v>129787181.30400001</v>
      </c>
      <c r="P74" s="147" t="s">
        <v>244</v>
      </c>
      <c r="Q74" s="209">
        <f>129787181*1.068</f>
        <v>138612709.308</v>
      </c>
    </row>
    <row r="75" spans="2:17" ht="15.75" x14ac:dyDescent="0.25">
      <c r="B75" s="107" t="s">
        <v>26</v>
      </c>
      <c r="C75" s="221"/>
      <c r="D75" s="221">
        <f>D72-D73-D74</f>
        <v>-530192991.59799999</v>
      </c>
      <c r="E75" s="235"/>
      <c r="F75" s="6">
        <f>F72-F73</f>
        <v>-532908638.83700001</v>
      </c>
      <c r="G75" s="235"/>
      <c r="H75" s="108">
        <f>H72-H73</f>
        <v>-535812205.38600004</v>
      </c>
      <c r="K75" s="54"/>
      <c r="L75" s="18"/>
      <c r="M75" s="166">
        <f>M69+M70+M71+M72+M73+M74</f>
        <v>4529391684.6000004</v>
      </c>
      <c r="N75" s="18"/>
      <c r="O75" s="18">
        <f>O69+O70+O71+O72+O73+O74</f>
        <v>4837390318.5120001</v>
      </c>
      <c r="P75" s="18"/>
      <c r="Q75" s="186">
        <f t="shared" ref="Q75" si="5">Q69+Q70+Q71+Q72+Q73+Q74</f>
        <v>5166332859.6239996</v>
      </c>
    </row>
    <row r="76" spans="2:17" ht="15.75" x14ac:dyDescent="0.25">
      <c r="B76" s="83" t="s">
        <v>48</v>
      </c>
      <c r="C76" s="225" t="s">
        <v>279</v>
      </c>
      <c r="D76" s="225">
        <f>(-530192992)*(-0.12)</f>
        <v>63623159.039999999</v>
      </c>
      <c r="E76" s="225" t="s">
        <v>280</v>
      </c>
      <c r="F76" s="225">
        <f>(-532908639)*(-0.12)</f>
        <v>63949036.68</v>
      </c>
      <c r="G76" s="225" t="s">
        <v>281</v>
      </c>
      <c r="H76" s="225">
        <f>(-535812205)*(-0.12)</f>
        <v>64297464.599999994</v>
      </c>
      <c r="K76" s="70" t="s">
        <v>11</v>
      </c>
      <c r="L76" s="5"/>
      <c r="M76" s="176">
        <f>M75+M67</f>
        <v>7054136180.8320007</v>
      </c>
      <c r="N76" s="5"/>
      <c r="O76" s="5">
        <f>O67+O75</f>
        <v>7533817441.3080006</v>
      </c>
      <c r="P76" s="5"/>
      <c r="Q76" s="99">
        <f t="shared" ref="Q76" si="6">Q67+Q75</f>
        <v>8046117025.9200001</v>
      </c>
    </row>
    <row r="77" spans="2:17" ht="15.75" x14ac:dyDescent="0.25">
      <c r="B77" s="107" t="s">
        <v>66</v>
      </c>
      <c r="C77" s="221"/>
      <c r="D77" s="221">
        <f>D75-D76</f>
        <v>-593816150.63800001</v>
      </c>
      <c r="E77" s="235"/>
      <c r="F77" s="6">
        <f t="shared" ref="F77" si="7">F75-F76</f>
        <v>-596857675.51699996</v>
      </c>
      <c r="G77" s="235"/>
      <c r="H77" s="108">
        <f>H75-H76</f>
        <v>-600109669.98600006</v>
      </c>
      <c r="K77" s="54"/>
      <c r="L77" s="1"/>
      <c r="M77" s="1"/>
      <c r="N77" s="1"/>
      <c r="O77" s="1"/>
      <c r="P77" s="1"/>
      <c r="Q77" s="322"/>
    </row>
    <row r="78" spans="2:17" ht="15.75" x14ac:dyDescent="0.25">
      <c r="B78" s="83" t="s">
        <v>67</v>
      </c>
      <c r="C78" s="222"/>
      <c r="D78" s="145">
        <v>0</v>
      </c>
      <c r="E78" s="232"/>
      <c r="F78" s="10">
        <v>0</v>
      </c>
      <c r="G78" s="232"/>
      <c r="H78" s="183">
        <v>0</v>
      </c>
      <c r="K78" s="70" t="s">
        <v>87</v>
      </c>
      <c r="L78" s="2"/>
      <c r="M78" s="161"/>
      <c r="N78" s="2"/>
      <c r="O78" s="2"/>
      <c r="P78" s="2"/>
      <c r="Q78" s="323"/>
    </row>
    <row r="79" spans="2:17" ht="15.75" x14ac:dyDescent="0.25">
      <c r="B79" s="84" t="s">
        <v>68</v>
      </c>
      <c r="C79" s="231"/>
      <c r="D79" s="146">
        <v>0</v>
      </c>
      <c r="E79" s="234"/>
      <c r="F79" s="27">
        <v>0</v>
      </c>
      <c r="G79" s="234"/>
      <c r="H79" s="178">
        <v>0</v>
      </c>
      <c r="K79" s="114" t="s">
        <v>13</v>
      </c>
      <c r="L79" s="1"/>
      <c r="M79" s="191"/>
      <c r="N79" s="1"/>
      <c r="O79" s="1"/>
      <c r="P79" s="1"/>
      <c r="Q79" s="322"/>
    </row>
    <row r="80" spans="2:17" ht="16.5" thickBot="1" x14ac:dyDescent="0.3">
      <c r="B80" s="69" t="s">
        <v>28</v>
      </c>
      <c r="C80" s="176"/>
      <c r="D80" s="167">
        <f>D77+D78+D79</f>
        <v>-593816150.63800001</v>
      </c>
      <c r="E80" s="232"/>
      <c r="F80" s="17">
        <f>F77+F78+F79</f>
        <v>-596857675.51699996</v>
      </c>
      <c r="G80" s="232"/>
      <c r="H80" s="240">
        <f>H77+H78-H79</f>
        <v>-600109669.98600006</v>
      </c>
      <c r="K80" s="115" t="s">
        <v>14</v>
      </c>
      <c r="L80" s="10"/>
      <c r="M80" s="10">
        <v>338800000</v>
      </c>
      <c r="N80" s="10"/>
      <c r="O80" s="10">
        <v>338800000</v>
      </c>
      <c r="P80" s="10"/>
      <c r="Q80" s="183">
        <v>338800000</v>
      </c>
    </row>
    <row r="81" spans="2:17" ht="17.25" thickTop="1" thickBot="1" x14ac:dyDescent="0.3">
      <c r="B81" s="91"/>
      <c r="C81" s="148"/>
      <c r="D81" s="148"/>
      <c r="E81" s="237"/>
      <c r="F81" s="19"/>
      <c r="G81" s="237"/>
      <c r="H81" s="110"/>
      <c r="K81" s="54" t="s">
        <v>76</v>
      </c>
      <c r="L81" s="18"/>
      <c r="M81" s="18">
        <v>84700000</v>
      </c>
      <c r="N81" s="18"/>
      <c r="O81" s="18">
        <v>84700000</v>
      </c>
      <c r="P81" s="18"/>
      <c r="Q81" s="186">
        <v>84700000</v>
      </c>
    </row>
    <row r="82" spans="2:17" ht="16.5" thickBot="1" x14ac:dyDescent="0.3">
      <c r="K82" s="115" t="s">
        <v>77</v>
      </c>
      <c r="L82" s="15"/>
      <c r="M82" s="15">
        <v>2858855</v>
      </c>
      <c r="N82" s="15"/>
      <c r="O82" s="15">
        <v>2858855</v>
      </c>
      <c r="P82" s="15"/>
      <c r="Q82" s="177">
        <v>2858855</v>
      </c>
    </row>
    <row r="83" spans="2:17" ht="15.75" x14ac:dyDescent="0.25">
      <c r="K83" s="54"/>
      <c r="L83" s="18"/>
      <c r="M83" s="163">
        <f>M80+M81+M82</f>
        <v>426358855</v>
      </c>
      <c r="N83" s="18"/>
      <c r="O83" s="18">
        <f>O80+O81+O82</f>
        <v>426358855</v>
      </c>
      <c r="P83" s="18"/>
      <c r="Q83" s="186">
        <f>Q80+Q81+Q82</f>
        <v>426358855</v>
      </c>
    </row>
    <row r="84" spans="2:17" ht="15.75" x14ac:dyDescent="0.25">
      <c r="K84" s="116" t="s">
        <v>16</v>
      </c>
      <c r="L84" s="2"/>
      <c r="M84" s="162"/>
      <c r="N84" s="2"/>
      <c r="O84" s="2"/>
      <c r="P84" s="2"/>
      <c r="Q84" s="323"/>
    </row>
    <row r="85" spans="2:17" ht="15.75" x14ac:dyDescent="0.25">
      <c r="K85" s="54" t="s">
        <v>78</v>
      </c>
      <c r="L85" s="18"/>
      <c r="M85" s="18">
        <v>1310125938</v>
      </c>
      <c r="N85" s="18"/>
      <c r="O85" s="18">
        <v>1310125938</v>
      </c>
      <c r="P85" s="18"/>
      <c r="Q85" s="186">
        <v>1310125938</v>
      </c>
    </row>
    <row r="86" spans="2:17" ht="15.75" x14ac:dyDescent="0.25">
      <c r="K86" s="115" t="s">
        <v>89</v>
      </c>
      <c r="L86" s="10"/>
      <c r="M86" s="10">
        <v>210019252</v>
      </c>
      <c r="N86" s="10"/>
      <c r="O86" s="10">
        <v>210019252</v>
      </c>
      <c r="P86" s="10"/>
      <c r="Q86" s="183">
        <v>210019252</v>
      </c>
    </row>
    <row r="87" spans="2:17" ht="16.5" thickBot="1" x14ac:dyDescent="0.3">
      <c r="K87" s="54" t="s">
        <v>79</v>
      </c>
      <c r="L87" s="19"/>
      <c r="M87" s="19">
        <v>41434223</v>
      </c>
      <c r="N87" s="19"/>
      <c r="O87" s="19">
        <v>41434223</v>
      </c>
      <c r="P87" s="19"/>
      <c r="Q87" s="110">
        <v>41434223</v>
      </c>
    </row>
    <row r="88" spans="2:17" ht="15.75" x14ac:dyDescent="0.25">
      <c r="B88" s="373" t="s">
        <v>131</v>
      </c>
      <c r="C88" s="469">
        <v>2017</v>
      </c>
      <c r="D88" s="367">
        <v>2018</v>
      </c>
      <c r="E88" s="367">
        <v>2019</v>
      </c>
      <c r="F88" s="367">
        <v>2020</v>
      </c>
      <c r="G88" s="367">
        <v>2021</v>
      </c>
      <c r="H88" s="368">
        <v>2022</v>
      </c>
      <c r="K88" s="115"/>
      <c r="L88" s="10"/>
      <c r="M88" s="10">
        <f>M85+M86+M87</f>
        <v>1561579413</v>
      </c>
      <c r="N88" s="10"/>
      <c r="O88" s="10">
        <f>O86+O85+O87</f>
        <v>1561579413</v>
      </c>
      <c r="P88" s="10"/>
      <c r="Q88" s="183">
        <f>Q86+Q85+Q87</f>
        <v>1561579413</v>
      </c>
    </row>
    <row r="89" spans="2:17" ht="15.75" x14ac:dyDescent="0.25">
      <c r="B89" s="382" t="s">
        <v>105</v>
      </c>
      <c r="C89" s="380">
        <v>1558264409</v>
      </c>
      <c r="D89" s="269">
        <v>1723283629</v>
      </c>
      <c r="E89" s="270">
        <v>1862346781</v>
      </c>
      <c r="F89" s="270">
        <v>1932088686</v>
      </c>
      <c r="G89" s="270">
        <v>2017083183</v>
      </c>
      <c r="H89" s="316">
        <v>728268185</v>
      </c>
      <c r="K89" s="114" t="s">
        <v>18</v>
      </c>
      <c r="L89" s="1"/>
      <c r="M89" s="191"/>
      <c r="N89" s="1"/>
      <c r="O89" s="1"/>
      <c r="P89" s="1"/>
      <c r="Q89" s="322"/>
    </row>
    <row r="90" spans="2:17" ht="16.5" thickBot="1" x14ac:dyDescent="0.3">
      <c r="B90" s="389" t="s">
        <v>140</v>
      </c>
      <c r="C90" s="383"/>
      <c r="D90" s="384">
        <f>((D89-C89)/C89)*100</f>
        <v>10.589937050920605</v>
      </c>
      <c r="E90" s="384">
        <f>((E89-D89)/D89)*100</f>
        <v>8.0696612942755461</v>
      </c>
      <c r="F90" s="384">
        <f>((F89-E89)/E89)*100</f>
        <v>3.7448398822131073</v>
      </c>
      <c r="G90" s="384">
        <f>((G89-F89)/F89)*100</f>
        <v>4.3990991519112903</v>
      </c>
      <c r="H90" s="385">
        <f>((H89-G89)/G89)*100</f>
        <v>-63.894985038899108</v>
      </c>
      <c r="K90" s="115" t="s">
        <v>80</v>
      </c>
      <c r="L90" s="320" t="s">
        <v>219</v>
      </c>
      <c r="M90" s="13">
        <f>321531676*1.068</f>
        <v>343395829.96799999</v>
      </c>
      <c r="N90" s="320" t="s">
        <v>232</v>
      </c>
      <c r="O90" s="320">
        <f>343395830*1.068</f>
        <v>366746746.44</v>
      </c>
      <c r="P90" s="320" t="s">
        <v>245</v>
      </c>
      <c r="Q90" s="324">
        <f>366746746*1.068</f>
        <v>391685524.72800004</v>
      </c>
    </row>
    <row r="91" spans="2:17" ht="16.5" thickBot="1" x14ac:dyDescent="0.3">
      <c r="B91" s="390" t="s">
        <v>142</v>
      </c>
      <c r="C91" s="630">
        <f>(D90+E90+F90+G90)/4</f>
        <v>6.7008843448301372</v>
      </c>
      <c r="D91" s="631"/>
      <c r="E91" s="631"/>
      <c r="F91" s="631"/>
      <c r="G91" s="631"/>
      <c r="H91" s="632"/>
      <c r="K91" s="54" t="s">
        <v>81</v>
      </c>
      <c r="L91" s="321"/>
      <c r="M91" s="21">
        <v>17811065</v>
      </c>
      <c r="N91" s="21"/>
      <c r="O91" s="21">
        <v>17811065</v>
      </c>
      <c r="P91" s="21"/>
      <c r="Q91" s="319">
        <v>17811065</v>
      </c>
    </row>
    <row r="92" spans="2:17" ht="15.75" x14ac:dyDescent="0.25">
      <c r="B92" s="627" t="s">
        <v>200</v>
      </c>
      <c r="C92" s="628"/>
      <c r="D92" s="628"/>
      <c r="E92" s="628"/>
      <c r="F92" s="628"/>
      <c r="G92" s="628"/>
      <c r="H92" s="629"/>
      <c r="K92" s="115" t="s">
        <v>82</v>
      </c>
      <c r="L92" s="320" t="s">
        <v>220</v>
      </c>
      <c r="M92" s="13">
        <f>183061401*1.068</f>
        <v>195509576.26800001</v>
      </c>
      <c r="N92" s="320" t="s">
        <v>233</v>
      </c>
      <c r="O92" s="320">
        <f>195509576*1.068</f>
        <v>208804227.16800001</v>
      </c>
      <c r="P92" s="320" t="s">
        <v>246</v>
      </c>
      <c r="Q92" s="324">
        <f>208804227*1.068</f>
        <v>223002914.43600002</v>
      </c>
    </row>
    <row r="93" spans="2:17" ht="16.5" thickBot="1" x14ac:dyDescent="0.3">
      <c r="B93" s="49" t="s">
        <v>141</v>
      </c>
      <c r="C93" s="386"/>
      <c r="D93" s="387">
        <f>'Income statement'!C73/'Income statement'!C72</f>
        <v>-0.16888136656590386</v>
      </c>
      <c r="E93" s="387">
        <f>'Income statement'!D73/'Income statement'!D72</f>
        <v>-0.20682696059683764</v>
      </c>
      <c r="F93" s="387">
        <f>'Income statement'!E73/'Income statement'!E72</f>
        <v>-0.80491901243731478</v>
      </c>
      <c r="G93" s="387">
        <f>'Income statement'!F73/'Income statement'!F72</f>
        <v>0.65839332618572222</v>
      </c>
      <c r="H93" s="388">
        <f>'Income statement'!G73/'Income statement'!G72</f>
        <v>-8.4137948449267919E-2</v>
      </c>
      <c r="K93" s="54" t="s">
        <v>83</v>
      </c>
      <c r="L93" s="321" t="s">
        <v>221</v>
      </c>
      <c r="M93" s="21">
        <f>120356906*1.068</f>
        <v>128541175.60800001</v>
      </c>
      <c r="N93" s="321" t="s">
        <v>234</v>
      </c>
      <c r="O93" s="321">
        <f>128541176*1.068</f>
        <v>137281975.96799999</v>
      </c>
      <c r="P93" s="321" t="s">
        <v>247</v>
      </c>
      <c r="Q93" s="325">
        <f>137281976*1.068</f>
        <v>146617150.368</v>
      </c>
    </row>
    <row r="94" spans="2:17" ht="16.5" thickBot="1" x14ac:dyDescent="0.3">
      <c r="B94" s="377" t="s">
        <v>143</v>
      </c>
      <c r="C94" s="624">
        <f>(D93+E93+F93+G93+H93)/5</f>
        <v>-0.12127439237272042</v>
      </c>
      <c r="D94" s="625"/>
      <c r="E94" s="625"/>
      <c r="F94" s="625"/>
      <c r="G94" s="625"/>
      <c r="H94" s="626"/>
      <c r="K94" s="115" t="s">
        <v>84</v>
      </c>
      <c r="L94" s="164"/>
      <c r="M94" s="10">
        <v>325883</v>
      </c>
      <c r="N94" s="10"/>
      <c r="O94" s="10">
        <v>325883</v>
      </c>
      <c r="P94" s="10"/>
      <c r="Q94" s="183">
        <v>325883</v>
      </c>
    </row>
    <row r="95" spans="2:17" ht="16.5" thickBot="1" x14ac:dyDescent="0.3">
      <c r="B95" s="616" t="s">
        <v>282</v>
      </c>
      <c r="C95" s="617"/>
      <c r="D95" s="617"/>
      <c r="E95" s="617"/>
      <c r="F95" s="617"/>
      <c r="G95" s="617"/>
      <c r="H95" s="618"/>
      <c r="K95" s="54" t="s">
        <v>85</v>
      </c>
      <c r="L95" s="165" t="s">
        <v>222</v>
      </c>
      <c r="M95" s="18">
        <f>3926667436*1.068</f>
        <v>4193680821.6480002</v>
      </c>
      <c r="N95" s="165" t="s">
        <v>235</v>
      </c>
      <c r="O95" s="165">
        <f>4193680822*1.068</f>
        <v>4478851117.8959999</v>
      </c>
      <c r="P95" s="165" t="s">
        <v>248</v>
      </c>
      <c r="Q95" s="314">
        <f>4478851118*1.068</f>
        <v>4783412994.0240002</v>
      </c>
    </row>
    <row r="96" spans="2:17" ht="15.75" x14ac:dyDescent="0.25">
      <c r="B96" s="3"/>
      <c r="C96" s="3"/>
      <c r="D96" s="3"/>
      <c r="E96" s="3"/>
      <c r="F96" s="3"/>
      <c r="G96" s="3"/>
      <c r="H96" s="3"/>
      <c r="K96" s="115" t="s">
        <v>86</v>
      </c>
      <c r="L96" s="164" t="s">
        <v>223</v>
      </c>
      <c r="M96" s="10">
        <f>26300781*1.068</f>
        <v>28089234.108000003</v>
      </c>
      <c r="N96" s="164" t="s">
        <v>236</v>
      </c>
      <c r="O96" s="164">
        <f>28089234*1.068</f>
        <v>29999301.912</v>
      </c>
      <c r="P96" s="164" t="s">
        <v>249</v>
      </c>
      <c r="Q96" s="313">
        <f>29999302*1.068</f>
        <v>32039254.536000002</v>
      </c>
    </row>
    <row r="97" spans="2:17" ht="16.5" thickBot="1" x14ac:dyDescent="0.3">
      <c r="B97" s="187"/>
      <c r="D97" s="187"/>
      <c r="E97" s="620"/>
      <c r="F97" s="620"/>
      <c r="G97" s="620"/>
      <c r="H97" s="187"/>
      <c r="K97" s="54" t="s">
        <v>21</v>
      </c>
      <c r="L97" s="24"/>
      <c r="M97" s="24">
        <v>21003008</v>
      </c>
      <c r="N97" s="24"/>
      <c r="O97" s="24">
        <v>21003008</v>
      </c>
      <c r="P97" s="24"/>
      <c r="Q97" s="289">
        <v>21003008</v>
      </c>
    </row>
    <row r="98" spans="2:17" ht="15.75" x14ac:dyDescent="0.25">
      <c r="B98" s="459"/>
      <c r="C98" s="460"/>
      <c r="D98" s="460"/>
      <c r="E98" s="460"/>
      <c r="K98" s="115"/>
      <c r="L98" s="10"/>
      <c r="M98" s="168">
        <f>M90+M91+M92+M93+M94+M95+M96+M97</f>
        <v>4928356593.6000004</v>
      </c>
      <c r="N98" s="10"/>
      <c r="O98" s="10">
        <f>O90+O91+O92+O93+O94+O95+O96+O97</f>
        <v>5260823325.3839998</v>
      </c>
      <c r="P98" s="10"/>
      <c r="Q98" s="183">
        <f>Q90+Q91+Q92+Q93+Q94+Q95+Q96+Q97</f>
        <v>5615897794.092</v>
      </c>
    </row>
    <row r="99" spans="2:17" ht="15.75" x14ac:dyDescent="0.25">
      <c r="B99" s="459"/>
      <c r="C99" s="464"/>
      <c r="D99" s="464"/>
      <c r="E99" s="464"/>
      <c r="K99" s="61" t="s">
        <v>88</v>
      </c>
      <c r="L99" s="6"/>
      <c r="M99" s="221">
        <f>M98+M88+M83</f>
        <v>6916294861.6000004</v>
      </c>
      <c r="N99" s="6"/>
      <c r="O99" s="6">
        <f>O83+O88+O98</f>
        <v>7248761593.3839998</v>
      </c>
      <c r="P99" s="6"/>
      <c r="Q99" s="108">
        <f>Q83+Q88+Q98</f>
        <v>7603836062.092</v>
      </c>
    </row>
    <row r="100" spans="2:17" ht="16.5" thickBot="1" x14ac:dyDescent="0.3">
      <c r="B100" s="459"/>
      <c r="C100" s="465"/>
      <c r="D100" s="465"/>
      <c r="E100" s="465"/>
      <c r="K100" s="265" t="s">
        <v>166</v>
      </c>
      <c r="L100" s="329"/>
      <c r="M100" s="266">
        <f>M76-M99</f>
        <v>137841319.23200035</v>
      </c>
      <c r="N100" s="329"/>
      <c r="O100" s="266">
        <f>O76-O99</f>
        <v>285055847.92400074</v>
      </c>
      <c r="P100" s="329"/>
      <c r="Q100" s="330">
        <f>Q76-Q99</f>
        <v>442280963.82800007</v>
      </c>
    </row>
    <row r="101" spans="2:17" ht="15.75" x14ac:dyDescent="0.25">
      <c r="B101" s="619"/>
      <c r="C101" s="619"/>
      <c r="D101" s="619"/>
      <c r="E101" s="619"/>
      <c r="K101" s="436"/>
      <c r="L101" s="433"/>
      <c r="M101" s="434"/>
      <c r="N101" s="433"/>
      <c r="O101" s="435"/>
      <c r="P101" s="433"/>
      <c r="Q101" s="435"/>
    </row>
  </sheetData>
  <mergeCells count="19">
    <mergeCell ref="K4:Q4"/>
    <mergeCell ref="K5:Q5"/>
    <mergeCell ref="K59:Q59"/>
    <mergeCell ref="K60:Q60"/>
    <mergeCell ref="B4:H4"/>
    <mergeCell ref="C31:G31"/>
    <mergeCell ref="C33:G33"/>
    <mergeCell ref="B5:H5"/>
    <mergeCell ref="B6:H6"/>
    <mergeCell ref="B36:G36"/>
    <mergeCell ref="B60:H60"/>
    <mergeCell ref="B59:H59"/>
    <mergeCell ref="B95:H95"/>
    <mergeCell ref="B101:E101"/>
    <mergeCell ref="E97:G97"/>
    <mergeCell ref="B61:H61"/>
    <mergeCell ref="C94:H94"/>
    <mergeCell ref="B92:H92"/>
    <mergeCell ref="C91:H91"/>
  </mergeCells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DEF-494C-43B4-9277-04C6E0862464}">
  <dimension ref="B5:Y28"/>
  <sheetViews>
    <sheetView topLeftCell="I13" zoomScaleNormal="100" workbookViewId="0">
      <selection activeCell="N35" sqref="N35"/>
    </sheetView>
  </sheetViews>
  <sheetFormatPr defaultRowHeight="12.75" x14ac:dyDescent="0.2"/>
  <cols>
    <col min="2" max="2" width="11.5703125" bestFit="1" customWidth="1"/>
    <col min="3" max="6" width="18.7109375" bestFit="1" customWidth="1"/>
    <col min="7" max="7" width="25.140625" bestFit="1" customWidth="1"/>
    <col min="8" max="8" width="28.85546875" bestFit="1" customWidth="1"/>
    <col min="9" max="9" width="29.28515625" bestFit="1" customWidth="1"/>
    <col min="10" max="10" width="33" bestFit="1" customWidth="1"/>
    <col min="11" max="11" width="16.28515625" bestFit="1" customWidth="1"/>
    <col min="12" max="12" width="29.28515625" bestFit="1" customWidth="1"/>
    <col min="13" max="13" width="34.28515625" bestFit="1" customWidth="1"/>
    <col min="14" max="14" width="18.7109375" bestFit="1" customWidth="1"/>
    <col min="15" max="15" width="20.5703125" bestFit="1" customWidth="1"/>
    <col min="16" max="16" width="19.5703125" bestFit="1" customWidth="1"/>
    <col min="17" max="17" width="26.28515625" bestFit="1" customWidth="1"/>
    <col min="18" max="18" width="38.85546875" bestFit="1" customWidth="1"/>
    <col min="19" max="19" width="21" bestFit="1" customWidth="1"/>
    <col min="20" max="20" width="23.5703125" bestFit="1" customWidth="1"/>
    <col min="21" max="21" width="19.140625" bestFit="1" customWidth="1"/>
    <col min="22" max="22" width="22" bestFit="1" customWidth="1"/>
    <col min="23" max="23" width="14.28515625" bestFit="1" customWidth="1"/>
    <col min="24" max="24" width="23.42578125" bestFit="1" customWidth="1"/>
    <col min="25" max="25" width="18.28515625" bestFit="1" customWidth="1"/>
  </cols>
  <sheetData>
    <row r="5" spans="2:25" ht="13.5" thickBot="1" x14ac:dyDescent="0.25"/>
    <row r="6" spans="2:25" ht="16.5" thickBot="1" x14ac:dyDescent="0.3">
      <c r="B6" s="647" t="s">
        <v>300</v>
      </c>
      <c r="C6" s="648"/>
      <c r="D6" s="648"/>
      <c r="E6" s="648"/>
      <c r="F6" s="648"/>
      <c r="G6" s="648"/>
      <c r="H6" s="648"/>
      <c r="I6" s="648"/>
      <c r="J6" s="648"/>
      <c r="K6" s="648"/>
      <c r="L6" s="648"/>
      <c r="M6" s="648"/>
      <c r="N6" s="648"/>
      <c r="O6" s="648"/>
      <c r="P6" s="649"/>
      <c r="R6" s="647" t="s">
        <v>299</v>
      </c>
      <c r="S6" s="648"/>
      <c r="T6" s="648"/>
      <c r="U6" s="648"/>
      <c r="V6" s="648"/>
      <c r="W6" s="648"/>
      <c r="X6" s="648"/>
      <c r="Y6" s="649"/>
    </row>
    <row r="7" spans="2:25" ht="15.75" x14ac:dyDescent="0.25">
      <c r="B7" s="604" t="s">
        <v>37</v>
      </c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6"/>
      <c r="R7" s="656" t="s">
        <v>37</v>
      </c>
      <c r="S7" s="657"/>
      <c r="T7" s="657"/>
      <c r="U7" s="657"/>
      <c r="V7" s="657"/>
      <c r="W7" s="657"/>
      <c r="X7" s="657"/>
      <c r="Y7" s="658"/>
    </row>
    <row r="8" spans="2:25" ht="15.75" x14ac:dyDescent="0.25">
      <c r="B8" s="343" t="s">
        <v>254</v>
      </c>
      <c r="C8" s="498" t="s">
        <v>291</v>
      </c>
      <c r="D8" s="498" t="s">
        <v>106</v>
      </c>
      <c r="E8" s="498" t="s">
        <v>292</v>
      </c>
      <c r="F8" s="488" t="s">
        <v>250</v>
      </c>
      <c r="G8" s="498" t="s">
        <v>294</v>
      </c>
      <c r="H8" s="498" t="s">
        <v>295</v>
      </c>
      <c r="I8" s="498" t="s">
        <v>293</v>
      </c>
      <c r="J8" s="498" t="s">
        <v>296</v>
      </c>
      <c r="K8" s="488" t="s">
        <v>251</v>
      </c>
      <c r="L8" s="498" t="s">
        <v>297</v>
      </c>
      <c r="M8" s="498" t="s">
        <v>298</v>
      </c>
      <c r="N8" s="498" t="s">
        <v>106</v>
      </c>
      <c r="O8" s="488" t="s">
        <v>252</v>
      </c>
      <c r="P8" s="497" t="s">
        <v>253</v>
      </c>
      <c r="R8" s="438" t="s">
        <v>254</v>
      </c>
      <c r="S8" s="504" t="s">
        <v>283</v>
      </c>
      <c r="T8" s="504" t="s">
        <v>285</v>
      </c>
      <c r="U8" s="439" t="s">
        <v>284</v>
      </c>
      <c r="V8" s="504" t="s">
        <v>288</v>
      </c>
      <c r="W8" s="504" t="s">
        <v>286</v>
      </c>
      <c r="X8" s="439" t="s">
        <v>287</v>
      </c>
      <c r="Y8" s="440" t="s">
        <v>253</v>
      </c>
    </row>
    <row r="9" spans="2:25" ht="15.75" x14ac:dyDescent="0.25">
      <c r="B9" s="447">
        <v>2023</v>
      </c>
      <c r="C9" s="453">
        <v>689113018</v>
      </c>
      <c r="D9" s="453">
        <v>204530142</v>
      </c>
      <c r="E9" s="471">
        <v>118610057</v>
      </c>
      <c r="F9" s="453">
        <f>C9+D9-E9</f>
        <v>775033103</v>
      </c>
      <c r="G9" s="479">
        <v>5573327438</v>
      </c>
      <c r="H9" s="479">
        <v>7379556773</v>
      </c>
      <c r="I9" s="479">
        <v>4955830907</v>
      </c>
      <c r="J9" s="472">
        <v>6627043870</v>
      </c>
      <c r="K9" s="453">
        <f>(G9-H9)-(I9-J9)</f>
        <v>-135016372</v>
      </c>
      <c r="L9" s="479">
        <v>9568670812</v>
      </c>
      <c r="M9" s="479">
        <v>8508510414</v>
      </c>
      <c r="N9" s="471">
        <v>204530142</v>
      </c>
      <c r="O9" s="453">
        <f>L9-M9+N9</f>
        <v>1264690540</v>
      </c>
      <c r="P9" s="473">
        <f>F9-O9-K9</f>
        <v>-354641065</v>
      </c>
      <c r="R9" s="447">
        <v>2023</v>
      </c>
      <c r="S9" s="445">
        <v>344410005</v>
      </c>
      <c r="T9" s="358">
        <v>719210642</v>
      </c>
      <c r="U9" s="358">
        <f>S9-T9</f>
        <v>-374800637</v>
      </c>
      <c r="V9" s="358">
        <v>23314515</v>
      </c>
      <c r="W9" s="451">
        <f>(188908887*0.1682)</f>
        <v>31774474.793399997</v>
      </c>
      <c r="X9" s="453">
        <f>W9-V9</f>
        <v>8459959.7933999971</v>
      </c>
      <c r="Y9" s="112">
        <f>X9+U9</f>
        <v>-366340677.20660001</v>
      </c>
    </row>
    <row r="10" spans="2:25" ht="15.75" x14ac:dyDescent="0.25">
      <c r="B10" s="455">
        <v>2024</v>
      </c>
      <c r="C10" s="457">
        <v>800460955</v>
      </c>
      <c r="D10" s="457">
        <v>204530142</v>
      </c>
      <c r="E10" s="477">
        <v>150502864</v>
      </c>
      <c r="F10" s="457">
        <f t="shared" ref="F10:F11" si="0">C10+D10-E10</f>
        <v>854488233</v>
      </c>
      <c r="G10" s="457">
        <v>6267764037</v>
      </c>
      <c r="H10" s="457">
        <v>8225832785</v>
      </c>
      <c r="I10" s="457">
        <v>5573327438</v>
      </c>
      <c r="J10" s="477">
        <v>7379556773</v>
      </c>
      <c r="K10" s="457">
        <f t="shared" ref="K10:K11" si="1">(G10-H10)-(I10-J10)</f>
        <v>-151839413</v>
      </c>
      <c r="L10" s="457">
        <v>10760927195</v>
      </c>
      <c r="M10" s="457">
        <v>9568670812</v>
      </c>
      <c r="N10" s="477">
        <v>204530142</v>
      </c>
      <c r="O10" s="457">
        <f t="shared" ref="O10:O11" si="2">L10-M10+N10</f>
        <v>1396786525</v>
      </c>
      <c r="P10" s="478">
        <f t="shared" ref="P10:P11" si="3">F10-O10-K10</f>
        <v>-390458879</v>
      </c>
      <c r="R10" s="455">
        <v>2024</v>
      </c>
      <c r="S10" s="456">
        <v>344410005</v>
      </c>
      <c r="T10" s="357">
        <v>1527276260</v>
      </c>
      <c r="U10" s="357">
        <f>S10-T10</f>
        <v>-1182866255</v>
      </c>
      <c r="V10" s="357">
        <v>2135641</v>
      </c>
      <c r="W10" s="152">
        <f>(239704198*0.1682)</f>
        <v>40318246.103599995</v>
      </c>
      <c r="X10" s="457">
        <f>W10-V10</f>
        <v>38182605.103599995</v>
      </c>
      <c r="Y10" s="122">
        <f>X10+U10</f>
        <v>-1144683649.8964</v>
      </c>
    </row>
    <row r="11" spans="2:25" ht="16.5" thickBot="1" x14ac:dyDescent="0.3">
      <c r="B11" s="448">
        <v>2025</v>
      </c>
      <c r="C11" s="454">
        <v>925682846</v>
      </c>
      <c r="D11" s="454">
        <v>204530142</v>
      </c>
      <c r="E11" s="474">
        <v>186369515</v>
      </c>
      <c r="F11" s="454">
        <f t="shared" si="0"/>
        <v>943843473</v>
      </c>
      <c r="G11" s="480">
        <v>7048727436</v>
      </c>
      <c r="H11" s="480">
        <v>9177554787</v>
      </c>
      <c r="I11" s="480">
        <v>6267764037</v>
      </c>
      <c r="J11" s="475">
        <v>8225832785</v>
      </c>
      <c r="K11" s="454">
        <f t="shared" si="1"/>
        <v>-170758603</v>
      </c>
      <c r="L11" s="480">
        <v>12101738723</v>
      </c>
      <c r="M11" s="480">
        <v>10760927195</v>
      </c>
      <c r="N11" s="474">
        <v>204530142</v>
      </c>
      <c r="O11" s="454">
        <f t="shared" si="2"/>
        <v>1545341670</v>
      </c>
      <c r="P11" s="476">
        <f t="shared" si="3"/>
        <v>-430739594</v>
      </c>
      <c r="R11" s="448">
        <v>2025</v>
      </c>
      <c r="S11" s="446">
        <v>344410005</v>
      </c>
      <c r="T11" s="449">
        <v>2436026855</v>
      </c>
      <c r="U11" s="449">
        <f>S11-T11</f>
        <v>-2091616850</v>
      </c>
      <c r="V11" s="450">
        <v>-69839169</v>
      </c>
      <c r="W11" s="452">
        <f>(296828606*0.1682)</f>
        <v>49926571.529199995</v>
      </c>
      <c r="X11" s="454">
        <f>W11-V11</f>
        <v>119765740.52919999</v>
      </c>
      <c r="Y11" s="441">
        <f>X11+U11</f>
        <v>-1971851109.4707999</v>
      </c>
    </row>
    <row r="13" spans="2:25" ht="13.5" thickBot="1" x14ac:dyDescent="0.25"/>
    <row r="14" spans="2:25" ht="15.75" x14ac:dyDescent="0.25">
      <c r="R14" s="499" t="s">
        <v>131</v>
      </c>
      <c r="S14" s="495">
        <v>2023</v>
      </c>
      <c r="T14" s="495">
        <v>2024</v>
      </c>
      <c r="U14" s="496">
        <v>2025</v>
      </c>
    </row>
    <row r="15" spans="2:25" ht="15.75" x14ac:dyDescent="0.25">
      <c r="R15" s="73" t="s">
        <v>289</v>
      </c>
      <c r="S15" s="491">
        <v>23314515</v>
      </c>
      <c r="T15" s="453">
        <v>2135641</v>
      </c>
      <c r="U15" s="492">
        <v>-69839169</v>
      </c>
    </row>
    <row r="16" spans="2:25" ht="16.5" thickBot="1" x14ac:dyDescent="0.3">
      <c r="R16" s="65" t="s">
        <v>290</v>
      </c>
      <c r="S16" s="493">
        <v>719210642</v>
      </c>
      <c r="T16" s="494">
        <v>1527276260</v>
      </c>
      <c r="U16" s="494">
        <v>2436026855</v>
      </c>
    </row>
    <row r="17" spans="2:25" ht="13.5" thickBot="1" x14ac:dyDescent="0.25"/>
    <row r="18" spans="2:25" ht="16.5" thickBot="1" x14ac:dyDescent="0.3">
      <c r="B18" s="647" t="s">
        <v>300</v>
      </c>
      <c r="C18" s="648"/>
      <c r="D18" s="648"/>
      <c r="E18" s="648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49"/>
      <c r="R18" s="647" t="s">
        <v>299</v>
      </c>
      <c r="S18" s="648"/>
      <c r="T18" s="648"/>
      <c r="U18" s="648"/>
      <c r="V18" s="648"/>
      <c r="W18" s="648"/>
      <c r="X18" s="648"/>
      <c r="Y18" s="649"/>
    </row>
    <row r="19" spans="2:25" ht="15.75" x14ac:dyDescent="0.25">
      <c r="B19" s="653" t="s">
        <v>64</v>
      </c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5"/>
      <c r="R19" s="659" t="s">
        <v>64</v>
      </c>
      <c r="S19" s="660"/>
      <c r="T19" s="660"/>
      <c r="U19" s="660"/>
      <c r="V19" s="660"/>
      <c r="W19" s="660"/>
      <c r="X19" s="660"/>
      <c r="Y19" s="661"/>
    </row>
    <row r="20" spans="2:25" ht="15.75" x14ac:dyDescent="0.25">
      <c r="B20" s="343" t="s">
        <v>254</v>
      </c>
      <c r="C20" s="498" t="s">
        <v>291</v>
      </c>
      <c r="D20" s="498" t="s">
        <v>106</v>
      </c>
      <c r="E20" s="498" t="s">
        <v>292</v>
      </c>
      <c r="F20" s="470" t="s">
        <v>250</v>
      </c>
      <c r="G20" s="498" t="s">
        <v>294</v>
      </c>
      <c r="H20" s="498" t="s">
        <v>295</v>
      </c>
      <c r="I20" s="498" t="s">
        <v>293</v>
      </c>
      <c r="J20" s="498" t="s">
        <v>296</v>
      </c>
      <c r="K20" s="470" t="s">
        <v>251</v>
      </c>
      <c r="L20" s="498" t="s">
        <v>297</v>
      </c>
      <c r="M20" s="498" t="s">
        <v>298</v>
      </c>
      <c r="N20" s="498" t="s">
        <v>106</v>
      </c>
      <c r="O20" s="470" t="s">
        <v>252</v>
      </c>
      <c r="P20" s="51" t="s">
        <v>253</v>
      </c>
      <c r="R20" s="438" t="s">
        <v>254</v>
      </c>
      <c r="S20" s="504" t="s">
        <v>283</v>
      </c>
      <c r="T20" s="504" t="s">
        <v>285</v>
      </c>
      <c r="U20" s="439" t="s">
        <v>284</v>
      </c>
      <c r="V20" s="504" t="s">
        <v>288</v>
      </c>
      <c r="W20" s="504" t="s">
        <v>286</v>
      </c>
      <c r="X20" s="439" t="s">
        <v>287</v>
      </c>
      <c r="Y20" s="440" t="s">
        <v>253</v>
      </c>
    </row>
    <row r="21" spans="2:25" ht="15.75" x14ac:dyDescent="0.25">
      <c r="B21" s="344">
        <v>2023</v>
      </c>
      <c r="C21" s="358">
        <v>-225266092</v>
      </c>
      <c r="D21" s="358">
        <v>76708082</v>
      </c>
      <c r="E21" s="481">
        <v>63623159</v>
      </c>
      <c r="F21" s="453">
        <f>C21+D21-E21</f>
        <v>-212181169</v>
      </c>
      <c r="G21" s="486">
        <v>4529391685</v>
      </c>
      <c r="H21" s="486">
        <v>4928356594</v>
      </c>
      <c r="I21" s="486">
        <v>4241003450</v>
      </c>
      <c r="J21" s="482">
        <v>4617058156</v>
      </c>
      <c r="K21" s="453">
        <f>(G21-H21)-(I21-J21)</f>
        <v>-22910203</v>
      </c>
      <c r="L21" s="486">
        <v>2524744496</v>
      </c>
      <c r="M21" s="486">
        <v>2363992974</v>
      </c>
      <c r="N21" s="481">
        <v>76708082</v>
      </c>
      <c r="O21" s="453">
        <f>L21-M21+N21</f>
        <v>237459604</v>
      </c>
      <c r="P21" s="473">
        <f>F21-O21-K21</f>
        <v>-426730570</v>
      </c>
      <c r="R21" s="444">
        <v>2023</v>
      </c>
      <c r="S21" s="500">
        <v>414263491</v>
      </c>
      <c r="T21" s="358">
        <v>108800808</v>
      </c>
      <c r="U21" s="358">
        <f>S21-T21</f>
        <v>305462683</v>
      </c>
      <c r="V21" s="358">
        <v>29040511</v>
      </c>
      <c r="W21" s="451">
        <v>0</v>
      </c>
      <c r="X21" s="453">
        <f>W21-V21</f>
        <v>-29040511</v>
      </c>
      <c r="Y21" s="112">
        <f>X21+U21</f>
        <v>276422172</v>
      </c>
    </row>
    <row r="22" spans="2:25" ht="15.75" x14ac:dyDescent="0.25">
      <c r="B22" s="345">
        <v>2024</v>
      </c>
      <c r="C22" s="357">
        <v>-235307290</v>
      </c>
      <c r="D22" s="357">
        <v>76708082</v>
      </c>
      <c r="E22" s="483">
        <v>63949037</v>
      </c>
      <c r="F22" s="457">
        <f t="shared" ref="F22:F23" si="4">C22+D22-E22</f>
        <v>-222548245</v>
      </c>
      <c r="G22" s="357">
        <v>4837390319</v>
      </c>
      <c r="H22" s="357">
        <v>5260823325</v>
      </c>
      <c r="I22" s="357">
        <v>4529391685</v>
      </c>
      <c r="J22" s="483">
        <v>4928356594</v>
      </c>
      <c r="K22" s="457">
        <f t="shared" ref="K22:K23" si="5">(G22-H22)-(I22-J22)</f>
        <v>-24468097</v>
      </c>
      <c r="L22" s="357">
        <v>2696427123</v>
      </c>
      <c r="M22" s="357">
        <v>2524744496</v>
      </c>
      <c r="N22" s="483">
        <v>76708082</v>
      </c>
      <c r="O22" s="457">
        <f t="shared" ref="O22:O23" si="6">L22-M22+N22</f>
        <v>248390709</v>
      </c>
      <c r="P22" s="478">
        <f t="shared" ref="P22:P23" si="7">F22-O22-K22</f>
        <v>-446470857</v>
      </c>
      <c r="R22" s="458">
        <v>2024</v>
      </c>
      <c r="S22" s="501">
        <v>414263491</v>
      </c>
      <c r="T22" s="357">
        <v>225048180.5</v>
      </c>
      <c r="U22" s="357">
        <f>S22-T22</f>
        <v>189215310.5</v>
      </c>
      <c r="V22" s="357">
        <v>60007667.5</v>
      </c>
      <c r="W22" s="152">
        <v>0</v>
      </c>
      <c r="X22" s="457">
        <f>W22-V22</f>
        <v>-60007667.5</v>
      </c>
      <c r="Y22" s="122">
        <f>X22+U22</f>
        <v>129207643</v>
      </c>
    </row>
    <row r="23" spans="2:25" ht="16.5" thickBot="1" x14ac:dyDescent="0.3">
      <c r="B23" s="346">
        <v>2025</v>
      </c>
      <c r="C23" s="449">
        <v>-246027221</v>
      </c>
      <c r="D23" s="449">
        <v>76708082</v>
      </c>
      <c r="E23" s="484">
        <v>64297465</v>
      </c>
      <c r="F23" s="454">
        <f t="shared" si="4"/>
        <v>-233616604</v>
      </c>
      <c r="G23" s="487">
        <v>5166332860</v>
      </c>
      <c r="H23" s="487">
        <v>5615897794</v>
      </c>
      <c r="I23" s="487">
        <v>4837390319</v>
      </c>
      <c r="J23" s="485">
        <v>5260823325</v>
      </c>
      <c r="K23" s="454">
        <f t="shared" si="5"/>
        <v>-26131928</v>
      </c>
      <c r="L23" s="487">
        <v>2879784166</v>
      </c>
      <c r="M23" s="487">
        <v>2696427123</v>
      </c>
      <c r="N23" s="484">
        <v>76708082</v>
      </c>
      <c r="O23" s="454">
        <f t="shared" si="6"/>
        <v>260065125</v>
      </c>
      <c r="P23" s="476">
        <f t="shared" si="7"/>
        <v>-467549801</v>
      </c>
      <c r="R23" s="443">
        <v>2025</v>
      </c>
      <c r="S23" s="502">
        <v>414263491</v>
      </c>
      <c r="T23" s="449">
        <v>349200373</v>
      </c>
      <c r="U23" s="449">
        <f>S23-T23</f>
        <v>65063118</v>
      </c>
      <c r="V23" s="449">
        <v>93080591</v>
      </c>
      <c r="W23" s="452">
        <v>0</v>
      </c>
      <c r="X23" s="454">
        <f>W23-V23</f>
        <v>-93080591</v>
      </c>
      <c r="Y23" s="441">
        <f>X23+U23</f>
        <v>-28017473</v>
      </c>
    </row>
    <row r="24" spans="2:25" ht="15.75" x14ac:dyDescent="0.25">
      <c r="R24" s="3"/>
      <c r="S24" s="3"/>
      <c r="T24" s="3"/>
      <c r="U24" s="3"/>
      <c r="V24" s="3"/>
      <c r="W24" s="3"/>
      <c r="X24" s="3"/>
      <c r="Y24" s="3"/>
    </row>
    <row r="25" spans="2:25" ht="16.5" thickBot="1" x14ac:dyDescent="0.3">
      <c r="B25" s="650" t="s">
        <v>301</v>
      </c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2"/>
      <c r="R25" s="3"/>
      <c r="S25" s="3"/>
      <c r="T25" s="3"/>
      <c r="U25" s="3"/>
      <c r="V25" s="3"/>
      <c r="W25" s="3"/>
      <c r="X25" s="3"/>
      <c r="Y25" s="3"/>
    </row>
    <row r="26" spans="2:25" ht="15.75" x14ac:dyDescent="0.25">
      <c r="B26" s="503"/>
      <c r="C26" s="503"/>
      <c r="D26" s="503"/>
      <c r="E26" s="503"/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R26" s="499" t="s">
        <v>131</v>
      </c>
      <c r="S26" s="442">
        <v>2023</v>
      </c>
      <c r="T26" s="442">
        <v>2024</v>
      </c>
      <c r="U26" s="437">
        <v>2025</v>
      </c>
      <c r="V26" s="3"/>
      <c r="W26" s="3"/>
      <c r="X26" s="3"/>
      <c r="Y26" s="3"/>
    </row>
    <row r="27" spans="2:25" ht="15.75" x14ac:dyDescent="0.25">
      <c r="R27" s="73" t="s">
        <v>289</v>
      </c>
      <c r="S27" s="489">
        <v>29040511</v>
      </c>
      <c r="T27" s="358">
        <v>60007667.5</v>
      </c>
      <c r="U27" s="112">
        <v>93080591</v>
      </c>
      <c r="V27" s="3"/>
      <c r="W27" s="3"/>
      <c r="X27" s="3"/>
      <c r="Y27" s="3"/>
    </row>
    <row r="28" spans="2:25" ht="16.5" thickBot="1" x14ac:dyDescent="0.3">
      <c r="R28" s="65" t="s">
        <v>290</v>
      </c>
      <c r="S28" s="490">
        <v>108800808</v>
      </c>
      <c r="T28" s="362">
        <v>225048180.5</v>
      </c>
      <c r="U28" s="124">
        <v>349200373</v>
      </c>
      <c r="V28" s="3"/>
      <c r="W28" s="3"/>
      <c r="X28" s="3"/>
      <c r="Y28" s="3"/>
    </row>
  </sheetData>
  <mergeCells count="9">
    <mergeCell ref="B6:P6"/>
    <mergeCell ref="B18:P18"/>
    <mergeCell ref="R6:Y6"/>
    <mergeCell ref="R18:Y18"/>
    <mergeCell ref="B25:P25"/>
    <mergeCell ref="B7:P7"/>
    <mergeCell ref="B19:P19"/>
    <mergeCell ref="R7:Y7"/>
    <mergeCell ref="R19:Y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FE59-DA50-43A2-B6DC-1BA8B23005CC}">
  <dimension ref="D6:T41"/>
  <sheetViews>
    <sheetView tabSelected="1" topLeftCell="B3" zoomScale="90" zoomScaleNormal="90" workbookViewId="0">
      <selection activeCell="I22" sqref="I22"/>
    </sheetView>
  </sheetViews>
  <sheetFormatPr defaultRowHeight="12.75" x14ac:dyDescent="0.2"/>
  <cols>
    <col min="4" max="4" width="26.42578125" bestFit="1" customWidth="1"/>
    <col min="5" max="5" width="27.85546875" bestFit="1" customWidth="1"/>
    <col min="6" max="6" width="11.42578125" bestFit="1" customWidth="1"/>
    <col min="7" max="7" width="15.7109375" bestFit="1" customWidth="1"/>
    <col min="8" max="8" width="19" bestFit="1" customWidth="1"/>
    <col min="9" max="9" width="21.140625" bestFit="1" customWidth="1"/>
    <col min="10" max="10" width="5" bestFit="1" customWidth="1"/>
    <col min="14" max="14" width="20" bestFit="1" customWidth="1"/>
    <col min="15" max="15" width="27.42578125" bestFit="1" customWidth="1"/>
    <col min="16" max="16" width="11.42578125" bestFit="1" customWidth="1"/>
    <col min="17" max="17" width="15.7109375" bestFit="1" customWidth="1"/>
    <col min="18" max="18" width="18.42578125" bestFit="1" customWidth="1"/>
    <col min="19" max="19" width="21.28515625" bestFit="1" customWidth="1"/>
    <col min="20" max="20" width="5" customWidth="1"/>
  </cols>
  <sheetData>
    <row r="6" spans="4:19" ht="13.5" thickBot="1" x14ac:dyDescent="0.25"/>
    <row r="7" spans="4:19" x14ac:dyDescent="0.2">
      <c r="D7" s="662" t="s">
        <v>313</v>
      </c>
      <c r="E7" s="663"/>
      <c r="F7" s="663"/>
      <c r="G7" s="664"/>
      <c r="N7" s="671" t="s">
        <v>319</v>
      </c>
      <c r="O7" s="672"/>
      <c r="P7" s="672"/>
      <c r="Q7" s="673"/>
    </row>
    <row r="8" spans="4:19" ht="13.5" thickBot="1" x14ac:dyDescent="0.25">
      <c r="D8" s="665"/>
      <c r="E8" s="666"/>
      <c r="F8" s="666"/>
      <c r="G8" s="667"/>
      <c r="H8" s="507"/>
      <c r="I8" s="507"/>
      <c r="N8" s="677"/>
      <c r="O8" s="678"/>
      <c r="P8" s="678"/>
      <c r="Q8" s="679"/>
      <c r="R8" s="507"/>
      <c r="S8" s="507"/>
    </row>
    <row r="9" spans="4:19" ht="15.75" x14ac:dyDescent="0.25">
      <c r="D9" s="543"/>
      <c r="E9" s="544" t="s">
        <v>312</v>
      </c>
      <c r="F9" s="544" t="s">
        <v>310</v>
      </c>
      <c r="G9" s="545" t="s">
        <v>311</v>
      </c>
      <c r="N9" s="551"/>
      <c r="O9" s="554" t="s">
        <v>312</v>
      </c>
      <c r="P9" s="555" t="s">
        <v>310</v>
      </c>
      <c r="Q9" s="556" t="s">
        <v>311</v>
      </c>
    </row>
    <row r="10" spans="4:19" ht="15.75" x14ac:dyDescent="0.25">
      <c r="D10" s="519" t="s">
        <v>315</v>
      </c>
      <c r="E10" s="515">
        <f>E18+(E20*(E19-E18))</f>
        <v>0.11439999999999984</v>
      </c>
      <c r="F10" s="516">
        <f>G10/(G10+G11)</f>
        <v>0.20020118624341687</v>
      </c>
      <c r="G10" s="520">
        <v>1658844726</v>
      </c>
      <c r="N10" s="552" t="s">
        <v>315</v>
      </c>
      <c r="O10" s="528">
        <f>O18+(O20*(O19-O18))</f>
        <v>-11.972400000000002</v>
      </c>
      <c r="P10" s="516">
        <f>Q10/(Q10+Q11)</f>
        <v>8.4537696182981764E-2</v>
      </c>
      <c r="Q10" s="520">
        <v>426358855</v>
      </c>
    </row>
    <row r="11" spans="4:19" ht="16.5" thickBot="1" x14ac:dyDescent="0.3">
      <c r="D11" s="521" t="s">
        <v>316</v>
      </c>
      <c r="E11" s="522">
        <v>7.24</v>
      </c>
      <c r="F11" s="523">
        <f>G11/(G10+G11)</f>
        <v>0.79979881375658313</v>
      </c>
      <c r="G11" s="524">
        <v>6627043870</v>
      </c>
      <c r="N11" s="553" t="s">
        <v>316</v>
      </c>
      <c r="O11" s="530">
        <v>31.35</v>
      </c>
      <c r="P11" s="523">
        <f>Q11/(Q10+Q11)</f>
        <v>0.91546230381701821</v>
      </c>
      <c r="Q11" s="524">
        <v>4617058156</v>
      </c>
    </row>
    <row r="12" spans="4:19" ht="16.5" thickBot="1" x14ac:dyDescent="0.3">
      <c r="D12" s="575"/>
      <c r="E12" s="576"/>
      <c r="F12" s="577"/>
      <c r="G12" s="471"/>
      <c r="N12" s="575"/>
      <c r="O12" s="576"/>
      <c r="P12" s="577"/>
      <c r="Q12" s="471"/>
    </row>
    <row r="13" spans="4:19" ht="16.5" thickBot="1" x14ac:dyDescent="0.3">
      <c r="D13" s="680" t="s">
        <v>338</v>
      </c>
      <c r="E13" s="681"/>
      <c r="F13" s="681"/>
      <c r="G13" s="681"/>
      <c r="H13" s="681"/>
      <c r="I13" s="681"/>
      <c r="J13" s="681"/>
      <c r="K13" s="681"/>
      <c r="L13" s="681"/>
      <c r="M13" s="682"/>
      <c r="N13" s="578"/>
      <c r="O13" s="576"/>
      <c r="P13" s="577"/>
      <c r="Q13" s="471"/>
    </row>
    <row r="14" spans="4:19" ht="16.5" thickBot="1" x14ac:dyDescent="0.3">
      <c r="D14" s="3"/>
      <c r="E14" s="511"/>
      <c r="F14" s="511"/>
      <c r="G14" s="511"/>
      <c r="N14" s="3"/>
      <c r="O14" s="511"/>
      <c r="P14" s="511"/>
      <c r="Q14" s="511"/>
    </row>
    <row r="15" spans="4:19" ht="16.5" thickBot="1" x14ac:dyDescent="0.3">
      <c r="D15" s="538" t="s">
        <v>303</v>
      </c>
      <c r="E15" s="537">
        <f>(F10*E10)+(F11*E11)*(1-E21)</f>
        <v>4.5105741596944346</v>
      </c>
      <c r="F15" s="511"/>
      <c r="G15" s="511"/>
      <c r="N15" s="538" t="s">
        <v>303</v>
      </c>
      <c r="O15" s="537">
        <f>(P10*O10)+(P11*O11)*(1-O21)</f>
        <v>21.230181885333096</v>
      </c>
      <c r="P15" s="511"/>
      <c r="Q15" s="511"/>
    </row>
    <row r="16" spans="4:19" ht="16.5" thickBot="1" x14ac:dyDescent="0.3">
      <c r="D16" s="3"/>
      <c r="E16" s="3"/>
      <c r="F16" s="3"/>
      <c r="G16" s="3"/>
    </row>
    <row r="17" spans="4:20" ht="16.5" thickBot="1" x14ac:dyDescent="0.3">
      <c r="D17" s="548" t="s">
        <v>131</v>
      </c>
      <c r="E17" s="549">
        <v>2022</v>
      </c>
      <c r="F17" s="3"/>
      <c r="G17" s="3"/>
      <c r="N17" s="541" t="s">
        <v>131</v>
      </c>
      <c r="O17" s="542">
        <v>2022</v>
      </c>
    </row>
    <row r="18" spans="4:20" ht="16.5" thickBot="1" x14ac:dyDescent="0.3">
      <c r="D18" s="539" t="s">
        <v>317</v>
      </c>
      <c r="E18" s="540">
        <v>6.6</v>
      </c>
      <c r="F18" s="512"/>
      <c r="G18" s="683" t="s">
        <v>339</v>
      </c>
      <c r="H18" s="684"/>
      <c r="I18" s="684"/>
      <c r="J18" s="684"/>
      <c r="K18" s="684"/>
      <c r="L18" s="685"/>
      <c r="N18" s="539" t="s">
        <v>320</v>
      </c>
      <c r="O18" s="540">
        <v>6.6</v>
      </c>
    </row>
    <row r="19" spans="4:20" ht="16.5" thickBot="1" x14ac:dyDescent="0.3">
      <c r="D19" s="567" t="s">
        <v>334</v>
      </c>
      <c r="E19" s="572">
        <v>-8.14</v>
      </c>
      <c r="F19" s="513"/>
      <c r="N19" s="567" t="s">
        <v>334</v>
      </c>
      <c r="O19" s="572">
        <v>-8.14</v>
      </c>
    </row>
    <row r="20" spans="4:20" ht="16.5" thickBot="1" x14ac:dyDescent="0.3">
      <c r="D20" s="571" t="s">
        <v>304</v>
      </c>
      <c r="E20" s="574">
        <v>0.44</v>
      </c>
      <c r="F20" s="3"/>
      <c r="G20" s="3"/>
      <c r="N20" s="571" t="s">
        <v>304</v>
      </c>
      <c r="O20" s="574">
        <v>1.26</v>
      </c>
    </row>
    <row r="21" spans="4:20" ht="16.5" thickBot="1" x14ac:dyDescent="0.3">
      <c r="D21" s="120" t="s">
        <v>314</v>
      </c>
      <c r="E21" s="573">
        <v>0.22500000000000001</v>
      </c>
      <c r="F21" s="3"/>
      <c r="G21" s="3"/>
      <c r="N21" s="120" t="s">
        <v>318</v>
      </c>
      <c r="O21" s="573">
        <v>0.22500000000000001</v>
      </c>
    </row>
    <row r="22" spans="4:20" ht="15" x14ac:dyDescent="0.25">
      <c r="D22" s="506"/>
      <c r="N22" s="506"/>
    </row>
    <row r="23" spans="4:20" ht="13.5" thickBot="1" x14ac:dyDescent="0.25"/>
    <row r="24" spans="4:20" x14ac:dyDescent="0.2">
      <c r="D24" s="662" t="s">
        <v>302</v>
      </c>
      <c r="E24" s="663"/>
      <c r="F24" s="663"/>
      <c r="G24" s="663"/>
      <c r="H24" s="663"/>
      <c r="I24" s="663"/>
      <c r="J24" s="664"/>
      <c r="N24" s="671" t="s">
        <v>64</v>
      </c>
      <c r="O24" s="672"/>
      <c r="P24" s="672"/>
      <c r="Q24" s="672"/>
      <c r="R24" s="672"/>
      <c r="S24" s="672"/>
      <c r="T24" s="673"/>
    </row>
    <row r="25" spans="4:20" x14ac:dyDescent="0.2">
      <c r="D25" s="668"/>
      <c r="E25" s="669"/>
      <c r="F25" s="669"/>
      <c r="G25" s="669"/>
      <c r="H25" s="669"/>
      <c r="I25" s="669"/>
      <c r="J25" s="670"/>
      <c r="N25" s="674"/>
      <c r="O25" s="675"/>
      <c r="P25" s="675"/>
      <c r="Q25" s="675"/>
      <c r="R25" s="675"/>
      <c r="S25" s="675"/>
      <c r="T25" s="676"/>
    </row>
    <row r="26" spans="4:20" ht="16.5" thickBot="1" x14ac:dyDescent="0.3">
      <c r="D26" s="526" t="s">
        <v>254</v>
      </c>
      <c r="E26" s="488" t="s">
        <v>306</v>
      </c>
      <c r="F26" s="488" t="s">
        <v>307</v>
      </c>
      <c r="G26" s="488" t="s">
        <v>321</v>
      </c>
      <c r="H26" s="488" t="s">
        <v>305</v>
      </c>
      <c r="I26" s="488" t="s">
        <v>308</v>
      </c>
      <c r="J26" s="535" t="s">
        <v>304</v>
      </c>
      <c r="N26" s="526" t="s">
        <v>254</v>
      </c>
      <c r="O26" s="488" t="s">
        <v>306</v>
      </c>
      <c r="P26" s="488" t="s">
        <v>307</v>
      </c>
      <c r="Q26" s="488" t="s">
        <v>321</v>
      </c>
      <c r="R26" s="488" t="s">
        <v>309</v>
      </c>
      <c r="S26" s="488" t="s">
        <v>308</v>
      </c>
      <c r="T26" s="535" t="s">
        <v>304</v>
      </c>
    </row>
    <row r="27" spans="4:20" ht="16.5" thickBot="1" x14ac:dyDescent="0.3">
      <c r="D27" s="527">
        <v>2022</v>
      </c>
      <c r="E27" s="508">
        <v>65.2</v>
      </c>
      <c r="F27" s="508">
        <v>6207</v>
      </c>
      <c r="G27" s="509">
        <f>((F27-F28)/F28)*100</f>
        <v>-8.1397069705490601</v>
      </c>
      <c r="H27" s="510">
        <f>E27/E28-1</f>
        <v>-0.10068965517241379</v>
      </c>
      <c r="I27" s="534">
        <f>F27/F28-1</f>
        <v>-8.1397069705490654E-2</v>
      </c>
      <c r="J27" s="536">
        <f>SLOPE(H27:H36,I27:I36)</f>
        <v>0.4391475401497833</v>
      </c>
      <c r="N27" s="527">
        <v>2022</v>
      </c>
      <c r="O27" s="508">
        <v>30.2</v>
      </c>
      <c r="P27" s="508">
        <v>6207</v>
      </c>
      <c r="Q27" s="509">
        <f t="shared" ref="Q27:Q36" si="0">((P27-P28)/P28)*100</f>
        <v>-8.1397069705490601</v>
      </c>
      <c r="R27" s="510">
        <f>O27/O28-1</f>
        <v>-0.20734908136482944</v>
      </c>
      <c r="S27" s="534">
        <f>P27/P28-1</f>
        <v>-8.1397069705490654E-2</v>
      </c>
      <c r="T27" s="536">
        <f>SLOPE(R27:R36,S27:S36)</f>
        <v>1.2649685075331554</v>
      </c>
    </row>
    <row r="28" spans="4:20" ht="15.75" x14ac:dyDescent="0.25">
      <c r="D28" s="528">
        <v>2021</v>
      </c>
      <c r="E28" s="515">
        <v>72.5</v>
      </c>
      <c r="F28" s="515">
        <v>6757</v>
      </c>
      <c r="G28" s="516">
        <f t="shared" ref="G28:G36" si="1">((F28-F29)/F29)*100</f>
        <v>25.083302480562754</v>
      </c>
      <c r="H28" s="518">
        <f t="shared" ref="H28:H36" si="2">E28/E29-1</f>
        <v>-2.7510316368638543E-3</v>
      </c>
      <c r="I28" s="518">
        <f t="shared" ref="I28:I36" si="3">F28/F29-1</f>
        <v>0.25083302480562764</v>
      </c>
      <c r="J28" s="533"/>
      <c r="N28" s="528">
        <v>2021</v>
      </c>
      <c r="O28" s="515">
        <v>38.1</v>
      </c>
      <c r="P28" s="515">
        <v>6757</v>
      </c>
      <c r="Q28" s="516">
        <f t="shared" si="0"/>
        <v>25.083302480562754</v>
      </c>
      <c r="R28" s="518">
        <f t="shared" ref="R28:R36" si="4">O28/O29-1</f>
        <v>1.0594594594594597</v>
      </c>
      <c r="S28" s="518">
        <f t="shared" ref="S28:S36" si="5">P28/P29-1</f>
        <v>0.25083302480562764</v>
      </c>
      <c r="T28" s="533"/>
    </row>
    <row r="29" spans="4:20" ht="15.75" x14ac:dyDescent="0.25">
      <c r="D29" s="527">
        <v>2020</v>
      </c>
      <c r="E29" s="508">
        <v>72.7</v>
      </c>
      <c r="F29" s="508">
        <v>5402</v>
      </c>
      <c r="G29" s="509">
        <f t="shared" si="1"/>
        <v>21.311475409836063</v>
      </c>
      <c r="H29" s="510">
        <f t="shared" si="2"/>
        <v>0.14668769716088326</v>
      </c>
      <c r="I29" s="510">
        <f t="shared" si="3"/>
        <v>0.21311475409836067</v>
      </c>
      <c r="J29" s="529"/>
      <c r="N29" s="527">
        <v>2020</v>
      </c>
      <c r="O29" s="508">
        <v>18.5</v>
      </c>
      <c r="P29" s="508">
        <v>5402</v>
      </c>
      <c r="Q29" s="509">
        <f t="shared" si="0"/>
        <v>21.311475409836063</v>
      </c>
      <c r="R29" s="510">
        <f t="shared" si="4"/>
        <v>0.20129870129870131</v>
      </c>
      <c r="S29" s="510">
        <f t="shared" si="5"/>
        <v>0.21311475409836067</v>
      </c>
      <c r="T29" s="529"/>
    </row>
    <row r="30" spans="4:20" ht="15.75" x14ac:dyDescent="0.25">
      <c r="D30" s="528">
        <v>2019</v>
      </c>
      <c r="E30" s="515">
        <v>63.4</v>
      </c>
      <c r="F30" s="515">
        <v>4453</v>
      </c>
      <c r="G30" s="516">
        <f t="shared" si="1"/>
        <v>-17.322688451541033</v>
      </c>
      <c r="H30" s="518">
        <f t="shared" si="2"/>
        <v>-0.31533477321814252</v>
      </c>
      <c r="I30" s="518">
        <f t="shared" si="3"/>
        <v>-0.17322688451541035</v>
      </c>
      <c r="J30" s="533"/>
      <c r="N30" s="528">
        <v>2019</v>
      </c>
      <c r="O30" s="515">
        <v>15.4</v>
      </c>
      <c r="P30" s="515">
        <v>4453</v>
      </c>
      <c r="Q30" s="516">
        <f t="shared" si="0"/>
        <v>-17.322688451541033</v>
      </c>
      <c r="R30" s="518">
        <f t="shared" si="4"/>
        <v>-0.30316742081447967</v>
      </c>
      <c r="S30" s="518">
        <f t="shared" si="5"/>
        <v>-0.17322688451541035</v>
      </c>
      <c r="T30" s="533"/>
    </row>
    <row r="31" spans="4:20" ht="15.75" x14ac:dyDescent="0.25">
      <c r="D31" s="527">
        <v>2018</v>
      </c>
      <c r="E31" s="508">
        <v>92.6</v>
      </c>
      <c r="F31" s="508">
        <v>5386</v>
      </c>
      <c r="G31" s="509">
        <f t="shared" si="1"/>
        <v>-13.741191543882127</v>
      </c>
      <c r="H31" s="510">
        <f t="shared" si="2"/>
        <v>-8.947885939036393E-2</v>
      </c>
      <c r="I31" s="510">
        <f t="shared" si="3"/>
        <v>-0.13741191543882125</v>
      </c>
      <c r="J31" s="529"/>
      <c r="N31" s="527">
        <v>2018</v>
      </c>
      <c r="O31" s="508">
        <v>22.1</v>
      </c>
      <c r="P31" s="508">
        <v>5386</v>
      </c>
      <c r="Q31" s="509">
        <f t="shared" si="0"/>
        <v>-13.741191543882127</v>
      </c>
      <c r="R31" s="510">
        <f t="shared" si="4"/>
        <v>-0.27062706270627057</v>
      </c>
      <c r="S31" s="510">
        <f t="shared" si="5"/>
        <v>-0.13741191543882125</v>
      </c>
      <c r="T31" s="529"/>
    </row>
    <row r="32" spans="4:20" ht="15.75" x14ac:dyDescent="0.25">
      <c r="D32" s="528">
        <v>2017</v>
      </c>
      <c r="E32" s="515">
        <v>101.7</v>
      </c>
      <c r="F32" s="515">
        <v>6244</v>
      </c>
      <c r="G32" s="516">
        <f t="shared" si="1"/>
        <v>23.987291501191422</v>
      </c>
      <c r="H32" s="518">
        <f t="shared" si="2"/>
        <v>-4.1470311027332674E-2</v>
      </c>
      <c r="I32" s="518">
        <f t="shared" si="3"/>
        <v>0.23987291501191432</v>
      </c>
      <c r="J32" s="533"/>
      <c r="N32" s="528">
        <v>2017</v>
      </c>
      <c r="O32" s="515">
        <v>30.3</v>
      </c>
      <c r="P32" s="515">
        <v>6244</v>
      </c>
      <c r="Q32" s="516">
        <f t="shared" si="0"/>
        <v>23.987291501191422</v>
      </c>
      <c r="R32" s="518">
        <f t="shared" si="4"/>
        <v>-0.18548387096774199</v>
      </c>
      <c r="S32" s="518">
        <f t="shared" si="5"/>
        <v>0.23987291501191432</v>
      </c>
      <c r="T32" s="533"/>
    </row>
    <row r="33" spans="4:20" ht="15.75" x14ac:dyDescent="0.25">
      <c r="D33" s="527">
        <v>2016</v>
      </c>
      <c r="E33" s="508">
        <v>106.1</v>
      </c>
      <c r="F33" s="508">
        <v>5036</v>
      </c>
      <c r="G33" s="509">
        <f t="shared" si="1"/>
        <v>8.76889848812095</v>
      </c>
      <c r="H33" s="510">
        <f t="shared" si="2"/>
        <v>-7.4836295603368796E-3</v>
      </c>
      <c r="I33" s="510">
        <f t="shared" si="3"/>
        <v>8.7688984881209464E-2</v>
      </c>
      <c r="J33" s="529"/>
      <c r="N33" s="527">
        <v>2016</v>
      </c>
      <c r="O33" s="508">
        <v>37.200000000000003</v>
      </c>
      <c r="P33" s="508">
        <v>5036</v>
      </c>
      <c r="Q33" s="509">
        <f t="shared" si="0"/>
        <v>8.76889848812095</v>
      </c>
      <c r="R33" s="510">
        <f t="shared" si="4"/>
        <v>-9.4890510948905105E-2</v>
      </c>
      <c r="S33" s="510">
        <f t="shared" si="5"/>
        <v>8.7688984881209464E-2</v>
      </c>
      <c r="T33" s="529"/>
    </row>
    <row r="34" spans="4:20" ht="15.75" x14ac:dyDescent="0.25">
      <c r="D34" s="528">
        <v>2015</v>
      </c>
      <c r="E34" s="515">
        <v>106.9</v>
      </c>
      <c r="F34" s="515">
        <v>4630</v>
      </c>
      <c r="G34" s="516">
        <f t="shared" si="1"/>
        <v>-4.830421377183967</v>
      </c>
      <c r="H34" s="518">
        <f t="shared" si="2"/>
        <v>-0.11725846407927321</v>
      </c>
      <c r="I34" s="518">
        <f t="shared" si="3"/>
        <v>-4.8304213771839688E-2</v>
      </c>
      <c r="J34" s="533"/>
      <c r="N34" s="528">
        <v>2015</v>
      </c>
      <c r="O34" s="515">
        <v>41.1</v>
      </c>
      <c r="P34" s="515">
        <v>4630</v>
      </c>
      <c r="Q34" s="516">
        <f t="shared" si="0"/>
        <v>-4.830421377183967</v>
      </c>
      <c r="R34" s="518">
        <f t="shared" si="4"/>
        <v>5.3846153846153877E-2</v>
      </c>
      <c r="S34" s="518">
        <f t="shared" si="5"/>
        <v>-4.8304213771839688E-2</v>
      </c>
      <c r="T34" s="533"/>
    </row>
    <row r="35" spans="4:20" ht="15.75" x14ac:dyDescent="0.25">
      <c r="D35" s="527">
        <v>2014</v>
      </c>
      <c r="E35" s="508">
        <v>121.1</v>
      </c>
      <c r="F35" s="508">
        <v>4865</v>
      </c>
      <c r="G35" s="509">
        <f t="shared" si="1"/>
        <v>14.067995310668231</v>
      </c>
      <c r="H35" s="510">
        <f t="shared" si="2"/>
        <v>-0.15196078431372562</v>
      </c>
      <c r="I35" s="510">
        <f t="shared" si="3"/>
        <v>0.14067995310668224</v>
      </c>
      <c r="J35" s="529"/>
      <c r="N35" s="527">
        <v>2014</v>
      </c>
      <c r="O35" s="508">
        <v>39</v>
      </c>
      <c r="P35" s="508">
        <v>4865</v>
      </c>
      <c r="Q35" s="509">
        <f t="shared" si="0"/>
        <v>14.067995310668231</v>
      </c>
      <c r="R35" s="510">
        <f t="shared" si="4"/>
        <v>-0.53736654804270456</v>
      </c>
      <c r="S35" s="510">
        <f t="shared" si="5"/>
        <v>0.14067995310668224</v>
      </c>
      <c r="T35" s="529"/>
    </row>
    <row r="36" spans="4:20" ht="15.75" x14ac:dyDescent="0.25">
      <c r="D36" s="528">
        <v>2013</v>
      </c>
      <c r="E36" s="515">
        <v>142.80000000000001</v>
      </c>
      <c r="F36" s="515">
        <v>4265</v>
      </c>
      <c r="G36" s="516">
        <f t="shared" si="1"/>
        <v>1.0903057596586869</v>
      </c>
      <c r="H36" s="518">
        <f t="shared" si="2"/>
        <v>0.36259541984732846</v>
      </c>
      <c r="I36" s="518">
        <f t="shared" si="3"/>
        <v>1.090305759658694E-2</v>
      </c>
      <c r="J36" s="533"/>
      <c r="N36" s="528">
        <v>2013</v>
      </c>
      <c r="O36" s="515">
        <v>84.3</v>
      </c>
      <c r="P36" s="515">
        <v>4265</v>
      </c>
      <c r="Q36" s="516">
        <f t="shared" si="0"/>
        <v>1.0903057596586869</v>
      </c>
      <c r="R36" s="518">
        <f t="shared" si="4"/>
        <v>0.31924882629107976</v>
      </c>
      <c r="S36" s="518">
        <f t="shared" si="5"/>
        <v>1.090305759658694E-2</v>
      </c>
      <c r="T36" s="533"/>
    </row>
    <row r="37" spans="4:20" ht="16.5" thickBot="1" x14ac:dyDescent="0.3">
      <c r="D37" s="530">
        <v>2012</v>
      </c>
      <c r="E37" s="522">
        <v>104.8</v>
      </c>
      <c r="F37" s="522">
        <v>4219</v>
      </c>
      <c r="G37" s="531"/>
      <c r="H37" s="531"/>
      <c r="I37" s="531"/>
      <c r="J37" s="532"/>
      <c r="N37" s="530">
        <v>2012</v>
      </c>
      <c r="O37" s="522">
        <v>63.9</v>
      </c>
      <c r="P37" s="522">
        <v>4219</v>
      </c>
      <c r="Q37" s="546"/>
      <c r="R37" s="546"/>
      <c r="S37" s="546"/>
      <c r="T37" s="547"/>
    </row>
    <row r="40" spans="4:20" ht="12.75" customHeight="1" x14ac:dyDescent="0.2">
      <c r="M40" s="579"/>
      <c r="N40" s="579"/>
      <c r="O40" s="579"/>
      <c r="P40" s="579"/>
      <c r="Q40" s="579"/>
      <c r="R40" s="579"/>
      <c r="S40" s="579"/>
      <c r="T40" s="579"/>
    </row>
    <row r="41" spans="4:20" ht="13.5" customHeight="1" x14ac:dyDescent="0.2">
      <c r="M41" s="579"/>
      <c r="N41" s="579"/>
      <c r="O41" s="579"/>
      <c r="P41" s="579"/>
      <c r="Q41" s="579"/>
      <c r="R41" s="579"/>
      <c r="S41" s="579"/>
      <c r="T41" s="579"/>
    </row>
  </sheetData>
  <mergeCells count="6">
    <mergeCell ref="D7:G8"/>
    <mergeCell ref="D24:J25"/>
    <mergeCell ref="N24:T25"/>
    <mergeCell ref="N7:Q8"/>
    <mergeCell ref="D13:M13"/>
    <mergeCell ref="G18:L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0F5D-787E-4422-B7B0-C5CA7F213072}">
  <dimension ref="G8:R35"/>
  <sheetViews>
    <sheetView workbookViewId="0">
      <selection activeCell="J29" sqref="J29"/>
    </sheetView>
  </sheetViews>
  <sheetFormatPr defaultRowHeight="12.75" x14ac:dyDescent="0.2"/>
  <cols>
    <col min="7" max="7" width="38.85546875" bestFit="1" customWidth="1"/>
    <col min="8" max="11" width="21.85546875" bestFit="1" customWidth="1"/>
    <col min="14" max="14" width="38.85546875" bestFit="1" customWidth="1"/>
    <col min="15" max="15" width="18.7109375" bestFit="1" customWidth="1"/>
    <col min="16" max="18" width="16.42578125" bestFit="1" customWidth="1"/>
  </cols>
  <sheetData>
    <row r="8" spans="7:18" ht="13.5" thickBot="1" x14ac:dyDescent="0.25"/>
    <row r="9" spans="7:18" x14ac:dyDescent="0.2">
      <c r="G9" s="662" t="s">
        <v>331</v>
      </c>
      <c r="H9" s="663"/>
      <c r="I9" s="663"/>
      <c r="J9" s="664"/>
      <c r="N9" s="671" t="s">
        <v>64</v>
      </c>
      <c r="O9" s="672"/>
      <c r="P9" s="672"/>
      <c r="Q9" s="673"/>
    </row>
    <row r="10" spans="7:18" x14ac:dyDescent="0.2">
      <c r="G10" s="668"/>
      <c r="H10" s="669"/>
      <c r="I10" s="669"/>
      <c r="J10" s="670"/>
      <c r="N10" s="674"/>
      <c r="O10" s="675"/>
      <c r="P10" s="675"/>
      <c r="Q10" s="676"/>
    </row>
    <row r="11" spans="7:18" ht="15.75" x14ac:dyDescent="0.25">
      <c r="G11" s="525"/>
      <c r="H11" s="569">
        <v>2023</v>
      </c>
      <c r="I11" s="569">
        <v>2024</v>
      </c>
      <c r="J11" s="570">
        <v>2025</v>
      </c>
      <c r="K11" s="3"/>
      <c r="N11" s="525"/>
      <c r="O11" s="569">
        <v>2023</v>
      </c>
      <c r="P11" s="569">
        <v>2024</v>
      </c>
      <c r="Q11" s="570">
        <v>2025</v>
      </c>
      <c r="R11" s="3"/>
    </row>
    <row r="12" spans="7:18" ht="15.75" x14ac:dyDescent="0.25">
      <c r="G12" s="519" t="s">
        <v>253</v>
      </c>
      <c r="H12" s="561">
        <v>-354641065</v>
      </c>
      <c r="I12" s="561">
        <v>-390458879</v>
      </c>
      <c r="J12" s="562">
        <v>-430739594</v>
      </c>
      <c r="K12" s="3"/>
      <c r="N12" s="519" t="s">
        <v>253</v>
      </c>
      <c r="O12" s="517">
        <v>-426730570</v>
      </c>
      <c r="P12" s="563">
        <v>-446470857</v>
      </c>
      <c r="Q12" s="564">
        <v>-467549801</v>
      </c>
      <c r="R12" s="3"/>
    </row>
    <row r="13" spans="7:18" ht="15.75" x14ac:dyDescent="0.25">
      <c r="G13" s="525" t="s">
        <v>322</v>
      </c>
      <c r="H13" s="689">
        <v>4.5100000000000001E-2</v>
      </c>
      <c r="I13" s="690"/>
      <c r="J13" s="691"/>
      <c r="K13" s="3"/>
      <c r="N13" s="525" t="s">
        <v>322</v>
      </c>
      <c r="O13" s="689">
        <v>0.21229999999999999</v>
      </c>
      <c r="P13" s="690"/>
      <c r="Q13" s="691"/>
      <c r="R13" s="3"/>
    </row>
    <row r="14" spans="7:18" ht="15.75" x14ac:dyDescent="0.25">
      <c r="G14" s="519" t="s">
        <v>323</v>
      </c>
      <c r="H14" s="517">
        <f>H12/(1+0.0451)</f>
        <v>-339336967.75428194</v>
      </c>
      <c r="I14" s="517">
        <f>I12/POWER(1.0451,2)</f>
        <v>-357486468.49039251</v>
      </c>
      <c r="J14" s="520">
        <f>J12/POWER(1.0451,3)</f>
        <v>-377347303.71792448</v>
      </c>
      <c r="K14" s="3"/>
      <c r="N14" s="519" t="s">
        <v>323</v>
      </c>
      <c r="O14" s="563">
        <f>O12/(1.2123)</f>
        <v>-352000800.13198054</v>
      </c>
      <c r="P14" s="563">
        <f>P12/POWER(1.2123,2)</f>
        <v>-303789602.50356394</v>
      </c>
      <c r="Q14" s="564">
        <f>Q12/POWER(1.2123,3)</f>
        <v>-262420380.58004171</v>
      </c>
      <c r="R14" s="3"/>
    </row>
    <row r="15" spans="7:18" ht="16.5" thickBot="1" x14ac:dyDescent="0.3">
      <c r="G15" s="521" t="s">
        <v>324</v>
      </c>
      <c r="H15" s="692">
        <f>H14+I14+J14</f>
        <v>-1074170739.9625988</v>
      </c>
      <c r="I15" s="693"/>
      <c r="J15" s="694"/>
      <c r="K15" s="3"/>
      <c r="N15" s="521" t="s">
        <v>324</v>
      </c>
      <c r="O15" s="692">
        <f>O14+P14+Q14</f>
        <v>-918210783.21558619</v>
      </c>
      <c r="P15" s="693"/>
      <c r="Q15" s="694"/>
      <c r="R15" s="3"/>
    </row>
    <row r="16" spans="7:18" ht="15.75" x14ac:dyDescent="0.25">
      <c r="G16" s="3"/>
      <c r="H16" s="3"/>
      <c r="I16" s="3"/>
      <c r="J16" s="3"/>
      <c r="K16" s="3"/>
      <c r="N16" s="3"/>
      <c r="O16" s="3"/>
      <c r="P16" s="3"/>
      <c r="Q16" s="3"/>
      <c r="R16" s="3"/>
    </row>
    <row r="17" spans="7:18" ht="16.5" thickBot="1" x14ac:dyDescent="0.3">
      <c r="G17" s="3"/>
      <c r="H17" s="3"/>
      <c r="I17" s="3"/>
      <c r="J17" s="3"/>
      <c r="K17" s="3"/>
      <c r="N17" s="3"/>
      <c r="O17" s="3"/>
      <c r="P17" s="3"/>
      <c r="Q17" s="3"/>
      <c r="R17" s="3"/>
    </row>
    <row r="18" spans="7:18" ht="15.75" x14ac:dyDescent="0.25">
      <c r="G18" s="557"/>
      <c r="H18" s="558">
        <v>2019</v>
      </c>
      <c r="I18" s="558">
        <v>2020</v>
      </c>
      <c r="J18" s="558">
        <v>2021</v>
      </c>
      <c r="K18" s="559">
        <v>2022</v>
      </c>
      <c r="N18" s="557"/>
      <c r="O18" s="558">
        <v>2019</v>
      </c>
      <c r="P18" s="558">
        <v>2020</v>
      </c>
      <c r="Q18" s="558">
        <v>2021</v>
      </c>
      <c r="R18" s="559">
        <v>2022</v>
      </c>
    </row>
    <row r="19" spans="7:18" ht="15.75" x14ac:dyDescent="0.25">
      <c r="G19" s="519" t="s">
        <v>250</v>
      </c>
      <c r="H19" s="563">
        <f>'Income statement'!D13+'Income statement'!C34-'Income statement'!D18</f>
        <v>515208524</v>
      </c>
      <c r="I19" s="563">
        <f>'Income statement'!E13+'Income statement'!D37-'Income statement'!E18</f>
        <v>588404620</v>
      </c>
      <c r="J19" s="563">
        <f>'Income statement'!F13+'Income statement'!E37-'Income statement'!F18</f>
        <v>598661439</v>
      </c>
      <c r="K19" s="564">
        <f>'Income statement'!G13+'Income statement'!F37-'Income statement'!G18</f>
        <v>616457163</v>
      </c>
      <c r="N19" s="519" t="s">
        <v>250</v>
      </c>
      <c r="O19" s="563">
        <f>'Income statement'!D65+'Income statement'!C95-'Income statement'!D73</f>
        <v>243515171</v>
      </c>
      <c r="P19" s="563">
        <f>'Income statement'!E65+'Income statement'!D95-'Income statement'!E73</f>
        <v>188530199</v>
      </c>
      <c r="Q19" s="563">
        <f>'Income statement'!F65+'Income statement'!E95-'Income statement'!F73</f>
        <v>386913913</v>
      </c>
      <c r="R19" s="564">
        <f>'Income statement'!G65+'Income statement'!F95-'Income statement'!G73</f>
        <v>-183548217</v>
      </c>
    </row>
    <row r="20" spans="7:18" ht="15.75" x14ac:dyDescent="0.25">
      <c r="G20" s="525" t="s">
        <v>251</v>
      </c>
      <c r="H20" s="550">
        <f>('Income statement'!L20-Valuation!L46)-('Income statement'!K20-'Income statement'!K46)</f>
        <v>3667857860</v>
      </c>
      <c r="I20" s="550">
        <f>('Income statement'!M20-Valuation!M46)-('Income statement'!L20-'Income statement'!L46)</f>
        <v>6576263177</v>
      </c>
      <c r="J20" s="550">
        <f>('Income statement'!N20-Valuation!N46)-('Income statement'!M20-'Income statement'!M46)</f>
        <v>5672159035</v>
      </c>
      <c r="K20" s="560">
        <f>('Income statement'!O20-Valuation!O46)-('Income statement'!N20-'Income statement'!N46)</f>
        <v>6039130608</v>
      </c>
      <c r="N20" s="525" t="s">
        <v>251</v>
      </c>
      <c r="O20" s="550">
        <f>('Income statement'!L74-Valuation!L97)-('Income statement'!K74-'Income statement'!K97)</f>
        <v>3739105107</v>
      </c>
      <c r="P20" s="550">
        <f>('Income statement'!M74-Valuation!M97)-('Income statement'!L74-'Income statement'!L97)</f>
        <v>4647533323</v>
      </c>
      <c r="Q20" s="550">
        <f>('Income statement'!N74-Valuation!N97)-('Income statement'!M74-'Income statement'!M97)</f>
        <v>5482961524</v>
      </c>
      <c r="R20" s="560">
        <f>('Income statement'!O74-Valuation!O97)-('Income statement'!N74-'Income statement'!N97)</f>
        <v>4923892170</v>
      </c>
    </row>
    <row r="21" spans="7:18" ht="15.75" x14ac:dyDescent="0.25">
      <c r="G21" s="519" t="s">
        <v>252</v>
      </c>
      <c r="H21" s="563">
        <f>'Income statement'!L12-'Income statement'!K12+'Income statement'!C37</f>
        <v>2262332768</v>
      </c>
      <c r="I21" s="563">
        <f>'Income statement'!M12-'Income statement'!L12+'Income statement'!D37</f>
        <v>1054525339</v>
      </c>
      <c r="J21" s="563">
        <f>'Income statement'!N12-'Income statement'!M12+'Income statement'!E37</f>
        <v>3419950765</v>
      </c>
      <c r="K21" s="564">
        <f>'Income statement'!O12-'Income statement'!N12+'Income statement'!F37</f>
        <v>658056408</v>
      </c>
      <c r="N21" s="519" t="s">
        <v>252</v>
      </c>
      <c r="O21" s="563">
        <f>'Income statement'!L66-'Income statement'!K66+'Income statement'!C95</f>
        <v>166292601</v>
      </c>
      <c r="P21" s="563">
        <f>'Income statement'!M66-'Income statement'!L66+'Income statement'!D95</f>
        <v>1291257159</v>
      </c>
      <c r="Q21" s="563">
        <f>'Income statement'!N66-'Income statement'!M66+'Income statement'!E95</f>
        <v>87393761</v>
      </c>
      <c r="R21" s="564">
        <f>'Income statement'!O66-'Income statement'!N66+'Income statement'!F95</f>
        <v>29298926</v>
      </c>
    </row>
    <row r="22" spans="7:18" ht="15.75" x14ac:dyDescent="0.25">
      <c r="G22" s="525" t="s">
        <v>253</v>
      </c>
      <c r="H22" s="550">
        <f>H19-H20-H21</f>
        <v>-5414982104</v>
      </c>
      <c r="I22" s="550">
        <f t="shared" ref="I22:K22" si="0">I19-I20-I21</f>
        <v>-7042383896</v>
      </c>
      <c r="J22" s="550">
        <f t="shared" si="0"/>
        <v>-8493448361</v>
      </c>
      <c r="K22" s="560">
        <f t="shared" si="0"/>
        <v>-6080729853</v>
      </c>
      <c r="N22" s="525" t="s">
        <v>253</v>
      </c>
      <c r="O22" s="550">
        <f>O19-O20-O21</f>
        <v>-3661882537</v>
      </c>
      <c r="P22" s="550">
        <f t="shared" ref="P22" si="1">P19-P20-P21</f>
        <v>-5750260283</v>
      </c>
      <c r="Q22" s="550">
        <f t="shared" ref="Q22" si="2">Q19-Q20-Q21</f>
        <v>-5183441372</v>
      </c>
      <c r="R22" s="560">
        <f t="shared" ref="R22" si="3">R19-R20-R21</f>
        <v>-5136739313</v>
      </c>
    </row>
    <row r="23" spans="7:18" ht="16.5" thickBot="1" x14ac:dyDescent="0.3">
      <c r="G23" s="519" t="s">
        <v>337</v>
      </c>
      <c r="H23" s="514"/>
      <c r="I23" s="565">
        <f>((I22-H22)/H22)*100</f>
        <v>30.053687357486421</v>
      </c>
      <c r="J23" s="565">
        <f t="shared" ref="J23" si="4">((J22-I22)/I22)*100</f>
        <v>20.604733942780218</v>
      </c>
      <c r="K23" s="566">
        <f>((K22-J22)/J22)*100</f>
        <v>-28.406819061603521</v>
      </c>
      <c r="N23" s="593" t="s">
        <v>337</v>
      </c>
      <c r="O23" s="594"/>
      <c r="P23" s="595">
        <f>((P22-O22)/O22)*100</f>
        <v>57.030167540843756</v>
      </c>
      <c r="Q23" s="595">
        <f t="shared" ref="Q23" si="5">((Q22-P22)/P22)*100</f>
        <v>-9.8572739859400205</v>
      </c>
      <c r="R23" s="596">
        <f t="shared" ref="R23" si="6">((R22-Q22)/Q22)*100</f>
        <v>-0.90098557402956192</v>
      </c>
    </row>
    <row r="25" spans="7:18" ht="13.5" thickBot="1" x14ac:dyDescent="0.25"/>
    <row r="26" spans="7:18" ht="15.75" x14ac:dyDescent="0.25">
      <c r="G26" s="557" t="s">
        <v>336</v>
      </c>
      <c r="H26" s="581">
        <f>(I23+J23+K23)/3</f>
        <v>7.417200746221039</v>
      </c>
      <c r="I26" s="580"/>
      <c r="J26" s="580"/>
      <c r="K26" s="580"/>
      <c r="N26" s="557" t="s">
        <v>336</v>
      </c>
      <c r="O26" s="581">
        <f>(P23+Q23+R23)/3</f>
        <v>15.423969326958058</v>
      </c>
      <c r="P26" s="580"/>
      <c r="Q26" s="580"/>
      <c r="R26" s="580"/>
    </row>
    <row r="27" spans="7:18" ht="15.75" x14ac:dyDescent="0.25">
      <c r="G27" s="519" t="s">
        <v>325</v>
      </c>
      <c r="H27" s="584">
        <f>(((J12*1.0742)/(0.0451-0.0742))/POWER(1.0451,3))</f>
        <v>13929432084.322834</v>
      </c>
      <c r="I27" s="580"/>
      <c r="J27" s="580"/>
      <c r="K27" s="580"/>
      <c r="N27" s="519" t="s">
        <v>325</v>
      </c>
      <c r="O27" s="584">
        <f>(((Q12*1.1542)/(0.0608-0.1542))/POWER(1.0608,3))</f>
        <v>4840180270.3256826</v>
      </c>
      <c r="P27" s="580"/>
      <c r="Q27" s="580"/>
      <c r="R27" s="580"/>
    </row>
    <row r="28" spans="7:18" ht="15.75" x14ac:dyDescent="0.25">
      <c r="G28" s="525" t="s">
        <v>330</v>
      </c>
      <c r="H28" s="585">
        <f>H15+H27</f>
        <v>12855261344.360235</v>
      </c>
      <c r="I28" s="580"/>
      <c r="J28" s="580"/>
      <c r="K28" s="580"/>
      <c r="N28" s="525" t="s">
        <v>330</v>
      </c>
      <c r="O28" s="588">
        <f>O15+O27</f>
        <v>3921969487.1100965</v>
      </c>
      <c r="P28" s="580"/>
      <c r="Q28" s="580"/>
      <c r="R28" s="580"/>
    </row>
    <row r="29" spans="7:18" ht="15.75" x14ac:dyDescent="0.25">
      <c r="G29" s="519" t="s">
        <v>332</v>
      </c>
      <c r="H29" s="584">
        <v>6627043870</v>
      </c>
      <c r="I29" s="580"/>
      <c r="J29" s="580"/>
      <c r="K29" s="580"/>
      <c r="N29" s="519" t="s">
        <v>332</v>
      </c>
      <c r="O29" s="520">
        <v>4617058156</v>
      </c>
      <c r="P29" s="580"/>
      <c r="Q29" s="580"/>
      <c r="R29" s="580"/>
    </row>
    <row r="30" spans="7:18" ht="15.75" x14ac:dyDescent="0.25">
      <c r="G30" s="568" t="s">
        <v>335</v>
      </c>
      <c r="H30" s="586">
        <f>H28-H29</f>
        <v>6228217474.3602352</v>
      </c>
      <c r="I30" s="580"/>
      <c r="J30" s="580"/>
      <c r="K30" s="580"/>
      <c r="N30" s="568" t="s">
        <v>335</v>
      </c>
      <c r="O30" s="589">
        <f>O28-O29</f>
        <v>-695088668.88990355</v>
      </c>
      <c r="P30" s="580"/>
      <c r="Q30" s="580"/>
      <c r="R30" s="580"/>
    </row>
    <row r="31" spans="7:18" ht="16.5" thickBot="1" x14ac:dyDescent="0.3">
      <c r="G31" s="567" t="s">
        <v>326</v>
      </c>
      <c r="H31" s="587">
        <v>28651728</v>
      </c>
      <c r="I31" s="580"/>
      <c r="J31" s="580"/>
      <c r="K31" s="580"/>
      <c r="N31" s="567" t="s">
        <v>326</v>
      </c>
      <c r="O31" s="590">
        <v>33880000</v>
      </c>
      <c r="P31" s="580"/>
      <c r="Q31" s="580"/>
      <c r="R31" s="580"/>
    </row>
    <row r="32" spans="7:18" ht="16.5" thickBot="1" x14ac:dyDescent="0.3">
      <c r="G32" s="571" t="s">
        <v>327</v>
      </c>
      <c r="H32" s="582">
        <f>H30/H31</f>
        <v>217.37667879439019</v>
      </c>
      <c r="I32" s="580"/>
      <c r="J32" s="580"/>
      <c r="K32" s="580"/>
      <c r="N32" s="571" t="s">
        <v>327</v>
      </c>
      <c r="O32" s="591">
        <f>O30/O31</f>
        <v>-20.516194477269881</v>
      </c>
      <c r="P32" s="580"/>
      <c r="Q32" s="580"/>
      <c r="R32" s="580"/>
    </row>
    <row r="33" spans="7:18" ht="16.5" thickBot="1" x14ac:dyDescent="0.3">
      <c r="G33" s="538" t="s">
        <v>328</v>
      </c>
      <c r="H33" s="583">
        <v>65.2</v>
      </c>
      <c r="I33" s="580"/>
      <c r="J33" s="580"/>
      <c r="K33" s="580"/>
      <c r="N33" s="538" t="s">
        <v>328</v>
      </c>
      <c r="O33" s="592">
        <v>30.2</v>
      </c>
      <c r="P33" s="580"/>
      <c r="Q33" s="580"/>
      <c r="R33" s="580"/>
    </row>
    <row r="34" spans="7:18" ht="16.5" thickBot="1" x14ac:dyDescent="0.3">
      <c r="J34" s="580"/>
      <c r="K34" s="580"/>
    </row>
    <row r="35" spans="7:18" ht="16.5" thickBot="1" x14ac:dyDescent="0.3">
      <c r="G35" s="686" t="s">
        <v>329</v>
      </c>
      <c r="H35" s="687"/>
      <c r="I35" s="688"/>
      <c r="N35" s="686" t="s">
        <v>333</v>
      </c>
      <c r="O35" s="687"/>
      <c r="P35" s="688"/>
      <c r="Q35" s="597"/>
      <c r="R35" s="597"/>
    </row>
  </sheetData>
  <mergeCells count="8">
    <mergeCell ref="G35:I35"/>
    <mergeCell ref="G9:J10"/>
    <mergeCell ref="H13:J13"/>
    <mergeCell ref="H15:J15"/>
    <mergeCell ref="N9:Q10"/>
    <mergeCell ref="O13:Q13"/>
    <mergeCell ref="O15:Q15"/>
    <mergeCell ref="N35:P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u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J I u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L g V Y o i k e 4 D g A A A B E A A A A T A B w A R m 9 y b X V s Y X M v U 2 V j d G l v b j E u b S C i G A A o o B Q A A A A A A A A A A A A A A A A A A A A A A A A A A A A r T k 0 u y c z P U w i G 0 I b W A F B L A Q I t A B Q A A g A I A C S L g V Z I s u X 4 p A A A A P Y A A A A S A A A A A A A A A A A A A A A A A A A A A A B D b 2 5 m a W c v U G F j a 2 F n Z S 5 4 b W x Q S w E C L Q A U A A I A C A A k i 4 F W D 8 r p q 6 Q A A A D p A A A A E w A A A A A A A A A A A A A A A A D w A A A A W 0 N v b n R l b n R f V H l w Z X N d L n h t b F B L A Q I t A B Q A A g A I A C S L g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o E i G / 9 f O Q I Y W d t H X 5 M B k A A A A A A I A A A A A A B B m A A A A A Q A A I A A A A C Y S i y 1 5 o w r 3 w g b 1 0 p U y l P Q R L k N y w + l 1 7 V a b E l N W W m f 0 A A A A A A 6 A A A A A A g A A I A A A A K B h E p 6 N I w F t q U O u o k X U I 6 U I W W A S c d a k i C i C 8 i Z b f z I h U A A A A C P c f Q W Y Z X E W 4 F w P g v h l v q H D c n k x 2 G 5 + J p E R r / n / 6 D q c E 5 2 l 5 z s / X l + o H d T R S 8 Z c N n e O w t x y V 3 O 2 s o I w R D R 1 B Q k L I h 9 X i 6 Y C E 1 X n I q z E J W l X Q A A A A I 1 Z X r V g z 6 z W 6 H B B 0 Y 2 / / e R Q S 6 V N q f N r N X Q e 8 B 7 F V l s I j u S K 5 z p Q g v 5 I 9 H E W F 8 y 8 0 y b K l z c X / Q V F P U F y l Q A F / 8 g = < / D a t a M a s h u p > 
</file>

<file path=customXml/itemProps1.xml><?xml version="1.0" encoding="utf-8"?>
<ds:datastoreItem xmlns:ds="http://schemas.openxmlformats.org/officeDocument/2006/customXml" ds:itemID="{8EDFED6E-A7A8-4098-B3E5-3A04EF8FF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Ratios</vt:lpstr>
      <vt:lpstr>Proforma Statement</vt:lpstr>
      <vt:lpstr>Cash Flow</vt:lpstr>
      <vt:lpstr>Cost of capital 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</dc:creator>
  <cp:lastModifiedBy>USER</cp:lastModifiedBy>
  <dcterms:created xsi:type="dcterms:W3CDTF">2022-12-01T13:58:11Z</dcterms:created>
  <dcterms:modified xsi:type="dcterms:W3CDTF">2023-06-10T16:11:10Z</dcterms:modified>
</cp:coreProperties>
</file>