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1.xml" ContentType="application/vnd.openxmlformats-officedocument.themeOverrid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charts/chart18.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codeName="ThisWorkbook" hidePivotFieldList="1"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092676B5-30A1-47CB-99D5-86E3BD871C0D}" xr6:coauthVersionLast="47" xr6:coauthVersionMax="47" xr10:uidLastSave="{00000000-0000-0000-0000-000000000000}"/>
  <bookViews>
    <workbookView xWindow="28680" yWindow="-120" windowWidth="29040" windowHeight="15720" activeTab="4" xr2:uid="{69FD71E3-209B-4DD5-9BE2-A560DE34D91F}"/>
  </bookViews>
  <sheets>
    <sheet name="Total Progress Report" sheetId="1" r:id="rId1"/>
    <sheet name="MONTH_WISE_PROGRESS_REPORT" sheetId="2" r:id="rId2"/>
    <sheet name="Pivot_analysis" sheetId="4" r:id="rId3"/>
    <sheet name="ANALYSIS" sheetId="6" state="hidden" r:id="rId4"/>
    <sheet name="Dashboard" sheetId="5" r:id="rId5"/>
  </sheets>
  <definedNames>
    <definedName name="_xlchart.v1.0" hidden="1">ANALYSIS!$CA$2:$CA$5</definedName>
    <definedName name="_xlchart.v1.1" hidden="1">ANALYSIS!$CB$2:$CB$5</definedName>
    <definedName name="_xlcn.WorksheetConnection_100kKGDCLProjectTotalProgressReport.xlsxTable2" hidden="1">Table2[]</definedName>
    <definedName name="_xlnm.Print_Area" localSheetId="4">Dashboard!$A$1:$AK$92</definedName>
    <definedName name="_xlnm.Print_Area" localSheetId="0">'Total Progress Report'!$A$1:$X$16</definedName>
    <definedName name="_xlnm.Print_Titles" localSheetId="0">'Total Progress Report'!$1:$1</definedName>
    <definedName name="Slicer_Month2">#N/A</definedName>
    <definedName name="Slicer_Year1">#N/A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2" name="Table2" connection="WorksheetConnection_100k KGDCL Project Total Progress Report.xlsx!Table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V29" i="2" l="1"/>
  <c r="AY29" i="2"/>
  <c r="AV30" i="2"/>
  <c r="AY30" i="2"/>
  <c r="AV31" i="2"/>
  <c r="AY31" i="2"/>
  <c r="H12" i="2" l="1"/>
  <c r="I12" i="2"/>
  <c r="J12" i="2"/>
  <c r="H13" i="2"/>
  <c r="I13" i="2"/>
  <c r="J13" i="2"/>
  <c r="F13" i="2"/>
  <c r="E13" i="2"/>
  <c r="AV9" i="6"/>
  <c r="CE25" i="6"/>
  <c r="CF25" i="6"/>
  <c r="CG25" i="6"/>
  <c r="U12" i="2"/>
  <c r="V12" i="2"/>
  <c r="W12" i="2"/>
  <c r="Q12" i="2"/>
  <c r="R12" i="2"/>
  <c r="O12" i="2"/>
  <c r="P12" i="2"/>
  <c r="K12" i="2"/>
  <c r="L12" i="2"/>
  <c r="M12" i="2"/>
  <c r="N12" i="2"/>
  <c r="C12" i="2"/>
  <c r="D12" i="2"/>
  <c r="AZ9" i="2" l="1"/>
  <c r="AZ10" i="2"/>
  <c r="AZ11" i="2"/>
  <c r="AZ12" i="2"/>
  <c r="AZ13" i="2"/>
  <c r="AZ21" i="2"/>
  <c r="AZ22" i="2"/>
  <c r="AZ23" i="2"/>
  <c r="AZ24" i="2"/>
  <c r="AZ25" i="2"/>
  <c r="AY14" i="2"/>
  <c r="AY15" i="2"/>
  <c r="AY16" i="2"/>
  <c r="AY17" i="2"/>
  <c r="AY18" i="2"/>
  <c r="AY19" i="2"/>
  <c r="AY20" i="2"/>
  <c r="AY21" i="2"/>
  <c r="AY22" i="2"/>
  <c r="AY23" i="2"/>
  <c r="AY24" i="2"/>
  <c r="AY25" i="2"/>
  <c r="AY26" i="2"/>
  <c r="AY27" i="2"/>
  <c r="AY28" i="2"/>
  <c r="DV13" i="6"/>
  <c r="AZ5" i="2" s="1"/>
  <c r="DV2" i="6"/>
  <c r="DV11" i="6" s="1"/>
  <c r="AV13" i="2"/>
  <c r="AV28" i="2"/>
  <c r="AV14" i="2"/>
  <c r="AV15" i="2"/>
  <c r="AV16" i="2"/>
  <c r="AV17" i="2"/>
  <c r="AV18" i="2"/>
  <c r="AV19" i="2"/>
  <c r="AV20" i="2"/>
  <c r="AV21" i="2"/>
  <c r="AV22" i="2"/>
  <c r="AV23" i="2"/>
  <c r="AV24" i="2"/>
  <c r="AV25" i="2"/>
  <c r="C53" i="4" a="1"/>
  <c r="C53" i="4" s="1"/>
  <c r="A53" i="4" s="1" a="1"/>
  <c r="A53" i="4" s="1"/>
  <c r="B53" i="4" a="1"/>
  <c r="B53" i="4" s="1"/>
  <c r="B87" i="4" a="1"/>
  <c r="B87" i="4" s="1"/>
  <c r="C87" i="4" a="1"/>
  <c r="C87" i="4" s="1"/>
  <c r="A87" i="4" s="1" a="1"/>
  <c r="A87" i="4" s="1"/>
  <c r="F12" i="2"/>
  <c r="E7" i="4"/>
  <c r="BB10" i="4"/>
  <c r="DV4" i="6"/>
  <c r="DE10" i="6"/>
  <c r="DE3" i="6"/>
  <c r="DE21" i="6"/>
  <c r="DE4" i="6"/>
  <c r="DE5" i="6"/>
  <c r="DE11" i="6"/>
  <c r="DE17" i="6"/>
  <c r="DE13" i="6"/>
  <c r="DE15" i="6"/>
  <c r="DE20" i="6"/>
  <c r="DE12" i="6"/>
  <c r="DE18" i="6"/>
  <c r="DE6" i="6"/>
  <c r="EC2" i="6"/>
  <c r="DE16" i="6"/>
  <c r="EC3" i="6"/>
  <c r="DL2" i="6"/>
  <c r="BB8" i="4"/>
  <c r="DE19" i="6"/>
  <c r="DE9" i="6"/>
  <c r="BB6" i="4"/>
  <c r="BD2" i="6"/>
  <c r="DY3" i="6"/>
  <c r="DE23" i="6"/>
  <c r="DE22" i="6"/>
  <c r="CM14" i="4"/>
  <c r="CM13" i="4"/>
  <c r="DE8" i="6"/>
  <c r="BE2" i="6"/>
  <c r="EC4" i="6"/>
  <c r="CM12" i="4"/>
  <c r="DE2" i="6"/>
  <c r="AA4" i="4"/>
  <c r="EC5" i="6"/>
  <c r="DL3" i="6"/>
  <c r="DE7" i="6"/>
  <c r="DE14" i="6"/>
  <c r="CM11" i="4"/>
  <c r="EE2" i="6" l="1"/>
  <c r="AZ7" i="2"/>
  <c r="AZ29" i="2"/>
  <c r="AZ31" i="2"/>
  <c r="AZ30" i="2"/>
  <c r="AZ20" i="2"/>
  <c r="AZ8" i="2"/>
  <c r="AZ19" i="2"/>
  <c r="AZ4" i="2"/>
  <c r="AZ16" i="2"/>
  <c r="AZ27" i="2"/>
  <c r="AZ15" i="2"/>
  <c r="AZ3" i="2"/>
  <c r="AZ18" i="2"/>
  <c r="AZ6" i="2"/>
  <c r="AZ17" i="2"/>
  <c r="AZ28" i="2"/>
  <c r="AZ26" i="2"/>
  <c r="AZ14" i="2"/>
  <c r="AZ2" i="2"/>
  <c r="DV7" i="6"/>
  <c r="DV5" i="6"/>
  <c r="B86" i="4"/>
  <c r="C86" i="4"/>
  <c r="C52" i="4"/>
  <c r="F11" i="2"/>
  <c r="E12" i="2"/>
  <c r="L11" i="2" l="1"/>
  <c r="M11" i="2"/>
  <c r="N11" i="2"/>
  <c r="O11" i="2"/>
  <c r="P11" i="2"/>
  <c r="Q11" i="2"/>
  <c r="R11" i="2"/>
  <c r="S11" i="2"/>
  <c r="T11" i="2"/>
  <c r="U11" i="2"/>
  <c r="V11" i="2"/>
  <c r="W11" i="2"/>
  <c r="K11" i="2"/>
  <c r="D11" i="2"/>
  <c r="E11" i="2"/>
  <c r="C11" i="2"/>
  <c r="AU11" i="2" l="1"/>
  <c r="AV11" i="2" s="1"/>
  <c r="AY11" i="2"/>
  <c r="L48" i="1"/>
  <c r="K13" i="2" s="1"/>
  <c r="M48" i="1"/>
  <c r="L13" i="2" s="1"/>
  <c r="N48" i="1"/>
  <c r="M13" i="2" s="1"/>
  <c r="O48" i="1"/>
  <c r="N13" i="2" s="1"/>
  <c r="P48" i="1"/>
  <c r="O13" i="2" s="1"/>
  <c r="Q48" i="1"/>
  <c r="P13" i="2" s="1"/>
  <c r="R48" i="1"/>
  <c r="Q13" i="2" s="1"/>
  <c r="S48" i="1"/>
  <c r="R13" i="2" s="1"/>
  <c r="T48" i="1"/>
  <c r="U48" i="1"/>
  <c r="V48" i="1"/>
  <c r="U13" i="2" s="1"/>
  <c r="W48" i="1"/>
  <c r="V13" i="2" s="1"/>
  <c r="X48" i="1"/>
  <c r="W13" i="2" s="1"/>
  <c r="C3" i="2"/>
  <c r="G9" i="2"/>
  <c r="C9" i="2"/>
  <c r="D9" i="2"/>
  <c r="C10" i="2"/>
  <c r="D10" i="2"/>
  <c r="T12" i="2" l="1"/>
  <c r="T13" i="2"/>
  <c r="S12" i="2"/>
  <c r="S13" i="2"/>
  <c r="AU9" i="2"/>
  <c r="AV9" i="2" s="1"/>
  <c r="AY9" i="2"/>
  <c r="AU10" i="2"/>
  <c r="AV10" i="2" s="1"/>
  <c r="AY10" i="2"/>
  <c r="H9" i="2"/>
  <c r="I9" i="2"/>
  <c r="J9" i="2"/>
  <c r="H10" i="2"/>
  <c r="I10" i="2"/>
  <c r="J10" i="2"/>
  <c r="H11" i="2"/>
  <c r="I11" i="2"/>
  <c r="J11" i="2"/>
  <c r="W16" i="1" l="1"/>
  <c r="W49" i="1" s="1"/>
  <c r="X16" i="1"/>
  <c r="X49" i="1" s="1"/>
  <c r="V16" i="1"/>
  <c r="V49" i="1" s="1"/>
  <c r="DE24" i="6" l="1"/>
  <c r="U9" i="2"/>
  <c r="V9" i="2"/>
  <c r="W9" i="2"/>
  <c r="K9" i="2"/>
  <c r="L9" i="2"/>
  <c r="M9" i="2"/>
  <c r="N9" i="2"/>
  <c r="O9" i="2"/>
  <c r="P9" i="2"/>
  <c r="Q9" i="2"/>
  <c r="R9" i="2"/>
  <c r="S9" i="2"/>
  <c r="K10" i="2"/>
  <c r="L10" i="2"/>
  <c r="M10" i="2"/>
  <c r="N10" i="2"/>
  <c r="O10" i="2"/>
  <c r="P10" i="2"/>
  <c r="Q10" i="2"/>
  <c r="R10" i="2"/>
  <c r="S10" i="2"/>
  <c r="U10" i="2"/>
  <c r="V10" i="2"/>
  <c r="W10" i="2"/>
  <c r="T10" i="2"/>
  <c r="F3" i="2" l="1"/>
  <c r="F4" i="2"/>
  <c r="F5" i="2"/>
  <c r="F6" i="2"/>
  <c r="F7" i="2"/>
  <c r="F8" i="2"/>
  <c r="F9" i="2"/>
  <c r="F10" i="2"/>
  <c r="E3" i="2"/>
  <c r="E4" i="2"/>
  <c r="E5" i="2"/>
  <c r="E6" i="2"/>
  <c r="E7" i="2"/>
  <c r="E8" i="2"/>
  <c r="E9" i="2"/>
  <c r="E10" i="2"/>
  <c r="AT8" i="4"/>
  <c r="T8" i="2" l="1"/>
  <c r="T9" i="2"/>
  <c r="S8" i="2"/>
  <c r="CP25" i="6"/>
  <c r="CQ4" i="6"/>
  <c r="CR4" i="6"/>
  <c r="CQ5" i="6"/>
  <c r="CR5" i="6"/>
  <c r="CQ6" i="6"/>
  <c r="CR6" i="6"/>
  <c r="CQ7" i="6"/>
  <c r="CR7" i="6"/>
  <c r="CQ8" i="6"/>
  <c r="CR8" i="6"/>
  <c r="CQ9" i="6"/>
  <c r="CR9" i="6"/>
  <c r="CQ10" i="6"/>
  <c r="CR10" i="6"/>
  <c r="CQ11" i="6"/>
  <c r="CR11" i="6"/>
  <c r="CQ12" i="6"/>
  <c r="CR12" i="6"/>
  <c r="CQ13" i="6"/>
  <c r="CR13" i="6"/>
  <c r="CQ14" i="6"/>
  <c r="CR14" i="6"/>
  <c r="CQ15" i="6"/>
  <c r="CR15" i="6"/>
  <c r="CQ16" i="6"/>
  <c r="CR16" i="6"/>
  <c r="CQ17" i="6"/>
  <c r="CR17" i="6"/>
  <c r="CQ18" i="6"/>
  <c r="CR18" i="6"/>
  <c r="CQ19" i="6"/>
  <c r="CR19" i="6"/>
  <c r="CQ20" i="6"/>
  <c r="CR20" i="6"/>
  <c r="CQ21" i="6"/>
  <c r="CR21" i="6"/>
  <c r="CQ22" i="6"/>
  <c r="CR22" i="6"/>
  <c r="CQ23" i="6"/>
  <c r="CR23" i="6"/>
  <c r="CQ24" i="6"/>
  <c r="CR24" i="6"/>
  <c r="CR25" i="6"/>
  <c r="CQ26" i="6"/>
  <c r="CR26" i="6"/>
  <c r="CQ27" i="6"/>
  <c r="CR27" i="6"/>
  <c r="CQ28" i="6"/>
  <c r="CR28" i="6"/>
  <c r="CQ29" i="6"/>
  <c r="CR29" i="6"/>
  <c r="CQ30" i="6"/>
  <c r="CR30" i="6"/>
  <c r="CQ31" i="6"/>
  <c r="CR31" i="6"/>
  <c r="CQ32" i="6"/>
  <c r="CR32" i="6"/>
  <c r="CQ33" i="6"/>
  <c r="CR33" i="6"/>
  <c r="CP4" i="6"/>
  <c r="CP5" i="6"/>
  <c r="CP6" i="6"/>
  <c r="CP7" i="6"/>
  <c r="CP8" i="6"/>
  <c r="CP9" i="6"/>
  <c r="CP10" i="6"/>
  <c r="CP11" i="6"/>
  <c r="CP12" i="6"/>
  <c r="CP13" i="6"/>
  <c r="CP14" i="6"/>
  <c r="CP15" i="6"/>
  <c r="CP16" i="6"/>
  <c r="CP17" i="6"/>
  <c r="CP18" i="6"/>
  <c r="CP19" i="6"/>
  <c r="CP20" i="6"/>
  <c r="CP21" i="6"/>
  <c r="CP22" i="6"/>
  <c r="CP23" i="6"/>
  <c r="CP24" i="6"/>
  <c r="CP26" i="6"/>
  <c r="CP27" i="6"/>
  <c r="CP28" i="6"/>
  <c r="CP29" i="6"/>
  <c r="CP30" i="6"/>
  <c r="CP31" i="6"/>
  <c r="CP32" i="6"/>
  <c r="CP33" i="6"/>
  <c r="CR3" i="6"/>
  <c r="CQ3" i="6"/>
  <c r="CF3" i="6"/>
  <c r="CP3" i="6"/>
  <c r="CE3" i="6"/>
  <c r="CF4" i="6"/>
  <c r="CG4" i="6"/>
  <c r="CF5" i="6"/>
  <c r="CG5" i="6"/>
  <c r="CF6" i="6"/>
  <c r="CG6" i="6"/>
  <c r="CF7" i="6"/>
  <c r="CG7" i="6"/>
  <c r="CF8" i="6"/>
  <c r="CG8" i="6"/>
  <c r="CF9" i="6"/>
  <c r="CG9" i="6"/>
  <c r="CF10" i="6"/>
  <c r="CG10" i="6"/>
  <c r="CF11" i="6"/>
  <c r="CG11" i="6"/>
  <c r="CF12" i="6"/>
  <c r="CG12" i="6"/>
  <c r="CF13" i="6"/>
  <c r="CG13" i="6"/>
  <c r="CF14" i="6"/>
  <c r="CG14" i="6"/>
  <c r="CF15" i="6"/>
  <c r="CG15" i="6"/>
  <c r="CF16" i="6"/>
  <c r="CG16" i="6"/>
  <c r="CF17" i="6"/>
  <c r="CG17" i="6"/>
  <c r="CF18" i="6"/>
  <c r="CG18" i="6"/>
  <c r="CF19" i="6"/>
  <c r="CG19" i="6"/>
  <c r="CF20" i="6"/>
  <c r="CG20" i="6"/>
  <c r="CF21" i="6"/>
  <c r="CG21" i="6"/>
  <c r="CF22" i="6"/>
  <c r="CG22" i="6"/>
  <c r="CF23" i="6"/>
  <c r="CG23" i="6"/>
  <c r="CF24" i="6"/>
  <c r="CG24" i="6"/>
  <c r="CF26" i="6"/>
  <c r="CG26" i="6"/>
  <c r="CF27" i="6"/>
  <c r="CG27" i="6"/>
  <c r="CF28" i="6"/>
  <c r="CG28" i="6"/>
  <c r="CF29" i="6"/>
  <c r="CG29" i="6"/>
  <c r="CF30" i="6"/>
  <c r="CG30" i="6"/>
  <c r="CF31" i="6"/>
  <c r="CG31" i="6"/>
  <c r="CF32" i="6"/>
  <c r="CG32" i="6"/>
  <c r="CF33" i="6"/>
  <c r="CG33" i="6"/>
  <c r="CE4" i="6"/>
  <c r="CE5" i="6"/>
  <c r="CE6" i="6"/>
  <c r="CE7" i="6"/>
  <c r="CE8" i="6"/>
  <c r="CE9" i="6"/>
  <c r="CE10" i="6"/>
  <c r="CE11" i="6"/>
  <c r="CE12" i="6"/>
  <c r="CE13" i="6"/>
  <c r="CE14" i="6"/>
  <c r="CE15" i="6"/>
  <c r="CE16" i="6"/>
  <c r="CE17" i="6"/>
  <c r="CE18" i="6"/>
  <c r="CE19" i="6"/>
  <c r="CE20" i="6"/>
  <c r="CE21" i="6"/>
  <c r="CE22" i="6"/>
  <c r="CE23" i="6"/>
  <c r="CE24" i="6"/>
  <c r="CE26" i="6"/>
  <c r="CE27" i="6"/>
  <c r="CE28" i="6"/>
  <c r="CE29" i="6"/>
  <c r="CE30" i="6"/>
  <c r="CE31" i="6"/>
  <c r="CE32" i="6"/>
  <c r="CE33" i="6"/>
  <c r="CG3" i="6"/>
  <c r="BM3" i="6"/>
  <c r="CJ2" i="6" l="1"/>
  <c r="CK2" i="6"/>
  <c r="CX2" i="6"/>
  <c r="CV2" i="6"/>
  <c r="CQ25" i="6"/>
  <c r="CW2" i="6" s="1"/>
  <c r="CL2" i="6"/>
  <c r="E47" i="1" l="1"/>
  <c r="D47" i="1"/>
  <c r="G8" i="2" l="1"/>
  <c r="H8" i="2"/>
  <c r="I8" i="2"/>
  <c r="J8" i="2"/>
  <c r="K8" i="2"/>
  <c r="L8" i="2"/>
  <c r="M8" i="2"/>
  <c r="N8" i="2"/>
  <c r="O8" i="2"/>
  <c r="P8" i="2"/>
  <c r="Q8" i="2"/>
  <c r="R8" i="2"/>
  <c r="U8" i="2"/>
  <c r="V8" i="2"/>
  <c r="W8" i="2"/>
  <c r="D8" i="2"/>
  <c r="C8" i="2"/>
  <c r="AU8" i="2" l="1"/>
  <c r="AV8" i="2" s="1"/>
  <c r="AY8" i="2"/>
  <c r="BN4" i="6"/>
  <c r="BO4" i="6"/>
  <c r="BP4" i="6"/>
  <c r="BQ4" i="6"/>
  <c r="BN5" i="6"/>
  <c r="BO5" i="6"/>
  <c r="BP5" i="6"/>
  <c r="BQ5" i="6"/>
  <c r="BN6" i="6"/>
  <c r="BO6" i="6"/>
  <c r="BP6" i="6"/>
  <c r="BQ6" i="6"/>
  <c r="BN7" i="6"/>
  <c r="BO7" i="6"/>
  <c r="BP7" i="6"/>
  <c r="BQ7" i="6"/>
  <c r="BN8" i="6"/>
  <c r="BO8" i="6"/>
  <c r="BP8" i="6"/>
  <c r="BQ8" i="6"/>
  <c r="BN9" i="6"/>
  <c r="BO9" i="6"/>
  <c r="BP9" i="6"/>
  <c r="BQ9" i="6"/>
  <c r="BN10" i="6"/>
  <c r="BO10" i="6"/>
  <c r="BP10" i="6"/>
  <c r="BQ10" i="6"/>
  <c r="BN11" i="6"/>
  <c r="BO11" i="6"/>
  <c r="BP11" i="6"/>
  <c r="BQ11" i="6"/>
  <c r="BN12" i="6"/>
  <c r="BO12" i="6"/>
  <c r="BP12" i="6"/>
  <c r="BQ12" i="6"/>
  <c r="BN13" i="6"/>
  <c r="BO13" i="6"/>
  <c r="BP13" i="6"/>
  <c r="BQ13" i="6"/>
  <c r="BN14" i="6"/>
  <c r="BO14" i="6"/>
  <c r="BP14" i="6"/>
  <c r="BQ14" i="6"/>
  <c r="BN15" i="6"/>
  <c r="BO15" i="6"/>
  <c r="BP15" i="6"/>
  <c r="BQ15" i="6"/>
  <c r="BN16" i="6"/>
  <c r="BO16" i="6"/>
  <c r="BP16" i="6"/>
  <c r="BQ16" i="6"/>
  <c r="BN17" i="6"/>
  <c r="BO17" i="6"/>
  <c r="BP17" i="6"/>
  <c r="BQ17" i="6"/>
  <c r="BN18" i="6"/>
  <c r="BO18" i="6"/>
  <c r="BP18" i="6"/>
  <c r="BQ18" i="6"/>
  <c r="BN19" i="6"/>
  <c r="BO19" i="6"/>
  <c r="BP19" i="6"/>
  <c r="BQ19" i="6"/>
  <c r="BN20" i="6"/>
  <c r="BO20" i="6"/>
  <c r="BP20" i="6"/>
  <c r="BQ20" i="6"/>
  <c r="BN21" i="6"/>
  <c r="BO21" i="6"/>
  <c r="BP21" i="6"/>
  <c r="BQ21" i="6"/>
  <c r="BN22" i="6"/>
  <c r="BO22" i="6"/>
  <c r="BP22" i="6"/>
  <c r="BQ22" i="6"/>
  <c r="BN23" i="6"/>
  <c r="BO23" i="6"/>
  <c r="BP23" i="6"/>
  <c r="BQ23" i="6"/>
  <c r="BN24" i="6"/>
  <c r="BO24" i="6"/>
  <c r="BP24" i="6"/>
  <c r="BQ24" i="6"/>
  <c r="BN25" i="6"/>
  <c r="BO25" i="6"/>
  <c r="BP25" i="6"/>
  <c r="BQ25" i="6"/>
  <c r="BN26" i="6"/>
  <c r="BO26" i="6"/>
  <c r="BP26" i="6"/>
  <c r="BQ26" i="6"/>
  <c r="BN27" i="6"/>
  <c r="BO27" i="6"/>
  <c r="BP27" i="6"/>
  <c r="BQ27" i="6"/>
  <c r="BN28" i="6"/>
  <c r="BO28" i="6"/>
  <c r="BP28" i="6"/>
  <c r="BQ28" i="6"/>
  <c r="BN29" i="6"/>
  <c r="BO29" i="6"/>
  <c r="BP29" i="6"/>
  <c r="BQ29" i="6"/>
  <c r="BN30" i="6"/>
  <c r="BO30" i="6"/>
  <c r="BP30" i="6"/>
  <c r="BQ30" i="6"/>
  <c r="BN31" i="6"/>
  <c r="BO31" i="6"/>
  <c r="BP31" i="6"/>
  <c r="BQ31" i="6"/>
  <c r="BN32" i="6"/>
  <c r="BO32" i="6"/>
  <c r="BP32" i="6"/>
  <c r="BQ32" i="6"/>
  <c r="BN33" i="6"/>
  <c r="BO33" i="6"/>
  <c r="BP33" i="6"/>
  <c r="BQ33" i="6"/>
  <c r="BO3" i="6"/>
  <c r="BP3" i="6"/>
  <c r="BQ3" i="6"/>
  <c r="BN3" i="6"/>
  <c r="BM4" i="6"/>
  <c r="BM5" i="6"/>
  <c r="BM6" i="6"/>
  <c r="BM7" i="6"/>
  <c r="BM8" i="6"/>
  <c r="BM9" i="6"/>
  <c r="BM10" i="6"/>
  <c r="BM11" i="6"/>
  <c r="BM12" i="6"/>
  <c r="BM13" i="6"/>
  <c r="BM14" i="6"/>
  <c r="BM15" i="6"/>
  <c r="BM16" i="6"/>
  <c r="BM17" i="6"/>
  <c r="BM18" i="6"/>
  <c r="BM19" i="6"/>
  <c r="BM20" i="6"/>
  <c r="BM21" i="6"/>
  <c r="BM22" i="6"/>
  <c r="BM23" i="6"/>
  <c r="BM24" i="6"/>
  <c r="BM25" i="6"/>
  <c r="BM26" i="6"/>
  <c r="BM27" i="6"/>
  <c r="BM28" i="6"/>
  <c r="BM29" i="6"/>
  <c r="BM30" i="6"/>
  <c r="BM31" i="6"/>
  <c r="BM32" i="6"/>
  <c r="BM33" i="6"/>
  <c r="AA7" i="4"/>
  <c r="AA6" i="4"/>
  <c r="AA5" i="4"/>
  <c r="BU2" i="6" l="1"/>
  <c r="BY2" i="6"/>
  <c r="CB2" i="6"/>
  <c r="CB3" i="6"/>
  <c r="CB4" i="6"/>
  <c r="CB5" i="6"/>
  <c r="BV2" i="6"/>
  <c r="BW2" i="6"/>
  <c r="BX2" i="6"/>
  <c r="H16" i="1"/>
  <c r="H49" i="1" s="1"/>
  <c r="C17" i="6"/>
  <c r="D17" i="6"/>
  <c r="C18" i="6"/>
  <c r="D18" i="6"/>
  <c r="C19" i="6"/>
  <c r="D19" i="6"/>
  <c r="C20" i="6"/>
  <c r="D20" i="6"/>
  <c r="C21" i="6"/>
  <c r="D21" i="6"/>
  <c r="C22" i="6"/>
  <c r="D22" i="6"/>
  <c r="C23" i="6"/>
  <c r="D23" i="6"/>
  <c r="C24" i="6"/>
  <c r="D24" i="6"/>
  <c r="C25" i="6"/>
  <c r="D25" i="6"/>
  <c r="C26" i="6"/>
  <c r="D26" i="6"/>
  <c r="C27" i="6"/>
  <c r="D27" i="6"/>
  <c r="C28" i="6"/>
  <c r="D28" i="6"/>
  <c r="C29" i="6"/>
  <c r="D29" i="6"/>
  <c r="C30" i="6"/>
  <c r="D30" i="6"/>
  <c r="C31" i="6"/>
  <c r="D31" i="6"/>
  <c r="C32" i="6"/>
  <c r="D32" i="6"/>
  <c r="C33" i="6"/>
  <c r="D33" i="6"/>
  <c r="C34" i="6"/>
  <c r="D34" i="6"/>
  <c r="C35" i="6"/>
  <c r="D35" i="6"/>
  <c r="C36" i="6"/>
  <c r="D36" i="6"/>
  <c r="C37" i="6"/>
  <c r="D37" i="6"/>
  <c r="C38" i="6"/>
  <c r="D38" i="6"/>
  <c r="C39" i="6"/>
  <c r="D39" i="6"/>
  <c r="C40" i="6"/>
  <c r="D40" i="6"/>
  <c r="C41" i="6"/>
  <c r="D41" i="6"/>
  <c r="C42" i="6"/>
  <c r="D42" i="6"/>
  <c r="C43" i="6"/>
  <c r="D43" i="6"/>
  <c r="C44" i="6"/>
  <c r="D44" i="6"/>
  <c r="C45" i="6"/>
  <c r="D45" i="6"/>
  <c r="C46" i="6"/>
  <c r="D46" i="6"/>
  <c r="D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C16" i="6"/>
  <c r="B16" i="6"/>
  <c r="I15" i="6" l="1"/>
  <c r="G15" i="6"/>
  <c r="H15" i="6"/>
  <c r="I16" i="1" l="1"/>
  <c r="J16" i="1" l="1"/>
  <c r="AT4" i="6"/>
  <c r="AU4" i="6"/>
  <c r="AV4" i="6"/>
  <c r="AT5" i="6"/>
  <c r="AU5" i="6"/>
  <c r="AV5" i="6"/>
  <c r="AT6" i="6"/>
  <c r="AU6" i="6"/>
  <c r="AV6" i="6"/>
  <c r="AT7" i="6"/>
  <c r="AU7" i="6"/>
  <c r="AV7" i="6"/>
  <c r="AT8" i="6"/>
  <c r="AU8" i="6"/>
  <c r="AV8" i="6"/>
  <c r="AT9" i="6"/>
  <c r="AU9" i="6"/>
  <c r="AT10" i="6"/>
  <c r="AU10" i="6"/>
  <c r="AV10" i="6"/>
  <c r="AT11" i="6"/>
  <c r="AU11" i="6"/>
  <c r="AV11" i="6"/>
  <c r="AT12" i="6"/>
  <c r="AU12" i="6"/>
  <c r="AV12" i="6"/>
  <c r="AT13" i="6"/>
  <c r="AU13" i="6"/>
  <c r="AV13" i="6"/>
  <c r="AT14" i="6"/>
  <c r="AU14" i="6"/>
  <c r="AV14" i="6"/>
  <c r="AT15" i="6"/>
  <c r="AU15" i="6"/>
  <c r="AV15" i="6"/>
  <c r="AT16" i="6"/>
  <c r="AU16" i="6"/>
  <c r="AV16" i="6"/>
  <c r="AT17" i="6"/>
  <c r="AU17" i="6"/>
  <c r="AV17" i="6"/>
  <c r="AT18" i="6"/>
  <c r="AU18" i="6"/>
  <c r="AV18" i="6"/>
  <c r="AT19" i="6"/>
  <c r="AU19" i="6"/>
  <c r="AV19" i="6"/>
  <c r="AT20" i="6"/>
  <c r="AU20" i="6"/>
  <c r="AV20" i="6"/>
  <c r="AT21" i="6"/>
  <c r="AU21" i="6"/>
  <c r="AV21" i="6"/>
  <c r="AT22" i="6"/>
  <c r="AU22" i="6"/>
  <c r="AV22" i="6"/>
  <c r="AT23" i="6"/>
  <c r="AU23" i="6"/>
  <c r="AV23" i="6"/>
  <c r="AT24" i="6"/>
  <c r="AU24" i="6"/>
  <c r="AV24" i="6"/>
  <c r="AT25" i="6"/>
  <c r="AU25" i="6"/>
  <c r="AV25" i="6"/>
  <c r="AT26" i="6"/>
  <c r="AU26" i="6"/>
  <c r="AV26" i="6"/>
  <c r="AT27" i="6"/>
  <c r="AU27" i="6"/>
  <c r="AV27" i="6"/>
  <c r="AT28" i="6"/>
  <c r="AU28" i="6"/>
  <c r="AV28" i="6"/>
  <c r="AT29" i="6"/>
  <c r="AU29" i="6"/>
  <c r="AV29" i="6"/>
  <c r="AT30" i="6"/>
  <c r="AU30" i="6"/>
  <c r="AV30" i="6"/>
  <c r="AT31" i="6"/>
  <c r="AU31" i="6"/>
  <c r="AV31" i="6"/>
  <c r="AT32" i="6"/>
  <c r="AU32" i="6"/>
  <c r="AV32" i="6"/>
  <c r="AT33" i="6"/>
  <c r="AU33" i="6"/>
  <c r="AV33" i="6"/>
  <c r="AU3" i="6"/>
  <c r="AV3" i="6"/>
  <c r="AT3" i="6"/>
  <c r="AS4" i="6"/>
  <c r="AS5" i="6"/>
  <c r="AS6" i="6"/>
  <c r="AS7" i="6"/>
  <c r="AS8" i="6"/>
  <c r="AS9" i="6"/>
  <c r="AS10" i="6"/>
  <c r="AS11" i="6"/>
  <c r="AS12" i="6"/>
  <c r="AS13" i="6"/>
  <c r="AS14" i="6"/>
  <c r="AS15" i="6"/>
  <c r="AS16" i="6"/>
  <c r="AS17" i="6"/>
  <c r="AS18" i="6"/>
  <c r="AS19" i="6"/>
  <c r="AS20" i="6"/>
  <c r="AS21" i="6"/>
  <c r="AS22" i="6"/>
  <c r="AS23" i="6"/>
  <c r="AS24" i="6"/>
  <c r="AS25" i="6"/>
  <c r="AS26" i="6"/>
  <c r="AS27" i="6"/>
  <c r="AS28" i="6"/>
  <c r="AS29" i="6"/>
  <c r="AS30" i="6"/>
  <c r="AS31" i="6"/>
  <c r="AS32" i="6"/>
  <c r="AS33" i="6"/>
  <c r="AS3" i="6"/>
  <c r="R4" i="4"/>
  <c r="R5" i="4"/>
  <c r="BC2" i="6"/>
  <c r="AT9" i="4"/>
  <c r="R6" i="4"/>
  <c r="V5" i="6" l="1"/>
  <c r="BI3" i="6"/>
  <c r="BI4" i="6" s="1"/>
  <c r="BA2" i="6"/>
  <c r="AX2" i="6"/>
  <c r="AZ2" i="6"/>
  <c r="AY2" i="6"/>
  <c r="AK4" i="6" l="1"/>
  <c r="AL4" i="6"/>
  <c r="AK5" i="6"/>
  <c r="AL5" i="6"/>
  <c r="AK6" i="6"/>
  <c r="AL6" i="6"/>
  <c r="AK7" i="6"/>
  <c r="AL7" i="6"/>
  <c r="AK8" i="6"/>
  <c r="AL8" i="6"/>
  <c r="AK9" i="6"/>
  <c r="AL9" i="6"/>
  <c r="AK10" i="6"/>
  <c r="AL10" i="6"/>
  <c r="AK11" i="6"/>
  <c r="AL11" i="6"/>
  <c r="AK12" i="6"/>
  <c r="AL12" i="6"/>
  <c r="AK13" i="6"/>
  <c r="AL13" i="6"/>
  <c r="AK14" i="6"/>
  <c r="AL14" i="6"/>
  <c r="AK15" i="6"/>
  <c r="AL15" i="6"/>
  <c r="AK16" i="6"/>
  <c r="AL16" i="6"/>
  <c r="AK17" i="6"/>
  <c r="AL17" i="6"/>
  <c r="AK18" i="6"/>
  <c r="AL18" i="6"/>
  <c r="AK19" i="6"/>
  <c r="AL19" i="6"/>
  <c r="AK20" i="6"/>
  <c r="AL20" i="6"/>
  <c r="AK21" i="6"/>
  <c r="AL21" i="6"/>
  <c r="AK22" i="6"/>
  <c r="AL22" i="6"/>
  <c r="AK23" i="6"/>
  <c r="AL23" i="6"/>
  <c r="AK24" i="6"/>
  <c r="AL24" i="6"/>
  <c r="AK25" i="6"/>
  <c r="AL25" i="6"/>
  <c r="AK26" i="6"/>
  <c r="AL26" i="6"/>
  <c r="AK27" i="6"/>
  <c r="AL27" i="6"/>
  <c r="AK28" i="6"/>
  <c r="AL28" i="6"/>
  <c r="AK29" i="6"/>
  <c r="AL29" i="6"/>
  <c r="AK30" i="6"/>
  <c r="AL30" i="6"/>
  <c r="AK31" i="6"/>
  <c r="AL31" i="6"/>
  <c r="AK32" i="6"/>
  <c r="AL32" i="6"/>
  <c r="AK33" i="6"/>
  <c r="AL33" i="6"/>
  <c r="AL3" i="6"/>
  <c r="AK3" i="6"/>
  <c r="AJ4" i="6"/>
  <c r="AJ5" i="6"/>
  <c r="AJ6" i="6"/>
  <c r="AJ7" i="6"/>
  <c r="AJ8" i="6"/>
  <c r="AJ9" i="6"/>
  <c r="AJ10" i="6"/>
  <c r="AJ11" i="6"/>
  <c r="AJ12" i="6"/>
  <c r="AJ13" i="6"/>
  <c r="AJ14" i="6"/>
  <c r="AJ15" i="6"/>
  <c r="AJ16" i="6"/>
  <c r="AJ17" i="6"/>
  <c r="AJ18" i="6"/>
  <c r="AJ19" i="6"/>
  <c r="AJ20" i="6"/>
  <c r="AJ21" i="6"/>
  <c r="AJ22" i="6"/>
  <c r="AJ23" i="6"/>
  <c r="AJ24" i="6"/>
  <c r="AJ25" i="6"/>
  <c r="AJ26" i="6"/>
  <c r="AJ27" i="6"/>
  <c r="AJ28" i="6"/>
  <c r="AJ29" i="6"/>
  <c r="AJ30" i="6"/>
  <c r="AJ31" i="6"/>
  <c r="AJ32" i="6"/>
  <c r="AJ33" i="6"/>
  <c r="AJ3" i="6"/>
  <c r="AI4" i="6"/>
  <c r="AI5" i="6"/>
  <c r="AI6" i="6"/>
  <c r="AI7" i="6"/>
  <c r="AI8" i="6"/>
  <c r="AI9" i="6"/>
  <c r="AI10" i="6"/>
  <c r="AI11" i="6"/>
  <c r="AI12" i="6"/>
  <c r="AI13" i="6"/>
  <c r="AI14" i="6"/>
  <c r="AI15" i="6"/>
  <c r="AI16" i="6"/>
  <c r="AI17" i="6"/>
  <c r="AI18" i="6"/>
  <c r="AI19" i="6"/>
  <c r="AI20" i="6"/>
  <c r="AI21" i="6"/>
  <c r="AI22" i="6"/>
  <c r="AI23" i="6"/>
  <c r="AI24" i="6"/>
  <c r="AI25" i="6"/>
  <c r="AI26" i="6"/>
  <c r="AI27" i="6"/>
  <c r="AI28" i="6"/>
  <c r="AI29" i="6"/>
  <c r="AI30" i="6"/>
  <c r="AI31" i="6"/>
  <c r="AI32" i="6"/>
  <c r="AI33" i="6"/>
  <c r="AI3" i="6"/>
  <c r="Z9" i="6"/>
  <c r="Z10" i="6"/>
  <c r="AA10" i="6"/>
  <c r="AB10" i="6"/>
  <c r="AA9" i="6"/>
  <c r="AB9" i="6"/>
  <c r="Z11" i="6"/>
  <c r="AA11" i="6"/>
  <c r="AB11" i="6"/>
  <c r="Z12" i="6"/>
  <c r="AA12" i="6"/>
  <c r="AB12" i="6"/>
  <c r="Z13" i="6"/>
  <c r="AA13" i="6"/>
  <c r="AB13" i="6"/>
  <c r="Z14" i="6"/>
  <c r="AA14" i="6"/>
  <c r="AB14" i="6"/>
  <c r="Z15" i="6"/>
  <c r="AA15" i="6"/>
  <c r="AB15" i="6"/>
  <c r="Z16" i="6"/>
  <c r="AA16" i="6"/>
  <c r="AB16" i="6"/>
  <c r="Z17" i="6"/>
  <c r="AA17" i="6"/>
  <c r="AB17" i="6"/>
  <c r="Z18" i="6"/>
  <c r="AA18" i="6"/>
  <c r="AB18" i="6"/>
  <c r="Z19" i="6"/>
  <c r="AA19" i="6"/>
  <c r="AB19" i="6"/>
  <c r="Z20" i="6"/>
  <c r="AA20" i="6"/>
  <c r="AB20" i="6"/>
  <c r="Z21" i="6"/>
  <c r="AA21" i="6"/>
  <c r="AB21" i="6"/>
  <c r="Z22" i="6"/>
  <c r="AA22" i="6"/>
  <c r="AB22" i="6"/>
  <c r="Z23" i="6"/>
  <c r="AA23" i="6"/>
  <c r="AB23" i="6"/>
  <c r="Z24" i="6"/>
  <c r="AA24" i="6"/>
  <c r="AB24" i="6"/>
  <c r="Z25" i="6"/>
  <c r="AA25" i="6"/>
  <c r="AB25" i="6"/>
  <c r="Z26" i="6"/>
  <c r="AA26" i="6"/>
  <c r="AB26" i="6"/>
  <c r="Z27" i="6"/>
  <c r="AA27" i="6"/>
  <c r="AB27" i="6"/>
  <c r="Z28" i="6"/>
  <c r="AA28" i="6"/>
  <c r="AB28" i="6"/>
  <c r="Z29" i="6"/>
  <c r="AA29" i="6"/>
  <c r="AB29" i="6"/>
  <c r="Z30" i="6"/>
  <c r="AA30" i="6"/>
  <c r="AB30" i="6"/>
  <c r="Z31" i="6"/>
  <c r="AA31" i="6"/>
  <c r="AB31" i="6"/>
  <c r="Z32" i="6"/>
  <c r="AA32" i="6"/>
  <c r="AB32" i="6"/>
  <c r="AA33" i="6"/>
  <c r="AB33" i="6"/>
  <c r="AB4" i="6"/>
  <c r="AB5" i="6"/>
  <c r="AB6" i="6"/>
  <c r="AB7" i="6"/>
  <c r="AB8" i="6"/>
  <c r="AB3" i="6"/>
  <c r="L20" i="6"/>
  <c r="AA4" i="6"/>
  <c r="AA5" i="6"/>
  <c r="AA6" i="6"/>
  <c r="AA7" i="6"/>
  <c r="AA8" i="6"/>
  <c r="AA3" i="6"/>
  <c r="K20" i="6"/>
  <c r="Z4" i="6"/>
  <c r="Z5" i="6"/>
  <c r="Z6" i="6"/>
  <c r="Z7" i="6"/>
  <c r="Z8" i="6"/>
  <c r="Z3" i="6"/>
  <c r="J20" i="6"/>
  <c r="K29" i="6"/>
  <c r="N55" i="6"/>
  <c r="N56" i="6"/>
  <c r="N57" i="6"/>
  <c r="N58" i="6"/>
  <c r="N59" i="6"/>
  <c r="N60" i="6"/>
  <c r="N61" i="6"/>
  <c r="N62" i="6"/>
  <c r="N63" i="6"/>
  <c r="N64" i="6"/>
  <c r="N65" i="6"/>
  <c r="N66" i="6"/>
  <c r="N67" i="6"/>
  <c r="N68" i="6"/>
  <c r="N69" i="6"/>
  <c r="N70" i="6"/>
  <c r="N71" i="6"/>
  <c r="N72" i="6"/>
  <c r="N73" i="6"/>
  <c r="N74" i="6"/>
  <c r="N75" i="6"/>
  <c r="N76" i="6"/>
  <c r="N77" i="6"/>
  <c r="N78" i="6"/>
  <c r="N79" i="6"/>
  <c r="N80" i="6"/>
  <c r="N81" i="6"/>
  <c r="N82" i="6"/>
  <c r="N83" i="6"/>
  <c r="N84" i="6"/>
  <c r="N54" i="6"/>
  <c r="Q51" i="6" s="1"/>
  <c r="M55" i="6"/>
  <c r="M56" i="6"/>
  <c r="M57" i="6"/>
  <c r="M58" i="6"/>
  <c r="M59" i="6"/>
  <c r="M60" i="6"/>
  <c r="M61" i="6"/>
  <c r="M62" i="6"/>
  <c r="M63" i="6"/>
  <c r="M64" i="6"/>
  <c r="M65" i="6"/>
  <c r="M66" i="6"/>
  <c r="M67" i="6"/>
  <c r="M68" i="6"/>
  <c r="M69" i="6"/>
  <c r="M70" i="6"/>
  <c r="M71" i="6"/>
  <c r="M72" i="6"/>
  <c r="M73" i="6"/>
  <c r="M74" i="6"/>
  <c r="M75" i="6"/>
  <c r="M76" i="6"/>
  <c r="M77" i="6"/>
  <c r="M78" i="6"/>
  <c r="M79" i="6"/>
  <c r="M80" i="6"/>
  <c r="M81" i="6"/>
  <c r="M82" i="6"/>
  <c r="M83" i="6"/>
  <c r="M84" i="6"/>
  <c r="L55" i="6"/>
  <c r="L56" i="6"/>
  <c r="L57" i="6"/>
  <c r="L58" i="6"/>
  <c r="L59" i="6"/>
  <c r="L60" i="6"/>
  <c r="L61" i="6"/>
  <c r="L62" i="6"/>
  <c r="L63" i="6"/>
  <c r="L64" i="6"/>
  <c r="L65" i="6"/>
  <c r="L66" i="6"/>
  <c r="L67" i="6"/>
  <c r="L68" i="6"/>
  <c r="L69" i="6"/>
  <c r="L70" i="6"/>
  <c r="L71" i="6"/>
  <c r="L72" i="6"/>
  <c r="L73" i="6"/>
  <c r="L74" i="6"/>
  <c r="L75" i="6"/>
  <c r="L76" i="6"/>
  <c r="L77" i="6"/>
  <c r="L78" i="6"/>
  <c r="L79" i="6"/>
  <c r="L80" i="6"/>
  <c r="L81" i="6"/>
  <c r="L82" i="6"/>
  <c r="L83" i="6"/>
  <c r="L8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2" i="6"/>
  <c r="K83" i="6"/>
  <c r="K84" i="6"/>
  <c r="M54" i="6"/>
  <c r="P51" i="6" s="1"/>
  <c r="L54" i="6"/>
  <c r="O51" i="6" s="1"/>
  <c r="K54" i="6"/>
  <c r="N51" i="6" s="1"/>
  <c r="J21" i="6"/>
  <c r="J22" i="6"/>
  <c r="J23" i="6"/>
  <c r="J24" i="6"/>
  <c r="J25" i="6"/>
  <c r="J26" i="6"/>
  <c r="J27" i="6"/>
  <c r="J28" i="6"/>
  <c r="J29" i="6"/>
  <c r="J30" i="6"/>
  <c r="J31" i="6"/>
  <c r="J32" i="6"/>
  <c r="J33" i="6"/>
  <c r="J34" i="6"/>
  <c r="J35" i="6"/>
  <c r="J36" i="6"/>
  <c r="J37" i="6"/>
  <c r="J38" i="6"/>
  <c r="J39" i="6"/>
  <c r="J40" i="6"/>
  <c r="J41" i="6"/>
  <c r="J42" i="6"/>
  <c r="J43" i="6"/>
  <c r="J44" i="6"/>
  <c r="J45" i="6"/>
  <c r="J46" i="6"/>
  <c r="J47" i="6"/>
  <c r="J48" i="6"/>
  <c r="J49" i="6"/>
  <c r="K21" i="6"/>
  <c r="K22" i="6"/>
  <c r="K23" i="6"/>
  <c r="K24" i="6"/>
  <c r="K25" i="6"/>
  <c r="K26" i="6"/>
  <c r="K27" i="6"/>
  <c r="K28" i="6"/>
  <c r="K30" i="6"/>
  <c r="K31" i="6"/>
  <c r="K32" i="6"/>
  <c r="K33" i="6"/>
  <c r="K34" i="6"/>
  <c r="K35" i="6"/>
  <c r="K36" i="6"/>
  <c r="K37" i="6"/>
  <c r="K38" i="6"/>
  <c r="K39" i="6"/>
  <c r="K40" i="6"/>
  <c r="K41" i="6"/>
  <c r="K42" i="6"/>
  <c r="K43" i="6"/>
  <c r="K44" i="6"/>
  <c r="K45" i="6"/>
  <c r="K46" i="6"/>
  <c r="K47" i="6"/>
  <c r="K48" i="6"/>
  <c r="K49"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AM7" i="4"/>
  <c r="AF9" i="4"/>
  <c r="AM10" i="4"/>
  <c r="AF12" i="4"/>
  <c r="AD3" i="6" l="1" a="1"/>
  <c r="AD3" i="6" s="1"/>
  <c r="N16" i="6" a="1"/>
  <c r="N16" i="6" s="1"/>
  <c r="AQ2" i="6"/>
  <c r="AD2" i="6"/>
  <c r="AN2" i="6"/>
  <c r="AO2" i="6"/>
  <c r="AP2" i="6"/>
  <c r="O16" i="6" a="1"/>
  <c r="O16" i="6" s="1"/>
  <c r="AF2" i="6"/>
  <c r="AE2" i="6"/>
  <c r="M16" i="6" a="1"/>
  <c r="M16" i="6" s="1"/>
  <c r="N52" i="6" a="1"/>
  <c r="N52" i="6" s="1"/>
  <c r="M18" i="6" a="1"/>
  <c r="M18" i="6" s="1"/>
  <c r="AY53" i="4" a="1"/>
  <c r="AY53" i="4" s="1"/>
  <c r="AW53" i="4" s="1" a="1"/>
  <c r="AW53" i="4" s="1"/>
  <c r="AX53" i="4" a="1"/>
  <c r="AX53" i="4" s="1"/>
  <c r="U3" i="2"/>
  <c r="V3" i="2"/>
  <c r="W3" i="2"/>
  <c r="U4" i="2"/>
  <c r="V4" i="2"/>
  <c r="W4" i="2"/>
  <c r="U5" i="2"/>
  <c r="V5" i="2"/>
  <c r="W5" i="2"/>
  <c r="U6" i="2"/>
  <c r="V6" i="2"/>
  <c r="W6" i="2"/>
  <c r="U7" i="2"/>
  <c r="V7" i="2"/>
  <c r="W7" i="2"/>
  <c r="V2" i="2"/>
  <c r="W2" i="2"/>
  <c r="U2" i="2"/>
  <c r="AD53" i="4" a="1"/>
  <c r="AD53" i="4" s="1"/>
  <c r="AB53" i="4" s="1" a="1"/>
  <c r="AB53" i="4" s="1"/>
  <c r="AC53" i="4" a="1"/>
  <c r="AC53" i="4" s="1"/>
  <c r="E4" i="4"/>
  <c r="AX52" i="4" l="1"/>
  <c r="AY52" i="4"/>
  <c r="AC52" i="4"/>
  <c r="AD52" i="4"/>
  <c r="D3" i="2" l="1"/>
  <c r="G3" i="2"/>
  <c r="H3" i="2"/>
  <c r="I3" i="2"/>
  <c r="J3" i="2"/>
  <c r="K3" i="2"/>
  <c r="L3" i="2"/>
  <c r="M3" i="2"/>
  <c r="N3" i="2"/>
  <c r="O3" i="2"/>
  <c r="P3" i="2"/>
  <c r="Q3" i="2"/>
  <c r="R3" i="2"/>
  <c r="S3" i="2"/>
  <c r="T3" i="2"/>
  <c r="C4" i="2"/>
  <c r="D4" i="2"/>
  <c r="G4" i="2"/>
  <c r="H4" i="2"/>
  <c r="I4" i="2"/>
  <c r="J4" i="2"/>
  <c r="K4" i="2"/>
  <c r="L4" i="2"/>
  <c r="M4" i="2"/>
  <c r="N4" i="2"/>
  <c r="O4" i="2"/>
  <c r="P4" i="2"/>
  <c r="Q4" i="2"/>
  <c r="R4" i="2"/>
  <c r="S4" i="2"/>
  <c r="T4" i="2"/>
  <c r="C5" i="2"/>
  <c r="D5" i="2"/>
  <c r="G5" i="2"/>
  <c r="H5" i="2"/>
  <c r="I5" i="2"/>
  <c r="J5" i="2"/>
  <c r="K5" i="2"/>
  <c r="L5" i="2"/>
  <c r="M5" i="2"/>
  <c r="N5" i="2"/>
  <c r="O5" i="2"/>
  <c r="P5" i="2"/>
  <c r="Q5" i="2"/>
  <c r="R5" i="2"/>
  <c r="S5" i="2"/>
  <c r="T5" i="2"/>
  <c r="C6" i="2"/>
  <c r="D6" i="2"/>
  <c r="G6" i="2"/>
  <c r="H6" i="2"/>
  <c r="I6" i="2"/>
  <c r="J6" i="2"/>
  <c r="K6" i="2"/>
  <c r="L6" i="2"/>
  <c r="M6" i="2"/>
  <c r="N6" i="2"/>
  <c r="O6" i="2"/>
  <c r="P6" i="2"/>
  <c r="Q6" i="2"/>
  <c r="R6" i="2"/>
  <c r="S6" i="2"/>
  <c r="T6" i="2"/>
  <c r="C7" i="2"/>
  <c r="D7" i="2"/>
  <c r="G7" i="2"/>
  <c r="H7" i="2"/>
  <c r="I7" i="2"/>
  <c r="J7" i="2"/>
  <c r="K7" i="2"/>
  <c r="L7" i="2"/>
  <c r="M7" i="2"/>
  <c r="N7" i="2"/>
  <c r="O7" i="2"/>
  <c r="P7" i="2"/>
  <c r="Q7" i="2"/>
  <c r="R7" i="2"/>
  <c r="S7" i="2"/>
  <c r="T7" i="2"/>
  <c r="G11" i="2"/>
  <c r="D2" i="2"/>
  <c r="AY2" i="2" s="1"/>
  <c r="E2" i="2"/>
  <c r="F2" i="2"/>
  <c r="G2" i="2"/>
  <c r="H2" i="2"/>
  <c r="I2" i="2"/>
  <c r="J2" i="2"/>
  <c r="K2" i="2"/>
  <c r="L2" i="2"/>
  <c r="M2" i="2"/>
  <c r="N2" i="2"/>
  <c r="O2" i="2"/>
  <c r="P2" i="2"/>
  <c r="Q2" i="2"/>
  <c r="R2" i="2"/>
  <c r="S2" i="2"/>
  <c r="T2" i="2"/>
  <c r="C2" i="2"/>
  <c r="A3" i="2"/>
  <c r="A4" i="2"/>
  <c r="A5" i="2"/>
  <c r="A6" i="2"/>
  <c r="A7" i="2"/>
  <c r="A8" i="2"/>
  <c r="A9" i="2"/>
  <c r="A10" i="2"/>
  <c r="A11" i="2"/>
  <c r="A12" i="2"/>
  <c r="A13" i="2"/>
  <c r="A2" i="2"/>
  <c r="G5" i="6"/>
  <c r="L5" i="6"/>
  <c r="G6" i="6"/>
  <c r="G7" i="6"/>
  <c r="Q5" i="6"/>
  <c r="C5" i="6"/>
  <c r="AU4" i="2" l="1"/>
  <c r="AV4" i="2" s="1"/>
  <c r="AY4" i="2"/>
  <c r="AU7" i="2"/>
  <c r="AV7" i="2" s="1"/>
  <c r="AY7" i="2"/>
  <c r="AU5" i="2"/>
  <c r="AV5" i="2" s="1"/>
  <c r="AY5" i="2"/>
  <c r="AU6" i="2"/>
  <c r="AV6" i="2" s="1"/>
  <c r="AY6" i="2"/>
  <c r="AU3" i="2"/>
  <c r="AV3" i="2" s="1"/>
  <c r="AY3" i="2"/>
  <c r="AU2" i="2"/>
  <c r="AV2" i="2" s="1"/>
  <c r="D4" i="6"/>
  <c r="C6" i="6"/>
  <c r="F16" i="1"/>
  <c r="F49" i="1" s="1"/>
  <c r="G16" i="1"/>
  <c r="G49" i="1" s="1"/>
  <c r="T16" i="1" l="1"/>
  <c r="T49" i="1" s="1"/>
  <c r="U16" i="1"/>
  <c r="U49" i="1" s="1"/>
  <c r="C48" i="1"/>
  <c r="E49" i="1" s="1"/>
  <c r="B48" i="1"/>
  <c r="C13" i="2" s="1"/>
  <c r="D13" i="2" l="1"/>
  <c r="AY12" i="2"/>
  <c r="AV12" i="2"/>
  <c r="J48" i="1"/>
  <c r="I48" i="1"/>
  <c r="K48" i="1"/>
  <c r="L16" i="1"/>
  <c r="L49" i="1" s="1"/>
  <c r="M16" i="1"/>
  <c r="M49" i="1" s="1"/>
  <c r="N16" i="1"/>
  <c r="N49" i="1" s="1"/>
  <c r="O16" i="1"/>
  <c r="O49" i="1" s="1"/>
  <c r="K16" i="1"/>
  <c r="E16" i="1"/>
  <c r="E17" i="1" s="1"/>
  <c r="E18" i="1" s="1"/>
  <c r="E19" i="1" s="1"/>
  <c r="E20" i="1" s="1"/>
  <c r="E21" i="1" s="1"/>
  <c r="E22" i="1" s="1"/>
  <c r="E23" i="1" s="1"/>
  <c r="E24" i="1" s="1"/>
  <c r="E25" i="1" s="1"/>
  <c r="E26" i="1" s="1"/>
  <c r="E27" i="1" s="1"/>
  <c r="E28" i="1" s="1"/>
  <c r="E29" i="1" s="1"/>
  <c r="E30" i="1" s="1"/>
  <c r="E31" i="1" s="1"/>
  <c r="E32" i="1" s="1"/>
  <c r="E33" i="1" s="1"/>
  <c r="E34" i="1" s="1"/>
  <c r="E35" i="1" s="1"/>
  <c r="E36" i="1" s="1"/>
  <c r="E37" i="1" s="1"/>
  <c r="E38" i="1" s="1"/>
  <c r="E39" i="1" s="1"/>
  <c r="E40" i="1" s="1"/>
  <c r="E41" i="1" s="1"/>
  <c r="E42" i="1" s="1"/>
  <c r="E43" i="1" s="1"/>
  <c r="E44" i="1" s="1"/>
  <c r="E45" i="1" s="1"/>
  <c r="E46" i="1" s="1"/>
  <c r="DV6" i="6" l="1"/>
  <c r="DV14" i="6"/>
  <c r="AY13" i="2"/>
  <c r="C9" i="6"/>
  <c r="J49" i="1"/>
  <c r="S16" i="1"/>
  <c r="S49" i="1" s="1"/>
  <c r="R16" i="1"/>
  <c r="R49" i="1" s="1"/>
  <c r="Q16" i="1"/>
  <c r="Q49" i="1" s="1"/>
  <c r="P16" i="1"/>
  <c r="P49" i="1" s="1"/>
  <c r="D16" i="1"/>
  <c r="D17" i="1" s="1"/>
  <c r="D18" i="1" s="1"/>
  <c r="D19" i="1" s="1"/>
  <c r="D20" i="1" s="1"/>
  <c r="D21" i="1" s="1"/>
  <c r="D22" i="1" s="1"/>
  <c r="D23" i="1" s="1"/>
  <c r="D24" i="1" s="1"/>
  <c r="D25" i="1" s="1"/>
  <c r="D26" i="1" s="1"/>
  <c r="D27" i="1" s="1"/>
  <c r="D28" i="1" s="1"/>
  <c r="D29" i="1" s="1"/>
  <c r="D30" i="1" s="1"/>
  <c r="D31" i="1" s="1"/>
  <c r="D32" i="1" s="1"/>
  <c r="D33" i="1" s="1"/>
  <c r="D34" i="1" s="1"/>
  <c r="D35" i="1" s="1"/>
  <c r="D36" i="1" s="1"/>
  <c r="D37" i="1" s="1"/>
  <c r="D38" i="1" s="1"/>
  <c r="D39" i="1" s="1"/>
  <c r="D40" i="1" s="1"/>
  <c r="D41" i="1" s="1"/>
  <c r="D42" i="1" s="1"/>
  <c r="D43" i="1" s="1"/>
  <c r="D44" i="1" s="1"/>
  <c r="D45" i="1" s="1"/>
  <c r="D46" i="1" s="1"/>
  <c r="I49" i="1"/>
  <c r="K49" i="1"/>
  <c r="AX30" i="2" l="1"/>
  <c r="AX29" i="2"/>
  <c r="AX4" i="2"/>
  <c r="AX31" i="2"/>
  <c r="AX21" i="2"/>
  <c r="AX25" i="2"/>
  <c r="AX20" i="2"/>
  <c r="AX6" i="2"/>
  <c r="AX24" i="2"/>
  <c r="AX2" i="2"/>
  <c r="AX10" i="2"/>
  <c r="AX19" i="2"/>
  <c r="AX8" i="2"/>
  <c r="AX3" i="2"/>
  <c r="AX7" i="2"/>
  <c r="AX13" i="2"/>
  <c r="AX28" i="2"/>
  <c r="AX22" i="2"/>
  <c r="AX18" i="2"/>
  <c r="AX11" i="2"/>
  <c r="AX17" i="2"/>
  <c r="AX9" i="2"/>
  <c r="AX16" i="2"/>
  <c r="AX15" i="2"/>
  <c r="AX26" i="2"/>
  <c r="AX5" i="2"/>
  <c r="AX14" i="2"/>
  <c r="AX27" i="2"/>
  <c r="AX12" i="2"/>
  <c r="AX23" i="2"/>
  <c r="DV15" i="6"/>
  <c r="DY14" i="6"/>
  <c r="DV17" i="6" s="1"/>
  <c r="DV18" i="6" s="1"/>
  <c r="DV8" i="6"/>
  <c r="D49" i="1"/>
  <c r="L4" i="6"/>
  <c r="L6" i="6" s="1"/>
  <c r="V4" i="6"/>
  <c r="V6" i="6" s="1"/>
  <c r="G8" i="6"/>
  <c r="Q4" i="6"/>
  <c r="Q6" i="6" s="1"/>
  <c r="B52"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B28433B-BAE5-4975-B19C-4211C71E3131}"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D7DAED7-1B49-4311-92C9-A6392A4C90C3}" name="WorksheetConnection_100k KGDCL Project Total Progress Report.xlsx!Table2" type="102" refreshedVersion="7" minRefreshableVersion="5">
    <extLst>
      <ext xmlns:x15="http://schemas.microsoft.com/office/spreadsheetml/2010/11/main" uri="{DE250136-89BD-433C-8126-D09CA5730AF9}">
        <x15:connection id="Table2">
          <x15:rangePr sourceName="_xlcn.WorksheetConnection_100kKGDCLProjectTotalProgressReport.xlsxTable2"/>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<sst xmlns="http://schemas.openxmlformats.org/spreadsheetml/2006/main" count="649" uniqueCount="243">
  <si>
    <t>Meter Installation Record (As per Daily work)</t>
  </si>
  <si>
    <t>Date</t>
  </si>
  <si>
    <t>No. of Modification, Regulator &amp; Riser Installed</t>
  </si>
  <si>
    <t>No. of Modification Done (House)</t>
  </si>
  <si>
    <t>Riser Qty.</t>
  </si>
  <si>
    <t>No. of Meter Installed (As per Types)</t>
  </si>
  <si>
    <t>A Type</t>
  </si>
  <si>
    <t>B Type</t>
  </si>
  <si>
    <t>C Type</t>
  </si>
  <si>
    <t>Cumulative Number of Shed &amp; Bracket</t>
  </si>
  <si>
    <t>With Shed</t>
  </si>
  <si>
    <t>With Out Shed</t>
  </si>
  <si>
    <t>Total House</t>
  </si>
  <si>
    <t>Total Meter</t>
  </si>
  <si>
    <t>Commissioning</t>
  </si>
  <si>
    <t>No. of IC Card Distributed</t>
  </si>
  <si>
    <t>Tag Distribution Record</t>
  </si>
  <si>
    <t>Tag. Of Card Dist. Qty</t>
  </si>
  <si>
    <t>Sub Total</t>
  </si>
  <si>
    <t>Total</t>
  </si>
  <si>
    <t>House</t>
  </si>
  <si>
    <t>Meter</t>
  </si>
  <si>
    <t>Cumulative House</t>
  </si>
  <si>
    <t>Cumulative Meter</t>
  </si>
  <si>
    <t>Total Regulator</t>
  </si>
  <si>
    <t>JAN</t>
  </si>
  <si>
    <t>FEB</t>
  </si>
  <si>
    <t>MAR</t>
  </si>
  <si>
    <t>APR</t>
  </si>
  <si>
    <t>MAY</t>
  </si>
  <si>
    <t>JUN</t>
  </si>
  <si>
    <t>JUL</t>
  </si>
  <si>
    <t>AUG</t>
  </si>
  <si>
    <t>SEP</t>
  </si>
  <si>
    <t>OCT</t>
  </si>
  <si>
    <t>NOV</t>
  </si>
  <si>
    <t>DEC</t>
  </si>
  <si>
    <t>Row Labels</t>
  </si>
  <si>
    <t>Grand Total</t>
  </si>
  <si>
    <t>Sum of Cumulative House</t>
  </si>
  <si>
    <t>Sum of Cumulative Meter</t>
  </si>
  <si>
    <t>Sum of B Type</t>
  </si>
  <si>
    <t>Sum of A Type</t>
  </si>
  <si>
    <t>Sum of C Type</t>
  </si>
  <si>
    <t>Sum of Riser Qty.</t>
  </si>
  <si>
    <t>Sum of No. of Modification Done (House)</t>
  </si>
  <si>
    <t>Sum of Total Regulator</t>
  </si>
  <si>
    <t>Sum of With Shed</t>
  </si>
  <si>
    <t>Sum of With Out Shed</t>
  </si>
  <si>
    <t>Sum of Total House</t>
  </si>
  <si>
    <t>Sum of No. of IC Card Distributed</t>
  </si>
  <si>
    <t>Total House(IC)</t>
  </si>
  <si>
    <t>Total House(TAG)</t>
  </si>
  <si>
    <t>Sum of Total House(IC)</t>
  </si>
  <si>
    <t>Sum of Total House(TAG)</t>
  </si>
  <si>
    <t>Sum of Tag. Of Card Dist. Qty</t>
  </si>
  <si>
    <t>TOTAL METER AND HOUSE INFO.</t>
  </si>
  <si>
    <t>TOTAL TYPE OF METER INFO.</t>
  </si>
  <si>
    <t>TOTAL RISER CONSTRUCTION INFO.</t>
  </si>
  <si>
    <t>TOTAL SHED INFO</t>
  </si>
  <si>
    <t>TOTAL COMMISSIONING INFO</t>
  </si>
  <si>
    <t>TOTAL TAG INFO</t>
  </si>
  <si>
    <t>Total No. of Complain Solved
(On Site)</t>
  </si>
  <si>
    <t>Total No. of Call Received (Complain)</t>
  </si>
  <si>
    <t>Total No. of Complain Solved
(Over Phone)</t>
  </si>
  <si>
    <t>Emergency Record</t>
  </si>
  <si>
    <t>Sum of Total No. of Call Received (Complain)</t>
  </si>
  <si>
    <t>TOTAL METER:</t>
  </si>
  <si>
    <t>Total Installation Meter Analysis</t>
  </si>
  <si>
    <t>Total meter</t>
  </si>
  <si>
    <t>Left Meter</t>
  </si>
  <si>
    <t>Total Type of Meter Installation Calculation</t>
  </si>
  <si>
    <t>A-Type</t>
  </si>
  <si>
    <t>B-Type</t>
  </si>
  <si>
    <t>C-Type</t>
  </si>
  <si>
    <t>Total IC Card Distr.</t>
  </si>
  <si>
    <t>Total Card for Dist.</t>
  </si>
  <si>
    <t xml:space="preserve">Total Led House </t>
  </si>
  <si>
    <t>NEW INSTALLED METER</t>
  </si>
  <si>
    <t>TOP MONTH WISE HOUSE</t>
  </si>
  <si>
    <t>TOP MONTH WISE METER</t>
  </si>
  <si>
    <t xml:space="preserve">TOP MONTH WISE IC CARD DISTRIBUTED </t>
  </si>
  <si>
    <t>TOTAL EMERGENCY RECORD</t>
  </si>
  <si>
    <t>MONTH WISE TOP EMERGENCY CALL RECEIVED</t>
  </si>
  <si>
    <t xml:space="preserve"> </t>
  </si>
  <si>
    <t>new installed IC Card</t>
  </si>
  <si>
    <t>No. of House</t>
  </si>
  <si>
    <t>New Emergency Call Record</t>
  </si>
  <si>
    <t>solve by phon.</t>
  </si>
  <si>
    <t>Total Call</t>
  </si>
  <si>
    <t>Solve on Site</t>
  </si>
  <si>
    <t>Dis. Card</t>
  </si>
  <si>
    <t>DATE</t>
  </si>
  <si>
    <t>CARD</t>
  </si>
  <si>
    <t>HOUSE</t>
  </si>
  <si>
    <t>new emergency record</t>
  </si>
  <si>
    <t>solve on site</t>
  </si>
  <si>
    <t>solve by phone</t>
  </si>
  <si>
    <t>date</t>
  </si>
  <si>
    <t>total complain</t>
  </si>
  <si>
    <t>new No. of Modification, Regulator &amp; Riser Installed</t>
  </si>
  <si>
    <t xml:space="preserve">Avarage Meter Installed : </t>
  </si>
  <si>
    <t>total riser Modification calculation</t>
  </si>
  <si>
    <t>Total Riser Modification Complete</t>
  </si>
  <si>
    <t>Total Riser</t>
  </si>
  <si>
    <t>Left Riser Reserve</t>
  </si>
  <si>
    <t>Total Lad-Seal</t>
  </si>
  <si>
    <t>Lad-Seal  Distribution Record</t>
  </si>
  <si>
    <t>TOTAL Lad-Seal HOUSE INFO.</t>
  </si>
  <si>
    <t>Sum of Total Lad-Seal</t>
  </si>
  <si>
    <t xml:space="preserve">Total Lad House </t>
  </si>
  <si>
    <t>Left. Lad-Seal for Distri.</t>
  </si>
  <si>
    <t>Total Lad-Seal Distr.</t>
  </si>
  <si>
    <t>no. of house</t>
  </si>
  <si>
    <t>no. of meter</t>
  </si>
  <si>
    <t>new added</t>
  </si>
  <si>
    <t>Sum of Total Meter</t>
  </si>
  <si>
    <t>shed</t>
  </si>
  <si>
    <t>w/o shed</t>
  </si>
  <si>
    <t>house</t>
  </si>
  <si>
    <t>meter</t>
  </si>
  <si>
    <t xml:space="preserve">      </t>
  </si>
  <si>
    <t>TAG RECORD</t>
  </si>
  <si>
    <t>NEW ADDED</t>
  </si>
  <si>
    <t>LED-SEAL</t>
  </si>
  <si>
    <t>Total House (Lad-Seal)</t>
  </si>
  <si>
    <t>Sum of Total House (Lad-Seal)</t>
  </si>
  <si>
    <t>Thana</t>
  </si>
  <si>
    <t>Total Meter Installed</t>
  </si>
  <si>
    <t>HALISHAHAR</t>
  </si>
  <si>
    <t>CHAWKBAZAR</t>
  </si>
  <si>
    <t>BAKOLIA</t>
  </si>
  <si>
    <t>BAYAZID</t>
  </si>
  <si>
    <t>KHULSHI</t>
  </si>
  <si>
    <t>PAHARTALI</t>
  </si>
  <si>
    <t>BANDAR</t>
  </si>
  <si>
    <t>DOUBLE MOORING</t>
  </si>
  <si>
    <t>AKBAR SHAH</t>
  </si>
  <si>
    <t>EPZ</t>
  </si>
  <si>
    <t>PATENGA</t>
  </si>
  <si>
    <t>SADARGHAT</t>
  </si>
  <si>
    <t>KOTWALI</t>
  </si>
  <si>
    <t>KARNAPHULI</t>
  </si>
  <si>
    <t>PANCHLAISH</t>
  </si>
  <si>
    <t>CHANDGAON</t>
  </si>
  <si>
    <t>PATIYA</t>
  </si>
  <si>
    <t>ANOWARA</t>
  </si>
  <si>
    <t>HATHAZARI</t>
  </si>
  <si>
    <t>SITAKUNDA</t>
  </si>
  <si>
    <t>MIRSHARAI</t>
  </si>
  <si>
    <t>BOALKHALI</t>
  </si>
  <si>
    <t>Sum of EPZ</t>
  </si>
  <si>
    <t>Month</t>
  </si>
  <si>
    <t>THANA WISE TOTAL METER INSTALLATION RECORDS</t>
  </si>
  <si>
    <t>Akbar Shah</t>
  </si>
  <si>
    <t>Anowara</t>
  </si>
  <si>
    <t>Bakolia</t>
  </si>
  <si>
    <t>Bandar</t>
  </si>
  <si>
    <t>Bayazid</t>
  </si>
  <si>
    <t>Boalkhali</t>
  </si>
  <si>
    <t>Chandgaon</t>
  </si>
  <si>
    <t>Chawkbazar</t>
  </si>
  <si>
    <t>Double Mooring</t>
  </si>
  <si>
    <t>Halishahar</t>
  </si>
  <si>
    <t>Hathazari</t>
  </si>
  <si>
    <t>Karnaphuli</t>
  </si>
  <si>
    <t>Khulshi</t>
  </si>
  <si>
    <t>Kotwali</t>
  </si>
  <si>
    <t>Mirsharai</t>
  </si>
  <si>
    <t>Pahartali</t>
  </si>
  <si>
    <t>Panchlaish</t>
  </si>
  <si>
    <t>Patenga</t>
  </si>
  <si>
    <t>Patiya</t>
  </si>
  <si>
    <t>Sadarghat</t>
  </si>
  <si>
    <t>Sitakunda</t>
  </si>
  <si>
    <t>Year</t>
  </si>
  <si>
    <t>Sum of Year</t>
  </si>
  <si>
    <t>Sum of Total No. of Complain Solved
(On Site)</t>
  </si>
  <si>
    <t>Sum of Total No. of Complain Solved
(Over Phone)</t>
  </si>
  <si>
    <t>Sum of Anowara</t>
  </si>
  <si>
    <t>Sum of Akbar Shah</t>
  </si>
  <si>
    <t>Sum of Bakolia</t>
  </si>
  <si>
    <t>Sum of Bandar</t>
  </si>
  <si>
    <t>Sum of Bayazid</t>
  </si>
  <si>
    <t>Sum of Boalkhali</t>
  </si>
  <si>
    <t>Sum of Chandgaon</t>
  </si>
  <si>
    <t>Sum of Chawkbazar</t>
  </si>
  <si>
    <t>Sum of Double Mooring</t>
  </si>
  <si>
    <t>Sum of Halishahar</t>
  </si>
  <si>
    <t>Sum of Hathazari</t>
  </si>
  <si>
    <t>Sum of Karnaphuli</t>
  </si>
  <si>
    <t>Sum of Khulshi</t>
  </si>
  <si>
    <t>Sum of Kotwali</t>
  </si>
  <si>
    <t>Sum of Mirsharai</t>
  </si>
  <si>
    <t>Sum of Pahartali</t>
  </si>
  <si>
    <t>Sum of Panchlaish</t>
  </si>
  <si>
    <t>Sum of Patenga</t>
  </si>
  <si>
    <t>Sum of Patiya</t>
  </si>
  <si>
    <t>Sum of Sadarghat</t>
  </si>
  <si>
    <t>Sum of Sitakunda</t>
  </si>
  <si>
    <t>SURVEY CALCULATION</t>
  </si>
  <si>
    <t xml:space="preserve">Total Burner Survey </t>
  </si>
  <si>
    <t>Total Wiring Complete</t>
  </si>
  <si>
    <t xml:space="preserve">Sum of Total Burner Survey </t>
  </si>
  <si>
    <t>Sum of Total Wiring Complete</t>
  </si>
  <si>
    <t>Cumulative Installed (Based on Daily Average)</t>
  </si>
  <si>
    <t>Target Line (Ideal Cumulative)</t>
  </si>
  <si>
    <t>TOTAL METER</t>
  </si>
  <si>
    <t>INSTALLED METER</t>
  </si>
  <si>
    <t>LEFT METER</t>
  </si>
  <si>
    <t>TARGET AVERAGE METER</t>
  </si>
  <si>
    <t>Number of working days</t>
  </si>
  <si>
    <t>Running Installed</t>
  </si>
  <si>
    <t>NUMBER OF REMAINING WORKING DAYS</t>
  </si>
  <si>
    <t>ONGING AVERAGE METER</t>
  </si>
  <si>
    <t>STATISTICS</t>
  </si>
  <si>
    <t>TOTAL WORKING DAYS</t>
  </si>
  <si>
    <t>OVERALL AVERAGE METER</t>
  </si>
  <si>
    <t>DAYS NEED FOR END PROJECT (RUNNING AVERAGE)</t>
  </si>
  <si>
    <t>total days</t>
  </si>
  <si>
    <t>total days works (pivot table)</t>
  </si>
  <si>
    <t>Sum of Number of working days</t>
  </si>
  <si>
    <t>Sum of Cumulative Installed (Based on Daily Average)</t>
  </si>
  <si>
    <t>Sum of Running Installed</t>
  </si>
  <si>
    <t>Sum of Target Line (Ideal Cumulative)</t>
  </si>
  <si>
    <t>PREDICT AND STATUS</t>
  </si>
  <si>
    <t>IDEAL DAILY AVERAGE =</t>
  </si>
  <si>
    <t>WEIGHTED PROGRESS RATIO =</t>
  </si>
  <si>
    <t>TOTAL INSTALLED METER</t>
  </si>
  <si>
    <t>apr</t>
  </si>
  <si>
    <t>may</t>
  </si>
  <si>
    <t>jun</t>
  </si>
  <si>
    <t>Total meters installed</t>
  </si>
  <si>
    <t>Remaining meters for installation</t>
  </si>
  <si>
    <t>Total Tags Distributed</t>
  </si>
  <si>
    <t>Tags remaining for distribution</t>
  </si>
  <si>
    <t>Total IC cards distributed</t>
  </si>
  <si>
    <t>IC cards remaining for distribution.</t>
  </si>
  <si>
    <t>Total calls received (Complain)</t>
  </si>
  <si>
    <t>Problems solved over the phone</t>
  </si>
  <si>
    <t>Total surveys conducted</t>
  </si>
  <si>
    <t>Meters with completed wiring</t>
  </si>
  <si>
    <t>Problems solved on-site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</si>
</sst>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1" x14ac:knownFonts="1">
    <font>
      <sz val="11"/>
      <color theme="1"/>
      <name val="Calibri"/>
      <family val="2"/>
      <scheme val="minor"/>
    </font>
    <font>
      <b/>
      <sz val="11"/>
      <color theme="1"/>
      <name val="Calibri"/>
      <family val="2"/>
      <scheme val="minor"/>
    </font>
    <font>
      <sz val="8"/>
      <name val="Calibri"/>
      <family val="2"/>
      <scheme val="minor"/>
    </font>
    <font>
      <b/>
      <sz val="10"/>
      <color theme="1"/>
      <name val="Calibri"/>
      <family val="2"/>
      <scheme val="minor"/>
    </font>
    <font>
      <sz val="14"/>
      <color theme="1"/>
      <name val="Calibri"/>
      <family val="2"/>
      <scheme val="minor"/>
    </font>
    <font>
      <sz val="18"/>
      <color theme="1"/>
      <name val="Calibri"/>
      <family val="2"/>
      <scheme val="minor"/>
    </font>
    <font>
      <sz val="16"/>
      <color theme="1"/>
      <name val="Calibri"/>
      <family val="2"/>
      <scheme val="minor"/>
    </font>
    <font>
      <b/>
      <sz val="12"/>
      <color rgb="FF000118"/>
      <name val="Nunito Sans"/>
    </font>
    <font>
      <sz val="12"/>
      <color theme="1"/>
      <name val="Calibri"/>
      <family val="2"/>
      <scheme val="minor"/>
    </font>
    <font>
      <b/>
      <sz val="12"/>
      <color theme="1"/>
      <name val="Calibri"/>
      <family val="2"/>
      <scheme val="minor"/>
    </font>
    <font>
      <b/>
      <sz val="18"/>
      <color theme="1"/>
      <name val="Calibri"/>
      <family val="2"/>
      <scheme val="minor"/>
    </font>
  </fonts>
  <fills count="17">
    <fill>
      <patternFill patternType="none"/>
    </fill>
    <fill>
      <patternFill patternType="gray125"/>
    </fill>
    <fill>
      <patternFill patternType="solid">
        <fgColor theme="8" tint="0.39997558519241921"/>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0"/>
        <bgColor indexed="64"/>
      </patternFill>
    </fill>
    <fill>
      <patternFill patternType="solid">
        <fgColor theme="4" tint="0.39997558519241921"/>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1" tint="0.499984740745262"/>
        <bgColor indexed="64"/>
      </patternFill>
    </fill>
    <fill>
      <patternFill patternType="solid">
        <fgColor theme="5"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diagonal/>
    </border>
  </borders>
  <cellStyleXfs count="1">
    <xf numFmtId="0" fontId="0" fillId="0" borderId="0"/>
  </cellStyleXfs>
  <cellXfs count="141">
    <xf numFmtId="0" fontId="0" fillId="0" borderId="0" xfId="0"/>
    <xf numFmtId="0" fontId="0" fillId="0" borderId="0" xfId="0" applyAlignment="1">
      <alignment vertical="center"/>
    </xf>
    <xf numFmtId="0" fontId="0" fillId="0" borderId="1" xfId="0" applyBorder="1" applyAlignment="1">
      <alignment horizontal="center" vertical="center"/>
    </xf>
    <xf numFmtId="0" fontId="0" fillId="0" borderId="0" xfId="0" applyAlignment="1">
      <alignment horizontal="right"/>
    </xf>
    <xf numFmtId="0" fontId="1" fillId="7"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0" borderId="3" xfId="0" applyFont="1" applyBorder="1" applyAlignment="1">
      <alignment horizontal="center" vertical="center"/>
    </xf>
    <xf numFmtId="0" fontId="1" fillId="2" borderId="1" xfId="0" applyFont="1" applyFill="1" applyBorder="1" applyAlignment="1">
      <alignment horizontal="center" vertical="center" wrapText="1"/>
    </xf>
    <xf numFmtId="17" fontId="1" fillId="0" borderId="1" xfId="0" applyNumberFormat="1" applyFont="1" applyBorder="1" applyAlignment="1">
      <alignment horizontal="center" vertical="center"/>
    </xf>
    <xf numFmtId="0" fontId="1" fillId="6" borderId="1" xfId="0" applyFont="1" applyFill="1" applyBorder="1" applyAlignment="1">
      <alignment horizontal="center" vertical="center"/>
    </xf>
    <xf numFmtId="14" fontId="1" fillId="0" borderId="1" xfId="0" applyNumberFormat="1" applyFont="1" applyBorder="1" applyAlignment="1">
      <alignment horizontal="center" vertical="center"/>
    </xf>
    <xf numFmtId="0" fontId="0" fillId="0" borderId="0" xfId="0" pivotButton="1"/>
    <xf numFmtId="0" fontId="0" fillId="0" borderId="0" xfId="0" applyAlignment="1">
      <alignment horizontal="left"/>
    </xf>
    <xf numFmtId="0" fontId="0" fillId="5" borderId="0" xfId="0" applyFill="1" applyAlignment="1">
      <alignment horizontal="center"/>
    </xf>
    <xf numFmtId="0" fontId="0" fillId="0" borderId="1" xfId="0" applyBorder="1"/>
    <xf numFmtId="0" fontId="0" fillId="5" borderId="1" xfId="0" applyFill="1" applyBorder="1"/>
    <xf numFmtId="0" fontId="1" fillId="8" borderId="4" xfId="0" applyFont="1" applyFill="1" applyBorder="1" applyAlignment="1">
      <alignment vertical="top" wrapText="1"/>
    </xf>
    <xf numFmtId="0" fontId="3" fillId="8" borderId="4" xfId="0" applyFont="1" applyFill="1" applyBorder="1" applyAlignment="1">
      <alignment vertical="top" wrapText="1"/>
    </xf>
    <xf numFmtId="0" fontId="0" fillId="0" borderId="0" xfId="0" applyAlignment="1">
      <alignment wrapText="1"/>
    </xf>
    <xf numFmtId="10" fontId="0" fillId="0" borderId="0" xfId="0" applyNumberFormat="1" applyAlignment="1">
      <alignment wrapText="1"/>
    </xf>
    <xf numFmtId="0" fontId="0" fillId="0" borderId="0" xfId="0" applyAlignment="1">
      <alignment vertical="center" wrapText="1"/>
    </xf>
    <xf numFmtId="0" fontId="0" fillId="0" borderId="0" xfId="0" applyAlignment="1">
      <alignment horizontal="center" vertical="center" wrapText="1"/>
    </xf>
    <xf numFmtId="164" fontId="0" fillId="0" borderId="0" xfId="0" applyNumberFormat="1"/>
    <xf numFmtId="0" fontId="0" fillId="10" borderId="1" xfId="0" applyFill="1" applyBorder="1"/>
    <xf numFmtId="0" fontId="0" fillId="10" borderId="1" xfId="0" applyFill="1" applyBorder="1" applyAlignment="1">
      <alignment horizontal="center"/>
    </xf>
    <xf numFmtId="0" fontId="0" fillId="6" borderId="1" xfId="0" applyFill="1" applyBorder="1"/>
    <xf numFmtId="14" fontId="0" fillId="0" borderId="0" xfId="0" applyNumberFormat="1"/>
    <xf numFmtId="0" fontId="4" fillId="0" borderId="1" xfId="0" applyFont="1" applyBorder="1" applyAlignment="1">
      <alignment wrapText="1"/>
    </xf>
    <xf numFmtId="164" fontId="0" fillId="0" borderId="1" xfId="0" applyNumberFormat="1" applyBorder="1"/>
    <xf numFmtId="0" fontId="0" fillId="5" borderId="0" xfId="0" applyFill="1"/>
    <xf numFmtId="0" fontId="7" fillId="0" borderId="0" xfId="0" applyFont="1"/>
    <xf numFmtId="164" fontId="7" fillId="0" borderId="0" xfId="0" applyNumberFormat="1" applyFont="1"/>
    <xf numFmtId="164" fontId="0" fillId="0" borderId="0" xfId="0" applyNumberFormat="1" applyAlignment="1">
      <alignment wrapText="1"/>
    </xf>
    <xf numFmtId="0" fontId="0" fillId="6" borderId="0" xfId="0" applyFill="1" applyAlignment="1">
      <alignment wrapText="1"/>
    </xf>
    <xf numFmtId="0" fontId="0" fillId="6" borderId="0" xfId="0" applyFill="1"/>
    <xf numFmtId="0" fontId="0" fillId="0" borderId="1" xfId="0" applyBorder="1" applyAlignment="1">
      <alignment wrapText="1"/>
    </xf>
    <xf numFmtId="0" fontId="0" fillId="0" borderId="1" xfId="0" applyBorder="1" applyAlignment="1">
      <alignment horizontal="center" vertical="center" wrapText="1"/>
    </xf>
    <xf numFmtId="0" fontId="1" fillId="0" borderId="0" xfId="0" applyFont="1" applyAlignment="1">
      <alignment vertical="top" wrapText="1"/>
    </xf>
    <xf numFmtId="0" fontId="3" fillId="0" borderId="0" xfId="0" applyFont="1" applyAlignment="1">
      <alignment vertical="top" wrapText="1"/>
    </xf>
    <xf numFmtId="0" fontId="8" fillId="5" borderId="0" xfId="0" applyFont="1" applyFill="1" applyAlignment="1">
      <alignment wrapText="1"/>
    </xf>
    <xf numFmtId="0" fontId="9" fillId="6" borderId="0" xfId="0" applyFont="1" applyFill="1" applyAlignment="1">
      <alignment horizontal="center" vertical="center" wrapText="1"/>
    </xf>
    <xf numFmtId="0" fontId="4" fillId="9" borderId="0" xfId="0" applyFont="1" applyFill="1" applyAlignment="1">
      <alignment horizontal="center" vertical="center" wrapText="1"/>
    </xf>
    <xf numFmtId="0" fontId="0" fillId="9" borderId="1" xfId="0" applyFill="1" applyBorder="1"/>
    <xf numFmtId="0" fontId="4" fillId="5" borderId="1" xfId="0" applyFont="1" applyFill="1" applyBorder="1" applyAlignment="1">
      <alignment horizontal="center" vertical="center"/>
    </xf>
    <xf numFmtId="0" fontId="4" fillId="5" borderId="1" xfId="0" applyFont="1" applyFill="1" applyBorder="1" applyAlignment="1">
      <alignment horizontal="center" vertical="center" wrapText="1"/>
    </xf>
    <xf numFmtId="164" fontId="0" fillId="0" borderId="1" xfId="0" applyNumberFormat="1" applyBorder="1" applyAlignment="1">
      <alignment horizontal="center" vertical="center"/>
    </xf>
    <xf numFmtId="0" fontId="1" fillId="10" borderId="1" xfId="0" applyFont="1" applyFill="1" applyBorder="1" applyAlignment="1">
      <alignment horizontal="center" vertical="center"/>
    </xf>
    <xf numFmtId="0" fontId="0" fillId="10" borderId="0" xfId="0" applyFill="1"/>
    <xf numFmtId="0" fontId="0" fillId="0" borderId="0" xfId="0" applyAlignment="1">
      <alignment horizontal="center" vertical="center"/>
    </xf>
    <xf numFmtId="0" fontId="10" fillId="0" borderId="0" xfId="0" applyFont="1" applyAlignment="1">
      <alignment horizontal="center" vertical="center"/>
    </xf>
    <xf numFmtId="0" fontId="0" fillId="5" borderId="1" xfId="0" applyFill="1" applyBorder="1" applyAlignment="1">
      <alignment horizontal="center" vertical="center"/>
    </xf>
    <xf numFmtId="0" fontId="0" fillId="10" borderId="1" xfId="0" applyFill="1" applyBorder="1" applyAlignment="1">
      <alignment horizontal="center" vertical="center"/>
    </xf>
    <xf numFmtId="0" fontId="1" fillId="0" borderId="0" xfId="0" applyFont="1" applyAlignment="1">
      <alignment vertical="center" wrapText="1"/>
    </xf>
    <xf numFmtId="0" fontId="1" fillId="4"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xf>
    <xf numFmtId="0" fontId="1" fillId="12" borderId="3" xfId="0" applyFont="1" applyFill="1" applyBorder="1" applyAlignment="1">
      <alignment horizontal="center" vertical="center"/>
    </xf>
    <xf numFmtId="0" fontId="1" fillId="2" borderId="5" xfId="0" applyFont="1" applyFill="1" applyBorder="1" applyAlignment="1">
      <alignment horizontal="center" vertical="center" wrapText="1"/>
    </xf>
    <xf numFmtId="0" fontId="1" fillId="2" borderId="8" xfId="0" applyFont="1" applyFill="1" applyBorder="1" applyAlignment="1">
      <alignment vertical="center" wrapText="1"/>
    </xf>
    <xf numFmtId="0" fontId="1" fillId="7" borderId="8" xfId="0" applyFont="1" applyFill="1" applyBorder="1" applyAlignment="1">
      <alignment vertical="top" wrapText="1"/>
    </xf>
    <xf numFmtId="0" fontId="1" fillId="3" borderId="8" xfId="0" applyFont="1" applyFill="1" applyBorder="1" applyAlignment="1">
      <alignment vertical="top" wrapText="1"/>
    </xf>
    <xf numFmtId="0" fontId="1" fillId="2" borderId="8" xfId="0" applyFont="1" applyFill="1" applyBorder="1" applyAlignment="1">
      <alignment vertical="top" wrapText="1"/>
    </xf>
    <xf numFmtId="0" fontId="1" fillId="4" borderId="8" xfId="0" applyFont="1" applyFill="1" applyBorder="1" applyAlignment="1">
      <alignment vertical="top" wrapText="1"/>
    </xf>
    <xf numFmtId="0" fontId="1" fillId="8" borderId="8" xfId="0" applyFont="1" applyFill="1" applyBorder="1" applyAlignment="1">
      <alignment vertical="top" wrapText="1"/>
    </xf>
    <xf numFmtId="0" fontId="3" fillId="8" borderId="8" xfId="0" applyFont="1" applyFill="1" applyBorder="1" applyAlignment="1">
      <alignment vertical="top" wrapText="1"/>
    </xf>
    <xf numFmtId="0" fontId="3" fillId="6" borderId="5" xfId="0" applyFont="1" applyFill="1" applyBorder="1" applyAlignment="1">
      <alignment vertical="center" wrapText="1"/>
    </xf>
    <xf numFmtId="0" fontId="0" fillId="0" borderId="0" xfId="0" applyAlignment="1">
      <alignment horizontal="left" indent="1"/>
    </xf>
    <xf numFmtId="0" fontId="0" fillId="5" borderId="0" xfId="0" applyFill="1" applyAlignment="1">
      <alignment horizontal="center" vertical="center"/>
    </xf>
    <xf numFmtId="17" fontId="1" fillId="0" borderId="4" xfId="0" applyNumberFormat="1" applyFont="1" applyBorder="1" applyAlignment="1">
      <alignment horizontal="center" vertical="center"/>
    </xf>
    <xf numFmtId="0" fontId="3" fillId="6" borderId="1" xfId="0" applyFont="1" applyFill="1" applyBorder="1" applyAlignment="1">
      <alignment vertical="center" wrapText="1"/>
    </xf>
    <xf numFmtId="0" fontId="1" fillId="12" borderId="1" xfId="0" applyFont="1" applyFill="1" applyBorder="1" applyAlignment="1">
      <alignment horizontal="center" vertical="center"/>
    </xf>
    <xf numFmtId="0" fontId="0" fillId="10" borderId="0" xfId="0" applyFill="1" applyAlignment="1">
      <alignment horizontal="center"/>
    </xf>
    <xf numFmtId="0" fontId="1" fillId="0" borderId="9" xfId="0" applyFont="1" applyBorder="1" applyAlignment="1">
      <alignment horizontal="center" vertical="center"/>
    </xf>
    <xf numFmtId="0" fontId="1" fillId="12" borderId="9" xfId="0" applyFont="1" applyFill="1" applyBorder="1" applyAlignment="1">
      <alignment horizontal="center" vertical="center"/>
    </xf>
    <xf numFmtId="0" fontId="1" fillId="12" borderId="4" xfId="0" applyFont="1" applyFill="1" applyBorder="1" applyAlignment="1">
      <alignment horizontal="center" vertical="center"/>
    </xf>
    <xf numFmtId="17" fontId="1" fillId="13" borderId="1" xfId="0" applyNumberFormat="1" applyFont="1" applyFill="1" applyBorder="1" applyAlignment="1">
      <alignment horizontal="center" vertical="center"/>
    </xf>
    <xf numFmtId="0" fontId="1" fillId="13" borderId="3" xfId="0" applyFont="1" applyFill="1" applyBorder="1" applyAlignment="1">
      <alignment horizontal="center" vertical="center"/>
    </xf>
    <xf numFmtId="0" fontId="1" fillId="13" borderId="1" xfId="0" applyFont="1" applyFill="1" applyBorder="1" applyAlignment="1">
      <alignment horizontal="center" vertical="center"/>
    </xf>
    <xf numFmtId="17" fontId="1" fillId="13" borderId="4" xfId="0" applyNumberFormat="1" applyFont="1" applyFill="1" applyBorder="1" applyAlignment="1">
      <alignment horizontal="center" vertical="center"/>
    </xf>
    <xf numFmtId="17" fontId="1" fillId="12" borderId="1" xfId="0" applyNumberFormat="1" applyFont="1" applyFill="1" applyBorder="1" applyAlignment="1">
      <alignment horizontal="center" vertical="center"/>
    </xf>
    <xf numFmtId="0" fontId="0" fillId="12" borderId="1" xfId="0" applyFill="1" applyBorder="1"/>
    <xf numFmtId="17" fontId="1" fillId="14" borderId="4" xfId="0" applyNumberFormat="1" applyFont="1" applyFill="1" applyBorder="1" applyAlignment="1">
      <alignment horizontal="center" vertical="center"/>
    </xf>
    <xf numFmtId="0" fontId="1" fillId="14" borderId="3" xfId="0" applyFont="1" applyFill="1" applyBorder="1" applyAlignment="1">
      <alignment horizontal="center" vertical="center"/>
    </xf>
    <xf numFmtId="0" fontId="1" fillId="14" borderId="1" xfId="0" applyFont="1" applyFill="1" applyBorder="1" applyAlignment="1">
      <alignment horizontal="center" vertical="center"/>
    </xf>
    <xf numFmtId="0" fontId="3" fillId="15" borderId="1" xfId="0" applyFont="1" applyFill="1" applyBorder="1" applyAlignment="1">
      <alignment vertical="center" wrapText="1"/>
    </xf>
    <xf numFmtId="0" fontId="1" fillId="12" borderId="5" xfId="0" applyFont="1" applyFill="1" applyBorder="1" applyAlignment="1">
      <alignment horizontal="center" vertical="center"/>
    </xf>
    <xf numFmtId="0" fontId="3" fillId="6" borderId="8" xfId="0" applyFont="1" applyFill="1" applyBorder="1" applyAlignment="1">
      <alignment vertical="center" wrapText="1"/>
    </xf>
    <xf numFmtId="9" fontId="0" fillId="0" borderId="0" xfId="0" applyNumberFormat="1"/>
    <xf numFmtId="0" fontId="0" fillId="16" borderId="0" xfId="0" applyFill="1" applyAlignment="1">
      <alignment horizontal="center" vertical="center" wrapText="1"/>
    </xf>
    <xf numFmtId="0" fontId="1" fillId="14" borderId="9" xfId="0" applyFont="1" applyFill="1" applyBorder="1" applyAlignment="1">
      <alignment horizontal="center" vertical="center"/>
    </xf>
    <xf numFmtId="0" fontId="1" fillId="14" borderId="4" xfId="0" applyFont="1" applyFill="1" applyBorder="1" applyAlignment="1">
      <alignment horizontal="center" vertical="center"/>
    </xf>
    <xf numFmtId="0" fontId="0" fillId="0" borderId="0" xfId="0" applyNumberFormat="1"/>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7" borderId="2" xfId="0" applyFont="1" applyFill="1" applyBorder="1" applyAlignment="1">
      <alignment horizontal="center" vertical="center"/>
    </xf>
    <xf numFmtId="0" fontId="1" fillId="7" borderId="3" xfId="0" applyFont="1" applyFill="1" applyBorder="1" applyAlignment="1">
      <alignment horizontal="center" vertical="center"/>
    </xf>
    <xf numFmtId="0" fontId="1" fillId="8" borderId="4"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0" fillId="5" borderId="0" xfId="0" applyFill="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0" fontId="4" fillId="5" borderId="0" xfId="0" applyFont="1" applyFill="1" applyAlignment="1">
      <alignment horizontal="center" vertical="center"/>
    </xf>
    <xf numFmtId="0" fontId="5" fillId="0" borderId="1" xfId="0" applyFont="1" applyBorder="1" applyAlignment="1">
      <alignment horizontal="center" vertical="center"/>
    </xf>
    <xf numFmtId="0" fontId="0" fillId="5" borderId="0" xfId="0" applyFill="1" applyAlignment="1">
      <alignment horizontal="center" wrapText="1"/>
    </xf>
    <xf numFmtId="0" fontId="4" fillId="9" borderId="0" xfId="0" applyFont="1" applyFill="1" applyAlignment="1">
      <alignment horizontal="center" vertical="center" wrapText="1"/>
    </xf>
    <xf numFmtId="0" fontId="8" fillId="6" borderId="0" xfId="0" applyFont="1" applyFill="1" applyAlignment="1">
      <alignment horizontal="center" vertical="center" wrapText="1"/>
    </xf>
    <xf numFmtId="0" fontId="0" fillId="6" borderId="0" xfId="0" applyFill="1" applyAlignment="1">
      <alignment horizontal="center" vertical="center" wrapText="1"/>
    </xf>
    <xf numFmtId="0" fontId="0" fillId="5" borderId="0" xfId="0" applyFill="1" applyAlignment="1">
      <alignment horizontal="center" vertical="center"/>
    </xf>
    <xf numFmtId="0" fontId="6" fillId="5" borderId="0" xfId="0" applyFont="1" applyFill="1" applyAlignment="1">
      <alignment horizontal="center"/>
    </xf>
    <xf numFmtId="0" fontId="0" fillId="5" borderId="1" xfId="0" applyFill="1" applyBorder="1" applyAlignment="1">
      <alignment horizontal="center" vertical="center"/>
    </xf>
    <xf numFmtId="0" fontId="4" fillId="11" borderId="0" xfId="0" applyFont="1" applyFill="1" applyAlignment="1">
      <alignment horizontal="center" vertical="center"/>
    </xf>
    <xf numFmtId="0" fontId="0" fillId="6" borderId="0" xfId="0" applyFill="1" applyAlignment="1">
      <alignment horizontal="center" vertical="center"/>
    </xf>
    <xf numFmtId="0" fontId="4" fillId="6" borderId="0" xfId="0" applyFont="1" applyFill="1" applyAlignment="1">
      <alignment horizontal="center" vertical="center" wrapText="1"/>
    </xf>
    <xf numFmtId="0" fontId="4" fillId="5" borderId="0" xfId="0" applyFont="1" applyFill="1" applyAlignment="1">
      <alignment horizontal="center" wrapText="1"/>
    </xf>
  </cellXfs>
  <cellStyles count="1">
    <cellStyle name="Normal" xfId="0" builtinId="0"/>
  </cellStyles>
  <dxfs count="110">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numFmt numFmtId="22" formatCode="mmm\-yy"/>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Calibri"/>
        <family val="2"/>
        <scheme val="minor"/>
      </font>
      <numFmt numFmtId="22" formatCode="mmm\-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right style="thin">
          <color indexed="64"/>
        </right>
        <top style="thin">
          <color indexed="64"/>
        </top>
      </border>
    </dxf>
    <dxf>
      <font>
        <b/>
        <i val="0"/>
        <strike val="0"/>
        <condense val="0"/>
        <extend val="0"/>
        <outline val="0"/>
        <shadow val="0"/>
        <u val="none"/>
        <vertAlign val="baseline"/>
        <sz val="11"/>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i val="0"/>
        <strike val="0"/>
        <condense val="0"/>
        <extend val="0"/>
        <outline val="0"/>
        <shadow val="0"/>
        <u val="none"/>
        <vertAlign val="baseline"/>
        <sz val="10"/>
        <color theme="1"/>
        <name val="Calibri"/>
        <family val="2"/>
        <scheme val="minor"/>
      </font>
      <fill>
        <patternFill patternType="solid">
          <fgColor indexed="64"/>
          <bgColor rgb="FFFFC000"/>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ont>
        <b/>
        <color theme="1"/>
      </font>
      <border diagonalUp="0" diagonalDown="0">
        <left/>
        <right/>
        <top/>
        <bottom/>
        <vertical/>
        <horizontal/>
      </border>
    </dxf>
    <dxf>
      <font>
        <color theme="1"/>
      </font>
      <border diagonalUp="0" diagonalDown="0">
        <left/>
        <right/>
        <top/>
        <bottom/>
        <vertical/>
        <horizontal/>
      </border>
    </dxf>
    <dxf>
      <font>
        <b val="0"/>
        <i val="0"/>
        <sz val="14"/>
        <name val="Arial"/>
        <family val="2"/>
        <scheme val="none"/>
      </font>
    </dxf>
  </dxfs>
  <tableStyles count="3" defaultTableStyle="TableStyleMedium2" defaultPivotStyle="PivotStyleLight16">
    <tableStyle name="Slicer Style 1" pivot="0" table="0" count="3" xr9:uid="{996497C5-5898-48E7-BFC4-57FD519B04B6}"/>
    <tableStyle name="Slicer Style 2" pivot="0" table="0" count="4" xr9:uid="{51F84DB6-F0B1-4A93-9C47-81DF7D973B40}">
      <tableStyleElement type="headerRow" dxfId="109"/>
    </tableStyle>
    <tableStyle name="year" pivot="0" table="0" count="10" xr9:uid="{3655734C-E505-4174-B19D-7BC73ADB0A2F}">
      <tableStyleElement type="wholeTable" dxfId="108"/>
      <tableStyleElement type="headerRow" dxfId="107"/>
    </tableStyle>
  </tableStyles>
  <colors>
    <mruColors>
      <color rgb="FF002F6C"/>
      <color rgb="FF4A90E2"/>
      <color rgb="FFF1C40F"/>
      <color rgb="FF9B59B6"/>
      <color rgb="FF2ECC71"/>
      <color rgb="FF003366"/>
      <color rgb="FF6A5ACD"/>
      <color rgb="FFFF8C00"/>
      <color rgb="FF008080"/>
      <color rgb="FF4D4D4D"/>
    </mruColors>
  </colors>
  <extLst>
    <ext xmlns:x14="http://schemas.microsoft.com/office/spreadsheetml/2009/9/main" uri="{46F421CA-312F-682f-3DD2-61675219B42D}">
      <x14:dxfs count="1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ill>
            <patternFill>
              <bgColor theme="4"/>
            </patternFill>
          </fill>
        </dxf>
        <dxf>
          <fill>
            <patternFill>
              <bgColor theme="7"/>
            </patternFill>
          </fill>
        </dxf>
        <dxf>
          <fill>
            <patternFill>
              <bgColor theme="5"/>
            </patternFill>
          </fill>
        </dxf>
        <dxf>
          <font>
            <sz val="18"/>
            <name val="Abadi"/>
            <family val="2"/>
            <scheme val="none"/>
          </font>
        </dxf>
        <dxf>
          <font>
            <sz val="16"/>
            <name val="Abadi"/>
            <family val="2"/>
            <scheme val="none"/>
          </font>
          <fill>
            <gradientFill degree="90">
              <stop position="0">
                <color theme="4" tint="0.40000610370189521"/>
              </stop>
              <stop position="1">
                <color theme="7" tint="0.40000610370189521"/>
              </stop>
            </gradientFill>
          </fill>
        </dxf>
        <dxf>
          <fill>
            <patternFill>
              <bgColor rgb="FFFFFF00"/>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3"/>
            <x14:slicerStyleElement type="selectedItemWithData" dxfId="12"/>
            <x14:slicerStyleElement type="selectedItemWithNoData" dxfId="11"/>
          </x14:slicerStyleElements>
        </x14:slicerStyle>
        <x14:slicerStyle name="Slicer Style 2">
          <x14:slicerStyleElements>
            <x14:slicerStyleElement type="unselectedItemWithData" dxfId="10"/>
            <x14:slicerStyleElement type="selectedItemWithData" dxfId="9"/>
            <x14:slicerStyleElement type="selectedItemWithNoData" dxfId="8"/>
          </x14:slicerStyleElements>
        </x14:slicerStyle>
        <x14:slicerStyle name="yea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eetMetadata" Target="metadata.xml"/><Relationship Id="rId18" Type="http://schemas.openxmlformats.org/officeDocument/2006/relationships/calcChain" Target="calcChain.xml"/><Relationship Id="rId26" Type="http://schemas.openxmlformats.org/officeDocument/2006/relationships/customXml" Target="../customXml/item8.xml"/><Relationship Id="rId3" Type="http://schemas.openxmlformats.org/officeDocument/2006/relationships/worksheet" Target="worksheets/sheet3.xml"/><Relationship Id="rId21" Type="http://schemas.openxmlformats.org/officeDocument/2006/relationships/customXml" Target="../customXml/item3.xml"/><Relationship Id="rId34" Type="http://schemas.openxmlformats.org/officeDocument/2006/relationships/customXml" Target="../customXml/item16.xml"/><Relationship Id="rId7" Type="http://schemas.microsoft.com/office/2007/relationships/slicerCache" Target="slicerCaches/slicerCache1.xml"/><Relationship Id="rId12" Type="http://schemas.openxmlformats.org/officeDocument/2006/relationships/sharedStrings" Target="sharedStrings.xml"/><Relationship Id="rId17" Type="http://schemas.openxmlformats.org/officeDocument/2006/relationships/powerPivotData" Target="model/item.data"/><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microsoft.com/office/2017/06/relationships/rdRichValueTypes" Target="richData/rdRichValueType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24" Type="http://schemas.openxmlformats.org/officeDocument/2006/relationships/customXml" Target="../customXml/item6.xml"/><Relationship Id="rId32" Type="http://schemas.openxmlformats.org/officeDocument/2006/relationships/customXml" Target="../customXml/item14.xml"/><Relationship Id="rId5" Type="http://schemas.openxmlformats.org/officeDocument/2006/relationships/worksheet" Target="worksheets/sheet5.xml"/><Relationship Id="rId15" Type="http://schemas.microsoft.com/office/2017/06/relationships/rdRichValueStructure" Target="richData/rdrichvaluestructure.xml"/><Relationship Id="rId23" Type="http://schemas.openxmlformats.org/officeDocument/2006/relationships/customXml" Target="../customXml/item5.xml"/><Relationship Id="rId28" Type="http://schemas.openxmlformats.org/officeDocument/2006/relationships/customXml" Target="../customXml/item10.xml"/><Relationship Id="rId10" Type="http://schemas.openxmlformats.org/officeDocument/2006/relationships/connections" Target="connections.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35" Type="http://schemas.openxmlformats.org/officeDocument/2006/relationships/customXml" Target="../customXml/item17.xml"/><Relationship Id="rId8"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8.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002060"/>
                </a:solidFill>
                <a:latin typeface="Arial" panose="020B0604020202020204" pitchFamily="34" charset="0"/>
                <a:ea typeface="+mn-ea"/>
                <a:cs typeface="Arial" panose="020B0604020202020204" pitchFamily="34" charset="0"/>
              </a:defRPr>
            </a:pPr>
            <a:r>
              <a:rPr lang="en-US" sz="1400">
                <a:solidFill>
                  <a:srgbClr val="002060"/>
                </a:solidFill>
                <a:latin typeface="Arial" panose="020B0604020202020204" pitchFamily="34" charset="0"/>
                <a:cs typeface="Arial" panose="020B0604020202020204" pitchFamily="34" charset="0"/>
              </a:rPr>
              <a:t>Total Riser Construction Record</a:t>
            </a:r>
          </a:p>
        </c:rich>
      </c:tx>
      <c:layout>
        <c:manualLayout>
          <c:xMode val="edge"/>
          <c:yMode val="edge"/>
          <c:x val="6.3440860215053768E-2"/>
          <c:y val="2.892263195950831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23927581632941039"/>
          <c:y val="0.18343287349385018"/>
          <c:w val="0.51786442017328482"/>
          <c:h val="0.69647709437621819"/>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EC4-430E-9925-7BA1599F91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EC4-430E-9925-7BA1599F910D}"/>
              </c:ext>
            </c:extLst>
          </c:dPt>
          <c:dLbls>
            <c:dLbl>
              <c:idx val="0"/>
              <c:layout>
                <c:manualLayout>
                  <c:x val="0.36479440069991254"/>
                  <c:y val="5.613685491048976E-2"/>
                </c:manualLayout>
              </c:layout>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8EC4-430E-9925-7BA1599F910D}"/>
                </c:ext>
              </c:extLst>
            </c:dLbl>
            <c:dLbl>
              <c:idx val="1"/>
              <c:layout>
                <c:manualLayout>
                  <c:x val="-0.34854824598538087"/>
                  <c:y val="-0.25159387614509149"/>
                </c:manualLayout>
              </c:layout>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8EC4-430E-9925-7BA1599F910D}"/>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bestFit"/>
            <c:showLegendKey val="0"/>
            <c:showVal val="1"/>
            <c:showCatName val="0"/>
            <c:showSerName val="0"/>
            <c:showPercent val="1"/>
            <c:showBubbleSize val="0"/>
            <c:separator>
</c:separator>
            <c:showLeaderLines val="1"/>
            <c:leaderLines>
              <c:spPr>
                <a:ln w="12700" cap="flat" cmpd="sng" algn="ctr">
                  <a:solidFill>
                    <a:schemeClr val="accent5"/>
                  </a:solidFill>
                  <a:prstDash val="solid"/>
                  <a:miter lim="800000"/>
                </a:ln>
                <a:effectLst/>
              </c:spPr>
            </c:leaderLines>
            <c:extLst>
              <c:ext xmlns:c15="http://schemas.microsoft.com/office/drawing/2012/chart" uri="{CE6537A1-D6FC-4f65-9D91-7224C49458BB}"/>
            </c:extLst>
          </c:dLbls>
          <c:cat>
            <c:strRef>
              <c:f>ANALYSIS!$BH$3:$BH$4</c:f>
              <c:strCache>
                <c:ptCount val="2"/>
                <c:pt idx="0">
                  <c:v>Total Riser Modification Complete</c:v>
                </c:pt>
                <c:pt idx="1">
                  <c:v>Left Riser Reserve</c:v>
                </c:pt>
              </c:strCache>
            </c:strRef>
          </c:cat>
          <c:val>
            <c:numRef>
              <c:f>ANALYSIS!$BI$3:$BI$4</c:f>
              <c:numCache>
                <c:formatCode>General</c:formatCode>
                <c:ptCount val="2"/>
                <c:pt idx="0">
                  <c:v>14</c:v>
                </c:pt>
                <c:pt idx="1">
                  <c:v>986</c:v>
                </c:pt>
              </c:numCache>
            </c:numRef>
          </c:val>
          <c:extLst>
            <c:ext xmlns:c16="http://schemas.microsoft.com/office/drawing/2014/chart" uri="{C3380CC4-5D6E-409C-BE32-E72D297353CC}">
              <c16:uniqueId val="{00000004-8EC4-430E-9925-7BA1599F910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2-8063-4F65-B171-55D16DFEF62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063-4F65-B171-55D16DFEF628}"/>
              </c:ext>
            </c:extLst>
          </c:dPt>
          <c:dLbls>
            <c:dLbl>
              <c:idx val="0"/>
              <c:layout>
                <c:manualLayout>
                  <c:x val="4.1666666666666664E-2"/>
                  <c:y val="-8.4875562720133283E-17"/>
                </c:manualLayout>
              </c:layout>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2-8063-4F65-B171-55D16DFEF628}"/>
                </c:ext>
              </c:extLst>
            </c:dLbl>
            <c:dLbl>
              <c:idx val="1"/>
              <c:layout>
                <c:manualLayout>
                  <c:x val="-0.15833333333333333"/>
                  <c:y val="-4.6296296296296294E-3"/>
                </c:manualLayout>
              </c:layout>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8063-4F65-B171-55D16DFEF62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ANALYSIS!$DK$2:$DK$3</c:f>
              <c:strCache>
                <c:ptCount val="2"/>
                <c:pt idx="0">
                  <c:v>Total surveys conducted</c:v>
                </c:pt>
                <c:pt idx="1">
                  <c:v>Meters with completed wiring</c:v>
                </c:pt>
              </c:strCache>
            </c:strRef>
          </c:cat>
          <c:val>
            <c:numRef>
              <c:f>ANALYSIS!$DL$2:$DL$3</c:f>
              <c:numCache>
                <c:formatCode>General</c:formatCode>
                <c:ptCount val="2"/>
                <c:pt idx="0">
                  <c:v>137889</c:v>
                </c:pt>
                <c:pt idx="1">
                  <c:v>48934</c:v>
                </c:pt>
              </c:numCache>
            </c:numRef>
          </c:val>
          <c:extLst>
            <c:ext xmlns:c16="http://schemas.microsoft.com/office/drawing/2014/chart" uri="{C3380CC4-5D6E-409C-BE32-E72D297353CC}">
              <c16:uniqueId val="{00000000-8063-4F65-B171-55D16DFEF628}"/>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1"/>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1111111111111109E-2"/>
          <c:y val="7.407407407407407E-2"/>
          <c:w val="0.93888888888888888"/>
          <c:h val="0.8416746864975212"/>
        </c:manualLayout>
      </c:layout>
      <c:barChart>
        <c:barDir val="col"/>
        <c:grouping val="stack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1"/>
            <c:invertIfNegative val="0"/>
            <c:bubble3D val="0"/>
            <c:spPr>
              <a:solidFill>
                <a:srgbClr val="00206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387A-4893-A97D-4B62A4AF846A}"/>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ANALYSIS!$CA$2:$CA$5</c:f>
              <c:strCache>
                <c:ptCount val="4"/>
                <c:pt idx="0">
                  <c:v>With Shed</c:v>
                </c:pt>
                <c:pt idx="1">
                  <c:v>With Out Shed</c:v>
                </c:pt>
                <c:pt idx="2">
                  <c:v>Total House</c:v>
                </c:pt>
                <c:pt idx="3">
                  <c:v>Total Meter</c:v>
                </c:pt>
              </c:strCache>
            </c:strRef>
          </c:cat>
          <c:val>
            <c:numRef>
              <c:f>ANALYSIS!$CB$2:$CB$5</c:f>
              <c:numCache>
                <c:formatCode>General</c:formatCode>
                <c:ptCount val="4"/>
                <c:pt idx="0">
                  <c:v>5362</c:v>
                </c:pt>
                <c:pt idx="1">
                  <c:v>9058</c:v>
                </c:pt>
                <c:pt idx="2">
                  <c:v>1569</c:v>
                </c:pt>
                <c:pt idx="3">
                  <c:v>14420</c:v>
                </c:pt>
              </c:numCache>
            </c:numRef>
          </c:val>
          <c:extLst>
            <c:ext xmlns:c16="http://schemas.microsoft.com/office/drawing/2014/chart" uri="{C3380CC4-5D6E-409C-BE32-E72D297353CC}">
              <c16:uniqueId val="{00000000-387A-4893-A97D-4B62A4AF846A}"/>
            </c:ext>
          </c:extLst>
        </c:ser>
        <c:dLbls>
          <c:dLblPos val="ctr"/>
          <c:showLegendKey val="0"/>
          <c:showVal val="1"/>
          <c:showCatName val="0"/>
          <c:showSerName val="0"/>
          <c:showPercent val="0"/>
          <c:showBubbleSize val="0"/>
        </c:dLbls>
        <c:gapWidth val="150"/>
        <c:overlap val="100"/>
        <c:axId val="272617871"/>
        <c:axId val="272618287"/>
      </c:barChart>
      <c:catAx>
        <c:axId val="272617871"/>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618287"/>
        <c:crosses val="autoZero"/>
        <c:auto val="1"/>
        <c:lblAlgn val="ctr"/>
        <c:lblOffset val="100"/>
        <c:noMultiLvlLbl val="0"/>
      </c:catAx>
      <c:valAx>
        <c:axId val="272618287"/>
        <c:scaling>
          <c:orientation val="minMax"/>
        </c:scaling>
        <c:delete val="1"/>
        <c:axPos val="l"/>
        <c:majorGridlines>
          <c:spPr>
            <a:ln w="3175" cap="flat" cmpd="sng" algn="ctr">
              <a:solidFill>
                <a:schemeClr val="accent6"/>
              </a:solidFill>
              <a:prstDash val="solid"/>
              <a:miter lim="800000"/>
            </a:ln>
            <a:effectLst/>
          </c:spPr>
        </c:majorGridlines>
        <c:numFmt formatCode="General" sourceLinked="1"/>
        <c:majorTickMark val="none"/>
        <c:minorTickMark val="none"/>
        <c:tickLblPos val="nextTo"/>
        <c:crossAx val="272617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ANALYSIS!$CA$2</c:f>
              <c:strCache>
                <c:ptCount val="1"/>
                <c:pt idx="0">
                  <c:v>With Shed</c:v>
                </c:pt>
              </c:strCache>
            </c:strRef>
          </c:tx>
          <c:spPr>
            <a:solidFill>
              <a:schemeClr val="accent1"/>
            </a:solidFill>
            <a:ln>
              <a:noFill/>
            </a:ln>
            <a:effectLst/>
          </c:spPr>
          <c:invertIfNegative val="0"/>
          <c:dLbls>
            <c:dLbl>
              <c:idx val="0"/>
              <c:layout>
                <c:manualLayout>
                  <c:x val="0"/>
                  <c:y val="-3.240740740740748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4211-4122-86A8-80205653BB4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accent2"/>
                      </a:solidFill>
                      <a:prstDash val="solid"/>
                      <a:miter lim="800000"/>
                    </a:ln>
                    <a:effectLst/>
                  </c:spPr>
                </c15:leaderLines>
              </c:ext>
            </c:extLst>
          </c:dLbls>
          <c:val>
            <c:numRef>
              <c:f>ANALYSIS!$CB$2</c:f>
              <c:numCache>
                <c:formatCode>General</c:formatCode>
                <c:ptCount val="1"/>
                <c:pt idx="0">
                  <c:v>5362</c:v>
                </c:pt>
              </c:numCache>
            </c:numRef>
          </c:val>
          <c:extLst>
            <c:ext xmlns:c16="http://schemas.microsoft.com/office/drawing/2014/chart" uri="{C3380CC4-5D6E-409C-BE32-E72D297353CC}">
              <c16:uniqueId val="{00000000-4211-4122-86A8-80205653BB41}"/>
            </c:ext>
          </c:extLst>
        </c:ser>
        <c:ser>
          <c:idx val="1"/>
          <c:order val="1"/>
          <c:tx>
            <c:strRef>
              <c:f>ANALYSIS!$CA$3</c:f>
              <c:strCache>
                <c:ptCount val="1"/>
                <c:pt idx="0">
                  <c:v>With Out Shed</c:v>
                </c:pt>
              </c:strCache>
            </c:strRef>
          </c:tx>
          <c:spPr>
            <a:solidFill>
              <a:schemeClr val="accent2"/>
            </a:solidFill>
            <a:ln>
              <a:noFill/>
            </a:ln>
            <a:effectLst/>
          </c:spPr>
          <c:invertIfNegative val="0"/>
          <c:dLbls>
            <c:dLbl>
              <c:idx val="0"/>
              <c:layout>
                <c:manualLayout>
                  <c:x val="0"/>
                  <c:y val="-2.777777777777782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211-4122-86A8-80205653BB4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accent2"/>
                      </a:solidFill>
                      <a:prstDash val="solid"/>
                      <a:miter lim="800000"/>
                    </a:ln>
                    <a:effectLst/>
                  </c:spPr>
                </c15:leaderLines>
              </c:ext>
            </c:extLst>
          </c:dLbls>
          <c:val>
            <c:numRef>
              <c:f>ANALYSIS!$CB$3</c:f>
              <c:numCache>
                <c:formatCode>General</c:formatCode>
                <c:ptCount val="1"/>
                <c:pt idx="0">
                  <c:v>9058</c:v>
                </c:pt>
              </c:numCache>
            </c:numRef>
          </c:val>
          <c:extLst>
            <c:ext xmlns:c16="http://schemas.microsoft.com/office/drawing/2014/chart" uri="{C3380CC4-5D6E-409C-BE32-E72D297353CC}">
              <c16:uniqueId val="{00000001-4211-4122-86A8-80205653BB41}"/>
            </c:ext>
          </c:extLst>
        </c:ser>
        <c:ser>
          <c:idx val="2"/>
          <c:order val="2"/>
          <c:tx>
            <c:strRef>
              <c:f>ANALYSIS!$CA$4</c:f>
              <c:strCache>
                <c:ptCount val="1"/>
                <c:pt idx="0">
                  <c:v>Total House</c:v>
                </c:pt>
              </c:strCache>
            </c:strRef>
          </c:tx>
          <c:spPr>
            <a:solidFill>
              <a:schemeClr val="accent3"/>
            </a:solidFill>
            <a:ln>
              <a:noFill/>
            </a:ln>
            <a:effectLst/>
          </c:spPr>
          <c:invertIfNegative val="0"/>
          <c:dLbls>
            <c:dLbl>
              <c:idx val="0"/>
              <c:layout>
                <c:manualLayout>
                  <c:x val="0"/>
                  <c:y val="-3.703703703703703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211-4122-86A8-80205653BB4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accent2"/>
                      </a:solidFill>
                      <a:prstDash val="solid"/>
                      <a:miter lim="800000"/>
                    </a:ln>
                    <a:effectLst/>
                  </c:spPr>
                </c15:leaderLines>
              </c:ext>
            </c:extLst>
          </c:dLbls>
          <c:val>
            <c:numRef>
              <c:f>ANALYSIS!$CB$4</c:f>
              <c:numCache>
                <c:formatCode>General</c:formatCode>
                <c:ptCount val="1"/>
                <c:pt idx="0">
                  <c:v>1569</c:v>
                </c:pt>
              </c:numCache>
            </c:numRef>
          </c:val>
          <c:extLst>
            <c:ext xmlns:c16="http://schemas.microsoft.com/office/drawing/2014/chart" uri="{C3380CC4-5D6E-409C-BE32-E72D297353CC}">
              <c16:uniqueId val="{00000002-4211-4122-86A8-80205653BB41}"/>
            </c:ext>
          </c:extLst>
        </c:ser>
        <c:ser>
          <c:idx val="3"/>
          <c:order val="3"/>
          <c:tx>
            <c:strRef>
              <c:f>ANALYSIS!$CA$5</c:f>
              <c:strCache>
                <c:ptCount val="1"/>
                <c:pt idx="0">
                  <c:v>Total Meter</c:v>
                </c:pt>
              </c:strCache>
            </c:strRef>
          </c:tx>
          <c:spPr>
            <a:solidFill>
              <a:schemeClr val="accent4"/>
            </a:solidFill>
            <a:ln>
              <a:noFill/>
            </a:ln>
            <a:effectLst/>
          </c:spPr>
          <c:invertIfNegative val="0"/>
          <c:dLbls>
            <c:dLbl>
              <c:idx val="0"/>
              <c:layout>
                <c:manualLayout>
                  <c:x val="1.0185067526415994E-16"/>
                  <c:y val="-3.703703703703703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211-4122-86A8-80205653BB4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accent2"/>
                      </a:solidFill>
                      <a:prstDash val="solid"/>
                      <a:miter lim="800000"/>
                    </a:ln>
                    <a:effectLst/>
                  </c:spPr>
                </c15:leaderLines>
              </c:ext>
            </c:extLst>
          </c:dLbls>
          <c:val>
            <c:numRef>
              <c:f>ANALYSIS!$CB$5</c:f>
              <c:numCache>
                <c:formatCode>General</c:formatCode>
                <c:ptCount val="1"/>
                <c:pt idx="0">
                  <c:v>14420</c:v>
                </c:pt>
              </c:numCache>
            </c:numRef>
          </c:val>
          <c:extLst>
            <c:ext xmlns:c16="http://schemas.microsoft.com/office/drawing/2014/chart" uri="{C3380CC4-5D6E-409C-BE32-E72D297353CC}">
              <c16:uniqueId val="{00000003-4211-4122-86A8-80205653BB41}"/>
            </c:ext>
          </c:extLst>
        </c:ser>
        <c:dLbls>
          <c:dLblPos val="outEnd"/>
          <c:showLegendKey val="0"/>
          <c:showVal val="1"/>
          <c:showCatName val="0"/>
          <c:showSerName val="0"/>
          <c:showPercent val="0"/>
          <c:showBubbleSize val="0"/>
        </c:dLbls>
        <c:gapWidth val="219"/>
        <c:overlap val="-27"/>
        <c:axId val="237983279"/>
        <c:axId val="237974959"/>
      </c:barChart>
      <c:catAx>
        <c:axId val="237983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974959"/>
        <c:crosses val="autoZero"/>
        <c:auto val="1"/>
        <c:lblAlgn val="ctr"/>
        <c:lblOffset val="100"/>
        <c:noMultiLvlLbl val="0"/>
      </c:catAx>
      <c:valAx>
        <c:axId val="237974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9832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y"/>
            <c:errBarType val="both"/>
            <c:errValType val="stdErr"/>
            <c:noEndCap val="0"/>
            <c:spPr>
              <a:noFill/>
              <a:ln w="9525" cap="flat" cmpd="sng" algn="ctr">
                <a:solidFill>
                  <a:schemeClr val="tx1">
                    <a:lumMod val="65000"/>
                    <a:lumOff val="35000"/>
                  </a:schemeClr>
                </a:solidFill>
                <a:round/>
              </a:ln>
              <a:effectLst/>
            </c:spPr>
          </c:errBars>
          <c:cat>
            <c:strRef>
              <c:f>ANALYSIS!$EB$2:$EB$5</c:f>
              <c:strCache>
                <c:ptCount val="4"/>
                <c:pt idx="0">
                  <c:v>Number of working days</c:v>
                </c:pt>
                <c:pt idx="1">
                  <c:v>Cumulative Installed (Based on Daily Average)</c:v>
                </c:pt>
                <c:pt idx="2">
                  <c:v>Running Installed</c:v>
                </c:pt>
                <c:pt idx="3">
                  <c:v>Target Line (Ideal Cumulative)</c:v>
                </c:pt>
              </c:strCache>
            </c:strRef>
          </c:cat>
          <c:val>
            <c:numRef>
              <c:f>ANALYSIS!$EC$2:$EC$5</c:f>
              <c:numCache>
                <c:formatCode>General</c:formatCode>
                <c:ptCount val="4"/>
                <c:pt idx="0">
                  <c:v>236</c:v>
                </c:pt>
                <c:pt idx="1">
                  <c:v>56904.319999999992</c:v>
                </c:pt>
                <c:pt idx="2">
                  <c:v>56905</c:v>
                </c:pt>
                <c:pt idx="3">
                  <c:v>62269.12999999999</c:v>
                </c:pt>
              </c:numCache>
            </c:numRef>
          </c:val>
          <c:smooth val="0"/>
          <c:extLst>
            <c:ext xmlns:c16="http://schemas.microsoft.com/office/drawing/2014/chart" uri="{C3380CC4-5D6E-409C-BE32-E72D297353CC}">
              <c16:uniqueId val="{00000000-6BC1-4593-B71A-7C82599688C7}"/>
            </c:ext>
          </c:extLst>
        </c:ser>
        <c:dLbls>
          <c:dLblPos val="t"/>
          <c:showLegendKey val="0"/>
          <c:showVal val="1"/>
          <c:showCatName val="0"/>
          <c:showSerName val="0"/>
          <c:showPercent val="0"/>
          <c:showBubbleSize val="0"/>
        </c:dLbls>
        <c:marker val="1"/>
        <c:smooth val="0"/>
        <c:axId val="216903440"/>
        <c:axId val="216904272"/>
      </c:lineChart>
      <c:catAx>
        <c:axId val="216903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904272"/>
        <c:crosses val="autoZero"/>
        <c:auto val="1"/>
        <c:lblAlgn val="ctr"/>
        <c:lblOffset val="100"/>
        <c:noMultiLvlLbl val="0"/>
      </c:catAx>
      <c:valAx>
        <c:axId val="216904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903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002060"/>
                </a:solidFill>
                <a:latin typeface="Segoe UI" panose="020B0502040204020203" pitchFamily="34" charset="0"/>
                <a:ea typeface="+mn-ea"/>
                <a:cs typeface="Segoe UI" panose="020B0502040204020203" pitchFamily="34" charset="0"/>
              </a:defRPr>
            </a:pPr>
            <a:r>
              <a:rPr lang="en-US" b="1">
                <a:solidFill>
                  <a:srgbClr val="002060"/>
                </a:solidFill>
                <a:latin typeface="Segoe UI" panose="020B0502040204020203" pitchFamily="34" charset="0"/>
                <a:cs typeface="Segoe UI" panose="020B0502040204020203" pitchFamily="34" charset="0"/>
              </a:rPr>
              <a:t>100K Meter Project</a:t>
            </a:r>
          </a:p>
        </c:rich>
      </c:tx>
      <c:layout>
        <c:manualLayout>
          <c:xMode val="edge"/>
          <c:yMode val="edge"/>
          <c:x val="8.385721896643579E-2"/>
          <c:y val="2.8880855479744363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0.19875436454833129"/>
          <c:y val="0.2139286832376576"/>
          <c:w val="0.53614873793413009"/>
          <c:h val="0.72660707558218418"/>
        </c:manualLayout>
      </c:layout>
      <c:doughnutChart>
        <c:varyColors val="1"/>
        <c:ser>
          <c:idx val="0"/>
          <c:order val="0"/>
          <c:dPt>
            <c:idx val="0"/>
            <c:bubble3D val="0"/>
            <c:spPr>
              <a:solidFill>
                <a:srgbClr val="DC143C"/>
              </a:solidFill>
              <a:ln w="19050">
                <a:solidFill>
                  <a:schemeClr val="lt1"/>
                </a:solidFill>
              </a:ln>
              <a:effectLst/>
            </c:spPr>
            <c:extLst>
              <c:ext xmlns:c16="http://schemas.microsoft.com/office/drawing/2014/chart" uri="{C3380CC4-5D6E-409C-BE32-E72D297353CC}">
                <c16:uniqueId val="{00000001-95FE-4399-A996-C0E3DC4076A8}"/>
              </c:ext>
            </c:extLst>
          </c:dPt>
          <c:dPt>
            <c:idx val="1"/>
            <c:bubble3D val="0"/>
            <c:spPr>
              <a:solidFill>
                <a:srgbClr val="DCDCDC"/>
              </a:solidFill>
              <a:ln w="19050">
                <a:solidFill>
                  <a:schemeClr val="lt1"/>
                </a:solidFill>
              </a:ln>
              <a:effectLst/>
            </c:spPr>
            <c:extLst>
              <c:ext xmlns:c16="http://schemas.microsoft.com/office/drawing/2014/chart" uri="{C3380CC4-5D6E-409C-BE32-E72D297353CC}">
                <c16:uniqueId val="{00000003-95FE-4399-A996-C0E3DC4076A8}"/>
              </c:ext>
            </c:extLst>
          </c:dPt>
          <c:dLbls>
            <c:dLbl>
              <c:idx val="0"/>
              <c:layout>
                <c:manualLayout>
                  <c:x val="0.2264416247674208"/>
                  <c:y val="-6.5471126923064126E-3"/>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95FE-4399-A996-C0E3DC4076A8}"/>
                </c:ext>
              </c:extLst>
            </c:dLbl>
            <c:dLbl>
              <c:idx val="1"/>
              <c:layout>
                <c:manualLayout>
                  <c:x val="-0.20707416900537939"/>
                  <c:y val="-7.1428192414719982E-2"/>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95FE-4399-A996-C0E3DC4076A8}"/>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1"/>
            <c:showBubbleSize val="0"/>
            <c:separator>
</c:separator>
            <c:showLeaderLines val="1"/>
            <c:leaderLines>
              <c:spPr>
                <a:ln w="12700" cap="flat" cmpd="sng" algn="ctr">
                  <a:solidFill>
                    <a:schemeClr val="accent2"/>
                  </a:solidFill>
                  <a:prstDash val="solid"/>
                  <a:miter lim="800000"/>
                </a:ln>
                <a:effectLst/>
              </c:spPr>
            </c:leaderLines>
            <c:extLst>
              <c:ext xmlns:c15="http://schemas.microsoft.com/office/drawing/2012/chart" uri="{CE6537A1-D6FC-4f65-9D91-7224C49458BB}"/>
            </c:extLst>
          </c:dLbls>
          <c:cat>
            <c:strRef>
              <c:f>ANALYSIS!$B$5:$B$6</c:f>
              <c:strCache>
                <c:ptCount val="2"/>
                <c:pt idx="0">
                  <c:v>Total meters installed</c:v>
                </c:pt>
                <c:pt idx="1">
                  <c:v>Remaining meters for installation</c:v>
                </c:pt>
              </c:strCache>
            </c:strRef>
          </c:cat>
          <c:val>
            <c:numRef>
              <c:f>ANALYSIS!$C$5:$C$6</c:f>
              <c:numCache>
                <c:formatCode>General</c:formatCode>
                <c:ptCount val="2"/>
                <c:pt idx="0">
                  <c:v>56905</c:v>
                </c:pt>
                <c:pt idx="1">
                  <c:v>43095</c:v>
                </c:pt>
              </c:numCache>
            </c:numRef>
          </c:val>
          <c:extLst>
            <c:ext xmlns:c16="http://schemas.microsoft.com/office/drawing/2014/chart" uri="{C3380CC4-5D6E-409C-BE32-E72D297353CC}">
              <c16:uniqueId val="{00000004-95FE-4399-A996-C0E3DC4076A8}"/>
            </c:ext>
          </c:extLst>
        </c:ser>
        <c:dLbls>
          <c:showLegendKey val="0"/>
          <c:showVal val="1"/>
          <c:showCatName val="0"/>
          <c:showSerName val="0"/>
          <c:showPercent val="0"/>
          <c:showBubbleSize val="0"/>
          <c:showLeaderLines val="1"/>
        </c:dLbls>
        <c:firstSliceAng val="0"/>
        <c:holeSize val="65"/>
      </c:doughnutChart>
      <c:spPr>
        <a:noFill/>
        <a:ln>
          <a:noFill/>
        </a:ln>
        <a:effectLst/>
      </c:spPr>
    </c:plotArea>
    <c:legend>
      <c:legendPos val="r"/>
      <c:layout>
        <c:manualLayout>
          <c:xMode val="edge"/>
          <c:yMode val="edge"/>
          <c:x val="0.55107246383345765"/>
          <c:y val="1.4470691826498643E-2"/>
          <c:w val="0.42758268695368862"/>
          <c:h val="0.19133680459486072"/>
        </c:manualLayout>
      </c:layout>
      <c:overlay val="0"/>
      <c:spPr>
        <a:noFill/>
        <a:ln>
          <a:noFill/>
        </a:ln>
        <a:effectLst/>
      </c:spPr>
      <c:txPr>
        <a:bodyPr rot="0" spcFirstLastPara="1" vertOverflow="ellipsis" vert="horz" wrap="square" anchor="ctr" anchorCtr="1"/>
        <a:lstStyle/>
        <a:p>
          <a:pPr>
            <a:defRPr sz="1000" b="0" i="0" u="none" strike="noStrike" kern="1200" baseline="0">
              <a:ln>
                <a:noFill/>
              </a:ln>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orientation="portrait"/>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100K Meter Project</a:t>
            </a:r>
          </a:p>
        </c:rich>
      </c:tx>
      <c:layout>
        <c:manualLayout>
          <c:xMode val="edge"/>
          <c:yMode val="edge"/>
          <c:x val="8.385721896643579E-2"/>
          <c:y val="2.888085547974436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875436454833129"/>
          <c:y val="0.2139286832376576"/>
          <c:w val="0.53614873793413009"/>
          <c:h val="0.72660707558218418"/>
        </c:manualLayout>
      </c:layout>
      <c:doughnutChart>
        <c:varyColors val="1"/>
        <c:dLbls>
          <c:showLegendKey val="0"/>
          <c:showVal val="1"/>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66117736881185007"/>
          <c:y val="3.3910369288356008E-2"/>
          <c:w val="0.31747790982706808"/>
          <c:h val="0.1913368045948607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002060"/>
                </a:solidFill>
                <a:latin typeface="Segoe UI" panose="020B0502040204020203" pitchFamily="34" charset="0"/>
                <a:ea typeface="+mn-ea"/>
                <a:cs typeface="Segoe UI" panose="020B0502040204020203" pitchFamily="34" charset="0"/>
              </a:defRPr>
            </a:pPr>
            <a:r>
              <a:rPr lang="en-US" b="1">
                <a:solidFill>
                  <a:srgbClr val="002060"/>
                </a:solidFill>
                <a:latin typeface="Segoe UI" panose="020B0502040204020203" pitchFamily="34" charset="0"/>
                <a:cs typeface="Segoe UI" panose="020B0502040204020203" pitchFamily="34" charset="0"/>
              </a:rPr>
              <a:t>Type</a:t>
            </a:r>
            <a:r>
              <a:rPr lang="en-US" b="1" baseline="0">
                <a:solidFill>
                  <a:srgbClr val="002060"/>
                </a:solidFill>
                <a:latin typeface="Segoe UI" panose="020B0502040204020203" pitchFamily="34" charset="0"/>
                <a:cs typeface="Segoe UI" panose="020B0502040204020203" pitchFamily="34" charset="0"/>
              </a:rPr>
              <a:t> Wise Meter Installed </a:t>
            </a:r>
            <a:endParaRPr lang="en-US" b="1">
              <a:solidFill>
                <a:srgbClr val="002060"/>
              </a:solidFill>
              <a:latin typeface="Segoe UI" panose="020B0502040204020203" pitchFamily="34" charset="0"/>
              <a:cs typeface="Segoe UI" panose="020B0502040204020203"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Segoe UI" panose="020B0502040204020203" pitchFamily="34" charset="0"/>
              <a:ea typeface="+mn-ea"/>
              <a:cs typeface="Segoe UI" panose="020B0502040204020203" pitchFamily="34" charset="0"/>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0526315789473684E-2"/>
          <c:y val="0.17331121235263652"/>
          <c:w val="0.98947368421052628"/>
          <c:h val="0.72526970917932909"/>
        </c:manualLayout>
      </c:layout>
      <c:bar3DChart>
        <c:barDir val="col"/>
        <c:grouping val="clustered"/>
        <c:varyColors val="0"/>
        <c:ser>
          <c:idx val="0"/>
          <c:order val="0"/>
          <c:spPr>
            <a:solidFill>
              <a:schemeClr val="accent1"/>
            </a:solidFill>
            <a:ln>
              <a:noFill/>
            </a:ln>
            <a:effectLst/>
            <a:sp3d/>
          </c:spPr>
          <c:invertIfNegative val="0"/>
          <c:dPt>
            <c:idx val="0"/>
            <c:invertIfNegative val="0"/>
            <c:bubble3D val="0"/>
            <c:spPr>
              <a:solidFill>
                <a:srgbClr val="FFC000"/>
              </a:solidFill>
              <a:ln>
                <a:noFill/>
              </a:ln>
              <a:effectLst/>
              <a:sp3d/>
            </c:spPr>
            <c:extLst>
              <c:ext xmlns:c16="http://schemas.microsoft.com/office/drawing/2014/chart" uri="{C3380CC4-5D6E-409C-BE32-E72D297353CC}">
                <c16:uniqueId val="{00000000-4E8C-4AF4-ACA2-5DA297299E71}"/>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1-4E8C-4AF4-ACA2-5DA297299E71}"/>
              </c:ext>
            </c:extLst>
          </c:dPt>
          <c:dPt>
            <c:idx val="2"/>
            <c:invertIfNegative val="0"/>
            <c:bubble3D val="0"/>
            <c:spPr>
              <a:solidFill>
                <a:srgbClr val="002060"/>
              </a:solidFill>
              <a:ln>
                <a:noFill/>
              </a:ln>
              <a:effectLst/>
              <a:sp3d/>
            </c:spPr>
            <c:extLst>
              <c:ext xmlns:c16="http://schemas.microsoft.com/office/drawing/2014/chart" uri="{C3380CC4-5D6E-409C-BE32-E72D297353CC}">
                <c16:uniqueId val="{00000002-4E8C-4AF4-ACA2-5DA297299E71}"/>
              </c:ext>
            </c:extLst>
          </c:dPt>
          <c:dPt>
            <c:idx val="3"/>
            <c:invertIfNegative val="0"/>
            <c:bubble3D val="0"/>
            <c:spPr>
              <a:solidFill>
                <a:srgbClr val="C00000"/>
              </a:solidFill>
              <a:ln>
                <a:noFill/>
              </a:ln>
              <a:effectLst/>
              <a:sp3d/>
            </c:spPr>
            <c:extLst>
              <c:ext xmlns:c16="http://schemas.microsoft.com/office/drawing/2014/chart" uri="{C3380CC4-5D6E-409C-BE32-E72D297353CC}">
                <c16:uniqueId val="{00000003-4E8C-4AF4-ACA2-5DA297299E71}"/>
              </c:ext>
            </c:extLst>
          </c:dPt>
          <c:dLbls>
            <c:dLbl>
              <c:idx val="0"/>
              <c:layout>
                <c:manualLayout>
                  <c:x val="0"/>
                  <c:y val="-3.7037037037037035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0-4E8C-4AF4-ACA2-5DA297299E71}"/>
                </c:ext>
              </c:extLst>
            </c:dLbl>
            <c:dLbl>
              <c:idx val="1"/>
              <c:layout>
                <c:manualLayout>
                  <c:x val="-5.0925337632079971E-17"/>
                  <c:y val="-5.0925925925925923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4E8C-4AF4-ACA2-5DA297299E71}"/>
                </c:ext>
              </c:extLst>
            </c:dLbl>
            <c:dLbl>
              <c:idx val="2"/>
              <c:layout>
                <c:manualLayout>
                  <c:x val="0"/>
                  <c:y val="-4.6296296296296294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4E8C-4AF4-ACA2-5DA297299E71}"/>
                </c:ext>
              </c:extLst>
            </c:dLbl>
            <c:dLbl>
              <c:idx val="3"/>
              <c:layout>
                <c:manualLayout>
                  <c:x val="0"/>
                  <c:y val="-5.0925925925925944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4E8C-4AF4-ACA2-5DA297299E71}"/>
                </c:ext>
              </c:extLst>
            </c:dLbl>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ANALYSIS!$F$5:$F$8</c:f>
              <c:strCache>
                <c:ptCount val="4"/>
                <c:pt idx="0">
                  <c:v>A-Type</c:v>
                </c:pt>
                <c:pt idx="1">
                  <c:v>B-Type</c:v>
                </c:pt>
                <c:pt idx="2">
                  <c:v>C-Type</c:v>
                </c:pt>
                <c:pt idx="3">
                  <c:v>Left Meter</c:v>
                </c:pt>
              </c:strCache>
            </c:strRef>
          </c:cat>
          <c:val>
            <c:numRef>
              <c:f>ANALYSIS!$G$5:$G$8</c:f>
              <c:numCache>
                <c:formatCode>General</c:formatCode>
                <c:ptCount val="4"/>
                <c:pt idx="0">
                  <c:v>3759</c:v>
                </c:pt>
                <c:pt idx="1">
                  <c:v>52821</c:v>
                </c:pt>
                <c:pt idx="2">
                  <c:v>0</c:v>
                </c:pt>
                <c:pt idx="3">
                  <c:v>43420</c:v>
                </c:pt>
              </c:numCache>
            </c:numRef>
          </c:val>
          <c:extLst>
            <c:ext xmlns:c16="http://schemas.microsoft.com/office/drawing/2014/chart" uri="{C3380CC4-5D6E-409C-BE32-E72D297353CC}">
              <c16:uniqueId val="{00000004-4E8C-4AF4-ACA2-5DA297299E71}"/>
            </c:ext>
          </c:extLst>
        </c:ser>
        <c:dLbls>
          <c:showLegendKey val="0"/>
          <c:showVal val="1"/>
          <c:showCatName val="0"/>
          <c:showSerName val="0"/>
          <c:showPercent val="0"/>
          <c:showBubbleSize val="0"/>
        </c:dLbls>
        <c:gapWidth val="150"/>
        <c:shape val="box"/>
        <c:axId val="499238815"/>
        <c:axId val="499250879"/>
        <c:axId val="0"/>
      </c:bar3DChart>
      <c:catAx>
        <c:axId val="49923881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US"/>
          </a:p>
        </c:txPr>
        <c:crossAx val="499250879"/>
        <c:crosses val="autoZero"/>
        <c:auto val="1"/>
        <c:lblAlgn val="ctr"/>
        <c:lblOffset val="100"/>
        <c:noMultiLvlLbl val="0"/>
      </c:catAx>
      <c:valAx>
        <c:axId val="499250879"/>
        <c:scaling>
          <c:orientation val="minMax"/>
        </c:scaling>
        <c:delete val="1"/>
        <c:axPos val="l"/>
        <c:numFmt formatCode="General" sourceLinked="1"/>
        <c:majorTickMark val="out"/>
        <c:minorTickMark val="none"/>
        <c:tickLblPos val="nextTo"/>
        <c:crossAx val="499238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[100k KGDCL Project Total Progress Report.xlsx]Pivot_analysis!PivotTable3</c:name>
    <c:fmtId val="22"/>
  </c:pivotSource>
  <c:chart>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4A90E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2F6C"/>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dLbl>
          <c:idx val="0"/>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02F6C"/>
          </a:solidFill>
          <a:ln>
            <a:noFill/>
          </a:ln>
          <a:effectLst/>
          <a:sp3d/>
        </c:spPr>
        <c:dLbl>
          <c:idx val="0"/>
          <c:layout>
            <c:manualLayout>
              <c:x val="1.5459213155051355E-3"/>
              <c:y val="-3.8589299453976607E-2"/>
            </c:manualLayout>
          </c:layout>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4A90E2"/>
          </a:solidFill>
          <a:ln>
            <a:noFill/>
          </a:ln>
          <a:effectLst/>
          <a:sp3d/>
        </c:spPr>
        <c:dLbl>
          <c:idx val="0"/>
          <c:layout>
            <c:manualLayout>
              <c:x val="-1.5541202174398881E-3"/>
              <c:y val="-5.5740099211299618E-2"/>
            </c:manualLayout>
          </c:layout>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002F6C"/>
          </a:solidFill>
          <a:ln>
            <a:noFill/>
          </a:ln>
          <a:effectLst/>
          <a:sp3d/>
        </c:spPr>
        <c:dLbl>
          <c:idx val="0"/>
          <c:layout>
            <c:manualLayout>
              <c:x val="0"/>
              <c:y val="-4.7164699332638116E-2"/>
            </c:manualLayout>
          </c:layout>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002F6C"/>
          </a:solidFill>
          <a:ln>
            <a:noFill/>
          </a:ln>
          <a:effectLst/>
          <a:sp3d/>
        </c:spPr>
        <c:dLbl>
          <c:idx val="0"/>
          <c:layout>
            <c:manualLayout>
              <c:x val="0"/>
              <c:y val="-5.1452399271968888E-2"/>
            </c:manualLayout>
          </c:layout>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4A90E2"/>
          </a:solidFill>
          <a:ln>
            <a:noFill/>
          </a:ln>
          <a:effectLst/>
          <a:sp3d/>
        </c:spPr>
        <c:dLbl>
          <c:idx val="0"/>
          <c:layout>
            <c:manualLayout>
              <c:x val="-1.1446304021306084E-16"/>
              <c:y val="-3.0013899575315296E-2"/>
            </c:manualLayout>
          </c:layout>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4A90E2"/>
          </a:solidFill>
          <a:ln>
            <a:noFill/>
          </a:ln>
          <a:effectLst/>
          <a:sp3d/>
        </c:spPr>
        <c:dLbl>
          <c:idx val="0"/>
          <c:layout>
            <c:manualLayout>
              <c:x val="0"/>
              <c:y val="-3.001389957531506E-2"/>
            </c:manualLayout>
          </c:layout>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4A90E2"/>
          </a:solidFill>
          <a:ln>
            <a:noFill/>
          </a:ln>
          <a:effectLst/>
          <a:sp3d/>
        </c:spPr>
        <c:dLbl>
          <c:idx val="0"/>
          <c:layout>
            <c:manualLayout>
              <c:x val="0"/>
              <c:y val="-3.0013899575315216E-2"/>
            </c:manualLayout>
          </c:layout>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4A90E2"/>
          </a:solidFill>
          <a:ln>
            <a:noFill/>
          </a:ln>
          <a:effectLst/>
          <a:sp3d/>
        </c:spPr>
        <c:dLbl>
          <c:idx val="0"/>
          <c:layout>
            <c:manualLayout>
              <c:x val="0"/>
              <c:y val="-3.8589299453976524E-2"/>
            </c:manualLayout>
          </c:layout>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4A90E2"/>
          </a:solidFill>
          <a:ln>
            <a:noFill/>
          </a:ln>
          <a:effectLst/>
          <a:sp3d/>
        </c:spPr>
        <c:dLbl>
          <c:idx val="0"/>
          <c:layout>
            <c:manualLayout>
              <c:x val="0"/>
              <c:y val="-4.7164699332638151E-2"/>
            </c:manualLayout>
          </c:layout>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02F6C"/>
          </a:solidFill>
          <a:ln>
            <a:noFill/>
          </a:ln>
          <a:effectLst/>
          <a:sp3d/>
        </c:spPr>
        <c:dLbl>
          <c:idx val="0"/>
          <c:layout>
            <c:manualLayout>
              <c:x val="0"/>
              <c:y val="-4.2876999393307337E-2"/>
            </c:manualLayout>
          </c:layout>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002F6C"/>
          </a:solidFill>
          <a:ln>
            <a:noFill/>
          </a:ln>
          <a:effectLst/>
          <a:sp3d/>
        </c:spPr>
        <c:dLbl>
          <c:idx val="0"/>
          <c:layout>
            <c:manualLayout>
              <c:x val="0"/>
              <c:y val="-3.8589299453976607E-2"/>
            </c:manualLayout>
          </c:layout>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002F6C"/>
          </a:solidFill>
          <a:ln>
            <a:noFill/>
          </a:ln>
          <a:effectLst/>
          <a:sp3d/>
        </c:spPr>
        <c:dLbl>
          <c:idx val="0"/>
          <c:layout>
            <c:manualLayout>
              <c:x val="0"/>
              <c:y val="-3.430159951464587E-2"/>
            </c:manualLayout>
          </c:layout>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002F6C"/>
          </a:solidFill>
          <a:ln>
            <a:noFill/>
          </a:ln>
          <a:effectLst/>
          <a:sp3d/>
        </c:spPr>
        <c:dLbl>
          <c:idx val="0"/>
          <c:layout>
            <c:manualLayout>
              <c:x val="-5.6930169263996795E-17"/>
              <c:y val="-3.4301599514645911E-2"/>
            </c:manualLayout>
          </c:layout>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002F6C"/>
          </a:solidFill>
          <a:ln>
            <a:noFill/>
          </a:ln>
          <a:effectLst/>
          <a:sp3d/>
        </c:spPr>
        <c:dLbl>
          <c:idx val="0"/>
          <c:layout>
            <c:manualLayout>
              <c:x val="0"/>
              <c:y val="-3.0013899575315157E-2"/>
            </c:manualLayout>
          </c:layout>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002F6C"/>
          </a:solidFill>
          <a:ln>
            <a:noFill/>
          </a:ln>
          <a:effectLst/>
          <a:sp3d/>
        </c:spPr>
        <c:dLbl>
          <c:idx val="0"/>
          <c:layout>
            <c:manualLayout>
              <c:x val="0"/>
              <c:y val="-4.7164699332638074E-2"/>
            </c:manualLayout>
          </c:layout>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002F6C"/>
          </a:solidFill>
          <a:ln>
            <a:noFill/>
          </a:ln>
          <a:effectLst/>
          <a:sp3d/>
        </c:spPr>
        <c:dLbl>
          <c:idx val="0"/>
          <c:layout>
            <c:manualLayout>
              <c:x val="-2.8465084631998398E-17"/>
              <c:y val="-4.2876999393307337E-2"/>
            </c:manualLayout>
          </c:layout>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002F6C"/>
          </a:solidFill>
          <a:ln>
            <a:noFill/>
          </a:ln>
          <a:effectLst/>
          <a:sp3d/>
        </c:spPr>
        <c:dLbl>
          <c:idx val="0"/>
          <c:layout>
            <c:manualLayout>
              <c:x val="0"/>
              <c:y val="-4.7164699332638074E-2"/>
            </c:manualLayout>
          </c:layout>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002F6C"/>
          </a:solidFill>
          <a:ln>
            <a:noFill/>
          </a:ln>
          <a:effectLst/>
          <a:sp3d/>
        </c:spPr>
        <c:dLbl>
          <c:idx val="0"/>
          <c:layout>
            <c:manualLayout>
              <c:x val="0"/>
              <c:y val="-4.7164699332638074E-2"/>
            </c:manualLayout>
          </c:layout>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4A90E2"/>
          </a:solidFill>
          <a:ln>
            <a:noFill/>
          </a:ln>
          <a:effectLst/>
          <a:sp3d/>
        </c:spPr>
        <c:dLbl>
          <c:idx val="0"/>
          <c:layout>
            <c:manualLayout>
              <c:x val="0"/>
              <c:y val="-3.430159951464587E-2"/>
            </c:manualLayout>
          </c:layout>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4A90E2"/>
          </a:solidFill>
          <a:ln>
            <a:noFill/>
          </a:ln>
          <a:effectLst/>
          <a:sp3d/>
        </c:spPr>
        <c:dLbl>
          <c:idx val="0"/>
          <c:layout>
            <c:manualLayout>
              <c:x val="0"/>
              <c:y val="-3.8589299453976607E-2"/>
            </c:manualLayout>
          </c:layout>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4A90E2"/>
          </a:solidFill>
          <a:ln>
            <a:noFill/>
          </a:ln>
          <a:effectLst/>
          <a:sp3d/>
        </c:spPr>
        <c:dLbl>
          <c:idx val="0"/>
          <c:layout>
            <c:manualLayout>
              <c:x val="-2.8465084631998398E-17"/>
              <c:y val="-3.430159951464587E-2"/>
            </c:manualLayout>
          </c:layout>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4A90E2"/>
          </a:solidFill>
          <a:ln>
            <a:noFill/>
          </a:ln>
          <a:effectLst/>
          <a:sp3d/>
        </c:spPr>
        <c:dLbl>
          <c:idx val="0"/>
          <c:layout>
            <c:manualLayout>
              <c:x val="0"/>
              <c:y val="-4.2876999393307337E-2"/>
            </c:manualLayout>
          </c:layout>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rgbClr val="4A90E2"/>
          </a:solidFill>
          <a:ln>
            <a:noFill/>
          </a:ln>
          <a:effectLst/>
          <a:sp3d/>
        </c:spPr>
        <c:dLbl>
          <c:idx val="0"/>
          <c:layout>
            <c:manualLayout>
              <c:x val="0"/>
              <c:y val="-4.2876999393307337E-2"/>
            </c:manualLayout>
          </c:layout>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4A90E2"/>
          </a:solidFill>
          <a:ln>
            <a:noFill/>
          </a:ln>
          <a:effectLst/>
          <a:sp3d/>
        </c:spPr>
        <c:dLbl>
          <c:idx val="0"/>
          <c:layout>
            <c:manualLayout>
              <c:x val="0"/>
              <c:y val="-3.0013899575315136E-2"/>
            </c:manualLayout>
          </c:layout>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14802583756632412"/>
          <c:w val="0.99798220421722628"/>
          <c:h val="0.68258165645960922"/>
        </c:manualLayout>
      </c:layout>
      <c:bar3DChart>
        <c:barDir val="col"/>
        <c:grouping val="clustered"/>
        <c:varyColors val="0"/>
        <c:ser>
          <c:idx val="0"/>
          <c:order val="0"/>
          <c:tx>
            <c:strRef>
              <c:f>Pivot_analysis!$B$3</c:f>
              <c:strCache>
                <c:ptCount val="1"/>
                <c:pt idx="0">
                  <c:v>Sum of Cumulative House</c:v>
                </c:pt>
              </c:strCache>
            </c:strRef>
          </c:tx>
          <c:spPr>
            <a:solidFill>
              <a:srgbClr val="4A90E2"/>
            </a:solidFill>
            <a:ln>
              <a:noFill/>
            </a:ln>
            <a:effectLst/>
            <a:sp3d/>
          </c:spPr>
          <c:invertIfNegative val="0"/>
          <c:dPt>
            <c:idx val="0"/>
            <c:invertIfNegative val="0"/>
            <c:bubble3D val="0"/>
            <c:spPr>
              <a:solidFill>
                <a:srgbClr val="4A90E2"/>
              </a:solidFill>
              <a:ln>
                <a:noFill/>
              </a:ln>
              <a:effectLst/>
              <a:sp3d/>
            </c:spPr>
            <c:extLst>
              <c:ext xmlns:c16="http://schemas.microsoft.com/office/drawing/2014/chart" uri="{C3380CC4-5D6E-409C-BE32-E72D297353CC}">
                <c16:uniqueId val="{00000003-26DD-4814-9310-CFCDDECC3BBF}"/>
              </c:ext>
            </c:extLst>
          </c:dPt>
          <c:dPt>
            <c:idx val="1"/>
            <c:invertIfNegative val="0"/>
            <c:bubble3D val="0"/>
            <c:spPr>
              <a:solidFill>
                <a:srgbClr val="4A90E2"/>
              </a:solidFill>
              <a:ln>
                <a:noFill/>
              </a:ln>
              <a:effectLst/>
              <a:sp3d/>
            </c:spPr>
            <c:extLst>
              <c:ext xmlns:c16="http://schemas.microsoft.com/office/drawing/2014/chart" uri="{C3380CC4-5D6E-409C-BE32-E72D297353CC}">
                <c16:uniqueId val="{00000014-26DD-4814-9310-CFCDDECC3BBF}"/>
              </c:ext>
            </c:extLst>
          </c:dPt>
          <c:dPt>
            <c:idx val="2"/>
            <c:invertIfNegative val="0"/>
            <c:bubble3D val="0"/>
            <c:spPr>
              <a:solidFill>
                <a:srgbClr val="4A90E2"/>
              </a:solidFill>
              <a:ln>
                <a:noFill/>
              </a:ln>
              <a:effectLst/>
              <a:sp3d/>
            </c:spPr>
            <c:extLst>
              <c:ext xmlns:c16="http://schemas.microsoft.com/office/drawing/2014/chart" uri="{C3380CC4-5D6E-409C-BE32-E72D297353CC}">
                <c16:uniqueId val="{00000015-26DD-4814-9310-CFCDDECC3BBF}"/>
              </c:ext>
            </c:extLst>
          </c:dPt>
          <c:dPt>
            <c:idx val="3"/>
            <c:invertIfNegative val="0"/>
            <c:bubble3D val="0"/>
            <c:spPr>
              <a:solidFill>
                <a:srgbClr val="4A90E2"/>
              </a:solidFill>
              <a:ln>
                <a:noFill/>
              </a:ln>
              <a:effectLst/>
              <a:sp3d/>
            </c:spPr>
            <c:extLst>
              <c:ext xmlns:c16="http://schemas.microsoft.com/office/drawing/2014/chart" uri="{C3380CC4-5D6E-409C-BE32-E72D297353CC}">
                <c16:uniqueId val="{00000016-26DD-4814-9310-CFCDDECC3BBF}"/>
              </c:ext>
            </c:extLst>
          </c:dPt>
          <c:dPt>
            <c:idx val="4"/>
            <c:invertIfNegative val="0"/>
            <c:bubble3D val="0"/>
            <c:spPr>
              <a:solidFill>
                <a:srgbClr val="4A90E2"/>
              </a:solidFill>
              <a:ln>
                <a:noFill/>
              </a:ln>
              <a:effectLst/>
              <a:sp3d/>
            </c:spPr>
            <c:extLst>
              <c:ext xmlns:c16="http://schemas.microsoft.com/office/drawing/2014/chart" uri="{C3380CC4-5D6E-409C-BE32-E72D297353CC}">
                <c16:uniqueId val="{00000017-26DD-4814-9310-CFCDDECC3BBF}"/>
              </c:ext>
            </c:extLst>
          </c:dPt>
          <c:dPt>
            <c:idx val="5"/>
            <c:invertIfNegative val="0"/>
            <c:bubble3D val="0"/>
            <c:spPr>
              <a:solidFill>
                <a:srgbClr val="4A90E2"/>
              </a:solidFill>
              <a:ln>
                <a:noFill/>
              </a:ln>
              <a:effectLst/>
              <a:sp3d/>
            </c:spPr>
            <c:extLst>
              <c:ext xmlns:c16="http://schemas.microsoft.com/office/drawing/2014/chart" uri="{C3380CC4-5D6E-409C-BE32-E72D297353CC}">
                <c16:uniqueId val="{00000018-26DD-4814-9310-CFCDDECC3BBF}"/>
              </c:ext>
            </c:extLst>
          </c:dPt>
          <c:dPt>
            <c:idx val="6"/>
            <c:invertIfNegative val="0"/>
            <c:bubble3D val="0"/>
            <c:spPr>
              <a:solidFill>
                <a:srgbClr val="4A90E2"/>
              </a:solidFill>
              <a:ln>
                <a:noFill/>
              </a:ln>
              <a:effectLst/>
              <a:sp3d/>
            </c:spPr>
            <c:extLst>
              <c:ext xmlns:c16="http://schemas.microsoft.com/office/drawing/2014/chart" uri="{C3380CC4-5D6E-409C-BE32-E72D297353CC}">
                <c16:uniqueId val="{0000000A-26DD-4814-9310-CFCDDECC3BBF}"/>
              </c:ext>
            </c:extLst>
          </c:dPt>
          <c:dPt>
            <c:idx val="7"/>
            <c:invertIfNegative val="0"/>
            <c:bubble3D val="0"/>
            <c:spPr>
              <a:solidFill>
                <a:srgbClr val="4A90E2"/>
              </a:solidFill>
              <a:ln>
                <a:noFill/>
              </a:ln>
              <a:effectLst/>
              <a:sp3d/>
            </c:spPr>
            <c:extLst>
              <c:ext xmlns:c16="http://schemas.microsoft.com/office/drawing/2014/chart" uri="{C3380CC4-5D6E-409C-BE32-E72D297353CC}">
                <c16:uniqueId val="{00000009-26DD-4814-9310-CFCDDECC3BBF}"/>
              </c:ext>
            </c:extLst>
          </c:dPt>
          <c:dPt>
            <c:idx val="8"/>
            <c:invertIfNegative val="0"/>
            <c:bubble3D val="0"/>
            <c:spPr>
              <a:solidFill>
                <a:srgbClr val="4A90E2"/>
              </a:solidFill>
              <a:ln>
                <a:noFill/>
              </a:ln>
              <a:effectLst/>
              <a:sp3d/>
            </c:spPr>
            <c:extLst>
              <c:ext xmlns:c16="http://schemas.microsoft.com/office/drawing/2014/chart" uri="{C3380CC4-5D6E-409C-BE32-E72D297353CC}">
                <c16:uniqueId val="{00000008-26DD-4814-9310-CFCDDECC3BBF}"/>
              </c:ext>
            </c:extLst>
          </c:dPt>
          <c:dPt>
            <c:idx val="9"/>
            <c:invertIfNegative val="0"/>
            <c:bubble3D val="0"/>
            <c:spPr>
              <a:solidFill>
                <a:srgbClr val="4A90E2"/>
              </a:solidFill>
              <a:ln>
                <a:noFill/>
              </a:ln>
              <a:effectLst/>
              <a:sp3d/>
            </c:spPr>
            <c:extLst>
              <c:ext xmlns:c16="http://schemas.microsoft.com/office/drawing/2014/chart" uri="{C3380CC4-5D6E-409C-BE32-E72D297353CC}">
                <c16:uniqueId val="{00000007-26DD-4814-9310-CFCDDECC3BBF}"/>
              </c:ext>
            </c:extLst>
          </c:dPt>
          <c:dPt>
            <c:idx val="10"/>
            <c:invertIfNegative val="0"/>
            <c:bubble3D val="0"/>
            <c:spPr>
              <a:solidFill>
                <a:srgbClr val="4A90E2"/>
              </a:solidFill>
              <a:ln>
                <a:noFill/>
              </a:ln>
              <a:effectLst/>
              <a:sp3d/>
            </c:spPr>
            <c:extLst>
              <c:ext xmlns:c16="http://schemas.microsoft.com/office/drawing/2014/chart" uri="{C3380CC4-5D6E-409C-BE32-E72D297353CC}">
                <c16:uniqueId val="{00000006-26DD-4814-9310-CFCDDECC3BBF}"/>
              </c:ext>
            </c:extLst>
          </c:dPt>
          <c:dPt>
            <c:idx val="11"/>
            <c:invertIfNegative val="0"/>
            <c:bubble3D val="0"/>
            <c:spPr>
              <a:solidFill>
                <a:srgbClr val="4A90E2"/>
              </a:solidFill>
              <a:ln>
                <a:noFill/>
              </a:ln>
              <a:effectLst/>
              <a:sp3d/>
            </c:spPr>
            <c:extLst>
              <c:ext xmlns:c16="http://schemas.microsoft.com/office/drawing/2014/chart" uri="{C3380CC4-5D6E-409C-BE32-E72D297353CC}">
                <c16:uniqueId val="{0000000B-26DD-4814-9310-CFCDDECC3BBF}"/>
              </c:ext>
            </c:extLst>
          </c:dPt>
          <c:dLbls>
            <c:dLbl>
              <c:idx val="0"/>
              <c:layout>
                <c:manualLayout>
                  <c:x val="0"/>
                  <c:y val="-3.43015995146458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6DD-4814-9310-CFCDDECC3BBF}"/>
                </c:ext>
              </c:extLst>
            </c:dLbl>
            <c:dLbl>
              <c:idx val="1"/>
              <c:layout>
                <c:manualLayout>
                  <c:x val="0"/>
                  <c:y val="-3.85892994539766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26DD-4814-9310-CFCDDECC3BBF}"/>
                </c:ext>
              </c:extLst>
            </c:dLbl>
            <c:dLbl>
              <c:idx val="2"/>
              <c:layout>
                <c:manualLayout>
                  <c:x val="-2.8465084631998398E-17"/>
                  <c:y val="-3.43015995146458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26DD-4814-9310-CFCDDECC3BBF}"/>
                </c:ext>
              </c:extLst>
            </c:dLbl>
            <c:dLbl>
              <c:idx val="3"/>
              <c:layout>
                <c:manualLayout>
                  <c:x val="0"/>
                  <c:y val="-4.287699939330733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6-26DD-4814-9310-CFCDDECC3BBF}"/>
                </c:ext>
              </c:extLst>
            </c:dLbl>
            <c:dLbl>
              <c:idx val="4"/>
              <c:layout>
                <c:manualLayout>
                  <c:x val="0"/>
                  <c:y val="-4.287699939330733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26DD-4814-9310-CFCDDECC3BBF}"/>
                </c:ext>
              </c:extLst>
            </c:dLbl>
            <c:dLbl>
              <c:idx val="5"/>
              <c:layout>
                <c:manualLayout>
                  <c:x val="0"/>
                  <c:y val="-3.001389957531513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26DD-4814-9310-CFCDDECC3BBF}"/>
                </c:ext>
              </c:extLst>
            </c:dLbl>
            <c:dLbl>
              <c:idx val="6"/>
              <c:layout>
                <c:manualLayout>
                  <c:x val="0"/>
                  <c:y val="-4.716469933263815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26DD-4814-9310-CFCDDECC3BBF}"/>
                </c:ext>
              </c:extLst>
            </c:dLbl>
            <c:dLbl>
              <c:idx val="7"/>
              <c:layout>
                <c:manualLayout>
                  <c:x val="0"/>
                  <c:y val="-3.858929945397652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26DD-4814-9310-CFCDDECC3BBF}"/>
                </c:ext>
              </c:extLst>
            </c:dLbl>
            <c:dLbl>
              <c:idx val="8"/>
              <c:layout>
                <c:manualLayout>
                  <c:x val="0"/>
                  <c:y val="-3.001389957531521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26DD-4814-9310-CFCDDECC3BBF}"/>
                </c:ext>
              </c:extLst>
            </c:dLbl>
            <c:dLbl>
              <c:idx val="9"/>
              <c:layout>
                <c:manualLayout>
                  <c:x val="0"/>
                  <c:y val="-3.0013899575315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6DD-4814-9310-CFCDDECC3BBF}"/>
                </c:ext>
              </c:extLst>
            </c:dLbl>
            <c:dLbl>
              <c:idx val="10"/>
              <c:layout>
                <c:manualLayout>
                  <c:x val="-1.1446304021306084E-16"/>
                  <c:y val="-3.001389957531529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26DD-4814-9310-CFCDDECC3BBF}"/>
                </c:ext>
              </c:extLst>
            </c:dLbl>
            <c:dLbl>
              <c:idx val="11"/>
              <c:layout>
                <c:manualLayout>
                  <c:x val="-1.5541202174398881E-3"/>
                  <c:y val="-5.574009921129961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26DD-4814-9310-CFCDDECC3BBF}"/>
                </c:ext>
              </c:extLst>
            </c:dLbl>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accent4"/>
                      </a:solidFill>
                      <a:prstDash val="solid"/>
                      <a:miter lim="800000"/>
                    </a:ln>
                    <a:effectLst/>
                  </c:spPr>
                </c15:leaderLines>
              </c:ext>
            </c:extLst>
          </c:dLbls>
          <c:cat>
            <c:strRef>
              <c:f>Pivot_analysis!$A$4:$A$16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Pivot_analysis!$B$4:$B$16</c:f>
              <c:numCache>
                <c:formatCode>General</c:formatCode>
                <c:ptCount val="12"/>
                <c:pt idx="0">
                  <c:v>187</c:v>
                </c:pt>
                <c:pt idx="1">
                  <c:v>714</c:v>
                </c:pt>
                <c:pt idx="2">
                  <c:v>481</c:v>
                </c:pt>
                <c:pt idx="3">
                  <c:v>380</c:v>
                </c:pt>
                <c:pt idx="4">
                  <c:v>971</c:v>
                </c:pt>
                <c:pt idx="5">
                  <c:v>860</c:v>
                </c:pt>
                <c:pt idx="6">
                  <c:v>821</c:v>
                </c:pt>
                <c:pt idx="7">
                  <c:v>814</c:v>
                </c:pt>
                <c:pt idx="8">
                  <c:v>1103</c:v>
                </c:pt>
                <c:pt idx="9">
                  <c:v>886</c:v>
                </c:pt>
                <c:pt idx="10">
                  <c:v>1086</c:v>
                </c:pt>
                <c:pt idx="11">
                  <c:v>1367</c:v>
                </c:pt>
              </c:numCache>
            </c:numRef>
          </c:val>
          <c:extLst>
            <c:ext xmlns:c16="http://schemas.microsoft.com/office/drawing/2014/chart" uri="{C3380CC4-5D6E-409C-BE32-E72D297353CC}">
              <c16:uniqueId val="{00000003-0547-449A-9E22-53D42774CE51}"/>
            </c:ext>
          </c:extLst>
        </c:ser>
        <c:ser>
          <c:idx val="1"/>
          <c:order val="1"/>
          <c:tx>
            <c:strRef>
              <c:f>Pivot_analysis!$C$3</c:f>
              <c:strCache>
                <c:ptCount val="1"/>
                <c:pt idx="0">
                  <c:v>Sum of Cumulative Meter</c:v>
                </c:pt>
              </c:strCache>
            </c:strRef>
          </c:tx>
          <c:spPr>
            <a:solidFill>
              <a:srgbClr val="002F6C"/>
            </a:solidFill>
            <a:ln>
              <a:noFill/>
            </a:ln>
            <a:effectLst/>
            <a:sp3d/>
          </c:spPr>
          <c:invertIfNegative val="0"/>
          <c:dPt>
            <c:idx val="0"/>
            <c:invertIfNegative val="0"/>
            <c:bubble3D val="0"/>
            <c:spPr>
              <a:solidFill>
                <a:srgbClr val="002F6C"/>
              </a:solidFill>
              <a:ln>
                <a:noFill/>
              </a:ln>
              <a:effectLst/>
              <a:sp3d/>
            </c:spPr>
            <c:extLst>
              <c:ext xmlns:c16="http://schemas.microsoft.com/office/drawing/2014/chart" uri="{C3380CC4-5D6E-409C-BE32-E72D297353CC}">
                <c16:uniqueId val="{00000002-26DD-4814-9310-CFCDDECC3BBF}"/>
              </c:ext>
            </c:extLst>
          </c:dPt>
          <c:dPt>
            <c:idx val="1"/>
            <c:invertIfNegative val="0"/>
            <c:bubble3D val="0"/>
            <c:spPr>
              <a:solidFill>
                <a:srgbClr val="002F6C"/>
              </a:solidFill>
              <a:ln>
                <a:noFill/>
              </a:ln>
              <a:effectLst/>
              <a:sp3d/>
            </c:spPr>
            <c:extLst>
              <c:ext xmlns:c16="http://schemas.microsoft.com/office/drawing/2014/chart" uri="{C3380CC4-5D6E-409C-BE32-E72D297353CC}">
                <c16:uniqueId val="{00000013-26DD-4814-9310-CFCDDECC3BBF}"/>
              </c:ext>
            </c:extLst>
          </c:dPt>
          <c:dPt>
            <c:idx val="2"/>
            <c:invertIfNegative val="0"/>
            <c:bubble3D val="0"/>
            <c:spPr>
              <a:solidFill>
                <a:srgbClr val="002F6C"/>
              </a:solidFill>
              <a:ln>
                <a:noFill/>
              </a:ln>
              <a:effectLst/>
              <a:sp3d/>
            </c:spPr>
            <c:extLst>
              <c:ext xmlns:c16="http://schemas.microsoft.com/office/drawing/2014/chart" uri="{C3380CC4-5D6E-409C-BE32-E72D297353CC}">
                <c16:uniqueId val="{00000012-26DD-4814-9310-CFCDDECC3BBF}"/>
              </c:ext>
            </c:extLst>
          </c:dPt>
          <c:dPt>
            <c:idx val="3"/>
            <c:invertIfNegative val="0"/>
            <c:bubble3D val="0"/>
            <c:spPr>
              <a:solidFill>
                <a:srgbClr val="002F6C"/>
              </a:solidFill>
              <a:ln>
                <a:noFill/>
              </a:ln>
              <a:effectLst/>
              <a:sp3d/>
            </c:spPr>
            <c:extLst>
              <c:ext xmlns:c16="http://schemas.microsoft.com/office/drawing/2014/chart" uri="{C3380CC4-5D6E-409C-BE32-E72D297353CC}">
                <c16:uniqueId val="{00000011-26DD-4814-9310-CFCDDECC3BBF}"/>
              </c:ext>
            </c:extLst>
          </c:dPt>
          <c:dPt>
            <c:idx val="4"/>
            <c:invertIfNegative val="0"/>
            <c:bubble3D val="0"/>
            <c:spPr>
              <a:solidFill>
                <a:srgbClr val="002F6C"/>
              </a:solidFill>
              <a:ln>
                <a:noFill/>
              </a:ln>
              <a:effectLst/>
              <a:sp3d/>
            </c:spPr>
            <c:extLst>
              <c:ext xmlns:c16="http://schemas.microsoft.com/office/drawing/2014/chart" uri="{C3380CC4-5D6E-409C-BE32-E72D297353CC}">
                <c16:uniqueId val="{00000010-26DD-4814-9310-CFCDDECC3BBF}"/>
              </c:ext>
            </c:extLst>
          </c:dPt>
          <c:dPt>
            <c:idx val="5"/>
            <c:invertIfNegative val="0"/>
            <c:bubble3D val="0"/>
            <c:spPr>
              <a:solidFill>
                <a:srgbClr val="002F6C"/>
              </a:solidFill>
              <a:ln>
                <a:noFill/>
              </a:ln>
              <a:effectLst/>
              <a:sp3d/>
            </c:spPr>
            <c:extLst>
              <c:ext xmlns:c16="http://schemas.microsoft.com/office/drawing/2014/chart" uri="{C3380CC4-5D6E-409C-BE32-E72D297353CC}">
                <c16:uniqueId val="{00000001-26DD-4814-9310-CFCDDECC3BBF}"/>
              </c:ext>
            </c:extLst>
          </c:dPt>
          <c:dPt>
            <c:idx val="6"/>
            <c:invertIfNegative val="0"/>
            <c:bubble3D val="0"/>
            <c:spPr>
              <a:solidFill>
                <a:srgbClr val="002F6C"/>
              </a:solidFill>
              <a:ln>
                <a:noFill/>
              </a:ln>
              <a:effectLst/>
              <a:sp3d/>
            </c:spPr>
            <c:extLst>
              <c:ext xmlns:c16="http://schemas.microsoft.com/office/drawing/2014/chart" uri="{C3380CC4-5D6E-409C-BE32-E72D297353CC}">
                <c16:uniqueId val="{0000000D-26DD-4814-9310-CFCDDECC3BBF}"/>
              </c:ext>
            </c:extLst>
          </c:dPt>
          <c:dPt>
            <c:idx val="7"/>
            <c:invertIfNegative val="0"/>
            <c:bubble3D val="0"/>
            <c:spPr>
              <a:solidFill>
                <a:srgbClr val="002F6C"/>
              </a:solidFill>
              <a:ln>
                <a:noFill/>
              </a:ln>
              <a:effectLst/>
              <a:sp3d/>
            </c:spPr>
            <c:extLst>
              <c:ext xmlns:c16="http://schemas.microsoft.com/office/drawing/2014/chart" uri="{C3380CC4-5D6E-409C-BE32-E72D297353CC}">
                <c16:uniqueId val="{0000000E-26DD-4814-9310-CFCDDECC3BBF}"/>
              </c:ext>
            </c:extLst>
          </c:dPt>
          <c:dPt>
            <c:idx val="8"/>
            <c:invertIfNegative val="0"/>
            <c:bubble3D val="0"/>
            <c:spPr>
              <a:solidFill>
                <a:srgbClr val="002F6C"/>
              </a:solidFill>
              <a:ln>
                <a:noFill/>
              </a:ln>
              <a:effectLst/>
              <a:sp3d/>
            </c:spPr>
            <c:extLst>
              <c:ext xmlns:c16="http://schemas.microsoft.com/office/drawing/2014/chart" uri="{C3380CC4-5D6E-409C-BE32-E72D297353CC}">
                <c16:uniqueId val="{0000000F-26DD-4814-9310-CFCDDECC3BBF}"/>
              </c:ext>
            </c:extLst>
          </c:dPt>
          <c:dPt>
            <c:idx val="9"/>
            <c:invertIfNegative val="0"/>
            <c:bubble3D val="0"/>
            <c:spPr>
              <a:solidFill>
                <a:srgbClr val="002F6C"/>
              </a:solidFill>
              <a:ln>
                <a:noFill/>
              </a:ln>
              <a:effectLst/>
              <a:sp3d/>
            </c:spPr>
            <c:extLst>
              <c:ext xmlns:c16="http://schemas.microsoft.com/office/drawing/2014/chart" uri="{C3380CC4-5D6E-409C-BE32-E72D297353CC}">
                <c16:uniqueId val="{00000005-26DD-4814-9310-CFCDDECC3BBF}"/>
              </c:ext>
            </c:extLst>
          </c:dPt>
          <c:dPt>
            <c:idx val="10"/>
            <c:invertIfNegative val="0"/>
            <c:bubble3D val="0"/>
            <c:spPr>
              <a:solidFill>
                <a:srgbClr val="002F6C"/>
              </a:solidFill>
              <a:ln>
                <a:noFill/>
              </a:ln>
              <a:effectLst/>
              <a:sp3d/>
            </c:spPr>
            <c:extLst>
              <c:ext xmlns:c16="http://schemas.microsoft.com/office/drawing/2014/chart" uri="{C3380CC4-5D6E-409C-BE32-E72D297353CC}">
                <c16:uniqueId val="{00000004-26DD-4814-9310-CFCDDECC3BBF}"/>
              </c:ext>
            </c:extLst>
          </c:dPt>
          <c:dPt>
            <c:idx val="11"/>
            <c:invertIfNegative val="0"/>
            <c:bubble3D val="0"/>
            <c:spPr>
              <a:solidFill>
                <a:srgbClr val="002F6C"/>
              </a:solidFill>
              <a:ln>
                <a:noFill/>
              </a:ln>
              <a:effectLst/>
              <a:sp3d/>
            </c:spPr>
            <c:extLst>
              <c:ext xmlns:c16="http://schemas.microsoft.com/office/drawing/2014/chart" uri="{C3380CC4-5D6E-409C-BE32-E72D297353CC}">
                <c16:uniqueId val="{0000000C-26DD-4814-9310-CFCDDECC3BBF}"/>
              </c:ext>
            </c:extLst>
          </c:dPt>
          <c:dLbls>
            <c:dLbl>
              <c:idx val="0"/>
              <c:layout>
                <c:manualLayout>
                  <c:x val="0"/>
                  <c:y val="-4.716469933263807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6DD-4814-9310-CFCDDECC3BBF}"/>
                </c:ext>
              </c:extLst>
            </c:dLbl>
            <c:dLbl>
              <c:idx val="1"/>
              <c:layout>
                <c:manualLayout>
                  <c:x val="0"/>
                  <c:y val="-4.716469933263807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26DD-4814-9310-CFCDDECC3BBF}"/>
                </c:ext>
              </c:extLst>
            </c:dLbl>
            <c:dLbl>
              <c:idx val="2"/>
              <c:layout>
                <c:manualLayout>
                  <c:x val="-2.8465084631998398E-17"/>
                  <c:y val="-4.287699939330733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26DD-4814-9310-CFCDDECC3BBF}"/>
                </c:ext>
              </c:extLst>
            </c:dLbl>
            <c:dLbl>
              <c:idx val="3"/>
              <c:layout>
                <c:manualLayout>
                  <c:x val="0"/>
                  <c:y val="-4.716469933263807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26DD-4814-9310-CFCDDECC3BBF}"/>
                </c:ext>
              </c:extLst>
            </c:dLbl>
            <c:dLbl>
              <c:idx val="4"/>
              <c:layout>
                <c:manualLayout>
                  <c:x val="0"/>
                  <c:y val="-3.001389957531515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26DD-4814-9310-CFCDDECC3BBF}"/>
                </c:ext>
              </c:extLst>
            </c:dLbl>
            <c:dLbl>
              <c:idx val="5"/>
              <c:layout>
                <c:manualLayout>
                  <c:x val="-5.6930169263996795E-17"/>
                  <c:y val="-3.43015995146459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6DD-4814-9310-CFCDDECC3BBF}"/>
                </c:ext>
              </c:extLst>
            </c:dLbl>
            <c:dLbl>
              <c:idx val="6"/>
              <c:layout>
                <c:manualLayout>
                  <c:x val="0"/>
                  <c:y val="-4.287699939330733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26DD-4814-9310-CFCDDECC3BBF}"/>
                </c:ext>
              </c:extLst>
            </c:dLbl>
            <c:dLbl>
              <c:idx val="7"/>
              <c:layout>
                <c:manualLayout>
                  <c:x val="0"/>
                  <c:y val="-3.85892994539766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26DD-4814-9310-CFCDDECC3BBF}"/>
                </c:ext>
              </c:extLst>
            </c:dLbl>
            <c:dLbl>
              <c:idx val="8"/>
              <c:layout>
                <c:manualLayout>
                  <c:x val="0"/>
                  <c:y val="-3.43015995146458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26DD-4814-9310-CFCDDECC3BBF}"/>
                </c:ext>
              </c:extLst>
            </c:dLbl>
            <c:dLbl>
              <c:idx val="9"/>
              <c:layout>
                <c:manualLayout>
                  <c:x val="0"/>
                  <c:y val="-5.14523992719688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6DD-4814-9310-CFCDDECC3BBF}"/>
                </c:ext>
              </c:extLst>
            </c:dLbl>
            <c:dLbl>
              <c:idx val="10"/>
              <c:layout>
                <c:manualLayout>
                  <c:x val="0"/>
                  <c:y val="-4.716469933263811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6DD-4814-9310-CFCDDECC3BBF}"/>
                </c:ext>
              </c:extLst>
            </c:dLbl>
            <c:dLbl>
              <c:idx val="11"/>
              <c:layout>
                <c:manualLayout>
                  <c:x val="1.5459213155051355E-3"/>
                  <c:y val="-3.85892994539766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26DD-4814-9310-CFCDDECC3BBF}"/>
                </c:ext>
              </c:extLst>
            </c:dLbl>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accent6"/>
                      </a:solidFill>
                      <a:prstDash val="solid"/>
                      <a:miter lim="800000"/>
                    </a:ln>
                    <a:effectLst/>
                  </c:spPr>
                </c15:leaderLines>
              </c:ext>
            </c:extLst>
          </c:dLbls>
          <c:cat>
            <c:strRef>
              <c:f>Pivot_analysis!$A$4:$A$16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Pivot_analysis!$C$4:$C$16</c:f>
              <c:numCache>
                <c:formatCode>General</c:formatCode>
                <c:ptCount val="12"/>
                <c:pt idx="0">
                  <c:v>1638</c:v>
                </c:pt>
                <c:pt idx="1">
                  <c:v>4331</c:v>
                </c:pt>
                <c:pt idx="2">
                  <c:v>4364</c:v>
                </c:pt>
                <c:pt idx="3">
                  <c:v>3508</c:v>
                </c:pt>
                <c:pt idx="4">
                  <c:v>7472</c:v>
                </c:pt>
                <c:pt idx="5">
                  <c:v>5903</c:v>
                </c:pt>
                <c:pt idx="6">
                  <c:v>4837</c:v>
                </c:pt>
                <c:pt idx="7">
                  <c:v>4740</c:v>
                </c:pt>
                <c:pt idx="8">
                  <c:v>4147</c:v>
                </c:pt>
                <c:pt idx="9">
                  <c:v>4557</c:v>
                </c:pt>
                <c:pt idx="10">
                  <c:v>5838</c:v>
                </c:pt>
                <c:pt idx="11">
                  <c:v>5570</c:v>
                </c:pt>
              </c:numCache>
            </c:numRef>
          </c:val>
          <c:extLst>
            <c:ext xmlns:c16="http://schemas.microsoft.com/office/drawing/2014/chart" uri="{C3380CC4-5D6E-409C-BE32-E72D297353CC}">
              <c16:uniqueId val="{00000004-0547-449A-9E22-53D42774CE51}"/>
            </c:ext>
          </c:extLst>
        </c:ser>
        <c:dLbls>
          <c:showLegendKey val="0"/>
          <c:showVal val="1"/>
          <c:showCatName val="0"/>
          <c:showSerName val="0"/>
          <c:showPercent val="0"/>
          <c:showBubbleSize val="0"/>
        </c:dLbls>
        <c:gapWidth val="150"/>
        <c:gapDepth val="100"/>
        <c:shape val="box"/>
        <c:axId val="2016615983"/>
        <c:axId val="2016616399"/>
        <c:axId val="0"/>
      </c:bar3DChart>
      <c:catAx>
        <c:axId val="2016615983"/>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lgn="ctr">
              <a:defRPr lang="en-US" sz="1000" b="0" i="0" u="none" strike="noStrike" kern="1200" cap="none" spc="0" normalizeH="0" baseline="0">
                <a:solidFill>
                  <a:schemeClr val="tx1">
                    <a:lumMod val="95000"/>
                    <a:lumOff val="5000"/>
                  </a:schemeClr>
                </a:solidFill>
                <a:latin typeface="Arial" panose="020B0604020202020204" pitchFamily="34" charset="0"/>
                <a:ea typeface="+mn-ea"/>
                <a:cs typeface="Arial" panose="020B0604020202020204" pitchFamily="34" charset="0"/>
              </a:defRPr>
            </a:pPr>
            <a:endParaRPr lang="en-US"/>
          </a:p>
        </c:txPr>
        <c:crossAx val="2016616399"/>
        <c:crosses val="autoZero"/>
        <c:auto val="1"/>
        <c:lblAlgn val="ctr"/>
        <c:lblOffset val="100"/>
        <c:noMultiLvlLbl val="0"/>
      </c:catAx>
      <c:valAx>
        <c:axId val="2016616399"/>
        <c:scaling>
          <c:orientation val="minMax"/>
        </c:scaling>
        <c:delete val="1"/>
        <c:axPos val="l"/>
        <c:numFmt formatCode="General" sourceLinked="1"/>
        <c:majorTickMark val="none"/>
        <c:minorTickMark val="none"/>
        <c:tickLblPos val="nextTo"/>
        <c:crossAx val="2016615983"/>
        <c:crosses val="autoZero"/>
        <c:crossBetween val="between"/>
      </c:valAx>
      <c:spPr>
        <a:noFill/>
        <a:ln>
          <a:noFill/>
        </a:ln>
        <a:effectLst/>
      </c:spPr>
    </c:plotArea>
    <c:legend>
      <c:legendPos val="r"/>
      <c:layout>
        <c:manualLayout>
          <c:xMode val="edge"/>
          <c:yMode val="edge"/>
          <c:x val="0.53232105039926203"/>
          <c:y val="1.9115248305826175E-2"/>
          <c:w val="0.45530974350163594"/>
          <c:h val="0.11797150603941105"/>
        </c:manualLayout>
      </c:layout>
      <c:overlay val="0"/>
      <c:spPr>
        <a:noFill/>
        <a:ln>
          <a:noFill/>
        </a:ln>
        <a:effectLst/>
      </c:spPr>
      <c:txPr>
        <a:bodyPr rot="0" spcFirstLastPara="1" vertOverflow="ellipsis" vert="horz" wrap="square" anchor="ctr" anchorCtr="1"/>
        <a:lstStyle/>
        <a:p>
          <a:pPr>
            <a:defRPr lang="en-US" sz="1000" b="0" i="0" u="none" strike="noStrike" kern="1200" baseline="0">
              <a:ln>
                <a:noFill/>
              </a:ln>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1" i="0" u="none" strike="noStrike" kern="1200" spc="0" baseline="0">
                <a:solidFill>
                  <a:srgbClr val="002060"/>
                </a:solidFill>
                <a:latin typeface="Segoe UI" panose="020B0502040204020203" pitchFamily="34" charset="0"/>
                <a:ea typeface="+mn-ea"/>
                <a:cs typeface="Segoe UI" panose="020B0502040204020203" pitchFamily="34" charset="0"/>
              </a:defRPr>
            </a:pPr>
            <a:r>
              <a:rPr lang="en-US" sz="1400" b="1">
                <a:solidFill>
                  <a:srgbClr val="002060"/>
                </a:solidFill>
                <a:latin typeface="Segoe UI" panose="020B0502040204020203" pitchFamily="34" charset="0"/>
                <a:cs typeface="Segoe UI" panose="020B0502040204020203" pitchFamily="34" charset="0"/>
              </a:rPr>
              <a:t>Commissioning</a:t>
            </a:r>
            <a:r>
              <a:rPr lang="en-US" sz="1400" b="1" baseline="0">
                <a:solidFill>
                  <a:srgbClr val="002060"/>
                </a:solidFill>
                <a:latin typeface="Segoe UI" panose="020B0502040204020203" pitchFamily="34" charset="0"/>
                <a:cs typeface="Segoe UI" panose="020B0502040204020203" pitchFamily="34" charset="0"/>
              </a:rPr>
              <a:t> Record</a:t>
            </a:r>
            <a:endParaRPr lang="en-US" sz="1400" b="1">
              <a:solidFill>
                <a:srgbClr val="002060"/>
              </a:solidFill>
              <a:latin typeface="Segoe UI" panose="020B0502040204020203" pitchFamily="34" charset="0"/>
              <a:cs typeface="Segoe UI" panose="020B0502040204020203" pitchFamily="34" charset="0"/>
            </a:endParaRPr>
          </a:p>
        </c:rich>
      </c:tx>
      <c:overlay val="1"/>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0.32723208327772579"/>
          <c:y val="0.24430076420005511"/>
          <c:w val="0.48743799768672985"/>
          <c:h val="0.63555451632081905"/>
        </c:manualLayout>
      </c:layout>
      <c:pieChart>
        <c:varyColors val="1"/>
        <c:ser>
          <c:idx val="0"/>
          <c:order val="0"/>
          <c:dPt>
            <c:idx val="0"/>
            <c:bubble3D val="0"/>
            <c:spPr>
              <a:solidFill>
                <a:srgbClr val="002F6C"/>
              </a:solidFill>
              <a:ln w="0">
                <a:solidFill>
                  <a:schemeClr val="lt1"/>
                </a:solidFill>
              </a:ln>
              <a:effectLst/>
            </c:spPr>
            <c:extLst>
              <c:ext xmlns:c16="http://schemas.microsoft.com/office/drawing/2014/chart" uri="{C3380CC4-5D6E-409C-BE32-E72D297353CC}">
                <c16:uniqueId val="{00000001-601C-403B-9956-162A9F9F4856}"/>
              </c:ext>
            </c:extLst>
          </c:dPt>
          <c:dPt>
            <c:idx val="1"/>
            <c:bubble3D val="0"/>
            <c:spPr>
              <a:solidFill>
                <a:srgbClr val="FF6600"/>
              </a:solidFill>
              <a:ln w="19050">
                <a:solidFill>
                  <a:schemeClr val="lt1"/>
                </a:solidFill>
              </a:ln>
              <a:effectLst/>
            </c:spPr>
            <c:extLst>
              <c:ext xmlns:c16="http://schemas.microsoft.com/office/drawing/2014/chart" uri="{C3380CC4-5D6E-409C-BE32-E72D297353CC}">
                <c16:uniqueId val="{00000003-601C-403B-9956-162A9F9F4856}"/>
              </c:ext>
            </c:extLst>
          </c:dPt>
          <c:dLbls>
            <c:dLbl>
              <c:idx val="0"/>
              <c:layout>
                <c:manualLayout>
                  <c:x val="5.285271471422117E-2"/>
                  <c:y val="-2.5676833550316278E-2"/>
                </c:manualLayout>
              </c:layout>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601C-403B-9956-162A9F9F4856}"/>
                </c:ext>
              </c:extLst>
            </c:dLbl>
            <c:dLbl>
              <c:idx val="1"/>
              <c:layout>
                <c:manualLayout>
                  <c:x val="-0.15275111114675896"/>
                  <c:y val="-9.4348271620895943E-2"/>
                </c:manualLayout>
              </c:layout>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601C-403B-9956-162A9F9F4856}"/>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bestFit"/>
            <c:showLegendKey val="0"/>
            <c:showVal val="1"/>
            <c:showCatName val="0"/>
            <c:showSerName val="0"/>
            <c:showPercent val="1"/>
            <c:showBubbleSize val="0"/>
            <c:separator>
</c:separator>
            <c:showLeaderLines val="1"/>
            <c:leaderLines>
              <c:spPr>
                <a:ln w="12700" cap="flat" cmpd="sng" algn="ctr">
                  <a:solidFill>
                    <a:srgbClr val="B01058"/>
                  </a:solidFill>
                  <a:round/>
                </a:ln>
                <a:effectLst/>
              </c:spPr>
            </c:leaderLines>
            <c:extLst>
              <c:ext xmlns:c15="http://schemas.microsoft.com/office/drawing/2012/chart" uri="{CE6537A1-D6FC-4f65-9D91-7224C49458BB}"/>
            </c:extLst>
          </c:dLbls>
          <c:cat>
            <c:strRef>
              <c:f>ANALYSIS!$K$5:$K$6</c:f>
              <c:strCache>
                <c:ptCount val="2"/>
                <c:pt idx="0">
                  <c:v>Total IC cards distributed</c:v>
                </c:pt>
                <c:pt idx="1">
                  <c:v>IC cards remaining for distribution.</c:v>
                </c:pt>
              </c:strCache>
            </c:strRef>
          </c:cat>
          <c:val>
            <c:numRef>
              <c:f>ANALYSIS!$L$5:$L$6</c:f>
              <c:numCache>
                <c:formatCode>General</c:formatCode>
                <c:ptCount val="2"/>
                <c:pt idx="0">
                  <c:v>45145</c:v>
                </c:pt>
                <c:pt idx="1">
                  <c:v>11760</c:v>
                </c:pt>
              </c:numCache>
            </c:numRef>
          </c:val>
          <c:extLst>
            <c:ext xmlns:c16="http://schemas.microsoft.com/office/drawing/2014/chart" uri="{C3380CC4-5D6E-409C-BE32-E72D297353CC}">
              <c16:uniqueId val="{00000004-601C-403B-9956-162A9F9F4856}"/>
            </c:ext>
          </c:extLst>
        </c:ser>
        <c:dLbls>
          <c:dLblPos val="bestFit"/>
          <c:showLegendKey val="0"/>
          <c:showVal val="1"/>
          <c:showCatName val="0"/>
          <c:showSerName val="0"/>
          <c:showPercent val="0"/>
          <c:showBubbleSize val="0"/>
          <c:showLeaderLines val="1"/>
        </c:dLbls>
        <c:firstSliceAng val="340"/>
      </c:pieChart>
      <c:spPr>
        <a:noFill/>
        <a:ln>
          <a:noFill/>
        </a:ln>
        <a:effectLst>
          <a:softEdge rad="0"/>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002060"/>
                </a:solidFill>
                <a:latin typeface="Segoe UI" panose="020B0502040204020203" pitchFamily="34" charset="0"/>
                <a:ea typeface="+mn-ea"/>
                <a:cs typeface="Segoe UI" panose="020B0502040204020203" pitchFamily="34" charset="0"/>
              </a:defRPr>
            </a:pPr>
            <a:r>
              <a:rPr lang="en-US" b="1">
                <a:solidFill>
                  <a:srgbClr val="002060"/>
                </a:solidFill>
                <a:latin typeface="Segoe UI" panose="020B0502040204020203" pitchFamily="34" charset="0"/>
                <a:cs typeface="Segoe UI" panose="020B0502040204020203" pitchFamily="34" charset="0"/>
              </a:rPr>
              <a:t>Total</a:t>
            </a:r>
            <a:r>
              <a:rPr lang="en-US" b="1" baseline="0">
                <a:solidFill>
                  <a:srgbClr val="002060"/>
                </a:solidFill>
                <a:latin typeface="Segoe UI" panose="020B0502040204020203" pitchFamily="34" charset="0"/>
                <a:cs typeface="Segoe UI" panose="020B0502040204020203" pitchFamily="34" charset="0"/>
              </a:rPr>
              <a:t> Tag Record</a:t>
            </a:r>
          </a:p>
        </c:rich>
      </c:tx>
      <c:layout>
        <c:manualLayout>
          <c:xMode val="edge"/>
          <c:yMode val="edge"/>
          <c:x val="0.32439593947815348"/>
          <c:y val="1.8674136321195144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0.27541713535808027"/>
          <c:y val="0.23994316886859732"/>
          <c:w val="0.47367553320540817"/>
          <c:h val="0.63156737760721082"/>
        </c:manualLayout>
      </c:layout>
      <c:pieChart>
        <c:varyColors val="1"/>
        <c:ser>
          <c:idx val="0"/>
          <c:order val="0"/>
          <c:dPt>
            <c:idx val="0"/>
            <c:bubble3D val="0"/>
            <c:spPr>
              <a:solidFill>
                <a:srgbClr val="002F6C"/>
              </a:solidFill>
              <a:ln w="19050">
                <a:solidFill>
                  <a:schemeClr val="lt1"/>
                </a:solidFill>
              </a:ln>
              <a:effectLst/>
            </c:spPr>
            <c:extLst>
              <c:ext xmlns:c16="http://schemas.microsoft.com/office/drawing/2014/chart" uri="{C3380CC4-5D6E-409C-BE32-E72D297353CC}">
                <c16:uniqueId val="{00000001-714E-4BF3-B58D-84F0E620A391}"/>
              </c:ext>
            </c:extLst>
          </c:dPt>
          <c:dPt>
            <c:idx val="1"/>
            <c:bubble3D val="0"/>
            <c:spPr>
              <a:solidFill>
                <a:srgbClr val="FF6600"/>
              </a:solidFill>
              <a:ln w="19050">
                <a:solidFill>
                  <a:schemeClr val="lt1"/>
                </a:solidFill>
              </a:ln>
              <a:effectLst/>
            </c:spPr>
            <c:extLst>
              <c:ext xmlns:c16="http://schemas.microsoft.com/office/drawing/2014/chart" uri="{C3380CC4-5D6E-409C-BE32-E72D297353CC}">
                <c16:uniqueId val="{00000003-714E-4BF3-B58D-84F0E620A391}"/>
              </c:ext>
            </c:extLst>
          </c:dPt>
          <c:dLbls>
            <c:dLbl>
              <c:idx val="0"/>
              <c:layout>
                <c:manualLayout>
                  <c:x val="0.31544806899137595"/>
                  <c:y val="3.0737334303800261E-2"/>
                </c:manualLayout>
              </c:layout>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714E-4BF3-B58D-84F0E620A391}"/>
                </c:ext>
              </c:extLst>
            </c:dLbl>
            <c:dLbl>
              <c:idx val="1"/>
              <c:layout>
                <c:manualLayout>
                  <c:x val="-9.5801022577302233E-2"/>
                  <c:y val="-0.28385720938108544"/>
                </c:manualLayout>
              </c:layout>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714E-4BF3-B58D-84F0E620A391}"/>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bestFit"/>
            <c:showLegendKey val="0"/>
            <c:showVal val="1"/>
            <c:showCatName val="0"/>
            <c:showSerName val="0"/>
            <c:showPercent val="1"/>
            <c:showBubbleSize val="0"/>
            <c:separator>
</c:separator>
            <c:showLeaderLines val="1"/>
            <c:leaderLines>
              <c:spPr>
                <a:ln w="12700" cap="flat" cmpd="sng" algn="ctr">
                  <a:solidFill>
                    <a:srgbClr val="B01058"/>
                  </a:solidFill>
                  <a:prstDash val="solid"/>
                  <a:miter lim="800000"/>
                </a:ln>
                <a:effectLst/>
              </c:spPr>
            </c:leaderLines>
            <c:extLst>
              <c:ext xmlns:c15="http://schemas.microsoft.com/office/drawing/2012/chart" uri="{CE6537A1-D6FC-4f65-9D91-7224C49458BB}"/>
            </c:extLst>
          </c:dLbls>
          <c:cat>
            <c:strRef>
              <c:f>ANALYSIS!$P$5:$P$6</c:f>
              <c:strCache>
                <c:ptCount val="2"/>
                <c:pt idx="0">
                  <c:v>Total Tags Distributed</c:v>
                </c:pt>
                <c:pt idx="1">
                  <c:v>Tags remaining for distribution</c:v>
                </c:pt>
              </c:strCache>
            </c:strRef>
          </c:cat>
          <c:val>
            <c:numRef>
              <c:f>ANALYSIS!$Q$5:$Q$6</c:f>
              <c:numCache>
                <c:formatCode>General</c:formatCode>
                <c:ptCount val="2"/>
                <c:pt idx="0">
                  <c:v>35730</c:v>
                </c:pt>
                <c:pt idx="1">
                  <c:v>21175</c:v>
                </c:pt>
              </c:numCache>
            </c:numRef>
          </c:val>
          <c:extLst>
            <c:ext xmlns:c16="http://schemas.microsoft.com/office/drawing/2014/chart" uri="{C3380CC4-5D6E-409C-BE32-E72D297353CC}">
              <c16:uniqueId val="{00000004-714E-4BF3-B58D-84F0E620A39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002060"/>
                </a:solidFill>
                <a:latin typeface="Segoe UI" panose="020B0502040204020203" pitchFamily="34" charset="0"/>
                <a:ea typeface="+mn-ea"/>
                <a:cs typeface="Segoe UI" panose="020B0502040204020203" pitchFamily="34" charset="0"/>
              </a:defRPr>
            </a:pPr>
            <a:r>
              <a:rPr lang="en-US" b="1">
                <a:solidFill>
                  <a:srgbClr val="002060"/>
                </a:solidFill>
                <a:latin typeface="Segoe UI" panose="020B0502040204020203" pitchFamily="34" charset="0"/>
                <a:cs typeface="Segoe UI" panose="020B0502040204020203" pitchFamily="34" charset="0"/>
              </a:rPr>
              <a:t>Total</a:t>
            </a:r>
            <a:r>
              <a:rPr lang="en-US" b="1" baseline="0">
                <a:solidFill>
                  <a:srgbClr val="002060"/>
                </a:solidFill>
                <a:latin typeface="Segoe UI" panose="020B0502040204020203" pitchFamily="34" charset="0"/>
                <a:cs typeface="Segoe UI" panose="020B0502040204020203" pitchFamily="34" charset="0"/>
              </a:rPr>
              <a:t> Lad-Seal Record</a:t>
            </a:r>
            <a:endParaRPr lang="en-US" b="1">
              <a:solidFill>
                <a:srgbClr val="002060"/>
              </a:solidFill>
              <a:latin typeface="Segoe UI" panose="020B0502040204020203" pitchFamily="34" charset="0"/>
              <a:cs typeface="Segoe UI" panose="020B0502040204020203" pitchFamily="34" charset="0"/>
            </a:endParaRPr>
          </a:p>
        </c:rich>
      </c:tx>
      <c:layout>
        <c:manualLayout>
          <c:xMode val="edge"/>
          <c:yMode val="edge"/>
          <c:x val="0.31114259920243453"/>
          <c:y val="2.401536983669548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0.28500286801898106"/>
          <c:y val="0.23064739385962921"/>
          <c:w val="0.51644575179810959"/>
          <c:h val="0.65337085025755071"/>
        </c:manualLayout>
      </c:layout>
      <c:pieChart>
        <c:varyColors val="1"/>
        <c:ser>
          <c:idx val="0"/>
          <c:order val="0"/>
          <c:dPt>
            <c:idx val="0"/>
            <c:bubble3D val="0"/>
            <c:spPr>
              <a:solidFill>
                <a:srgbClr val="002F6C"/>
              </a:solidFill>
              <a:ln w="19050">
                <a:solidFill>
                  <a:schemeClr val="lt1"/>
                </a:solidFill>
              </a:ln>
              <a:effectLst/>
            </c:spPr>
            <c:extLst>
              <c:ext xmlns:c16="http://schemas.microsoft.com/office/drawing/2014/chart" uri="{C3380CC4-5D6E-409C-BE32-E72D297353CC}">
                <c16:uniqueId val="{00000001-7FDC-49EB-8F0E-9B91FA21D635}"/>
              </c:ext>
            </c:extLst>
          </c:dPt>
          <c:dPt>
            <c:idx val="1"/>
            <c:bubble3D val="0"/>
            <c:spPr>
              <a:solidFill>
                <a:srgbClr val="FF6600"/>
              </a:solidFill>
              <a:ln w="19050">
                <a:solidFill>
                  <a:schemeClr val="lt1"/>
                </a:solidFill>
              </a:ln>
              <a:effectLst/>
            </c:spPr>
            <c:extLst>
              <c:ext xmlns:c16="http://schemas.microsoft.com/office/drawing/2014/chart" uri="{C3380CC4-5D6E-409C-BE32-E72D297353CC}">
                <c16:uniqueId val="{00000003-7FDC-49EB-8F0E-9B91FA21D635}"/>
              </c:ext>
            </c:extLst>
          </c:dPt>
          <c:dLbls>
            <c:dLbl>
              <c:idx val="0"/>
              <c:layout>
                <c:manualLayout>
                  <c:x val="0.30187288697472314"/>
                  <c:y val="1.1432479390780377E-2"/>
                </c:manualLayout>
              </c:layout>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7FDC-49EB-8F0E-9B91FA21D635}"/>
                </c:ext>
              </c:extLst>
            </c:dLbl>
            <c:dLbl>
              <c:idx val="1"/>
              <c:layout>
                <c:manualLayout>
                  <c:x val="-0.1686369878055137"/>
                  <c:y val="-0.1638376024565753"/>
                </c:manualLayout>
              </c:layout>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7FDC-49EB-8F0E-9B91FA21D635}"/>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bestFit"/>
            <c:showLegendKey val="0"/>
            <c:showVal val="1"/>
            <c:showCatName val="0"/>
            <c:showSerName val="0"/>
            <c:showPercent val="1"/>
            <c:showBubbleSize val="0"/>
            <c:separator>
</c:separator>
            <c:showLeaderLines val="1"/>
            <c:leaderLines>
              <c:spPr>
                <a:ln w="6350" cap="flat" cmpd="sng" algn="ctr">
                  <a:solidFill>
                    <a:schemeClr val="accent2"/>
                  </a:solidFill>
                  <a:prstDash val="solid"/>
                  <a:miter lim="800000"/>
                </a:ln>
                <a:effectLst/>
              </c:spPr>
            </c:leaderLines>
            <c:extLst>
              <c:ext xmlns:c15="http://schemas.microsoft.com/office/drawing/2012/chart" uri="{CE6537A1-D6FC-4f65-9D91-7224C49458BB}"/>
            </c:extLst>
          </c:dLbls>
          <c:cat>
            <c:strRef>
              <c:f>ANALYSIS!$U$5:$U$6</c:f>
              <c:strCache>
                <c:ptCount val="2"/>
                <c:pt idx="0">
                  <c:v>Total Lad-Seal Distr.</c:v>
                </c:pt>
                <c:pt idx="1">
                  <c:v>Left. Lad-Seal for Distri.</c:v>
                </c:pt>
              </c:strCache>
            </c:strRef>
          </c:cat>
          <c:val>
            <c:numRef>
              <c:f>ANALYSIS!$V$5:$V$6</c:f>
              <c:numCache>
                <c:formatCode>General</c:formatCode>
                <c:ptCount val="2"/>
                <c:pt idx="0">
                  <c:v>5724</c:v>
                </c:pt>
                <c:pt idx="1">
                  <c:v>51181</c:v>
                </c:pt>
              </c:numCache>
            </c:numRef>
          </c:val>
          <c:extLst>
            <c:ext xmlns:c16="http://schemas.microsoft.com/office/drawing/2014/chart" uri="{C3380CC4-5D6E-409C-BE32-E72D297353CC}">
              <c16:uniqueId val="{00000004-7FDC-49EB-8F0E-9B91FA21D635}"/>
            </c:ext>
          </c:extLst>
        </c:ser>
        <c:dLbls>
          <c:dLblPos val="bestFit"/>
          <c:showLegendKey val="0"/>
          <c:showVal val="1"/>
          <c:showCatName val="0"/>
          <c:showSerName val="0"/>
          <c:showPercent val="0"/>
          <c:showBubbleSize val="0"/>
          <c:showLeaderLines val="1"/>
        </c:dLbls>
        <c:firstSliceAng val="97"/>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002060"/>
                </a:solidFill>
                <a:latin typeface="Segoe UI" panose="020B0502040204020203" pitchFamily="34" charset="0"/>
                <a:ea typeface="+mn-ea"/>
                <a:cs typeface="Segoe UI" panose="020B0502040204020203" pitchFamily="34" charset="0"/>
              </a:defRPr>
            </a:pPr>
            <a:r>
              <a:rPr lang="en-US" b="1">
                <a:solidFill>
                  <a:srgbClr val="002060"/>
                </a:solidFill>
                <a:latin typeface="Segoe UI" panose="020B0502040204020203" pitchFamily="34" charset="0"/>
                <a:cs typeface="Segoe UI" panose="020B0502040204020203" pitchFamily="34" charset="0"/>
              </a:rPr>
              <a:t>Emergency Call Record</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0"/>
          <c:y val="0.14033873205837222"/>
          <c:w val="0.99559160029768845"/>
          <c:h val="0.65944209285966704"/>
        </c:manualLayout>
      </c:layout>
      <c:barChart>
        <c:barDir val="col"/>
        <c:grouping val="clustered"/>
        <c:varyColors val="0"/>
        <c:ser>
          <c:idx val="0"/>
          <c:order val="0"/>
          <c:spPr>
            <a:solidFill>
              <a:srgbClr val="C00000"/>
            </a:solidFill>
            <a:ln>
              <a:noFill/>
            </a:ln>
            <a:effectLst/>
          </c:spPr>
          <c:invertIfNegative val="0"/>
          <c:dPt>
            <c:idx val="0"/>
            <c:invertIfNegative val="0"/>
            <c:bubble3D val="0"/>
            <c:spPr>
              <a:solidFill>
                <a:srgbClr val="002060"/>
              </a:solidFill>
              <a:ln>
                <a:noFill/>
              </a:ln>
              <a:effectLst/>
            </c:spPr>
            <c:extLst>
              <c:ext xmlns:c16="http://schemas.microsoft.com/office/drawing/2014/chart" uri="{C3380CC4-5D6E-409C-BE32-E72D297353CC}">
                <c16:uniqueId val="{00000002-75DC-4073-8830-23E3F65CE469}"/>
              </c:ext>
            </c:extLst>
          </c:dPt>
          <c:dPt>
            <c:idx val="1"/>
            <c:invertIfNegative val="0"/>
            <c:bubble3D val="0"/>
            <c:spPr>
              <a:solidFill>
                <a:srgbClr val="B01058"/>
              </a:solidFill>
              <a:ln>
                <a:noFill/>
              </a:ln>
              <a:effectLst/>
            </c:spPr>
            <c:extLst>
              <c:ext xmlns:c16="http://schemas.microsoft.com/office/drawing/2014/chart" uri="{C3380CC4-5D6E-409C-BE32-E72D297353CC}">
                <c16:uniqueId val="{00000003-75DC-4073-8830-23E3F65CE469}"/>
              </c:ext>
            </c:extLst>
          </c:dPt>
          <c:dPt>
            <c:idx val="2"/>
            <c:invertIfNegative val="0"/>
            <c:bubble3D val="0"/>
            <c:spPr>
              <a:solidFill>
                <a:srgbClr val="6600FF"/>
              </a:solidFill>
              <a:ln>
                <a:noFill/>
              </a:ln>
              <a:effectLst/>
            </c:spPr>
            <c:extLst>
              <c:ext xmlns:c16="http://schemas.microsoft.com/office/drawing/2014/chart" uri="{C3380CC4-5D6E-409C-BE32-E72D297353CC}">
                <c16:uniqueId val="{00000004-75DC-4073-8830-23E3F65CE469}"/>
              </c:ext>
            </c:extLst>
          </c:dPt>
          <c:dLbls>
            <c:dLbl>
              <c:idx val="0"/>
              <c:layout>
                <c:manualLayout>
                  <c:x val="0"/>
                  <c:y val="-3.40071729696529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5DC-4073-8830-23E3F65CE469}"/>
                </c:ext>
              </c:extLst>
            </c:dLbl>
            <c:dLbl>
              <c:idx val="1"/>
              <c:layout>
                <c:manualLayout>
                  <c:x val="0"/>
                  <c:y val="-2.97562763484463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5DC-4073-8830-23E3F65CE469}"/>
                </c:ext>
              </c:extLst>
            </c:dLbl>
            <c:dLbl>
              <c:idx val="2"/>
              <c:layout>
                <c:manualLayout>
                  <c:x val="0"/>
                  <c:y val="-3.40071729696529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5DC-4073-8830-23E3F65CE469}"/>
                </c:ext>
              </c:extLst>
            </c:dLbl>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ANALYSIS!$BC$1:$BE$1</c:f>
              <c:strCache>
                <c:ptCount val="3"/>
                <c:pt idx="0">
                  <c:v>Total calls received (Complain)</c:v>
                </c:pt>
                <c:pt idx="1">
                  <c:v>Problems solved over the phone</c:v>
                </c:pt>
                <c:pt idx="2">
                  <c:v>Problems solved on-site</c:v>
                </c:pt>
              </c:strCache>
            </c:strRef>
          </c:cat>
          <c:val>
            <c:numRef>
              <c:f>ANALYSIS!$BC$2:$BE$2</c:f>
              <c:numCache>
                <c:formatCode>General</c:formatCode>
                <c:ptCount val="3"/>
                <c:pt idx="0">
                  <c:v>16446</c:v>
                </c:pt>
                <c:pt idx="1">
                  <c:v>14612</c:v>
                </c:pt>
                <c:pt idx="2">
                  <c:v>1834</c:v>
                </c:pt>
              </c:numCache>
            </c:numRef>
          </c:val>
          <c:extLst>
            <c:ext xmlns:c16="http://schemas.microsoft.com/office/drawing/2014/chart" uri="{C3380CC4-5D6E-409C-BE32-E72D297353CC}">
              <c16:uniqueId val="{00000000-75DC-4073-8830-23E3F65CE469}"/>
            </c:ext>
          </c:extLst>
        </c:ser>
        <c:dLbls>
          <c:dLblPos val="outEnd"/>
          <c:showLegendKey val="0"/>
          <c:showVal val="1"/>
          <c:showCatName val="0"/>
          <c:showSerName val="0"/>
          <c:showPercent val="0"/>
          <c:showBubbleSize val="0"/>
        </c:dLbls>
        <c:gapWidth val="219"/>
        <c:overlap val="-27"/>
        <c:axId val="2010709232"/>
        <c:axId val="2010702160"/>
      </c:barChart>
      <c:catAx>
        <c:axId val="20107092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2010702160"/>
        <c:crosses val="autoZero"/>
        <c:auto val="1"/>
        <c:lblAlgn val="ctr"/>
        <c:lblOffset val="100"/>
        <c:noMultiLvlLbl val="0"/>
      </c:catAx>
      <c:valAx>
        <c:axId val="2010702160"/>
        <c:scaling>
          <c:orientation val="minMax"/>
        </c:scaling>
        <c:delete val="1"/>
        <c:axPos val="l"/>
        <c:numFmt formatCode="General" sourceLinked="1"/>
        <c:majorTickMark val="out"/>
        <c:minorTickMark val="none"/>
        <c:tickLblPos val="nextTo"/>
        <c:crossAx val="201070923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orientation="portrait"/>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GB" sz="1400" b="1" i="0" u="none" strike="noStrike" kern="1200" spc="0" baseline="0">
                <a:solidFill>
                  <a:srgbClr val="002060"/>
                </a:solidFill>
                <a:latin typeface="Segoe UI" panose="020B0502040204020203" pitchFamily="34" charset="0"/>
                <a:ea typeface="+mn-ea"/>
                <a:cs typeface="Segoe UI" panose="020B0502040204020203" pitchFamily="34" charset="0"/>
              </a:defRPr>
            </a:pPr>
            <a:r>
              <a:rPr lang="en-GB" sz="1400" b="1" i="0" u="none" strike="noStrike" kern="1200" spc="0" baseline="0" dirty="0">
                <a:solidFill>
                  <a:srgbClr val="002060"/>
                </a:solidFill>
                <a:latin typeface="Segoe UI" panose="020B0502040204020203" pitchFamily="34" charset="0"/>
                <a:ea typeface="+mn-ea"/>
                <a:cs typeface="Segoe UI" panose="020B0502040204020203" pitchFamily="34" charset="0"/>
              </a:rPr>
              <a:t>Thana Wise Meter Installation Records</a:t>
            </a:r>
          </a:p>
        </c:rich>
      </c:tx>
      <c:layout>
        <c:manualLayout>
          <c:xMode val="edge"/>
          <c:yMode val="edge"/>
          <c:x val="0.33838308885279023"/>
          <c:y val="5.2427958861081918E-3"/>
        </c:manualLayout>
      </c:layout>
      <c:overlay val="0"/>
      <c:spPr>
        <a:noFill/>
        <a:ln>
          <a:noFill/>
        </a:ln>
        <a:effectLst/>
      </c:spPr>
      <c:txPr>
        <a:bodyPr rot="0" spcFirstLastPara="1" vertOverflow="ellipsis" vert="horz" wrap="square" anchor="ctr" anchorCtr="1"/>
        <a:lstStyle/>
        <a:p>
          <a:pPr>
            <a:defRPr lang="en-GB" sz="1400" b="1" i="0" u="none" strike="noStrike" kern="1200" spc="0" baseline="0">
              <a:solidFill>
                <a:srgbClr val="002060"/>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2.9936197789585676E-2"/>
          <c:y val="0.10789631943623351"/>
          <c:w val="0.97006380221041433"/>
          <c:h val="0.51477601965482944"/>
        </c:manualLayout>
      </c:layout>
      <c:barChart>
        <c:barDir val="col"/>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spPr>
              <a:solidFill>
                <a:srgbClr val="C00000"/>
              </a:solidFill>
              <a:ln w="9525" cap="flat" cmpd="sng" algn="ctr">
                <a:solidFill>
                  <a:schemeClr val="lt1">
                    <a:alpha val="50000"/>
                  </a:schemeClr>
                </a:solidFill>
                <a:round/>
              </a:ln>
              <a:effectLst/>
            </c:spPr>
            <c:extLst>
              <c:ext xmlns:c16="http://schemas.microsoft.com/office/drawing/2014/chart" uri="{C3380CC4-5D6E-409C-BE32-E72D297353CC}">
                <c16:uniqueId val="{00000002-629D-4003-AC06-A37C5D17132B}"/>
              </c:ext>
            </c:extLst>
          </c:dPt>
          <c:dPt>
            <c:idx val="2"/>
            <c:invertIfNegative val="0"/>
            <c:bubble3D val="0"/>
            <c:spPr>
              <a:solidFill>
                <a:srgbClr val="FFC000"/>
              </a:solidFill>
              <a:ln w="9525" cap="flat" cmpd="sng" algn="ctr">
                <a:solidFill>
                  <a:schemeClr val="lt1">
                    <a:alpha val="50000"/>
                  </a:schemeClr>
                </a:solidFill>
                <a:round/>
              </a:ln>
              <a:effectLst/>
            </c:spPr>
            <c:extLst>
              <c:ext xmlns:c16="http://schemas.microsoft.com/office/drawing/2014/chart" uri="{C3380CC4-5D6E-409C-BE32-E72D297353CC}">
                <c16:uniqueId val="{00000003-629D-4003-AC06-A37C5D17132B}"/>
              </c:ext>
            </c:extLst>
          </c:dPt>
          <c:dPt>
            <c:idx val="3"/>
            <c:invertIfNegative val="0"/>
            <c:bubble3D val="0"/>
            <c:spPr>
              <a:solidFill>
                <a:schemeClr val="accent2">
                  <a:lumMod val="7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4-629D-4003-AC06-A37C5D17132B}"/>
              </c:ext>
            </c:extLst>
          </c:dPt>
          <c:dPt>
            <c:idx val="4"/>
            <c:invertIfNegative val="0"/>
            <c:bubble3D val="0"/>
            <c:spPr>
              <a:solidFill>
                <a:schemeClr val="accent2">
                  <a:lumMod val="60000"/>
                  <a:lumOff val="40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5-629D-4003-AC06-A37C5D17132B}"/>
              </c:ext>
            </c:extLst>
          </c:dPt>
          <c:dPt>
            <c:idx val="6"/>
            <c:invertIfNegative val="0"/>
            <c:bubble3D val="0"/>
            <c:spPr>
              <a:solidFill>
                <a:schemeClr val="accent5">
                  <a:lumMod val="7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6-629D-4003-AC06-A37C5D17132B}"/>
              </c:ext>
            </c:extLst>
          </c:dPt>
          <c:dPt>
            <c:idx val="7"/>
            <c:invertIfNegative val="0"/>
            <c:bubble3D val="0"/>
            <c:spPr>
              <a:solidFill>
                <a:schemeClr val="accent6">
                  <a:lumMod val="7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7-629D-4003-AC06-A37C5D17132B}"/>
              </c:ext>
            </c:extLst>
          </c:dPt>
          <c:dPt>
            <c:idx val="8"/>
            <c:invertIfNegative val="0"/>
            <c:bubble3D val="0"/>
            <c:spPr>
              <a:solidFill>
                <a:schemeClr val="accent2">
                  <a:lumMod val="7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8-629D-4003-AC06-A37C5D17132B}"/>
              </c:ext>
            </c:extLst>
          </c:dPt>
          <c:dPt>
            <c:idx val="9"/>
            <c:invertIfNegative val="0"/>
            <c:bubble3D val="0"/>
            <c:spPr>
              <a:solidFill>
                <a:schemeClr val="accent4"/>
              </a:solidFill>
              <a:ln w="9525" cap="flat" cmpd="sng" algn="ctr">
                <a:solidFill>
                  <a:schemeClr val="lt1">
                    <a:alpha val="50000"/>
                  </a:schemeClr>
                </a:solidFill>
                <a:round/>
              </a:ln>
              <a:effectLst/>
            </c:spPr>
            <c:extLst>
              <c:ext xmlns:c16="http://schemas.microsoft.com/office/drawing/2014/chart" uri="{C3380CC4-5D6E-409C-BE32-E72D297353CC}">
                <c16:uniqueId val="{00000009-629D-4003-AC06-A37C5D17132B}"/>
              </c:ext>
            </c:extLst>
          </c:dPt>
          <c:dPt>
            <c:idx val="10"/>
            <c:invertIfNegative val="0"/>
            <c:bubble3D val="0"/>
            <c:spPr>
              <a:solidFill>
                <a:schemeClr val="accent1">
                  <a:alpha val="85000"/>
                </a:schemeClr>
              </a:solidFill>
              <a:ln w="9525" cap="flat" cmpd="sng" algn="ctr">
                <a:solidFill>
                  <a:schemeClr val="accent1">
                    <a:lumMod val="75000"/>
                  </a:schemeClr>
                </a:solidFill>
                <a:round/>
              </a:ln>
              <a:effectLst/>
            </c:spPr>
            <c:extLst>
              <c:ext xmlns:c16="http://schemas.microsoft.com/office/drawing/2014/chart" uri="{C3380CC4-5D6E-409C-BE32-E72D297353CC}">
                <c16:uniqueId val="{0000000A-629D-4003-AC06-A37C5D17132B}"/>
              </c:ext>
            </c:extLst>
          </c:dPt>
          <c:dPt>
            <c:idx val="11"/>
            <c:invertIfNegative val="0"/>
            <c:bubble3D val="0"/>
            <c:spPr>
              <a:solidFill>
                <a:schemeClr val="accent4">
                  <a:lumMod val="7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B-629D-4003-AC06-A37C5D17132B}"/>
              </c:ext>
            </c:extLst>
          </c:dPt>
          <c:dPt>
            <c:idx val="12"/>
            <c:invertIfNegative val="0"/>
            <c:bubble3D val="0"/>
            <c:spPr>
              <a:solidFill>
                <a:schemeClr val="tx2">
                  <a:lumMod val="7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C-629D-4003-AC06-A37C5D17132B}"/>
              </c:ext>
            </c:extLst>
          </c:dPt>
          <c:dPt>
            <c:idx val="13"/>
            <c:invertIfNegative val="0"/>
            <c:bubble3D val="0"/>
            <c:spPr>
              <a:solidFill>
                <a:schemeClr val="accent5">
                  <a:lumMod val="50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D-629D-4003-AC06-A37C5D17132B}"/>
              </c:ext>
            </c:extLst>
          </c:dPt>
          <c:dPt>
            <c:idx val="14"/>
            <c:invertIfNegative val="0"/>
            <c:bubble3D val="0"/>
            <c:spPr>
              <a:solidFill>
                <a:srgbClr val="92D050"/>
              </a:solidFill>
              <a:ln w="9525" cap="flat" cmpd="sng" algn="ctr">
                <a:solidFill>
                  <a:schemeClr val="lt1">
                    <a:alpha val="50000"/>
                  </a:schemeClr>
                </a:solidFill>
                <a:round/>
              </a:ln>
              <a:effectLst/>
            </c:spPr>
            <c:extLst>
              <c:ext xmlns:c16="http://schemas.microsoft.com/office/drawing/2014/chart" uri="{C3380CC4-5D6E-409C-BE32-E72D297353CC}">
                <c16:uniqueId val="{0000000E-629D-4003-AC06-A37C5D17132B}"/>
              </c:ext>
            </c:extLst>
          </c:dPt>
          <c:dPt>
            <c:idx val="15"/>
            <c:invertIfNegative val="0"/>
            <c:bubble3D val="0"/>
            <c:spPr>
              <a:solidFill>
                <a:srgbClr val="6600CC"/>
              </a:solidFill>
              <a:ln w="9525" cap="flat" cmpd="sng" algn="ctr">
                <a:solidFill>
                  <a:schemeClr val="lt1">
                    <a:alpha val="50000"/>
                  </a:schemeClr>
                </a:solidFill>
                <a:round/>
              </a:ln>
              <a:effectLst/>
            </c:spPr>
            <c:extLst>
              <c:ext xmlns:c16="http://schemas.microsoft.com/office/drawing/2014/chart" uri="{C3380CC4-5D6E-409C-BE32-E72D297353CC}">
                <c16:uniqueId val="{00000015-629D-4003-AC06-A37C5D17132B}"/>
              </c:ext>
            </c:extLst>
          </c:dPt>
          <c:dPt>
            <c:idx val="16"/>
            <c:invertIfNegative val="0"/>
            <c:bubble3D val="0"/>
            <c:spPr>
              <a:solidFill>
                <a:srgbClr val="0070C0"/>
              </a:solidFill>
              <a:ln w="9525" cap="flat" cmpd="sng" algn="ctr">
                <a:solidFill>
                  <a:schemeClr val="lt1">
                    <a:alpha val="50000"/>
                  </a:schemeClr>
                </a:solidFill>
                <a:round/>
              </a:ln>
              <a:effectLst/>
            </c:spPr>
            <c:extLst>
              <c:ext xmlns:c16="http://schemas.microsoft.com/office/drawing/2014/chart" uri="{C3380CC4-5D6E-409C-BE32-E72D297353CC}">
                <c16:uniqueId val="{0000000F-629D-4003-AC06-A37C5D17132B}"/>
              </c:ext>
            </c:extLst>
          </c:dPt>
          <c:dPt>
            <c:idx val="17"/>
            <c:invertIfNegative val="0"/>
            <c:bubble3D val="0"/>
            <c:spPr>
              <a:solidFill>
                <a:srgbClr val="FFC000"/>
              </a:solidFill>
              <a:ln w="9525" cap="flat" cmpd="sng" algn="ctr">
                <a:solidFill>
                  <a:srgbClr val="FFC000"/>
                </a:solidFill>
                <a:round/>
              </a:ln>
              <a:effectLst/>
            </c:spPr>
            <c:extLst>
              <c:ext xmlns:c16="http://schemas.microsoft.com/office/drawing/2014/chart" uri="{C3380CC4-5D6E-409C-BE32-E72D297353CC}">
                <c16:uniqueId val="{00000010-629D-4003-AC06-A37C5D17132B}"/>
              </c:ext>
            </c:extLst>
          </c:dPt>
          <c:dPt>
            <c:idx val="18"/>
            <c:invertIfNegative val="0"/>
            <c:bubble3D val="0"/>
            <c:spPr>
              <a:solidFill>
                <a:srgbClr val="0070C0"/>
              </a:solidFill>
              <a:ln w="9525" cap="flat" cmpd="sng" algn="ctr">
                <a:solidFill>
                  <a:schemeClr val="lt1">
                    <a:alpha val="50000"/>
                  </a:schemeClr>
                </a:solidFill>
                <a:round/>
              </a:ln>
              <a:effectLst/>
            </c:spPr>
            <c:extLst>
              <c:ext xmlns:c16="http://schemas.microsoft.com/office/drawing/2014/chart" uri="{C3380CC4-5D6E-409C-BE32-E72D297353CC}">
                <c16:uniqueId val="{00000013-629D-4003-AC06-A37C5D17132B}"/>
              </c:ext>
            </c:extLst>
          </c:dPt>
          <c:dPt>
            <c:idx val="19"/>
            <c:invertIfNegative val="0"/>
            <c:bubble3D val="0"/>
            <c:spPr>
              <a:solidFill>
                <a:srgbClr val="7030A0"/>
              </a:solidFill>
              <a:ln w="9525" cap="flat" cmpd="sng" algn="ctr">
                <a:solidFill>
                  <a:schemeClr val="lt1">
                    <a:alpha val="50000"/>
                  </a:schemeClr>
                </a:solidFill>
                <a:round/>
              </a:ln>
              <a:effectLst/>
            </c:spPr>
            <c:extLst>
              <c:ext xmlns:c16="http://schemas.microsoft.com/office/drawing/2014/chart" uri="{C3380CC4-5D6E-409C-BE32-E72D297353CC}">
                <c16:uniqueId val="{00000014-629D-4003-AC06-A37C5D17132B}"/>
              </c:ext>
            </c:extLst>
          </c:dPt>
          <c:dPt>
            <c:idx val="20"/>
            <c:invertIfNegative val="0"/>
            <c:bubble3D val="0"/>
            <c:spPr>
              <a:solidFill>
                <a:srgbClr val="00B0F0"/>
              </a:solidFill>
              <a:ln w="9525" cap="flat" cmpd="sng" algn="ctr">
                <a:solidFill>
                  <a:schemeClr val="lt1">
                    <a:alpha val="50000"/>
                  </a:schemeClr>
                </a:solidFill>
                <a:round/>
              </a:ln>
              <a:effectLst/>
            </c:spPr>
            <c:extLst>
              <c:ext xmlns:c16="http://schemas.microsoft.com/office/drawing/2014/chart" uri="{C3380CC4-5D6E-409C-BE32-E72D297353CC}">
                <c16:uniqueId val="{00000011-629D-4003-AC06-A37C5D17132B}"/>
              </c:ext>
            </c:extLst>
          </c:dPt>
          <c:dPt>
            <c:idx val="21"/>
            <c:invertIfNegative val="0"/>
            <c:bubble3D val="0"/>
            <c:spPr>
              <a:solidFill>
                <a:schemeClr val="accent2">
                  <a:lumMod val="7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2-629D-4003-AC06-A37C5D17132B}"/>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ANALYSIS!$DD$2:$DD$23</c:f>
              <c:strCache>
                <c:ptCount val="22"/>
                <c:pt idx="0">
                  <c:v>AKBAR SHAH</c:v>
                </c:pt>
                <c:pt idx="1">
                  <c:v>ANOWARA</c:v>
                </c:pt>
                <c:pt idx="2">
                  <c:v>BAKOLIA</c:v>
                </c:pt>
                <c:pt idx="3">
                  <c:v>BANDAR</c:v>
                </c:pt>
                <c:pt idx="4">
                  <c:v>BAYAZID</c:v>
                </c:pt>
                <c:pt idx="5">
                  <c:v>BOALKHALI</c:v>
                </c:pt>
                <c:pt idx="6">
                  <c:v>CHANDGAON</c:v>
                </c:pt>
                <c:pt idx="7">
                  <c:v>CHAWKBAZAR</c:v>
                </c:pt>
                <c:pt idx="8">
                  <c:v>DOUBLE MOORING</c:v>
                </c:pt>
                <c:pt idx="9">
                  <c:v>EPZ</c:v>
                </c:pt>
                <c:pt idx="10">
                  <c:v>HALISHAHAR</c:v>
                </c:pt>
                <c:pt idx="11">
                  <c:v>HATHAZARI</c:v>
                </c:pt>
                <c:pt idx="12">
                  <c:v>KARNAPHULI</c:v>
                </c:pt>
                <c:pt idx="13">
                  <c:v>KHULSHI</c:v>
                </c:pt>
                <c:pt idx="14">
                  <c:v>KOTWALI</c:v>
                </c:pt>
                <c:pt idx="15">
                  <c:v>MIRSHARAI</c:v>
                </c:pt>
                <c:pt idx="16">
                  <c:v>PAHARTALI</c:v>
                </c:pt>
                <c:pt idx="17">
                  <c:v>PANCHLAISH</c:v>
                </c:pt>
                <c:pt idx="18">
                  <c:v>PATENGA</c:v>
                </c:pt>
                <c:pt idx="19">
                  <c:v>PATIYA</c:v>
                </c:pt>
                <c:pt idx="20">
                  <c:v>SADARGHAT</c:v>
                </c:pt>
                <c:pt idx="21">
                  <c:v>SITAKUNDA</c:v>
                </c:pt>
              </c:strCache>
            </c:strRef>
          </c:cat>
          <c:val>
            <c:numRef>
              <c:f>ANALYSIS!$DE$2:$DE$23</c:f>
              <c:numCache>
                <c:formatCode>General</c:formatCode>
                <c:ptCount val="22"/>
                <c:pt idx="0">
                  <c:v>3279</c:v>
                </c:pt>
                <c:pt idx="1">
                  <c:v>57</c:v>
                </c:pt>
                <c:pt idx="2">
                  <c:v>3784</c:v>
                </c:pt>
                <c:pt idx="3">
                  <c:v>1691</c:v>
                </c:pt>
                <c:pt idx="4">
                  <c:v>4313</c:v>
                </c:pt>
                <c:pt idx="5">
                  <c:v>1125</c:v>
                </c:pt>
                <c:pt idx="6">
                  <c:v>4708</c:v>
                </c:pt>
                <c:pt idx="7">
                  <c:v>1350</c:v>
                </c:pt>
                <c:pt idx="8">
                  <c:v>5403</c:v>
                </c:pt>
                <c:pt idx="9">
                  <c:v>451</c:v>
                </c:pt>
                <c:pt idx="10">
                  <c:v>7434</c:v>
                </c:pt>
                <c:pt idx="11">
                  <c:v>1290</c:v>
                </c:pt>
                <c:pt idx="12">
                  <c:v>262</c:v>
                </c:pt>
                <c:pt idx="13">
                  <c:v>3791</c:v>
                </c:pt>
                <c:pt idx="14">
                  <c:v>4750</c:v>
                </c:pt>
                <c:pt idx="15">
                  <c:v>91</c:v>
                </c:pt>
                <c:pt idx="16">
                  <c:v>4655</c:v>
                </c:pt>
                <c:pt idx="17">
                  <c:v>5038</c:v>
                </c:pt>
                <c:pt idx="18">
                  <c:v>226</c:v>
                </c:pt>
                <c:pt idx="19">
                  <c:v>266</c:v>
                </c:pt>
                <c:pt idx="20">
                  <c:v>1855</c:v>
                </c:pt>
                <c:pt idx="21">
                  <c:v>303</c:v>
                </c:pt>
              </c:numCache>
            </c:numRef>
          </c:val>
          <c:extLst>
            <c:ext xmlns:c16="http://schemas.microsoft.com/office/drawing/2014/chart" uri="{C3380CC4-5D6E-409C-BE32-E72D297353CC}">
              <c16:uniqueId val="{00000000-629D-4003-AC06-A37C5D17132B}"/>
            </c:ext>
          </c:extLst>
        </c:ser>
        <c:dLbls>
          <c:dLblPos val="outEnd"/>
          <c:showLegendKey val="0"/>
          <c:showVal val="1"/>
          <c:showCatName val="0"/>
          <c:showSerName val="0"/>
          <c:showPercent val="0"/>
          <c:showBubbleSize val="0"/>
        </c:dLbls>
        <c:gapWidth val="65"/>
        <c:axId val="1532048847"/>
        <c:axId val="1532048015"/>
      </c:barChart>
      <c:catAx>
        <c:axId val="153204884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lang="en-US" sz="1000" b="0" i="0" u="none" strike="noStrike" kern="1200" cap="all" baseline="0">
                <a:ln>
                  <a:noFill/>
                </a:ln>
                <a:solidFill>
                  <a:schemeClr val="tx1"/>
                </a:solidFill>
                <a:latin typeface="Arial" panose="020B0604020202020204" pitchFamily="34" charset="0"/>
                <a:ea typeface="+mn-ea"/>
                <a:cs typeface="Arial" panose="020B0604020202020204" pitchFamily="34" charset="0"/>
              </a:defRPr>
            </a:pPr>
            <a:endParaRPr lang="en-US"/>
          </a:p>
        </c:txPr>
        <c:crossAx val="1532048015"/>
        <c:crosses val="autoZero"/>
        <c:auto val="1"/>
        <c:lblAlgn val="ctr"/>
        <c:lblOffset val="100"/>
        <c:noMultiLvlLbl val="0"/>
      </c:catAx>
      <c:valAx>
        <c:axId val="1532048015"/>
        <c:scaling>
          <c:orientation val="minMax"/>
        </c:scaling>
        <c:delete val="1"/>
        <c:axPos val="l"/>
        <c:numFmt formatCode="General" sourceLinked="1"/>
        <c:majorTickMark val="none"/>
        <c:minorTickMark val="none"/>
        <c:tickLblPos val="nextTo"/>
        <c:crossAx val="1532048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GB" sz="1400" b="1" i="0" u="none" strike="noStrike" kern="1200" spc="0" baseline="0">
                <a:solidFill>
                  <a:srgbClr val="002060"/>
                </a:solidFill>
                <a:latin typeface="Segoe UI" panose="020B0502040204020203" pitchFamily="34" charset="0"/>
                <a:ea typeface="+mn-ea"/>
                <a:cs typeface="Segoe UI" panose="020B0502040204020203" pitchFamily="34" charset="0"/>
              </a:defRPr>
            </a:pPr>
            <a:r>
              <a:rPr lang="en-GB" sz="1400" b="1" i="0" u="none" strike="noStrike" kern="1200" spc="0" baseline="0">
                <a:solidFill>
                  <a:srgbClr val="002060"/>
                </a:solidFill>
                <a:latin typeface="Segoe UI" panose="020B0502040204020203" pitchFamily="34" charset="0"/>
                <a:ea typeface="+mn-ea"/>
                <a:cs typeface="Segoe UI" panose="020B0502040204020203" pitchFamily="34" charset="0"/>
              </a:rPr>
              <a:t>Survey Record</a:t>
            </a:r>
          </a:p>
        </c:rich>
      </c:tx>
      <c:overlay val="0"/>
      <c:spPr>
        <a:noFill/>
        <a:ln>
          <a:noFill/>
        </a:ln>
        <a:effectLst/>
      </c:spPr>
      <c:txPr>
        <a:bodyPr rot="0" spcFirstLastPara="1" vertOverflow="ellipsis" vert="horz" wrap="square" anchor="ctr" anchorCtr="1"/>
        <a:lstStyle/>
        <a:p>
          <a:pPr algn="ctr" rtl="0">
            <a:defRPr lang="en-GB" sz="1400" b="1" i="0" u="none" strike="noStrike" kern="1200" spc="0" baseline="0">
              <a:solidFill>
                <a:srgbClr val="002060"/>
              </a:solidFill>
              <a:latin typeface="Segoe UI" panose="020B0502040204020203" pitchFamily="34" charset="0"/>
              <a:ea typeface="+mn-ea"/>
              <a:cs typeface="Segoe UI" panose="020B0502040204020203" pitchFamily="34" charset="0"/>
            </a:defRPr>
          </a:pPr>
          <a:endParaRPr lang="en-US"/>
        </a:p>
      </c:txPr>
    </c:title>
    <c:autoTitleDeleted val="0"/>
    <c:plotArea>
      <c:layout/>
      <c:pieChart>
        <c:varyColors val="1"/>
        <c:ser>
          <c:idx val="0"/>
          <c:order val="0"/>
          <c:spPr>
            <a:solidFill>
              <a:srgbClr val="FF6600"/>
            </a:solidFill>
          </c:spPr>
          <c:dPt>
            <c:idx val="0"/>
            <c:bubble3D val="0"/>
            <c:spPr>
              <a:solidFill>
                <a:srgbClr val="002F6C"/>
              </a:solidFill>
              <a:ln w="19050">
                <a:solidFill>
                  <a:schemeClr val="lt1"/>
                </a:solidFill>
              </a:ln>
              <a:effectLst/>
            </c:spPr>
            <c:extLst>
              <c:ext xmlns:c16="http://schemas.microsoft.com/office/drawing/2014/chart" uri="{C3380CC4-5D6E-409C-BE32-E72D297353CC}">
                <c16:uniqueId val="{00000001-1789-4266-9821-AE4FB928E597}"/>
              </c:ext>
            </c:extLst>
          </c:dPt>
          <c:dPt>
            <c:idx val="1"/>
            <c:bubble3D val="0"/>
            <c:spPr>
              <a:solidFill>
                <a:srgbClr val="FF6600"/>
              </a:solidFill>
              <a:ln w="19050">
                <a:solidFill>
                  <a:schemeClr val="lt1"/>
                </a:solidFill>
              </a:ln>
              <a:effectLst/>
            </c:spPr>
            <c:extLst>
              <c:ext xmlns:c16="http://schemas.microsoft.com/office/drawing/2014/chart" uri="{C3380CC4-5D6E-409C-BE32-E72D297353CC}">
                <c16:uniqueId val="{00000003-1789-4266-9821-AE4FB928E597}"/>
              </c:ext>
            </c:extLst>
          </c:dPt>
          <c:dLbls>
            <c:dLbl>
              <c:idx val="0"/>
              <c:layout>
                <c:manualLayout>
                  <c:x val="0.11694352975251544"/>
                  <c:y val="-8.392846099998329E-17"/>
                </c:manualLayout>
              </c:layout>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1789-4266-9821-AE4FB928E597}"/>
                </c:ext>
              </c:extLst>
            </c:dLbl>
            <c:dLbl>
              <c:idx val="1"/>
              <c:layout>
                <c:manualLayout>
                  <c:x val="-0.17009967964002265"/>
                  <c:y val="-5.4935627268257466E-2"/>
                </c:manualLayout>
              </c:layout>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1789-4266-9821-AE4FB928E597}"/>
                </c:ext>
              </c:extLst>
            </c:dLbl>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1"/>
            <c:showBubbleSize val="0"/>
            <c:separator>
</c:separator>
            <c:showLeaderLines val="1"/>
            <c:leaderLines>
              <c:spPr>
                <a:ln w="12700" cap="flat" cmpd="sng" algn="ctr">
                  <a:solidFill>
                    <a:schemeClr val="accent2"/>
                  </a:solidFill>
                  <a:prstDash val="solid"/>
                  <a:miter lim="800000"/>
                </a:ln>
                <a:effectLst/>
              </c:spPr>
            </c:leaderLines>
            <c:extLst>
              <c:ext xmlns:c15="http://schemas.microsoft.com/office/drawing/2012/chart" uri="{CE6537A1-D6FC-4f65-9D91-7224C49458BB}"/>
            </c:extLst>
          </c:dLbls>
          <c:cat>
            <c:strRef>
              <c:f>ANALYSIS!$DK$2:$DK$3</c:f>
              <c:strCache>
                <c:ptCount val="2"/>
                <c:pt idx="0">
                  <c:v>Total surveys conducted</c:v>
                </c:pt>
                <c:pt idx="1">
                  <c:v>Meters with completed wiring</c:v>
                </c:pt>
              </c:strCache>
            </c:strRef>
          </c:cat>
          <c:val>
            <c:numRef>
              <c:f>ANALYSIS!$DL$2:$DL$3</c:f>
              <c:numCache>
                <c:formatCode>General</c:formatCode>
                <c:ptCount val="2"/>
                <c:pt idx="0">
                  <c:v>137889</c:v>
                </c:pt>
                <c:pt idx="1">
                  <c:v>48934</c:v>
                </c:pt>
              </c:numCache>
            </c:numRef>
          </c:val>
          <c:extLst>
            <c:ext xmlns:c16="http://schemas.microsoft.com/office/drawing/2014/chart" uri="{C3380CC4-5D6E-409C-BE32-E72D297353CC}">
              <c16:uniqueId val="{00000004-1789-4266-9821-AE4FB928E597}"/>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1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rgbClr val="002060"/>
                </a:solidFill>
                <a:latin typeface="Segoe UI" panose="020B0502040204020203" pitchFamily="34" charset="0"/>
                <a:ea typeface="+mn-ea"/>
                <a:cs typeface="Segoe UI" panose="020B0502040204020203" pitchFamily="34" charset="0"/>
              </a:defRPr>
            </a:pPr>
            <a:r>
              <a:rPr lang="en-US" sz="1400" b="1" i="0" u="none" strike="noStrike" kern="1200" spc="0" baseline="0">
                <a:solidFill>
                  <a:srgbClr val="002060"/>
                </a:solidFill>
                <a:latin typeface="Segoe UI" panose="020B0502040204020203" pitchFamily="34" charset="0"/>
                <a:ea typeface="+mn-ea"/>
                <a:cs typeface="Segoe UI" panose="020B0502040204020203" pitchFamily="34" charset="0"/>
              </a:rPr>
              <a:t>Total Shed &amp; Bracket Record</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rgbClr val="002060"/>
              </a:solidFill>
              <a:latin typeface="Segoe UI" panose="020B0502040204020203" pitchFamily="34" charset="0"/>
              <a:ea typeface="+mn-ea"/>
              <a:cs typeface="Segoe UI" panose="020B0502040204020203" pitchFamily="34" charset="0"/>
            </a:defRPr>
          </a:pPr>
          <a:endParaRPr lang="en-US"/>
        </a:p>
      </c:txPr>
    </c:title>
    <c:autoTitleDeleted val="0"/>
    <c:plotArea>
      <c:layout/>
      <c:barChart>
        <c:barDir val="col"/>
        <c:grouping val="clustered"/>
        <c:varyColors val="0"/>
        <c:ser>
          <c:idx val="0"/>
          <c:order val="0"/>
          <c:tx>
            <c:strRef>
              <c:f>ANALYSIS!$CA$2</c:f>
              <c:strCache>
                <c:ptCount val="1"/>
                <c:pt idx="0">
                  <c:v>With Shed</c:v>
                </c:pt>
              </c:strCache>
            </c:strRef>
          </c:tx>
          <c:spPr>
            <a:solidFill>
              <a:srgbClr val="002060"/>
            </a:solidFill>
            <a:ln>
              <a:noFill/>
            </a:ln>
            <a:effectLst/>
          </c:spPr>
          <c:invertIfNegative val="0"/>
          <c:dLbls>
            <c:dLbl>
              <c:idx val="0"/>
              <c:layout>
                <c:manualLayout>
                  <c:x val="0"/>
                  <c:y val="-3.240740740740748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F64-48D2-B3A6-C464BE193803}"/>
                </c:ext>
              </c:extLst>
            </c:dLbl>
            <c:spPr>
              <a:noFill/>
              <a:ln>
                <a:noFill/>
              </a:ln>
              <a:effectLst/>
            </c:spPr>
            <c:txPr>
              <a:bodyPr rot="0" spcFirstLastPara="1" vertOverflow="ellipsis" vert="horz" wrap="square" anchor="ctr" anchorCtr="0"/>
              <a:lstStyle/>
              <a:p>
                <a:pPr algn="ctr">
                  <a:defRPr lang="en-US"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accent2"/>
                      </a:solidFill>
                      <a:prstDash val="solid"/>
                      <a:miter lim="800000"/>
                    </a:ln>
                    <a:effectLst/>
                  </c:spPr>
                </c15:leaderLines>
              </c:ext>
            </c:extLst>
          </c:dLbls>
          <c:val>
            <c:numRef>
              <c:f>ANALYSIS!$CB$2</c:f>
              <c:numCache>
                <c:formatCode>General</c:formatCode>
                <c:ptCount val="1"/>
                <c:pt idx="0">
                  <c:v>5362</c:v>
                </c:pt>
              </c:numCache>
            </c:numRef>
          </c:val>
          <c:extLst>
            <c:ext xmlns:c16="http://schemas.microsoft.com/office/drawing/2014/chart" uri="{C3380CC4-5D6E-409C-BE32-E72D297353CC}">
              <c16:uniqueId val="{00000001-4F64-48D2-B3A6-C464BE193803}"/>
            </c:ext>
          </c:extLst>
        </c:ser>
        <c:ser>
          <c:idx val="1"/>
          <c:order val="1"/>
          <c:tx>
            <c:strRef>
              <c:f>ANALYSIS!$CA$3</c:f>
              <c:strCache>
                <c:ptCount val="1"/>
                <c:pt idx="0">
                  <c:v>With Out Shed</c:v>
                </c:pt>
              </c:strCache>
            </c:strRef>
          </c:tx>
          <c:spPr>
            <a:solidFill>
              <a:srgbClr val="B01058"/>
            </a:solidFill>
            <a:ln>
              <a:noFill/>
            </a:ln>
            <a:effectLst/>
          </c:spPr>
          <c:invertIfNegative val="0"/>
          <c:dLbls>
            <c:dLbl>
              <c:idx val="0"/>
              <c:layout>
                <c:manualLayout>
                  <c:x val="0"/>
                  <c:y val="-2.777777777777782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F64-48D2-B3A6-C464BE193803}"/>
                </c:ext>
              </c:extLst>
            </c:dLbl>
            <c:spPr>
              <a:noFill/>
              <a:ln>
                <a:noFill/>
              </a:ln>
              <a:effectLst/>
            </c:spPr>
            <c:txPr>
              <a:bodyPr rot="0" spcFirstLastPara="1" vertOverflow="ellipsis" vert="horz" wrap="square" anchor="ctr" anchorCtr="1"/>
              <a:lstStyle/>
              <a:p>
                <a:pPr algn="ctr">
                  <a:defRPr lang="en-US"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accent2"/>
                      </a:solidFill>
                      <a:prstDash val="solid"/>
                      <a:miter lim="800000"/>
                    </a:ln>
                    <a:effectLst/>
                  </c:spPr>
                </c15:leaderLines>
              </c:ext>
            </c:extLst>
          </c:dLbls>
          <c:val>
            <c:numRef>
              <c:f>ANALYSIS!$CB$3</c:f>
              <c:numCache>
                <c:formatCode>General</c:formatCode>
                <c:ptCount val="1"/>
                <c:pt idx="0">
                  <c:v>9058</c:v>
                </c:pt>
              </c:numCache>
            </c:numRef>
          </c:val>
          <c:extLst>
            <c:ext xmlns:c16="http://schemas.microsoft.com/office/drawing/2014/chart" uri="{C3380CC4-5D6E-409C-BE32-E72D297353CC}">
              <c16:uniqueId val="{00000003-4F64-48D2-B3A6-C464BE193803}"/>
            </c:ext>
          </c:extLst>
        </c:ser>
        <c:ser>
          <c:idx val="2"/>
          <c:order val="2"/>
          <c:tx>
            <c:strRef>
              <c:f>ANALYSIS!$CA$4</c:f>
              <c:strCache>
                <c:ptCount val="1"/>
                <c:pt idx="0">
                  <c:v>Total House</c:v>
                </c:pt>
              </c:strCache>
            </c:strRef>
          </c:tx>
          <c:spPr>
            <a:solidFill>
              <a:schemeClr val="accent3"/>
            </a:solidFill>
            <a:ln>
              <a:noFill/>
            </a:ln>
            <a:effectLst/>
          </c:spPr>
          <c:invertIfNegative val="0"/>
          <c:dLbls>
            <c:dLbl>
              <c:idx val="0"/>
              <c:layout>
                <c:manualLayout>
                  <c:x val="0"/>
                  <c:y val="-3.27836623912744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F64-48D2-B3A6-C464BE193803}"/>
                </c:ext>
              </c:extLst>
            </c:dLbl>
            <c:spPr>
              <a:noFill/>
              <a:ln>
                <a:noFill/>
              </a:ln>
              <a:effectLst/>
            </c:spPr>
            <c:txPr>
              <a:bodyPr rot="0" spcFirstLastPara="1" vertOverflow="ellipsis" vert="horz" wrap="square" anchor="ctr" anchorCtr="1"/>
              <a:lstStyle/>
              <a:p>
                <a:pPr algn="ctr">
                  <a:defRPr lang="en-US"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accent2"/>
                      </a:solidFill>
                      <a:prstDash val="solid"/>
                      <a:miter lim="800000"/>
                    </a:ln>
                    <a:effectLst/>
                  </c:spPr>
                </c15:leaderLines>
              </c:ext>
            </c:extLst>
          </c:dLbls>
          <c:val>
            <c:numRef>
              <c:f>ANALYSIS!$CB$4</c:f>
              <c:numCache>
                <c:formatCode>General</c:formatCode>
                <c:ptCount val="1"/>
                <c:pt idx="0">
                  <c:v>1569</c:v>
                </c:pt>
              </c:numCache>
            </c:numRef>
          </c:val>
          <c:extLst>
            <c:ext xmlns:c16="http://schemas.microsoft.com/office/drawing/2014/chart" uri="{C3380CC4-5D6E-409C-BE32-E72D297353CC}">
              <c16:uniqueId val="{00000005-4F64-48D2-B3A6-C464BE193803}"/>
            </c:ext>
          </c:extLst>
        </c:ser>
        <c:ser>
          <c:idx val="3"/>
          <c:order val="3"/>
          <c:tx>
            <c:strRef>
              <c:f>ANALYSIS!$CA$5</c:f>
              <c:strCache>
                <c:ptCount val="1"/>
                <c:pt idx="0">
                  <c:v>Total Meter</c:v>
                </c:pt>
              </c:strCache>
            </c:strRef>
          </c:tx>
          <c:spPr>
            <a:solidFill>
              <a:srgbClr val="DE4122"/>
            </a:solidFill>
            <a:ln>
              <a:noFill/>
            </a:ln>
            <a:effectLst/>
          </c:spPr>
          <c:invertIfNegative val="0"/>
          <c:dLbls>
            <c:dLbl>
              <c:idx val="0"/>
              <c:layout>
                <c:manualLayout>
                  <c:x val="0"/>
                  <c:y val="-2.8148031496062993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F64-48D2-B3A6-C464BE193803}"/>
                </c:ext>
              </c:extLst>
            </c:dLbl>
            <c:spPr>
              <a:noFill/>
              <a:ln>
                <a:noFill/>
              </a:ln>
              <a:effectLst/>
            </c:spPr>
            <c:txPr>
              <a:bodyPr rot="0" spcFirstLastPara="1" vertOverflow="ellipsis" vert="horz" wrap="square" anchor="ctr" anchorCtr="0"/>
              <a:lstStyle/>
              <a:p>
                <a:pPr algn="ctr">
                  <a:defRPr lang="en-US"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accent2"/>
                      </a:solidFill>
                      <a:prstDash val="solid"/>
                      <a:miter lim="800000"/>
                    </a:ln>
                    <a:effectLst/>
                  </c:spPr>
                </c15:leaderLines>
              </c:ext>
            </c:extLst>
          </c:dLbls>
          <c:val>
            <c:numRef>
              <c:f>ANALYSIS!$CB$5</c:f>
              <c:numCache>
                <c:formatCode>General</c:formatCode>
                <c:ptCount val="1"/>
                <c:pt idx="0">
                  <c:v>14420</c:v>
                </c:pt>
              </c:numCache>
            </c:numRef>
          </c:val>
          <c:extLst>
            <c:ext xmlns:c16="http://schemas.microsoft.com/office/drawing/2014/chart" uri="{C3380CC4-5D6E-409C-BE32-E72D297353CC}">
              <c16:uniqueId val="{00000007-4F64-48D2-B3A6-C464BE193803}"/>
            </c:ext>
          </c:extLst>
        </c:ser>
        <c:dLbls>
          <c:dLblPos val="outEnd"/>
          <c:showLegendKey val="0"/>
          <c:showVal val="1"/>
          <c:showCatName val="0"/>
          <c:showSerName val="0"/>
          <c:showPercent val="0"/>
          <c:showBubbleSize val="0"/>
        </c:dLbls>
        <c:gapWidth val="219"/>
        <c:overlap val="-27"/>
        <c:axId val="237983279"/>
        <c:axId val="237974959"/>
      </c:barChart>
      <c:catAx>
        <c:axId val="237983279"/>
        <c:scaling>
          <c:orientation val="minMax"/>
        </c:scaling>
        <c:delete val="1"/>
        <c:axPos val="b"/>
        <c:numFmt formatCode="General" sourceLinked="1"/>
        <c:majorTickMark val="out"/>
        <c:minorTickMark val="none"/>
        <c:tickLblPos val="nextTo"/>
        <c:crossAx val="237974959"/>
        <c:crosses val="autoZero"/>
        <c:auto val="1"/>
        <c:lblAlgn val="ctr"/>
        <c:lblOffset val="100"/>
        <c:noMultiLvlLbl val="0"/>
      </c:catAx>
      <c:valAx>
        <c:axId val="237974959"/>
        <c:scaling>
          <c:orientation val="minMax"/>
        </c:scaling>
        <c:delete val="1"/>
        <c:axPos val="l"/>
        <c:numFmt formatCode="General" sourceLinked="1"/>
        <c:majorTickMark val="out"/>
        <c:minorTickMark val="none"/>
        <c:tickLblPos val="nextTo"/>
        <c:crossAx val="2379832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noFill/>
    <a:ln w="9525" cap="flat" cmpd="sng" algn="ctr">
      <a:noFill/>
      <a:round/>
    </a:ln>
    <a:effectLst/>
  </c:spPr>
  <c:txPr>
    <a:bodyPr/>
    <a:lstStyle/>
    <a:p>
      <a:pPr algn="ctr">
        <a:defRPr lang="en-US"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GB" sz="1400" b="1" i="0" u="none" strike="noStrike" kern="1200" spc="0" baseline="0">
                <a:solidFill>
                  <a:srgbClr val="002060"/>
                </a:solidFill>
                <a:latin typeface="Segoe UI" panose="020B0502040204020203" pitchFamily="34" charset="0"/>
                <a:ea typeface="+mn-ea"/>
                <a:cs typeface="Segoe UI" panose="020B0502040204020203" pitchFamily="34" charset="0"/>
              </a:defRPr>
            </a:pPr>
            <a:r>
              <a:rPr lang="en-GB" sz="1400" b="1" i="0" u="none" strike="noStrike" kern="1200" spc="0" baseline="0">
                <a:solidFill>
                  <a:srgbClr val="002060"/>
                </a:solidFill>
                <a:latin typeface="Segoe UI" panose="020B0502040204020203" pitchFamily="34" charset="0"/>
                <a:ea typeface="+mn-ea"/>
                <a:cs typeface="Segoe UI" panose="020B0502040204020203" pitchFamily="34" charset="0"/>
              </a:rPr>
              <a:t>Daily Installation Trend Analysis</a:t>
            </a:r>
          </a:p>
        </c:rich>
      </c:tx>
      <c:overlay val="0"/>
      <c:spPr>
        <a:noFill/>
        <a:ln>
          <a:noFill/>
        </a:ln>
        <a:effectLst/>
      </c:spPr>
      <c:txPr>
        <a:bodyPr rot="0" spcFirstLastPara="1" vertOverflow="ellipsis" vert="horz" wrap="square" anchor="ctr" anchorCtr="1"/>
        <a:lstStyle/>
        <a:p>
          <a:pPr algn="ctr" rtl="0">
            <a:defRPr lang="en-GB" sz="1400" b="1" i="0" u="none" strike="noStrike" kern="1200" spc="0" baseline="0">
              <a:solidFill>
                <a:srgbClr val="002060"/>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8.6178765965999451E-2"/>
          <c:y val="0.13377787141058367"/>
          <c:w val="0.88967857076816015"/>
          <c:h val="0.72546542464771624"/>
        </c:manualLayout>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ANALYSIS!$EB$2:$EB$5</c:f>
              <c:strCache>
                <c:ptCount val="4"/>
                <c:pt idx="0">
                  <c:v>Number of working days</c:v>
                </c:pt>
                <c:pt idx="1">
                  <c:v>Cumulative Installed (Based on Daily Average)</c:v>
                </c:pt>
                <c:pt idx="2">
                  <c:v>Running Installed</c:v>
                </c:pt>
                <c:pt idx="3">
                  <c:v>Target Line (Ideal Cumulative)</c:v>
                </c:pt>
              </c:strCache>
            </c:strRef>
          </c:cat>
          <c:val>
            <c:numRef>
              <c:f>ANALYSIS!$EC$2:$EC$5</c:f>
              <c:numCache>
                <c:formatCode>General</c:formatCode>
                <c:ptCount val="4"/>
                <c:pt idx="0">
                  <c:v>236</c:v>
                </c:pt>
                <c:pt idx="1">
                  <c:v>56904.319999999992</c:v>
                </c:pt>
                <c:pt idx="2">
                  <c:v>56905</c:v>
                </c:pt>
                <c:pt idx="3">
                  <c:v>62269.12999999999</c:v>
                </c:pt>
              </c:numCache>
            </c:numRef>
          </c:val>
          <c:smooth val="0"/>
          <c:extLst>
            <c:ext xmlns:c16="http://schemas.microsoft.com/office/drawing/2014/chart" uri="{C3380CC4-5D6E-409C-BE32-E72D297353CC}">
              <c16:uniqueId val="{00000000-13E4-4117-B493-4393DB86DF8F}"/>
            </c:ext>
          </c:extLst>
        </c:ser>
        <c:dLbls>
          <c:dLblPos val="t"/>
          <c:showLegendKey val="0"/>
          <c:showVal val="1"/>
          <c:showCatName val="0"/>
          <c:showSerName val="0"/>
          <c:showPercent val="0"/>
          <c:showBubbleSize val="0"/>
        </c:dLbls>
        <c:marker val="1"/>
        <c:smooth val="0"/>
        <c:axId val="216903440"/>
        <c:axId val="216904272"/>
      </c:lineChart>
      <c:catAx>
        <c:axId val="216903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5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216904272"/>
        <c:crosses val="autoZero"/>
        <c:auto val="1"/>
        <c:lblAlgn val="ctr"/>
        <c:lblOffset val="100"/>
        <c:noMultiLvlLbl val="0"/>
      </c:catAx>
      <c:valAx>
        <c:axId val="216904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05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216903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rgbClr val="002060"/>
                </a:solidFill>
                <a:latin typeface="Segoe UI" panose="020B0502040204020203" pitchFamily="34" charset="0"/>
                <a:ea typeface="+mn-ea"/>
                <a:cs typeface="Segoe UI" panose="020B0502040204020203" pitchFamily="34" charset="0"/>
              </a:defRPr>
            </a:pPr>
            <a:r>
              <a:rPr lang="en-US" sz="1400" b="1" i="0" u="none" strike="noStrike" kern="1200" spc="0" baseline="0">
                <a:solidFill>
                  <a:srgbClr val="002060"/>
                </a:solidFill>
                <a:latin typeface="Segoe UI" panose="020B0502040204020203" pitchFamily="34" charset="0"/>
                <a:ea typeface="+mn-ea"/>
                <a:cs typeface="Segoe UI" panose="020B0502040204020203" pitchFamily="34" charset="0"/>
              </a:rPr>
              <a:t>Total Riser Construction Record</a:t>
            </a:r>
          </a:p>
        </c:rich>
      </c:tx>
      <c:layout>
        <c:manualLayout>
          <c:xMode val="edge"/>
          <c:yMode val="edge"/>
          <c:x val="0.12368445504901109"/>
          <c:y val="6.4189979374720957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rgbClr val="002060"/>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0.23927581632941039"/>
          <c:y val="0.18343287349385018"/>
          <c:w val="0.51786442017328482"/>
          <c:h val="0.69647709437621819"/>
        </c:manualLayout>
      </c:layout>
      <c:pieChart>
        <c:varyColors val="1"/>
        <c:ser>
          <c:idx val="0"/>
          <c:order val="0"/>
          <c:dPt>
            <c:idx val="0"/>
            <c:bubble3D val="0"/>
            <c:spPr>
              <a:solidFill>
                <a:srgbClr val="002F6C"/>
              </a:solidFill>
              <a:ln w="19050">
                <a:solidFill>
                  <a:schemeClr val="lt1"/>
                </a:solidFill>
              </a:ln>
              <a:effectLst/>
            </c:spPr>
            <c:extLst>
              <c:ext xmlns:c16="http://schemas.microsoft.com/office/drawing/2014/chart" uri="{C3380CC4-5D6E-409C-BE32-E72D297353CC}">
                <c16:uniqueId val="{00000001-9068-4010-92ED-090A68F8101C}"/>
              </c:ext>
            </c:extLst>
          </c:dPt>
          <c:dPt>
            <c:idx val="1"/>
            <c:bubble3D val="0"/>
            <c:spPr>
              <a:solidFill>
                <a:srgbClr val="FF6600"/>
              </a:solidFill>
              <a:ln w="19050">
                <a:solidFill>
                  <a:schemeClr val="lt1"/>
                </a:solidFill>
              </a:ln>
              <a:effectLst/>
            </c:spPr>
            <c:extLst>
              <c:ext xmlns:c16="http://schemas.microsoft.com/office/drawing/2014/chart" uri="{C3380CC4-5D6E-409C-BE32-E72D297353CC}">
                <c16:uniqueId val="{00000003-9068-4010-92ED-090A68F8101C}"/>
              </c:ext>
            </c:extLst>
          </c:dPt>
          <c:dLbls>
            <c:dLbl>
              <c:idx val="0"/>
              <c:layout>
                <c:manualLayout>
                  <c:x val="0.30975474614456677"/>
                  <c:y val="1.4278335288549061E-4"/>
                </c:manualLayout>
              </c:layout>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9068-4010-92ED-090A68F8101C}"/>
                </c:ext>
              </c:extLst>
            </c:dLbl>
            <c:dLbl>
              <c:idx val="1"/>
              <c:layout>
                <c:manualLayout>
                  <c:x val="-0.12420314328674967"/>
                  <c:y val="-0.17837066219256217"/>
                </c:manualLayout>
              </c:layout>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9068-4010-92ED-090A68F8101C}"/>
                </c:ext>
              </c:extLst>
            </c:dLbl>
            <c:numFmt formatCode="0.00%" sourceLinked="0"/>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dLblPos val="bestFit"/>
            <c:showLegendKey val="0"/>
            <c:showVal val="1"/>
            <c:showCatName val="0"/>
            <c:showSerName val="0"/>
            <c:showPercent val="1"/>
            <c:showBubbleSize val="0"/>
            <c:separator>
</c:separator>
            <c:showLeaderLines val="1"/>
            <c:leaderLines>
              <c:spPr>
                <a:ln w="6350" cap="flat" cmpd="sng" algn="ctr">
                  <a:solidFill>
                    <a:schemeClr val="accent2"/>
                  </a:solidFill>
                  <a:prstDash val="solid"/>
                  <a:miter lim="800000"/>
                </a:ln>
                <a:effectLst/>
              </c:spPr>
            </c:leaderLines>
            <c:extLst>
              <c:ext xmlns:c15="http://schemas.microsoft.com/office/drawing/2012/chart" uri="{CE6537A1-D6FC-4f65-9D91-7224C49458BB}"/>
            </c:extLst>
          </c:dLbls>
          <c:cat>
            <c:strRef>
              <c:f>ANALYSIS!$BH$3:$BH$4</c:f>
              <c:strCache>
                <c:ptCount val="2"/>
                <c:pt idx="0">
                  <c:v>Total Riser Modification Complete</c:v>
                </c:pt>
                <c:pt idx="1">
                  <c:v>Left Riser Reserve</c:v>
                </c:pt>
              </c:strCache>
            </c:strRef>
          </c:cat>
          <c:val>
            <c:numRef>
              <c:f>ANALYSIS!$BI$3:$BI$4</c:f>
              <c:numCache>
                <c:formatCode>General</c:formatCode>
                <c:ptCount val="2"/>
                <c:pt idx="0">
                  <c:v>14</c:v>
                </c:pt>
                <c:pt idx="1">
                  <c:v>986</c:v>
                </c:pt>
              </c:numCache>
            </c:numRef>
          </c:val>
          <c:extLst>
            <c:ext xmlns:c16="http://schemas.microsoft.com/office/drawing/2014/chart" uri="{C3380CC4-5D6E-409C-BE32-E72D297353CC}">
              <c16:uniqueId val="{00000004-9068-4010-92ED-090A68F8101C}"/>
            </c:ext>
          </c:extLst>
        </c:ser>
        <c:dLbls>
          <c:dLblPos val="bestFit"/>
          <c:showLegendKey val="0"/>
          <c:showVal val="1"/>
          <c:showCatName val="0"/>
          <c:showSerName val="0"/>
          <c:showPercent val="0"/>
          <c:showBubbleSize val="0"/>
          <c:showLeaderLines val="1"/>
        </c:dLbls>
        <c:firstSliceAng val="112"/>
      </c:pieChart>
      <c:spPr>
        <a:noFill/>
        <a:ln>
          <a:noFill/>
        </a:ln>
        <a:effectLst/>
      </c:spPr>
    </c:plotArea>
    <c:legend>
      <c:legendPos val="b"/>
      <c:layout>
        <c:manualLayout>
          <c:xMode val="edge"/>
          <c:yMode val="edge"/>
          <c:x val="3.5895050506713436E-3"/>
          <c:y val="0.84322236318919264"/>
          <c:w val="0.95738355664031938"/>
          <c:h val="0.15677763681080736"/>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Total Shed &amp; Bracket Record</cx:v>
        </cx:txData>
      </cx:tx>
      <cx:txPr>
        <a:bodyPr spcFirstLastPara="1" vertOverflow="ellipsis" horzOverflow="overflow" wrap="square" lIns="0" tIns="0" rIns="0" bIns="0" anchor="ctr" anchorCtr="1"/>
        <a:lstStyle/>
        <a:p>
          <a:pPr algn="ctr" rtl="0">
            <a:defRPr sz="1400" b="0" i="0" u="none" strike="noStrike" kern="1200" spc="0" baseline="0">
              <a:solidFill>
                <a:srgbClr val="002060"/>
              </a:solidFill>
              <a:latin typeface="Arial" panose="020B0604020202020204" pitchFamily="34" charset="0"/>
              <a:ea typeface="+mn-ea"/>
              <a:cs typeface="Arial" panose="020B0604020202020204" pitchFamily="34" charset="0"/>
            </a:defRPr>
          </a:pPr>
          <a:r>
            <a:rPr lang="en-US" sz="1400" b="0" i="0" u="none" strike="noStrike" kern="1200" spc="0" baseline="0">
              <a:solidFill>
                <a:srgbClr val="002060"/>
              </a:solidFill>
              <a:latin typeface="Arial" panose="020B0604020202020204" pitchFamily="34" charset="0"/>
              <a:ea typeface="+mn-ea"/>
              <a:cs typeface="Arial" panose="020B0604020202020204" pitchFamily="34" charset="0"/>
            </a:rPr>
            <a:t>Total Shed &amp; Bracket Record</a:t>
          </a:r>
        </a:p>
      </cx:txPr>
    </cx:title>
    <cx:plotArea>
      <cx:plotAreaRegion>
        <cx:series layoutId="treemap" uniqueId="{671D2FD1-E56C-41D0-BD56-489D31175591}">
          <cx:spPr>
            <a:effectLst>
              <a:softEdge rad="12700"/>
            </a:effectLst>
          </cx:spPr>
          <cx:dataPt idx="0">
            <cx:spPr>
              <a:solidFill>
                <a:srgbClr val="4472C4">
                  <a:lumMod val="50000"/>
                </a:srgbClr>
              </a:solidFill>
            </cx:spPr>
          </cx:dataPt>
          <cx:dataPt idx="1">
            <cx:spPr>
              <a:solidFill>
                <a:srgbClr val="70AD47">
                  <a:lumMod val="50000"/>
                </a:srgbClr>
              </a:solidFill>
            </cx:spPr>
          </cx:dataPt>
          <cx:dataPt idx="2">
            <cx:spPr>
              <a:solidFill>
                <a:srgbClr val="5B9BD5">
                  <a:lumMod val="50000"/>
                </a:srgbClr>
              </a:solidFill>
            </cx:spPr>
          </cx:dataPt>
          <cx:dataPt idx="3">
            <cx:spPr>
              <a:solidFill>
                <a:srgbClr val="ED7D31">
                  <a:lumMod val="50000"/>
                </a:srgbClr>
              </a:solidFill>
            </cx:spPr>
          </cx:dataPt>
          <cx:dataLabels pos="inEnd">
            <cx:txPr>
              <a:bodyPr spcFirstLastPara="1" vertOverflow="ellipsis" horzOverflow="overflow" wrap="square" lIns="0" tIns="0" rIns="0" bIns="0" anchor="ctr" anchorCtr="1"/>
              <a:lstStyle/>
              <a:p>
                <a:pPr algn="ctr" rtl="0">
                  <a:defRPr sz="1100"/>
                </a:pPr>
                <a:endParaRPr lang="en-US" sz="1100" b="0"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effectLst>
      <a:softEdge rad="241300"/>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chart" Target="../charts/chart10.xml"/><Relationship Id="rId18" Type="http://schemas.openxmlformats.org/officeDocument/2006/relationships/chart" Target="../charts/chart13.xml"/><Relationship Id="rId3" Type="http://schemas.openxmlformats.org/officeDocument/2006/relationships/image" Target="../media/image3.jpeg"/><Relationship Id="rId21" Type="http://schemas.openxmlformats.org/officeDocument/2006/relationships/chart" Target="../charts/chart15.xml"/><Relationship Id="rId7" Type="http://schemas.openxmlformats.org/officeDocument/2006/relationships/image" Target="../media/image7.png"/><Relationship Id="rId12" Type="http://schemas.openxmlformats.org/officeDocument/2006/relationships/chart" Target="../charts/chart9.xml"/><Relationship Id="rId17" Type="http://schemas.openxmlformats.org/officeDocument/2006/relationships/image" Target="../media/image10.jpeg"/><Relationship Id="rId2" Type="http://schemas.openxmlformats.org/officeDocument/2006/relationships/image" Target="../media/image2.png"/><Relationship Id="rId16" Type="http://schemas.openxmlformats.org/officeDocument/2006/relationships/image" Target="../media/image9.gif"/><Relationship Id="rId20" Type="http://schemas.openxmlformats.org/officeDocument/2006/relationships/chart" Target="../charts/chart14.xml"/><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chart" Target="../charts/chart8.xml"/><Relationship Id="rId24" Type="http://schemas.openxmlformats.org/officeDocument/2006/relationships/chart" Target="../charts/chart18.xml"/><Relationship Id="rId5" Type="http://schemas.openxmlformats.org/officeDocument/2006/relationships/image" Target="../media/image5.png"/><Relationship Id="rId15" Type="http://schemas.openxmlformats.org/officeDocument/2006/relationships/chart" Target="../charts/chart12.xml"/><Relationship Id="rId23" Type="http://schemas.openxmlformats.org/officeDocument/2006/relationships/chart" Target="../charts/chart17.xml"/><Relationship Id="rId10" Type="http://schemas.openxmlformats.org/officeDocument/2006/relationships/chart" Target="../charts/chart7.xml"/><Relationship Id="rId19" Type="http://schemas.openxmlformats.org/officeDocument/2006/relationships/image" Target="../media/image11.png"/><Relationship Id="rId4" Type="http://schemas.openxmlformats.org/officeDocument/2006/relationships/image" Target="../media/image4.png"/><Relationship Id="rId9" Type="http://schemas.openxmlformats.org/officeDocument/2006/relationships/chart" Target="../charts/chart6.xml"/><Relationship Id="rId14" Type="http://schemas.openxmlformats.org/officeDocument/2006/relationships/chart" Target="../charts/chart11.xml"/><Relationship Id="rId22"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43</xdr:col>
      <xdr:colOff>209550</xdr:colOff>
      <xdr:row>19</xdr:row>
      <xdr:rowOff>0</xdr:rowOff>
    </xdr:from>
    <xdr:to>
      <xdr:col>49</xdr:col>
      <xdr:colOff>4763</xdr:colOff>
      <xdr:row>37</xdr:row>
      <xdr:rowOff>104775</xdr:rowOff>
    </xdr:to>
    <xdr:graphicFrame macro="">
      <xdr:nvGraphicFramePr>
        <xdr:cNvPr id="4" name="Chart 3">
          <a:extLst>
            <a:ext uri="{FF2B5EF4-FFF2-40B4-BE49-F238E27FC236}">
              <a16:creationId xmlns:a16="http://schemas.microsoft.com/office/drawing/2014/main" id="{B9A20B24-AEB2-445F-99C1-985E3711B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112</xdr:col>
      <xdr:colOff>9525</xdr:colOff>
      <xdr:row>3</xdr:row>
      <xdr:rowOff>481012</xdr:rowOff>
    </xdr:from>
    <xdr:to>
      <xdr:col>116</xdr:col>
      <xdr:colOff>876300</xdr:colOff>
      <xdr:row>13</xdr:row>
      <xdr:rowOff>176212</xdr:rowOff>
    </xdr:to>
    <xdr:graphicFrame macro="">
      <xdr:nvGraphicFramePr>
        <xdr:cNvPr id="2" name="Chart 1">
          <a:extLst>
            <a:ext uri="{FF2B5EF4-FFF2-40B4-BE49-F238E27FC236}">
              <a16:creationId xmlns:a16="http://schemas.microsoft.com/office/drawing/2014/main" id="{4FBDE02F-9422-4CF0-B0A8-94183188CB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72</xdr:col>
      <xdr:colOff>257175</xdr:colOff>
      <xdr:row>18</xdr:row>
      <xdr:rowOff>157162</xdr:rowOff>
    </xdr:from>
    <xdr:to>
      <xdr:col>79</xdr:col>
      <xdr:colOff>476250</xdr:colOff>
      <xdr:row>33</xdr:row>
      <xdr:rowOff>42862</xdr:rowOff>
    </xdr:to>
    <xdr:graphicFrame macro="">
      <xdr:nvGraphicFramePr>
        <xdr:cNvPr id="5" name="Chart 4">
          <a:extLst>
            <a:ext uri="{FF2B5EF4-FFF2-40B4-BE49-F238E27FC236}">
              <a16:creationId xmlns:a16="http://schemas.microsoft.com/office/drawing/2014/main" id="{51F2BFF1-E914-4C10-8494-917E36ABD8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72</xdr:col>
      <xdr:colOff>323850</xdr:colOff>
      <xdr:row>8</xdr:row>
      <xdr:rowOff>71437</xdr:rowOff>
    </xdr:from>
    <xdr:to>
      <xdr:col>79</xdr:col>
      <xdr:colOff>542925</xdr:colOff>
      <xdr:row>18</xdr:row>
      <xdr:rowOff>166687</xdr:rowOff>
    </xdr:to>
    <xdr:graphicFrame macro="">
      <xdr:nvGraphicFramePr>
        <xdr:cNvPr id="6" name="Chart 5">
          <a:extLst>
            <a:ext uri="{FF2B5EF4-FFF2-40B4-BE49-F238E27FC236}">
              <a16:creationId xmlns:a16="http://schemas.microsoft.com/office/drawing/2014/main" id="{8F597450-7F80-4AC7-991F-F646420B32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136</xdr:col>
      <xdr:colOff>104775</xdr:colOff>
      <xdr:row>4</xdr:row>
      <xdr:rowOff>233362</xdr:rowOff>
    </xdr:from>
    <xdr:to>
      <xdr:col>143</xdr:col>
      <xdr:colOff>409575</xdr:colOff>
      <xdr:row>11</xdr:row>
      <xdr:rowOff>138112</xdr:rowOff>
    </xdr:to>
    <xdr:graphicFrame macro="">
      <xdr:nvGraphicFramePr>
        <xdr:cNvPr id="3" name="Chart 2">
          <a:extLst>
            <a:ext uri="{FF2B5EF4-FFF2-40B4-BE49-F238E27FC236}">
              <a16:creationId xmlns:a16="http://schemas.microsoft.com/office/drawing/2014/main" id="{56BCB65F-D994-49C6-B385-7B8E4B1665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63</xdr:col>
      <xdr:colOff>514350</xdr:colOff>
      <xdr:row>34</xdr:row>
      <xdr:rowOff>76200</xdr:rowOff>
    </xdr:from>
    <xdr:to>
      <xdr:col>69</xdr:col>
      <xdr:colOff>456859</xdr:colOff>
      <xdr:row>49</xdr:row>
      <xdr:rowOff>47625</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706C627A-CABB-4BDA-9F14-9F3D4B03ECE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3277790" y="10782300"/>
              <a:ext cx="3708694" cy="268795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135732</xdr:colOff>
      <xdr:row>0</xdr:row>
      <xdr:rowOff>50005</xdr:rowOff>
    </xdr:from>
    <xdr:to>
      <xdr:col>36</xdr:col>
      <xdr:colOff>476250</xdr:colOff>
      <xdr:row>92</xdr:row>
      <xdr:rowOff>13607</xdr:rowOff>
    </xdr:to>
    <xdr:sp macro="" textlink="">
      <xdr:nvSpPr>
        <xdr:cNvPr id="5" name="Rectangle: Rounded Corners 4">
          <a:extLst>
            <a:ext uri="{FF2B5EF4-FFF2-40B4-BE49-F238E27FC236}">
              <a16:creationId xmlns:a16="http://schemas.microsoft.com/office/drawing/2014/main" id="{DC1F755E-5002-4304-ADEE-36CEFF0BCD05}"/>
            </a:ext>
          </a:extLst>
        </xdr:cNvPr>
        <xdr:cNvSpPr/>
      </xdr:nvSpPr>
      <xdr:spPr>
        <a:xfrm>
          <a:off x="135732" y="50005"/>
          <a:ext cx="22384089" cy="17489602"/>
        </a:xfrm>
        <a:prstGeom prst="roundRect">
          <a:avLst>
            <a:gd name="adj" fmla="val 1878"/>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noFill/>
            </a:ln>
            <a:latin typeface="Arial" panose="020B0604020202020204" pitchFamily="34" charset="0"/>
            <a:cs typeface="Arial" panose="020B0604020202020204" pitchFamily="34" charset="0"/>
          </a:endParaRPr>
        </a:p>
      </xdr:txBody>
    </xdr:sp>
    <xdr:clientData/>
  </xdr:twoCellAnchor>
  <xdr:twoCellAnchor>
    <xdr:from>
      <xdr:col>4</xdr:col>
      <xdr:colOff>442326</xdr:colOff>
      <xdr:row>0</xdr:row>
      <xdr:rowOff>129130</xdr:rowOff>
    </xdr:from>
    <xdr:to>
      <xdr:col>32</xdr:col>
      <xdr:colOff>176083</xdr:colOff>
      <xdr:row>10</xdr:row>
      <xdr:rowOff>93270</xdr:rowOff>
    </xdr:to>
    <xdr:sp macro="" textlink="">
      <xdr:nvSpPr>
        <xdr:cNvPr id="19" name="Rectangle: Rounded Corners 18">
          <a:extLst>
            <a:ext uri="{FF2B5EF4-FFF2-40B4-BE49-F238E27FC236}">
              <a16:creationId xmlns:a16="http://schemas.microsoft.com/office/drawing/2014/main" id="{C0EBD86F-1F2D-446F-BA89-82D120569588}"/>
            </a:ext>
          </a:extLst>
        </xdr:cNvPr>
        <xdr:cNvSpPr/>
      </xdr:nvSpPr>
      <xdr:spPr>
        <a:xfrm>
          <a:off x="2891612" y="129130"/>
          <a:ext cx="16878757" cy="1869140"/>
        </a:xfrm>
        <a:prstGeom prst="roundRect">
          <a:avLst>
            <a:gd name="adj" fmla="val 21981"/>
          </a:avLst>
        </a:prstGeom>
        <a:solidFill>
          <a:schemeClr val="bg1"/>
        </a:solidFill>
        <a:ln w="6350">
          <a:solidFill>
            <a:srgbClr val="FFC000"/>
          </a:solidFill>
        </a:ln>
        <a:effectLst>
          <a:outerShdw blurRad="44450" dist="27940" dir="5400000" algn="ctr">
            <a:srgbClr val="000000">
              <a:alpha val="32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3" algn="l"/>
          <a:r>
            <a:rPr lang="en-US" sz="1400" b="0">
              <a:ln>
                <a:noFill/>
              </a:ln>
              <a:solidFill>
                <a:schemeClr val="tx1"/>
              </a:solidFill>
              <a:latin typeface="Arial" panose="020B0604020202020204" pitchFamily="34" charset="0"/>
              <a:cs typeface="Arial" panose="020B0604020202020204" pitchFamily="34" charset="0"/>
            </a:rPr>
            <a:t>                     </a:t>
          </a:r>
          <a:endParaRPr lang="en-US" sz="2000" b="0" baseline="0">
            <a:ln>
              <a:noFill/>
            </a:ln>
            <a:solidFill>
              <a:schemeClr val="tx1"/>
            </a:solidFill>
            <a:latin typeface="Arial" panose="020B0604020202020204" pitchFamily="34" charset="0"/>
            <a:cs typeface="Arial" panose="020B0604020202020204" pitchFamily="34" charset="0"/>
          </a:endParaRPr>
        </a:p>
      </xdr:txBody>
    </xdr:sp>
    <xdr:clientData/>
  </xdr:twoCellAnchor>
  <xdr:twoCellAnchor>
    <xdr:from>
      <xdr:col>28</xdr:col>
      <xdr:colOff>572967</xdr:colOff>
      <xdr:row>3</xdr:row>
      <xdr:rowOff>94147</xdr:rowOff>
    </xdr:from>
    <xdr:to>
      <xdr:col>31</xdr:col>
      <xdr:colOff>250331</xdr:colOff>
      <xdr:row>7</xdr:row>
      <xdr:rowOff>183172</xdr:rowOff>
    </xdr:to>
    <xdr:pic>
      <xdr:nvPicPr>
        <xdr:cNvPr id="21" name="image2.jpeg">
          <a:extLst>
            <a:ext uri="{FF2B5EF4-FFF2-40B4-BE49-F238E27FC236}">
              <a16:creationId xmlns:a16="http://schemas.microsoft.com/office/drawing/2014/main" id="{765B2DE7-91AC-4F49-B81E-6C32714ADF3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17967" y="665647"/>
          <a:ext cx="1514328" cy="851025"/>
        </a:xfrm>
        <a:prstGeom prst="rect">
          <a:avLst/>
        </a:prstGeom>
        <a:solidFill>
          <a:srgbClr val="FFFFFF">
            <a:shade val="85000"/>
          </a:srgbClr>
        </a:solidFill>
        <a:ln w="88900" cap="sq">
          <a:noFill/>
          <a:miter lim="800000"/>
        </a:ln>
        <a:effectLst/>
      </xdr:spPr>
    </xdr:pic>
    <xdr:clientData/>
  </xdr:twoCellAnchor>
  <xdr:twoCellAnchor>
    <xdr:from>
      <xdr:col>0</xdr:col>
      <xdr:colOff>281164</xdr:colOff>
      <xdr:row>12</xdr:row>
      <xdr:rowOff>125412</xdr:rowOff>
    </xdr:from>
    <xdr:to>
      <xdr:col>5</xdr:col>
      <xdr:colOff>225903</xdr:colOff>
      <xdr:row>25</xdr:row>
      <xdr:rowOff>151952</xdr:rowOff>
    </xdr:to>
    <xdr:sp macro="" textlink="">
      <xdr:nvSpPr>
        <xdr:cNvPr id="26" name="Rectangle: Top Corners Rounded 25">
          <a:extLst>
            <a:ext uri="{FF2B5EF4-FFF2-40B4-BE49-F238E27FC236}">
              <a16:creationId xmlns:a16="http://schemas.microsoft.com/office/drawing/2014/main" id="{4E3F784F-D113-48F7-B642-9D1DA2EB9467}"/>
            </a:ext>
          </a:extLst>
        </xdr:cNvPr>
        <xdr:cNvSpPr/>
      </xdr:nvSpPr>
      <xdr:spPr>
        <a:xfrm>
          <a:off x="281164" y="2411412"/>
          <a:ext cx="3006346" cy="2503040"/>
        </a:xfrm>
        <a:prstGeom prst="round2SameRect">
          <a:avLst>
            <a:gd name="adj1" fmla="val 0"/>
            <a:gd name="adj2" fmla="val 10529"/>
          </a:avLst>
        </a:prstGeom>
        <a:solidFill>
          <a:schemeClr val="bg1"/>
        </a:solidFill>
        <a:ln w="9525">
          <a:solidFill>
            <a:schemeClr val="tx1"/>
          </a:solidFill>
        </a:ln>
        <a:effectLst>
          <a:outerShdw blurRad="50800" dist="38100" dir="5400000" algn="t"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l"/>
          <a:endParaRPr lang="en-US" sz="1100" b="0">
            <a:ln>
              <a:noFill/>
            </a:ln>
            <a:solidFill>
              <a:schemeClr val="tx1"/>
            </a:solidFill>
            <a:latin typeface="Arial" panose="020B0604020202020204" pitchFamily="34" charset="0"/>
            <a:cs typeface="Arial" panose="020B0604020202020204" pitchFamily="34" charset="0"/>
          </a:endParaRPr>
        </a:p>
      </xdr:txBody>
    </xdr:sp>
    <xdr:clientData/>
  </xdr:twoCellAnchor>
  <xdr:twoCellAnchor>
    <xdr:from>
      <xdr:col>0</xdr:col>
      <xdr:colOff>282599</xdr:colOff>
      <xdr:row>11</xdr:row>
      <xdr:rowOff>182495</xdr:rowOff>
    </xdr:from>
    <xdr:to>
      <xdr:col>5</xdr:col>
      <xdr:colOff>228369</xdr:colOff>
      <xdr:row>12</xdr:row>
      <xdr:rowOff>147270</xdr:rowOff>
    </xdr:to>
    <xdr:sp macro="" textlink="">
      <xdr:nvSpPr>
        <xdr:cNvPr id="27" name="Rectangle: Top Corners Rounded 26">
          <a:extLst>
            <a:ext uri="{FF2B5EF4-FFF2-40B4-BE49-F238E27FC236}">
              <a16:creationId xmlns:a16="http://schemas.microsoft.com/office/drawing/2014/main" id="{32D27C97-3341-4FCE-B7F2-44DAE97AC683}"/>
            </a:ext>
          </a:extLst>
        </xdr:cNvPr>
        <xdr:cNvSpPr/>
      </xdr:nvSpPr>
      <xdr:spPr>
        <a:xfrm rot="10800000">
          <a:off x="282599" y="2277995"/>
          <a:ext cx="3007377" cy="155275"/>
        </a:xfrm>
        <a:prstGeom prst="round2SameRect">
          <a:avLst>
            <a:gd name="adj1" fmla="val 0"/>
            <a:gd name="adj2" fmla="val 50000"/>
          </a:avLst>
        </a:prstGeom>
        <a:solidFill>
          <a:srgbClr val="181C3A"/>
        </a:solidFill>
        <a:ln w="9525">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l"/>
          <a:endParaRPr lang="en-US" sz="1100" b="0">
            <a:ln>
              <a:noFill/>
            </a:ln>
            <a:solidFill>
              <a:schemeClr val="tx1"/>
            </a:solidFill>
            <a:latin typeface="Arial" panose="020B0604020202020204" pitchFamily="34" charset="0"/>
            <a:cs typeface="Arial" panose="020B0604020202020204" pitchFamily="34" charset="0"/>
          </a:endParaRPr>
        </a:p>
      </xdr:txBody>
    </xdr:sp>
    <xdr:clientData/>
  </xdr:twoCellAnchor>
  <xdr:twoCellAnchor>
    <xdr:from>
      <xdr:col>0</xdr:col>
      <xdr:colOff>461051</xdr:colOff>
      <xdr:row>11</xdr:row>
      <xdr:rowOff>32158</xdr:rowOff>
    </xdr:from>
    <xdr:to>
      <xdr:col>36</xdr:col>
      <xdr:colOff>232760</xdr:colOff>
      <xdr:row>11</xdr:row>
      <xdr:rowOff>40120</xdr:rowOff>
    </xdr:to>
    <xdr:cxnSp macro="">
      <xdr:nvCxnSpPr>
        <xdr:cNvPr id="29" name="Straight Connector 28">
          <a:extLst>
            <a:ext uri="{FF2B5EF4-FFF2-40B4-BE49-F238E27FC236}">
              <a16:creationId xmlns:a16="http://schemas.microsoft.com/office/drawing/2014/main" id="{FADFCCA0-F57F-4915-B980-91DAAED23D6A}"/>
            </a:ext>
          </a:extLst>
        </xdr:cNvPr>
        <xdr:cNvCxnSpPr/>
      </xdr:nvCxnSpPr>
      <xdr:spPr>
        <a:xfrm>
          <a:off x="461051" y="2127658"/>
          <a:ext cx="21815280" cy="7962"/>
        </a:xfrm>
        <a:prstGeom prst="line">
          <a:avLst/>
        </a:prstGeom>
        <a:ln w="19050">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388158</xdr:colOff>
      <xdr:row>12</xdr:row>
      <xdr:rowOff>127075</xdr:rowOff>
    </xdr:from>
    <xdr:to>
      <xdr:col>10</xdr:col>
      <xdr:colOff>340209</xdr:colOff>
      <xdr:row>25</xdr:row>
      <xdr:rowOff>147970</xdr:rowOff>
    </xdr:to>
    <xdr:sp macro="" textlink="">
      <xdr:nvSpPr>
        <xdr:cNvPr id="32" name="Rectangle: Top Corners Rounded 31">
          <a:extLst>
            <a:ext uri="{FF2B5EF4-FFF2-40B4-BE49-F238E27FC236}">
              <a16:creationId xmlns:a16="http://schemas.microsoft.com/office/drawing/2014/main" id="{5F70B811-3F38-494D-BC11-B78D1374BBEA}"/>
            </a:ext>
          </a:extLst>
        </xdr:cNvPr>
        <xdr:cNvSpPr/>
      </xdr:nvSpPr>
      <xdr:spPr>
        <a:xfrm>
          <a:off x="3449765" y="2413075"/>
          <a:ext cx="3013658" cy="2497395"/>
        </a:xfrm>
        <a:prstGeom prst="round2SameRect">
          <a:avLst>
            <a:gd name="adj1" fmla="val 0"/>
            <a:gd name="adj2" fmla="val 10529"/>
          </a:avLst>
        </a:prstGeom>
        <a:solidFill>
          <a:schemeClr val="bg1"/>
        </a:solidFill>
        <a:ln w="9525">
          <a:solidFill>
            <a:schemeClr val="accent1"/>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l"/>
          <a:endParaRPr lang="en-US" sz="1100" b="0">
            <a:ln>
              <a:noFill/>
            </a:ln>
            <a:solidFill>
              <a:schemeClr val="tx1"/>
            </a:solidFill>
            <a:latin typeface="Arial" panose="020B0604020202020204" pitchFamily="34" charset="0"/>
            <a:cs typeface="Arial" panose="020B0604020202020204" pitchFamily="34" charset="0"/>
          </a:endParaRPr>
        </a:p>
      </xdr:txBody>
    </xdr:sp>
    <xdr:clientData/>
  </xdr:twoCellAnchor>
  <xdr:twoCellAnchor>
    <xdr:from>
      <xdr:col>5</xdr:col>
      <xdr:colOff>394775</xdr:colOff>
      <xdr:row>11</xdr:row>
      <xdr:rowOff>172777</xdr:rowOff>
    </xdr:from>
    <xdr:to>
      <xdr:col>10</xdr:col>
      <xdr:colOff>331535</xdr:colOff>
      <xdr:row>12</xdr:row>
      <xdr:rowOff>128134</xdr:rowOff>
    </xdr:to>
    <xdr:sp macro="" textlink="">
      <xdr:nvSpPr>
        <xdr:cNvPr id="33" name="Rectangle: Top Corners Rounded 32">
          <a:extLst>
            <a:ext uri="{FF2B5EF4-FFF2-40B4-BE49-F238E27FC236}">
              <a16:creationId xmlns:a16="http://schemas.microsoft.com/office/drawing/2014/main" id="{38D4F7B3-2516-4EB6-A081-4269EA761E94}"/>
            </a:ext>
          </a:extLst>
        </xdr:cNvPr>
        <xdr:cNvSpPr/>
      </xdr:nvSpPr>
      <xdr:spPr>
        <a:xfrm rot="10800000">
          <a:off x="3456382" y="2268277"/>
          <a:ext cx="2998367" cy="145857"/>
        </a:xfrm>
        <a:prstGeom prst="round2SameRect">
          <a:avLst>
            <a:gd name="adj1" fmla="val 0"/>
            <a:gd name="adj2" fmla="val 50000"/>
          </a:avLst>
        </a:prstGeom>
        <a:solidFill>
          <a:schemeClr val="accent1">
            <a:lumMod val="75000"/>
          </a:schemeClr>
        </a:solidFill>
        <a:ln w="9525">
          <a:solidFill>
            <a:schemeClr val="accent1"/>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l"/>
          <a:endParaRPr lang="en-US" sz="1100" b="0">
            <a:ln>
              <a:noFill/>
            </a:ln>
            <a:solidFill>
              <a:schemeClr val="tx1"/>
            </a:solidFill>
            <a:latin typeface="Arial" panose="020B0604020202020204" pitchFamily="34" charset="0"/>
            <a:cs typeface="Arial" panose="020B0604020202020204" pitchFamily="34" charset="0"/>
          </a:endParaRPr>
        </a:p>
      </xdr:txBody>
    </xdr:sp>
    <xdr:clientData/>
  </xdr:twoCellAnchor>
  <xdr:twoCellAnchor>
    <xdr:from>
      <xdr:col>10</xdr:col>
      <xdr:colOff>490344</xdr:colOff>
      <xdr:row>12</xdr:row>
      <xdr:rowOff>127074</xdr:rowOff>
    </xdr:from>
    <xdr:to>
      <xdr:col>15</xdr:col>
      <xdr:colOff>442113</xdr:colOff>
      <xdr:row>25</xdr:row>
      <xdr:rowOff>147969</xdr:rowOff>
    </xdr:to>
    <xdr:sp macro="" textlink="">
      <xdr:nvSpPr>
        <xdr:cNvPr id="35" name="Rectangle: Top Corners Rounded 34">
          <a:extLst>
            <a:ext uri="{FF2B5EF4-FFF2-40B4-BE49-F238E27FC236}">
              <a16:creationId xmlns:a16="http://schemas.microsoft.com/office/drawing/2014/main" id="{6237BFDB-ECEF-43B6-AA54-29D46897B6AD}"/>
            </a:ext>
          </a:extLst>
        </xdr:cNvPr>
        <xdr:cNvSpPr/>
      </xdr:nvSpPr>
      <xdr:spPr>
        <a:xfrm>
          <a:off x="6613558" y="2413074"/>
          <a:ext cx="3013376" cy="2497395"/>
        </a:xfrm>
        <a:prstGeom prst="round2SameRect">
          <a:avLst>
            <a:gd name="adj1" fmla="val 0"/>
            <a:gd name="adj2" fmla="val 10529"/>
          </a:avLst>
        </a:prstGeom>
        <a:solidFill>
          <a:schemeClr val="bg1"/>
        </a:solidFill>
        <a:ln w="9525">
          <a:solidFill>
            <a:schemeClr val="accent2">
              <a:lumMod val="75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l"/>
          <a:endParaRPr lang="en-US" sz="1100" b="0">
            <a:ln>
              <a:noFill/>
            </a:ln>
            <a:solidFill>
              <a:schemeClr val="tx1"/>
            </a:solidFill>
            <a:latin typeface="Arial" panose="020B0604020202020204" pitchFamily="34" charset="0"/>
            <a:cs typeface="Arial" panose="020B0604020202020204" pitchFamily="34" charset="0"/>
          </a:endParaRPr>
        </a:p>
      </xdr:txBody>
    </xdr:sp>
    <xdr:clientData/>
  </xdr:twoCellAnchor>
  <xdr:twoCellAnchor>
    <xdr:from>
      <xdr:col>10</xdr:col>
      <xdr:colOff>484658</xdr:colOff>
      <xdr:row>11</xdr:row>
      <xdr:rowOff>167643</xdr:rowOff>
    </xdr:from>
    <xdr:to>
      <xdr:col>15</xdr:col>
      <xdr:colOff>459787</xdr:colOff>
      <xdr:row>12</xdr:row>
      <xdr:rowOff>123849</xdr:rowOff>
    </xdr:to>
    <xdr:sp macro="" textlink="">
      <xdr:nvSpPr>
        <xdr:cNvPr id="36" name="Rectangle: Top Corners Rounded 35">
          <a:extLst>
            <a:ext uri="{FF2B5EF4-FFF2-40B4-BE49-F238E27FC236}">
              <a16:creationId xmlns:a16="http://schemas.microsoft.com/office/drawing/2014/main" id="{33BABABE-E664-4A72-8B76-7CF2687D6A5C}"/>
            </a:ext>
          </a:extLst>
        </xdr:cNvPr>
        <xdr:cNvSpPr/>
      </xdr:nvSpPr>
      <xdr:spPr>
        <a:xfrm rot="10800000">
          <a:off x="6607872" y="2263143"/>
          <a:ext cx="3036736" cy="146706"/>
        </a:xfrm>
        <a:prstGeom prst="round2SameRect">
          <a:avLst>
            <a:gd name="adj1" fmla="val 0"/>
            <a:gd name="adj2" fmla="val 50000"/>
          </a:avLst>
        </a:prstGeom>
        <a:solidFill>
          <a:schemeClr val="accent2">
            <a:lumMod val="50000"/>
          </a:schemeClr>
        </a:solidFill>
        <a:ln w="9525">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l"/>
          <a:endParaRPr lang="en-US" sz="1100" b="0">
            <a:ln>
              <a:noFill/>
            </a:ln>
            <a:solidFill>
              <a:schemeClr val="tx1"/>
            </a:solidFill>
            <a:latin typeface="Arial" panose="020B0604020202020204" pitchFamily="34" charset="0"/>
            <a:cs typeface="Arial" panose="020B0604020202020204" pitchFamily="34" charset="0"/>
          </a:endParaRPr>
        </a:p>
      </xdr:txBody>
    </xdr:sp>
    <xdr:clientData/>
  </xdr:twoCellAnchor>
  <xdr:twoCellAnchor>
    <xdr:from>
      <xdr:col>16</xdr:col>
      <xdr:colOff>6954</xdr:colOff>
      <xdr:row>12</xdr:row>
      <xdr:rowOff>127294</xdr:rowOff>
    </xdr:from>
    <xdr:to>
      <xdr:col>20</xdr:col>
      <xdr:colOff>566133</xdr:colOff>
      <xdr:row>25</xdr:row>
      <xdr:rowOff>151952</xdr:rowOff>
    </xdr:to>
    <xdr:sp macro="" textlink="">
      <xdr:nvSpPr>
        <xdr:cNvPr id="38" name="Rectangle: Top Corners Rounded 37">
          <a:extLst>
            <a:ext uri="{FF2B5EF4-FFF2-40B4-BE49-F238E27FC236}">
              <a16:creationId xmlns:a16="http://schemas.microsoft.com/office/drawing/2014/main" id="{93E5F50C-5354-4F8A-8F91-BFD65DCA1046}"/>
            </a:ext>
          </a:extLst>
        </xdr:cNvPr>
        <xdr:cNvSpPr/>
      </xdr:nvSpPr>
      <xdr:spPr>
        <a:xfrm>
          <a:off x="9804097" y="2413294"/>
          <a:ext cx="3008465" cy="2501158"/>
        </a:xfrm>
        <a:prstGeom prst="round2SameRect">
          <a:avLst>
            <a:gd name="adj1" fmla="val 0"/>
            <a:gd name="adj2" fmla="val 10529"/>
          </a:avLst>
        </a:prstGeom>
        <a:solidFill>
          <a:schemeClr val="bg1"/>
        </a:solidFill>
        <a:ln w="9525">
          <a:solidFill>
            <a:srgbClr val="FFFF00"/>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l"/>
          <a:endParaRPr lang="en-US" sz="1100" b="0">
            <a:ln>
              <a:noFill/>
            </a:ln>
            <a:solidFill>
              <a:schemeClr val="tx1"/>
            </a:solidFill>
            <a:latin typeface="Arial" panose="020B0604020202020204" pitchFamily="34" charset="0"/>
            <a:cs typeface="Arial" panose="020B0604020202020204" pitchFamily="34" charset="0"/>
          </a:endParaRPr>
        </a:p>
      </xdr:txBody>
    </xdr:sp>
    <xdr:clientData/>
  </xdr:twoCellAnchor>
  <xdr:twoCellAnchor>
    <xdr:from>
      <xdr:col>15</xdr:col>
      <xdr:colOff>608681</xdr:colOff>
      <xdr:row>11</xdr:row>
      <xdr:rowOff>155935</xdr:rowOff>
    </xdr:from>
    <xdr:to>
      <xdr:col>20</xdr:col>
      <xdr:colOff>582652</xdr:colOff>
      <xdr:row>12</xdr:row>
      <xdr:rowOff>112141</xdr:rowOff>
    </xdr:to>
    <xdr:sp macro="" textlink="">
      <xdr:nvSpPr>
        <xdr:cNvPr id="39" name="Rectangle: Top Corners Rounded 38">
          <a:extLst>
            <a:ext uri="{FF2B5EF4-FFF2-40B4-BE49-F238E27FC236}">
              <a16:creationId xmlns:a16="http://schemas.microsoft.com/office/drawing/2014/main" id="{3A2FEE32-DA22-49BD-9711-DC0C9054C925}"/>
            </a:ext>
          </a:extLst>
        </xdr:cNvPr>
        <xdr:cNvSpPr/>
      </xdr:nvSpPr>
      <xdr:spPr>
        <a:xfrm rot="10800000">
          <a:off x="9793502" y="2251435"/>
          <a:ext cx="3035579" cy="146706"/>
        </a:xfrm>
        <a:prstGeom prst="round2SameRect">
          <a:avLst>
            <a:gd name="adj1" fmla="val 0"/>
            <a:gd name="adj2" fmla="val 50000"/>
          </a:avLst>
        </a:prstGeom>
        <a:solidFill>
          <a:srgbClr val="FFFF00"/>
        </a:solidFill>
        <a:ln w="9525">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l"/>
          <a:endParaRPr lang="en-US" sz="1100" b="0">
            <a:ln>
              <a:noFill/>
            </a:ln>
            <a:solidFill>
              <a:schemeClr val="tx1"/>
            </a:solidFill>
            <a:latin typeface="Arial" panose="020B0604020202020204" pitchFamily="34" charset="0"/>
            <a:cs typeface="Arial" panose="020B0604020202020204" pitchFamily="34" charset="0"/>
          </a:endParaRPr>
        </a:p>
      </xdr:txBody>
    </xdr:sp>
    <xdr:clientData/>
  </xdr:twoCellAnchor>
  <xdr:twoCellAnchor>
    <xdr:from>
      <xdr:col>21</xdr:col>
      <xdr:colOff>125970</xdr:colOff>
      <xdr:row>12</xdr:row>
      <xdr:rowOff>137028</xdr:rowOff>
    </xdr:from>
    <xdr:to>
      <xdr:col>26</xdr:col>
      <xdr:colOff>68293</xdr:colOff>
      <xdr:row>25</xdr:row>
      <xdr:rowOff>157923</xdr:rowOff>
    </xdr:to>
    <xdr:sp macro="" textlink="">
      <xdr:nvSpPr>
        <xdr:cNvPr id="41" name="Rectangle: Top Corners Rounded 40">
          <a:extLst>
            <a:ext uri="{FF2B5EF4-FFF2-40B4-BE49-F238E27FC236}">
              <a16:creationId xmlns:a16="http://schemas.microsoft.com/office/drawing/2014/main" id="{3A333051-F551-4B1D-BA84-7C5B1239B53A}"/>
            </a:ext>
          </a:extLst>
        </xdr:cNvPr>
        <xdr:cNvSpPr/>
      </xdr:nvSpPr>
      <xdr:spPr>
        <a:xfrm>
          <a:off x="12984720" y="2423028"/>
          <a:ext cx="3003930" cy="2497395"/>
        </a:xfrm>
        <a:prstGeom prst="round2SameRect">
          <a:avLst>
            <a:gd name="adj1" fmla="val 0"/>
            <a:gd name="adj2" fmla="val 10529"/>
          </a:avLst>
        </a:prstGeom>
        <a:solidFill>
          <a:schemeClr val="bg1"/>
        </a:solidFill>
        <a:ln w="9525">
          <a:solidFill>
            <a:srgbClr val="00B0F0"/>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l"/>
          <a:endParaRPr lang="en-US" sz="1100" b="0">
            <a:ln>
              <a:noFill/>
            </a:ln>
            <a:solidFill>
              <a:schemeClr val="tx1"/>
            </a:solidFill>
            <a:latin typeface="Arial" panose="020B0604020202020204" pitchFamily="34" charset="0"/>
            <a:cs typeface="Arial" panose="020B0604020202020204" pitchFamily="34" charset="0"/>
          </a:endParaRPr>
        </a:p>
      </xdr:txBody>
    </xdr:sp>
    <xdr:clientData/>
  </xdr:twoCellAnchor>
  <xdr:twoCellAnchor>
    <xdr:from>
      <xdr:col>21</xdr:col>
      <xdr:colOff>132566</xdr:colOff>
      <xdr:row>11</xdr:row>
      <xdr:rowOff>182730</xdr:rowOff>
    </xdr:from>
    <xdr:to>
      <xdr:col>26</xdr:col>
      <xdr:colOff>59648</xdr:colOff>
      <xdr:row>12</xdr:row>
      <xdr:rowOff>138087</xdr:rowOff>
    </xdr:to>
    <xdr:sp macro="" textlink="">
      <xdr:nvSpPr>
        <xdr:cNvPr id="42" name="Rectangle: Top Corners Rounded 41">
          <a:extLst>
            <a:ext uri="{FF2B5EF4-FFF2-40B4-BE49-F238E27FC236}">
              <a16:creationId xmlns:a16="http://schemas.microsoft.com/office/drawing/2014/main" id="{8904F632-FC25-40EC-9624-ABD6B4313FE4}"/>
            </a:ext>
          </a:extLst>
        </xdr:cNvPr>
        <xdr:cNvSpPr/>
      </xdr:nvSpPr>
      <xdr:spPr>
        <a:xfrm rot="10800000">
          <a:off x="12991316" y="2278230"/>
          <a:ext cx="2988689" cy="145857"/>
        </a:xfrm>
        <a:prstGeom prst="round2SameRect">
          <a:avLst>
            <a:gd name="adj1" fmla="val 0"/>
            <a:gd name="adj2" fmla="val 50000"/>
          </a:avLst>
        </a:prstGeom>
        <a:solidFill>
          <a:srgbClr val="00B0F0"/>
        </a:solidFill>
        <a:ln w="9525">
          <a:solidFill>
            <a:srgbClr val="00B0F0"/>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l"/>
          <a:endParaRPr lang="en-US" sz="1100" b="0">
            <a:ln>
              <a:noFill/>
            </a:ln>
            <a:solidFill>
              <a:schemeClr val="tx1"/>
            </a:solidFill>
            <a:latin typeface="Arial" panose="020B0604020202020204" pitchFamily="34" charset="0"/>
            <a:cs typeface="Arial" panose="020B0604020202020204" pitchFamily="34" charset="0"/>
          </a:endParaRPr>
        </a:p>
      </xdr:txBody>
    </xdr:sp>
    <xdr:clientData/>
  </xdr:twoCellAnchor>
  <xdr:twoCellAnchor>
    <xdr:from>
      <xdr:col>26</xdr:col>
      <xdr:colOff>259708</xdr:colOff>
      <xdr:row>12</xdr:row>
      <xdr:rowOff>138692</xdr:rowOff>
    </xdr:from>
    <xdr:to>
      <xdr:col>31</xdr:col>
      <xdr:colOff>206894</xdr:colOff>
      <xdr:row>25</xdr:row>
      <xdr:rowOff>153943</xdr:rowOff>
    </xdr:to>
    <xdr:sp macro="" textlink="">
      <xdr:nvSpPr>
        <xdr:cNvPr id="44" name="Rectangle: Top Corners Rounded 43">
          <a:extLst>
            <a:ext uri="{FF2B5EF4-FFF2-40B4-BE49-F238E27FC236}">
              <a16:creationId xmlns:a16="http://schemas.microsoft.com/office/drawing/2014/main" id="{49486CB0-CDDE-482C-A32E-FB5E514F7254}"/>
            </a:ext>
          </a:extLst>
        </xdr:cNvPr>
        <xdr:cNvSpPr/>
      </xdr:nvSpPr>
      <xdr:spPr>
        <a:xfrm>
          <a:off x="16180065" y="2424692"/>
          <a:ext cx="3008793" cy="2491751"/>
        </a:xfrm>
        <a:prstGeom prst="round2SameRect">
          <a:avLst>
            <a:gd name="adj1" fmla="val 0"/>
            <a:gd name="adj2" fmla="val 10529"/>
          </a:avLst>
        </a:prstGeom>
        <a:solidFill>
          <a:schemeClr val="bg1"/>
        </a:solidFill>
        <a:ln w="9525">
          <a:solidFill>
            <a:srgbClr val="0070C0"/>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l"/>
          <a:endParaRPr lang="en-US" sz="1100" b="0">
            <a:ln>
              <a:noFill/>
            </a:ln>
            <a:solidFill>
              <a:schemeClr val="tx1"/>
            </a:solidFill>
            <a:latin typeface="Arial" panose="020B0604020202020204" pitchFamily="34" charset="0"/>
            <a:cs typeface="Arial" panose="020B0604020202020204" pitchFamily="34" charset="0"/>
          </a:endParaRPr>
        </a:p>
      </xdr:txBody>
    </xdr:sp>
    <xdr:clientData/>
  </xdr:twoCellAnchor>
  <xdr:twoCellAnchor>
    <xdr:from>
      <xdr:col>26</xdr:col>
      <xdr:colOff>266314</xdr:colOff>
      <xdr:row>11</xdr:row>
      <xdr:rowOff>184720</xdr:rowOff>
    </xdr:from>
    <xdr:to>
      <xdr:col>31</xdr:col>
      <xdr:colOff>198234</xdr:colOff>
      <xdr:row>12</xdr:row>
      <xdr:rowOff>139746</xdr:rowOff>
    </xdr:to>
    <xdr:sp macro="" textlink="">
      <xdr:nvSpPr>
        <xdr:cNvPr id="45" name="Rectangle: Top Corners Rounded 44">
          <a:extLst>
            <a:ext uri="{FF2B5EF4-FFF2-40B4-BE49-F238E27FC236}">
              <a16:creationId xmlns:a16="http://schemas.microsoft.com/office/drawing/2014/main" id="{7D951091-349B-4616-B259-E18E19041E30}"/>
            </a:ext>
          </a:extLst>
        </xdr:cNvPr>
        <xdr:cNvSpPr/>
      </xdr:nvSpPr>
      <xdr:spPr>
        <a:xfrm rot="10800000">
          <a:off x="16186671" y="2280220"/>
          <a:ext cx="2993527" cy="145526"/>
        </a:xfrm>
        <a:prstGeom prst="round2SameRect">
          <a:avLst>
            <a:gd name="adj1" fmla="val 0"/>
            <a:gd name="adj2" fmla="val 50000"/>
          </a:avLst>
        </a:prstGeom>
        <a:solidFill>
          <a:srgbClr val="0070C0"/>
        </a:solidFill>
        <a:ln>
          <a:solidFill>
            <a:srgbClr val="0070C0"/>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l"/>
          <a:endParaRPr lang="en-US" sz="1100" b="0">
            <a:ln>
              <a:noFill/>
            </a:ln>
            <a:solidFill>
              <a:schemeClr val="tx1"/>
            </a:solidFill>
            <a:latin typeface="Arial" panose="020B0604020202020204" pitchFamily="34" charset="0"/>
            <a:cs typeface="Arial" panose="020B0604020202020204" pitchFamily="34" charset="0"/>
          </a:endParaRPr>
        </a:p>
      </xdr:txBody>
    </xdr:sp>
    <xdr:clientData/>
  </xdr:twoCellAnchor>
  <xdr:twoCellAnchor>
    <xdr:from>
      <xdr:col>31</xdr:col>
      <xdr:colOff>386148</xdr:colOff>
      <xdr:row>12</xdr:row>
      <xdr:rowOff>132283</xdr:rowOff>
    </xdr:from>
    <xdr:to>
      <xdr:col>36</xdr:col>
      <xdr:colOff>328471</xdr:colOff>
      <xdr:row>25</xdr:row>
      <xdr:rowOff>140008</xdr:rowOff>
    </xdr:to>
    <xdr:sp macro="" textlink="">
      <xdr:nvSpPr>
        <xdr:cNvPr id="47" name="Rectangle: Top Corners Rounded 46">
          <a:extLst>
            <a:ext uri="{FF2B5EF4-FFF2-40B4-BE49-F238E27FC236}">
              <a16:creationId xmlns:a16="http://schemas.microsoft.com/office/drawing/2014/main" id="{05C256F8-01A3-4D15-A973-CB99B23A5886}"/>
            </a:ext>
          </a:extLst>
        </xdr:cNvPr>
        <xdr:cNvSpPr/>
      </xdr:nvSpPr>
      <xdr:spPr>
        <a:xfrm>
          <a:off x="19368112" y="2418283"/>
          <a:ext cx="3003930" cy="2484225"/>
        </a:xfrm>
        <a:prstGeom prst="round2SameRect">
          <a:avLst>
            <a:gd name="adj1" fmla="val 0"/>
            <a:gd name="adj2" fmla="val 10529"/>
          </a:avLst>
        </a:prstGeom>
        <a:solidFill>
          <a:schemeClr val="bg1"/>
        </a:solidFill>
        <a:ln w="9525">
          <a:solidFill>
            <a:srgbClr val="FFC000"/>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l"/>
          <a:endParaRPr lang="en-US" sz="1100" b="0">
            <a:ln>
              <a:noFill/>
            </a:ln>
            <a:solidFill>
              <a:schemeClr val="tx1"/>
            </a:solidFill>
            <a:latin typeface="Arial" panose="020B0604020202020204" pitchFamily="34" charset="0"/>
            <a:cs typeface="Arial" panose="020B0604020202020204" pitchFamily="34" charset="0"/>
          </a:endParaRPr>
        </a:p>
      </xdr:txBody>
    </xdr:sp>
    <xdr:clientData/>
  </xdr:twoCellAnchor>
  <xdr:twoCellAnchor>
    <xdr:from>
      <xdr:col>31</xdr:col>
      <xdr:colOff>392744</xdr:colOff>
      <xdr:row>11</xdr:row>
      <xdr:rowOff>178749</xdr:rowOff>
    </xdr:from>
    <xdr:to>
      <xdr:col>36</xdr:col>
      <xdr:colOff>319826</xdr:colOff>
      <xdr:row>12</xdr:row>
      <xdr:rowOff>133337</xdr:rowOff>
    </xdr:to>
    <xdr:sp macro="" textlink="">
      <xdr:nvSpPr>
        <xdr:cNvPr id="48" name="Rectangle: Top Corners Rounded 47">
          <a:extLst>
            <a:ext uri="{FF2B5EF4-FFF2-40B4-BE49-F238E27FC236}">
              <a16:creationId xmlns:a16="http://schemas.microsoft.com/office/drawing/2014/main" id="{29168481-4C68-4CC6-B1F1-C450BD3EE2CD}"/>
            </a:ext>
          </a:extLst>
        </xdr:cNvPr>
        <xdr:cNvSpPr/>
      </xdr:nvSpPr>
      <xdr:spPr>
        <a:xfrm rot="10800000">
          <a:off x="19374708" y="2274249"/>
          <a:ext cx="2988689" cy="145088"/>
        </a:xfrm>
        <a:prstGeom prst="round2SameRect">
          <a:avLst>
            <a:gd name="adj1" fmla="val 0"/>
            <a:gd name="adj2" fmla="val 50000"/>
          </a:avLst>
        </a:prstGeom>
        <a:solidFill>
          <a:srgbClr val="FFC000"/>
        </a:solidFill>
        <a:ln w="9525">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l"/>
          <a:endParaRPr lang="en-US" sz="1100" b="0">
            <a:ln>
              <a:noFill/>
            </a:ln>
            <a:solidFill>
              <a:schemeClr val="tx1"/>
            </a:solidFill>
            <a:latin typeface="Arial" panose="020B0604020202020204" pitchFamily="34" charset="0"/>
            <a:cs typeface="Arial" panose="020B0604020202020204" pitchFamily="34" charset="0"/>
          </a:endParaRPr>
        </a:p>
      </xdr:txBody>
    </xdr:sp>
    <xdr:clientData/>
  </xdr:twoCellAnchor>
  <xdr:twoCellAnchor>
    <xdr:from>
      <xdr:col>0</xdr:col>
      <xdr:colOff>363759</xdr:colOff>
      <xdr:row>12</xdr:row>
      <xdr:rowOff>180055</xdr:rowOff>
    </xdr:from>
    <xdr:to>
      <xdr:col>5</xdr:col>
      <xdr:colOff>137517</xdr:colOff>
      <xdr:row>14</xdr:row>
      <xdr:rowOff>127498</xdr:rowOff>
    </xdr:to>
    <xdr:sp macro="" textlink="">
      <xdr:nvSpPr>
        <xdr:cNvPr id="52" name="TextBox 51">
          <a:extLst>
            <a:ext uri="{FF2B5EF4-FFF2-40B4-BE49-F238E27FC236}">
              <a16:creationId xmlns:a16="http://schemas.microsoft.com/office/drawing/2014/main" id="{F30A3EE9-0A00-405B-B786-30790B0B5FC3}"/>
            </a:ext>
          </a:extLst>
        </xdr:cNvPr>
        <xdr:cNvSpPr txBox="1"/>
      </xdr:nvSpPr>
      <xdr:spPr>
        <a:xfrm>
          <a:off x="363759" y="2466055"/>
          <a:ext cx="2835365" cy="328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300" b="1">
              <a:ln>
                <a:noFill/>
              </a:ln>
              <a:latin typeface="Segoe UI" panose="020B0502040204020203" pitchFamily="34" charset="0"/>
              <a:cs typeface="Segoe UI" panose="020B0502040204020203" pitchFamily="34" charset="0"/>
            </a:rPr>
            <a:t>Meter</a:t>
          </a:r>
          <a:r>
            <a:rPr lang="en-US" sz="1300" b="1" baseline="0">
              <a:ln>
                <a:noFill/>
              </a:ln>
              <a:latin typeface="Segoe UI" panose="020B0502040204020203" pitchFamily="34" charset="0"/>
              <a:cs typeface="Segoe UI" panose="020B0502040204020203" pitchFamily="34" charset="0"/>
            </a:rPr>
            <a:t> Installation Record</a:t>
          </a:r>
          <a:endParaRPr lang="en-US" sz="1300" b="1">
            <a:ln>
              <a:noFill/>
            </a:ln>
            <a:latin typeface="Segoe UI" panose="020B0502040204020203" pitchFamily="34" charset="0"/>
            <a:cs typeface="Segoe UI" panose="020B0502040204020203" pitchFamily="34" charset="0"/>
          </a:endParaRPr>
        </a:p>
      </xdr:txBody>
    </xdr:sp>
    <xdr:clientData/>
  </xdr:twoCellAnchor>
  <xdr:twoCellAnchor>
    <xdr:from>
      <xdr:col>5</xdr:col>
      <xdr:colOff>480471</xdr:colOff>
      <xdr:row>12</xdr:row>
      <xdr:rowOff>180055</xdr:rowOff>
    </xdr:from>
    <xdr:to>
      <xdr:col>10</xdr:col>
      <xdr:colOff>254227</xdr:colOff>
      <xdr:row>14</xdr:row>
      <xdr:rowOff>133470</xdr:rowOff>
    </xdr:to>
    <xdr:sp macro="" textlink="">
      <xdr:nvSpPr>
        <xdr:cNvPr id="53" name="TextBox 52">
          <a:extLst>
            <a:ext uri="{FF2B5EF4-FFF2-40B4-BE49-F238E27FC236}">
              <a16:creationId xmlns:a16="http://schemas.microsoft.com/office/drawing/2014/main" id="{DBB7E655-4861-4378-8F8D-497DD0E4CE54}"/>
            </a:ext>
          </a:extLst>
        </xdr:cNvPr>
        <xdr:cNvSpPr txBox="1"/>
      </xdr:nvSpPr>
      <xdr:spPr>
        <a:xfrm>
          <a:off x="3542078" y="2466055"/>
          <a:ext cx="2835363" cy="334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300" b="1">
              <a:ln>
                <a:noFill/>
              </a:ln>
              <a:latin typeface="Segoe UI" panose="020B0502040204020203" pitchFamily="34" charset="0"/>
              <a:cs typeface="Segoe UI" panose="020B0502040204020203" pitchFamily="34" charset="0"/>
            </a:rPr>
            <a:t>Commissioning</a:t>
          </a:r>
          <a:r>
            <a:rPr lang="en-US" sz="1300" b="1" baseline="0">
              <a:ln>
                <a:noFill/>
              </a:ln>
              <a:latin typeface="Segoe UI" panose="020B0502040204020203" pitchFamily="34" charset="0"/>
              <a:cs typeface="Segoe UI" panose="020B0502040204020203" pitchFamily="34" charset="0"/>
            </a:rPr>
            <a:t> Record</a:t>
          </a:r>
          <a:endParaRPr lang="en-US" sz="1300" b="1">
            <a:ln>
              <a:noFill/>
            </a:ln>
            <a:latin typeface="Segoe UI" panose="020B0502040204020203" pitchFamily="34" charset="0"/>
            <a:cs typeface="Segoe UI" panose="020B0502040204020203" pitchFamily="34" charset="0"/>
          </a:endParaRPr>
        </a:p>
      </xdr:txBody>
    </xdr:sp>
    <xdr:clientData/>
  </xdr:twoCellAnchor>
  <xdr:twoCellAnchor>
    <xdr:from>
      <xdr:col>10</xdr:col>
      <xdr:colOff>580155</xdr:colOff>
      <xdr:row>12</xdr:row>
      <xdr:rowOff>186026</xdr:rowOff>
    </xdr:from>
    <xdr:to>
      <xdr:col>15</xdr:col>
      <xdr:colOff>353913</xdr:colOff>
      <xdr:row>14</xdr:row>
      <xdr:rowOff>147403</xdr:rowOff>
    </xdr:to>
    <xdr:sp macro="" textlink="">
      <xdr:nvSpPr>
        <xdr:cNvPr id="54" name="TextBox 53">
          <a:extLst>
            <a:ext uri="{FF2B5EF4-FFF2-40B4-BE49-F238E27FC236}">
              <a16:creationId xmlns:a16="http://schemas.microsoft.com/office/drawing/2014/main" id="{A2CFA486-BC30-4327-956C-F3621C55FCA2}"/>
            </a:ext>
          </a:extLst>
        </xdr:cNvPr>
        <xdr:cNvSpPr txBox="1"/>
      </xdr:nvSpPr>
      <xdr:spPr>
        <a:xfrm>
          <a:off x="6703369" y="2472026"/>
          <a:ext cx="2835365" cy="3423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300" b="1">
              <a:ln>
                <a:noFill/>
              </a:ln>
              <a:latin typeface="Segoe UI" panose="020B0502040204020203" pitchFamily="34" charset="0"/>
              <a:cs typeface="Segoe UI" panose="020B0502040204020203" pitchFamily="34" charset="0"/>
            </a:rPr>
            <a:t>Tag</a:t>
          </a:r>
          <a:r>
            <a:rPr lang="en-US" sz="1300" b="1" baseline="0">
              <a:ln>
                <a:noFill/>
              </a:ln>
              <a:latin typeface="Segoe UI" panose="020B0502040204020203" pitchFamily="34" charset="0"/>
              <a:cs typeface="Segoe UI" panose="020B0502040204020203" pitchFamily="34" charset="0"/>
            </a:rPr>
            <a:t> Record</a:t>
          </a:r>
          <a:endParaRPr lang="en-US" sz="1300" b="1">
            <a:ln>
              <a:noFill/>
            </a:ln>
            <a:latin typeface="Segoe UI" panose="020B0502040204020203" pitchFamily="34" charset="0"/>
            <a:cs typeface="Segoe UI" panose="020B0502040204020203" pitchFamily="34" charset="0"/>
          </a:endParaRPr>
        </a:p>
      </xdr:txBody>
    </xdr:sp>
    <xdr:clientData/>
  </xdr:twoCellAnchor>
  <xdr:twoCellAnchor>
    <xdr:from>
      <xdr:col>16</xdr:col>
      <xdr:colOff>106436</xdr:colOff>
      <xdr:row>12</xdr:row>
      <xdr:rowOff>186026</xdr:rowOff>
    </xdr:from>
    <xdr:to>
      <xdr:col>20</xdr:col>
      <xdr:colOff>492515</xdr:colOff>
      <xdr:row>14</xdr:row>
      <xdr:rowOff>147403</xdr:rowOff>
    </xdr:to>
    <xdr:sp macro="" textlink="">
      <xdr:nvSpPr>
        <xdr:cNvPr id="55" name="TextBox 54">
          <a:extLst>
            <a:ext uri="{FF2B5EF4-FFF2-40B4-BE49-F238E27FC236}">
              <a16:creationId xmlns:a16="http://schemas.microsoft.com/office/drawing/2014/main" id="{67D2B6F1-716D-4941-B3A7-F35D4B839168}"/>
            </a:ext>
          </a:extLst>
        </xdr:cNvPr>
        <xdr:cNvSpPr txBox="1"/>
      </xdr:nvSpPr>
      <xdr:spPr>
        <a:xfrm>
          <a:off x="9903579" y="2472026"/>
          <a:ext cx="2835365" cy="3423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300" b="1">
              <a:ln>
                <a:noFill/>
              </a:ln>
              <a:latin typeface="Segoe UI" panose="020B0502040204020203" pitchFamily="34" charset="0"/>
              <a:cs typeface="Segoe UI" panose="020B0502040204020203" pitchFamily="34" charset="0"/>
            </a:rPr>
            <a:t>Riser Construction </a:t>
          </a:r>
          <a:r>
            <a:rPr lang="en-US" sz="1300" b="1" baseline="0">
              <a:ln>
                <a:noFill/>
              </a:ln>
              <a:latin typeface="Segoe UI" panose="020B0502040204020203" pitchFamily="34" charset="0"/>
              <a:cs typeface="Segoe UI" panose="020B0502040204020203" pitchFamily="34" charset="0"/>
            </a:rPr>
            <a:t>Record</a:t>
          </a:r>
          <a:endParaRPr lang="en-US" sz="1300" b="1">
            <a:ln>
              <a:noFill/>
            </a:ln>
            <a:latin typeface="Segoe UI" panose="020B0502040204020203" pitchFamily="34" charset="0"/>
            <a:cs typeface="Segoe UI" panose="020B0502040204020203" pitchFamily="34" charset="0"/>
          </a:endParaRPr>
        </a:p>
      </xdr:txBody>
    </xdr:sp>
    <xdr:clientData/>
  </xdr:twoCellAnchor>
  <xdr:twoCellAnchor>
    <xdr:from>
      <xdr:col>21</xdr:col>
      <xdr:colOff>203689</xdr:colOff>
      <xdr:row>13</xdr:row>
      <xdr:rowOff>7470</xdr:rowOff>
    </xdr:from>
    <xdr:to>
      <xdr:col>25</xdr:col>
      <xdr:colOff>589768</xdr:colOff>
      <xdr:row>14</xdr:row>
      <xdr:rowOff>155366</xdr:rowOff>
    </xdr:to>
    <xdr:sp macro="" textlink="">
      <xdr:nvSpPr>
        <xdr:cNvPr id="59" name="TextBox 58">
          <a:extLst>
            <a:ext uri="{FF2B5EF4-FFF2-40B4-BE49-F238E27FC236}">
              <a16:creationId xmlns:a16="http://schemas.microsoft.com/office/drawing/2014/main" id="{E6C095D8-548F-4245-8B32-FB2C5B98BC77}"/>
            </a:ext>
          </a:extLst>
        </xdr:cNvPr>
        <xdr:cNvSpPr txBox="1"/>
      </xdr:nvSpPr>
      <xdr:spPr>
        <a:xfrm>
          <a:off x="13062439" y="2483970"/>
          <a:ext cx="2835365" cy="338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300" b="1">
              <a:ln>
                <a:noFill/>
              </a:ln>
              <a:latin typeface="Segoe UI" panose="020B0502040204020203" pitchFamily="34" charset="0"/>
              <a:cs typeface="Segoe UI" panose="020B0502040204020203" pitchFamily="34" charset="0"/>
            </a:rPr>
            <a:t>Shed &amp; Bracket Record</a:t>
          </a:r>
        </a:p>
      </xdr:txBody>
    </xdr:sp>
    <xdr:clientData/>
  </xdr:twoCellAnchor>
  <xdr:twoCellAnchor>
    <xdr:from>
      <xdr:col>26</xdr:col>
      <xdr:colOff>347156</xdr:colOff>
      <xdr:row>13</xdr:row>
      <xdr:rowOff>17422</xdr:rowOff>
    </xdr:from>
    <xdr:to>
      <xdr:col>31</xdr:col>
      <xdr:colOff>120912</xdr:colOff>
      <xdr:row>14</xdr:row>
      <xdr:rowOff>169299</xdr:rowOff>
    </xdr:to>
    <xdr:sp macro="" textlink="">
      <xdr:nvSpPr>
        <xdr:cNvPr id="60" name="TextBox 59">
          <a:extLst>
            <a:ext uri="{FF2B5EF4-FFF2-40B4-BE49-F238E27FC236}">
              <a16:creationId xmlns:a16="http://schemas.microsoft.com/office/drawing/2014/main" id="{DAF85D13-0907-4E4C-882B-0780FD297FDF}"/>
            </a:ext>
          </a:extLst>
        </xdr:cNvPr>
        <xdr:cNvSpPr txBox="1"/>
      </xdr:nvSpPr>
      <xdr:spPr>
        <a:xfrm>
          <a:off x="16267513" y="2493922"/>
          <a:ext cx="2835363" cy="3423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300" b="1">
              <a:ln>
                <a:noFill/>
              </a:ln>
              <a:latin typeface="Segoe UI" panose="020B0502040204020203" pitchFamily="34" charset="0"/>
              <a:cs typeface="Segoe UI" panose="020B0502040204020203" pitchFamily="34" charset="0"/>
            </a:rPr>
            <a:t>Lad-Seal Record</a:t>
          </a:r>
        </a:p>
      </xdr:txBody>
    </xdr:sp>
    <xdr:clientData/>
  </xdr:twoCellAnchor>
  <xdr:twoCellAnchor>
    <xdr:from>
      <xdr:col>31</xdr:col>
      <xdr:colOff>459002</xdr:colOff>
      <xdr:row>13</xdr:row>
      <xdr:rowOff>5479</xdr:rowOff>
    </xdr:from>
    <xdr:to>
      <xdr:col>36</xdr:col>
      <xdr:colOff>232760</xdr:colOff>
      <xdr:row>14</xdr:row>
      <xdr:rowOff>147403</xdr:rowOff>
    </xdr:to>
    <xdr:sp macro="" textlink="">
      <xdr:nvSpPr>
        <xdr:cNvPr id="61" name="TextBox 60">
          <a:extLst>
            <a:ext uri="{FF2B5EF4-FFF2-40B4-BE49-F238E27FC236}">
              <a16:creationId xmlns:a16="http://schemas.microsoft.com/office/drawing/2014/main" id="{529EA6CC-E07B-4A39-BD6D-0059A6E4D920}"/>
            </a:ext>
          </a:extLst>
        </xdr:cNvPr>
        <xdr:cNvSpPr txBox="1"/>
      </xdr:nvSpPr>
      <xdr:spPr>
        <a:xfrm>
          <a:off x="19440966" y="2481979"/>
          <a:ext cx="2835365" cy="3324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300" b="1">
              <a:ln>
                <a:noFill/>
              </a:ln>
              <a:latin typeface="Segoe UI" panose="020B0502040204020203" pitchFamily="34" charset="0"/>
              <a:cs typeface="Segoe UI" panose="020B0502040204020203" pitchFamily="34" charset="0"/>
            </a:rPr>
            <a:t>Emergency Record</a:t>
          </a:r>
        </a:p>
      </xdr:txBody>
    </xdr:sp>
    <xdr:clientData/>
  </xdr:twoCellAnchor>
  <xdr:twoCellAnchor>
    <xdr:from>
      <xdr:col>1</xdr:col>
      <xdr:colOff>350824</xdr:colOff>
      <xdr:row>21</xdr:row>
      <xdr:rowOff>157535</xdr:rowOff>
    </xdr:from>
    <xdr:to>
      <xdr:col>4</xdr:col>
      <xdr:colOff>113965</xdr:colOff>
      <xdr:row>23</xdr:row>
      <xdr:rowOff>93035</xdr:rowOff>
    </xdr:to>
    <xdr:sp macro="" textlink="">
      <xdr:nvSpPr>
        <xdr:cNvPr id="69" name="TextBox 68">
          <a:extLst>
            <a:ext uri="{FF2B5EF4-FFF2-40B4-BE49-F238E27FC236}">
              <a16:creationId xmlns:a16="http://schemas.microsoft.com/office/drawing/2014/main" id="{CCA913BB-28C9-494A-8F8F-AE9C94FEBFAF}"/>
            </a:ext>
          </a:extLst>
        </xdr:cNvPr>
        <xdr:cNvSpPr txBox="1"/>
      </xdr:nvSpPr>
      <xdr:spPr>
        <a:xfrm>
          <a:off x="963145" y="4158035"/>
          <a:ext cx="1600106" cy="316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n>
                <a:noFill/>
              </a:ln>
              <a:solidFill>
                <a:schemeClr val="tx1"/>
              </a:solidFill>
              <a:latin typeface="Helvetica" panose="020B0604020202020204" pitchFamily="34" charset="0"/>
              <a:cs typeface="Helvetica" panose="020B0604020202020204" pitchFamily="34" charset="0"/>
            </a:rPr>
            <a:t>Total House</a:t>
          </a:r>
          <a:r>
            <a:rPr lang="en-US" sz="600">
              <a:ln>
                <a:noFill/>
              </a:ln>
              <a:solidFill>
                <a:schemeClr val="tx1"/>
              </a:solidFill>
              <a:latin typeface="Helvetica" panose="020B0604020202020204" pitchFamily="34" charset="0"/>
              <a:cs typeface="Helvetica" panose="020B0604020202020204" pitchFamily="34" charset="0"/>
            </a:rPr>
            <a:t> </a:t>
          </a:r>
          <a:r>
            <a:rPr lang="en-US" sz="1200">
              <a:ln>
                <a:noFill/>
              </a:ln>
              <a:solidFill>
                <a:schemeClr val="tx1"/>
              </a:solidFill>
              <a:latin typeface="Helvetica" panose="020B0604020202020204" pitchFamily="34" charset="0"/>
              <a:cs typeface="Helvetica" panose="020B0604020202020204" pitchFamily="34" charset="0"/>
            </a:rPr>
            <a:t>:</a:t>
          </a:r>
        </a:p>
      </xdr:txBody>
    </xdr:sp>
    <xdr:clientData/>
  </xdr:twoCellAnchor>
  <xdr:twoCellAnchor>
    <xdr:from>
      <xdr:col>1</xdr:col>
      <xdr:colOff>384876</xdr:colOff>
      <xdr:row>23</xdr:row>
      <xdr:rowOff>93035</xdr:rowOff>
    </xdr:from>
    <xdr:to>
      <xdr:col>4</xdr:col>
      <xdr:colOff>283493</xdr:colOff>
      <xdr:row>25</xdr:row>
      <xdr:rowOff>24554</xdr:rowOff>
    </xdr:to>
    <xdr:sp macro="" textlink="">
      <xdr:nvSpPr>
        <xdr:cNvPr id="70" name="TextBox 69">
          <a:extLst>
            <a:ext uri="{FF2B5EF4-FFF2-40B4-BE49-F238E27FC236}">
              <a16:creationId xmlns:a16="http://schemas.microsoft.com/office/drawing/2014/main" id="{F238ACFF-4694-4D0E-93BF-903E518DE563}"/>
            </a:ext>
          </a:extLst>
        </xdr:cNvPr>
        <xdr:cNvSpPr txBox="1"/>
      </xdr:nvSpPr>
      <xdr:spPr>
        <a:xfrm>
          <a:off x="997197" y="4474535"/>
          <a:ext cx="1735582" cy="3125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n>
                <a:noFill/>
              </a:ln>
              <a:solidFill>
                <a:schemeClr val="tx1"/>
              </a:solidFill>
              <a:latin typeface="Helvetica" panose="020B0604020202020204" pitchFamily="34" charset="0"/>
              <a:cs typeface="Helvetica" panose="020B0604020202020204" pitchFamily="34" charset="0"/>
            </a:rPr>
            <a:t>Total Meter Ins. :</a:t>
          </a:r>
        </a:p>
      </xdr:txBody>
    </xdr:sp>
    <xdr:clientData/>
  </xdr:twoCellAnchor>
  <xdr:twoCellAnchor>
    <xdr:from>
      <xdr:col>3</xdr:col>
      <xdr:colOff>215058</xdr:colOff>
      <xdr:row>22</xdr:row>
      <xdr:rowOff>2865</xdr:rowOff>
    </xdr:from>
    <xdr:to>
      <xdr:col>4</xdr:col>
      <xdr:colOff>467245</xdr:colOff>
      <xdr:row>23</xdr:row>
      <xdr:rowOff>140808</xdr:rowOff>
    </xdr:to>
    <xdr:sp macro="" textlink="Pivot_analysis!E4">
      <xdr:nvSpPr>
        <xdr:cNvPr id="71" name="TextBox 70">
          <a:extLst>
            <a:ext uri="{FF2B5EF4-FFF2-40B4-BE49-F238E27FC236}">
              <a16:creationId xmlns:a16="http://schemas.microsoft.com/office/drawing/2014/main" id="{C9CE8632-41B5-4A88-87FD-F7FC9261F061}"/>
            </a:ext>
          </a:extLst>
        </xdr:cNvPr>
        <xdr:cNvSpPr txBox="1"/>
      </xdr:nvSpPr>
      <xdr:spPr>
        <a:xfrm>
          <a:off x="2052022" y="4193865"/>
          <a:ext cx="864509" cy="328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3B7E124-8CEE-443A-A357-99EEF3EE87BF}" type="TxLink">
            <a:rPr lang="en-US" sz="1200" b="0" i="0" u="none" strike="noStrike">
              <a:ln>
                <a:noFill/>
              </a:ln>
              <a:solidFill>
                <a:schemeClr val="tx1"/>
              </a:solidFill>
              <a:latin typeface="Helvetica" panose="020B0604020202020204" pitchFamily="34" charset="0"/>
              <a:cs typeface="Helvetica" panose="020B0604020202020204" pitchFamily="34" charset="0"/>
            </a:rPr>
            <a:pPr/>
            <a:t>9670</a:t>
          </a:fld>
          <a:endParaRPr lang="en-US" sz="120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3</xdr:col>
      <xdr:colOff>486884</xdr:colOff>
      <xdr:row>23</xdr:row>
      <xdr:rowOff>116921</xdr:rowOff>
    </xdr:from>
    <xdr:to>
      <xdr:col>5</xdr:col>
      <xdr:colOff>360927</xdr:colOff>
      <xdr:row>25</xdr:row>
      <xdr:rowOff>74317</xdr:rowOff>
    </xdr:to>
    <xdr:sp macro="" textlink="Pivot_analysis!E7">
      <xdr:nvSpPr>
        <xdr:cNvPr id="72" name="TextBox 71">
          <a:extLst>
            <a:ext uri="{FF2B5EF4-FFF2-40B4-BE49-F238E27FC236}">
              <a16:creationId xmlns:a16="http://schemas.microsoft.com/office/drawing/2014/main" id="{43B25293-CFF4-4A14-99D8-BF3BE7821F50}"/>
            </a:ext>
          </a:extLst>
        </xdr:cNvPr>
        <xdr:cNvSpPr txBox="1"/>
      </xdr:nvSpPr>
      <xdr:spPr>
        <a:xfrm>
          <a:off x="2323848" y="4498421"/>
          <a:ext cx="1098686" cy="3383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6C5285E-FCE1-41BE-876D-FE3A0EC78862}" type="TxLink">
            <a:rPr lang="en-US" sz="1200" b="0" i="0" u="none" strike="noStrike">
              <a:ln>
                <a:noFill/>
              </a:ln>
              <a:solidFill>
                <a:schemeClr val="tx1"/>
              </a:solidFill>
              <a:latin typeface="Helvetica" panose="020B0604020202020204" pitchFamily="34" charset="0"/>
              <a:cs typeface="Helvetica" panose="020B0604020202020204" pitchFamily="34" charset="0"/>
            </a:rPr>
            <a:pPr/>
            <a:t>56905</a:t>
          </a:fld>
          <a:endParaRPr lang="en-US" sz="120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0</xdr:col>
      <xdr:colOff>367928</xdr:colOff>
      <xdr:row>22</xdr:row>
      <xdr:rowOff>40822</xdr:rowOff>
    </xdr:from>
    <xdr:to>
      <xdr:col>1</xdr:col>
      <xdr:colOff>391889</xdr:colOff>
      <xdr:row>24</xdr:row>
      <xdr:rowOff>176580</xdr:rowOff>
    </xdr:to>
    <xdr:pic>
      <xdr:nvPicPr>
        <xdr:cNvPr id="22" name="Picture 21">
          <a:extLst>
            <a:ext uri="{FF2B5EF4-FFF2-40B4-BE49-F238E27FC236}">
              <a16:creationId xmlns:a16="http://schemas.microsoft.com/office/drawing/2014/main" id="{18ABFB5C-49FB-4A7F-900B-82BE9648A0C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67928" y="4231822"/>
          <a:ext cx="636282" cy="516758"/>
        </a:xfrm>
        <a:prstGeom prst="rect">
          <a:avLst/>
        </a:prstGeom>
      </xdr:spPr>
    </xdr:pic>
    <xdr:clientData/>
  </xdr:twoCellAnchor>
  <xdr:twoCellAnchor>
    <xdr:from>
      <xdr:col>0</xdr:col>
      <xdr:colOff>419702</xdr:colOff>
      <xdr:row>21</xdr:row>
      <xdr:rowOff>155544</xdr:rowOff>
    </xdr:from>
    <xdr:to>
      <xdr:col>5</xdr:col>
      <xdr:colOff>76709</xdr:colOff>
      <xdr:row>21</xdr:row>
      <xdr:rowOff>157535</xdr:rowOff>
    </xdr:to>
    <xdr:cxnSp macro="">
      <xdr:nvCxnSpPr>
        <xdr:cNvPr id="74" name="Straight Connector 73">
          <a:extLst>
            <a:ext uri="{FF2B5EF4-FFF2-40B4-BE49-F238E27FC236}">
              <a16:creationId xmlns:a16="http://schemas.microsoft.com/office/drawing/2014/main" id="{04291E96-79A1-4538-ADD1-07AC31D523B6}"/>
            </a:ext>
          </a:extLst>
        </xdr:cNvPr>
        <xdr:cNvCxnSpPr/>
      </xdr:nvCxnSpPr>
      <xdr:spPr>
        <a:xfrm>
          <a:off x="419702" y="4156044"/>
          <a:ext cx="2718614" cy="199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405957</xdr:colOff>
      <xdr:row>1</xdr:row>
      <xdr:rowOff>73990</xdr:rowOff>
    </xdr:from>
    <xdr:to>
      <xdr:col>28</xdr:col>
      <xdr:colOff>515871</xdr:colOff>
      <xdr:row>10</xdr:row>
      <xdr:rowOff>31565</xdr:rowOff>
    </xdr:to>
    <xdr:sp macro="" textlink="">
      <xdr:nvSpPr>
        <xdr:cNvPr id="84" name="TextBox 83">
          <a:extLst>
            <a:ext uri="{FF2B5EF4-FFF2-40B4-BE49-F238E27FC236}">
              <a16:creationId xmlns:a16="http://schemas.microsoft.com/office/drawing/2014/main" id="{2B573DA6-4D17-43FD-B64F-23FEB351ADCF}"/>
            </a:ext>
          </a:extLst>
        </xdr:cNvPr>
        <xdr:cNvSpPr txBox="1"/>
      </xdr:nvSpPr>
      <xdr:spPr>
        <a:xfrm>
          <a:off x="4692207" y="264490"/>
          <a:ext cx="12968664" cy="167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0">
              <a:ln>
                <a:noFill/>
              </a:ln>
              <a:solidFill>
                <a:schemeClr val="dk1"/>
              </a:solidFill>
              <a:effectLst/>
              <a:latin typeface="Arial" panose="020B0604020202020204" pitchFamily="34" charset="0"/>
              <a:ea typeface="+mn-ea"/>
              <a:cs typeface="Arial" panose="020B0604020202020204" pitchFamily="34" charset="0"/>
            </a:rPr>
            <a:t>Installation of</a:t>
          </a:r>
          <a:r>
            <a:rPr lang="en-US" sz="2400" b="0" baseline="0">
              <a:ln>
                <a:noFill/>
              </a:ln>
              <a:solidFill>
                <a:schemeClr val="dk1"/>
              </a:solidFill>
              <a:effectLst/>
              <a:latin typeface="Arial" panose="020B0604020202020204" pitchFamily="34" charset="0"/>
              <a:ea typeface="+mn-ea"/>
              <a:cs typeface="Arial" panose="020B0604020202020204" pitchFamily="34" charset="0"/>
            </a:rPr>
            <a:t> Pre-Paid Gas Meter for</a:t>
          </a:r>
          <a:endParaRPr lang="en-US" sz="2400">
            <a:ln>
              <a:noFill/>
            </a:ln>
            <a:effectLst/>
            <a:latin typeface="Arial" panose="020B0604020202020204" pitchFamily="34" charset="0"/>
            <a:cs typeface="Arial" panose="020B0604020202020204" pitchFamily="34" charset="0"/>
          </a:endParaRPr>
        </a:p>
        <a:p>
          <a:pPr algn="ctr"/>
          <a:r>
            <a:rPr lang="en-US" sz="3400" b="1" baseline="0">
              <a:ln>
                <a:noFill/>
              </a:ln>
              <a:solidFill>
                <a:srgbClr val="002060"/>
              </a:solidFill>
              <a:effectLst/>
              <a:latin typeface="Arial" panose="020B0604020202020204" pitchFamily="34" charset="0"/>
              <a:ea typeface="+mn-ea"/>
              <a:cs typeface="Arial" panose="020B0604020202020204" pitchFamily="34" charset="0"/>
            </a:rPr>
            <a:t>Karnapulli Gas Distribution Company Limited</a:t>
          </a:r>
          <a:endParaRPr lang="en-US" sz="3400" b="1">
            <a:ln>
              <a:noFill/>
            </a:ln>
            <a:solidFill>
              <a:srgbClr val="002060"/>
            </a:solidFill>
            <a:effectLst/>
            <a:latin typeface="Arial" panose="020B0604020202020204" pitchFamily="34" charset="0"/>
            <a:cs typeface="Arial" panose="020B0604020202020204" pitchFamily="34" charset="0"/>
          </a:endParaRPr>
        </a:p>
        <a:p>
          <a:pPr algn="ctr"/>
          <a:r>
            <a:rPr lang="en-US" sz="2400" b="0" baseline="0">
              <a:ln>
                <a:noFill/>
              </a:ln>
              <a:solidFill>
                <a:schemeClr val="tx1"/>
              </a:solidFill>
              <a:effectLst/>
              <a:latin typeface="Arial" panose="020B0604020202020204" pitchFamily="34" charset="0"/>
              <a:ea typeface="+mn-ea"/>
              <a:cs typeface="Arial" panose="020B0604020202020204" pitchFamily="34" charset="0"/>
            </a:rPr>
            <a:t>ONODA.INC (Chittagong Branch)</a:t>
          </a:r>
          <a:endParaRPr lang="en-US" sz="2400">
            <a:ln>
              <a:noFill/>
            </a:ln>
            <a:solidFill>
              <a:schemeClr val="tx1"/>
            </a:solidFill>
            <a:effectLst/>
            <a:latin typeface="Arial" panose="020B0604020202020204" pitchFamily="34" charset="0"/>
            <a:cs typeface="Arial" panose="020B0604020202020204" pitchFamily="34" charset="0"/>
          </a:endParaRPr>
        </a:p>
        <a:p>
          <a:endParaRPr lang="en-US" sz="1100">
            <a:ln>
              <a:noFill/>
            </a:ln>
            <a:latin typeface="Arial" panose="020B0604020202020204" pitchFamily="34" charset="0"/>
            <a:cs typeface="Arial" panose="020B0604020202020204" pitchFamily="34" charset="0"/>
          </a:endParaRPr>
        </a:p>
      </xdr:txBody>
    </xdr:sp>
    <xdr:clientData/>
  </xdr:twoCellAnchor>
  <xdr:twoCellAnchor>
    <xdr:from>
      <xdr:col>5</xdr:col>
      <xdr:colOff>385615</xdr:colOff>
      <xdr:row>2</xdr:row>
      <xdr:rowOff>80556</xdr:rowOff>
    </xdr:from>
    <xdr:to>
      <xdr:col>7</xdr:col>
      <xdr:colOff>399937</xdr:colOff>
      <xdr:row>8</xdr:row>
      <xdr:rowOff>56251</xdr:rowOff>
    </xdr:to>
    <xdr:pic>
      <xdr:nvPicPr>
        <xdr:cNvPr id="49" name="image1.jpeg">
          <a:extLst>
            <a:ext uri="{FF2B5EF4-FFF2-40B4-BE49-F238E27FC236}">
              <a16:creationId xmlns:a16="http://schemas.microsoft.com/office/drawing/2014/main" id="{37C23603-CBD5-4B70-9382-DF7E9FADCF3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447222" y="461556"/>
          <a:ext cx="1238965" cy="1118695"/>
        </a:xfrm>
        <a:prstGeom prst="rect">
          <a:avLst/>
        </a:prstGeom>
        <a:solidFill>
          <a:srgbClr val="FFFFFF">
            <a:shade val="85000"/>
          </a:srgbClr>
        </a:solidFill>
        <a:ln w="88900" cap="sq">
          <a:noFill/>
          <a:miter lim="800000"/>
        </a:ln>
        <a:effectLst/>
      </xdr:spPr>
    </xdr:pic>
    <xdr:clientData/>
  </xdr:twoCellAnchor>
  <xdr:twoCellAnchor>
    <xdr:from>
      <xdr:col>6</xdr:col>
      <xdr:colOff>372675</xdr:colOff>
      <xdr:row>21</xdr:row>
      <xdr:rowOff>133648</xdr:rowOff>
    </xdr:from>
    <xdr:to>
      <xdr:col>9</xdr:col>
      <xdr:colOff>133385</xdr:colOff>
      <xdr:row>23</xdr:row>
      <xdr:rowOff>77110</xdr:rowOff>
    </xdr:to>
    <xdr:sp macro="" textlink="">
      <xdr:nvSpPr>
        <xdr:cNvPr id="50" name="TextBox 49">
          <a:extLst>
            <a:ext uri="{FF2B5EF4-FFF2-40B4-BE49-F238E27FC236}">
              <a16:creationId xmlns:a16="http://schemas.microsoft.com/office/drawing/2014/main" id="{F7E5AF99-CC63-44B2-A559-D6FACC8158C5}"/>
            </a:ext>
          </a:extLst>
        </xdr:cNvPr>
        <xdr:cNvSpPr txBox="1"/>
      </xdr:nvSpPr>
      <xdr:spPr>
        <a:xfrm>
          <a:off x="4046604" y="4134148"/>
          <a:ext cx="1597674" cy="3244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n>
                <a:noFill/>
              </a:ln>
              <a:solidFill>
                <a:schemeClr val="tx1"/>
              </a:solidFill>
              <a:latin typeface="Helvetica" panose="020B0604020202020204" pitchFamily="34" charset="0"/>
              <a:cs typeface="Helvetica" panose="020B0604020202020204" pitchFamily="34" charset="0"/>
            </a:rPr>
            <a:t>Total House :</a:t>
          </a:r>
        </a:p>
      </xdr:txBody>
    </xdr:sp>
    <xdr:clientData/>
  </xdr:twoCellAnchor>
  <xdr:twoCellAnchor>
    <xdr:from>
      <xdr:col>6</xdr:col>
      <xdr:colOff>404295</xdr:colOff>
      <xdr:row>23</xdr:row>
      <xdr:rowOff>77110</xdr:rowOff>
    </xdr:from>
    <xdr:to>
      <xdr:col>9</xdr:col>
      <xdr:colOff>261213</xdr:colOff>
      <xdr:row>24</xdr:row>
      <xdr:rowOff>189176</xdr:rowOff>
    </xdr:to>
    <xdr:sp macro="" textlink="">
      <xdr:nvSpPr>
        <xdr:cNvPr id="51" name="TextBox 50">
          <a:extLst>
            <a:ext uri="{FF2B5EF4-FFF2-40B4-BE49-F238E27FC236}">
              <a16:creationId xmlns:a16="http://schemas.microsoft.com/office/drawing/2014/main" id="{344E54DE-8B55-4294-80CC-9358A6609D46}"/>
            </a:ext>
          </a:extLst>
        </xdr:cNvPr>
        <xdr:cNvSpPr txBox="1"/>
      </xdr:nvSpPr>
      <xdr:spPr>
        <a:xfrm>
          <a:off x="4078224" y="4458610"/>
          <a:ext cx="1693882" cy="3025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n>
                <a:noFill/>
              </a:ln>
              <a:solidFill>
                <a:schemeClr val="tx1"/>
              </a:solidFill>
              <a:latin typeface="Helvetica" panose="020B0604020202020204" pitchFamily="34" charset="0"/>
              <a:cs typeface="Helvetica" panose="020B0604020202020204" pitchFamily="34" charset="0"/>
            </a:rPr>
            <a:t>Total Card Dis. :</a:t>
          </a:r>
        </a:p>
      </xdr:txBody>
    </xdr:sp>
    <xdr:clientData/>
  </xdr:twoCellAnchor>
  <xdr:twoCellAnchor>
    <xdr:from>
      <xdr:col>8</xdr:col>
      <xdr:colOff>181494</xdr:colOff>
      <xdr:row>21</xdr:row>
      <xdr:rowOff>173132</xdr:rowOff>
    </xdr:from>
    <xdr:to>
      <xdr:col>9</xdr:col>
      <xdr:colOff>504218</xdr:colOff>
      <xdr:row>23</xdr:row>
      <xdr:rowOff>124556</xdr:rowOff>
    </xdr:to>
    <xdr:sp macro="" textlink="Pivot_analysis!AF9">
      <xdr:nvSpPr>
        <xdr:cNvPr id="56" name="TextBox 55">
          <a:extLst>
            <a:ext uri="{FF2B5EF4-FFF2-40B4-BE49-F238E27FC236}">
              <a16:creationId xmlns:a16="http://schemas.microsoft.com/office/drawing/2014/main" id="{7E202320-CE2C-4203-942F-69F8EBA8D1DE}"/>
            </a:ext>
          </a:extLst>
        </xdr:cNvPr>
        <xdr:cNvSpPr txBox="1"/>
      </xdr:nvSpPr>
      <xdr:spPr>
        <a:xfrm>
          <a:off x="5080065" y="4173632"/>
          <a:ext cx="935046" cy="332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0115401-D5D9-444A-BCDE-7A0C8E196215}" type="TxLink">
            <a:rPr lang="en-US" sz="1200" b="0" i="0" u="none" strike="noStrike">
              <a:ln>
                <a:noFill/>
              </a:ln>
              <a:solidFill>
                <a:schemeClr val="tx1"/>
              </a:solidFill>
              <a:latin typeface="Helvetica" panose="020B0604020202020204" pitchFamily="34" charset="0"/>
              <a:cs typeface="Helvetica" panose="020B0604020202020204" pitchFamily="34" charset="0"/>
            </a:rPr>
            <a:pPr/>
            <a:t>7287</a:t>
          </a:fld>
          <a:endParaRPr lang="en-US" sz="1200" b="0" i="0" u="none" strike="noStrike">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8</xdr:col>
      <xdr:colOff>406542</xdr:colOff>
      <xdr:row>23</xdr:row>
      <xdr:rowOff>94650</xdr:rowOff>
    </xdr:from>
    <xdr:to>
      <xdr:col>10</xdr:col>
      <xdr:colOff>214236</xdr:colOff>
      <xdr:row>25</xdr:row>
      <xdr:rowOff>56027</xdr:rowOff>
    </xdr:to>
    <xdr:sp macro="" textlink="Pivot_analysis!AF12">
      <xdr:nvSpPr>
        <xdr:cNvPr id="57" name="TextBox 56">
          <a:extLst>
            <a:ext uri="{FF2B5EF4-FFF2-40B4-BE49-F238E27FC236}">
              <a16:creationId xmlns:a16="http://schemas.microsoft.com/office/drawing/2014/main" id="{F50F81F6-B469-42B0-9AC5-E9E3150BDBE1}"/>
            </a:ext>
          </a:extLst>
        </xdr:cNvPr>
        <xdr:cNvSpPr txBox="1"/>
      </xdr:nvSpPr>
      <xdr:spPr>
        <a:xfrm>
          <a:off x="5305113" y="4476150"/>
          <a:ext cx="1032337" cy="3423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9CC5369-39B7-4BD9-A77F-8E3F38925FFF}" type="TxLink">
            <a:rPr lang="en-US" sz="1200" b="0" i="0" u="none" strike="noStrike">
              <a:ln>
                <a:noFill/>
              </a:ln>
              <a:solidFill>
                <a:schemeClr val="tx1"/>
              </a:solidFill>
              <a:latin typeface="Helvetica" panose="020B0604020202020204" pitchFamily="34" charset="0"/>
              <a:cs typeface="Helvetica" panose="020B0604020202020204" pitchFamily="34" charset="0"/>
            </a:rPr>
            <a:pPr/>
            <a:t>45145</a:t>
          </a:fld>
          <a:endParaRPr lang="en-US" sz="120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5</xdr:col>
      <xdr:colOff>441554</xdr:colOff>
      <xdr:row>21</xdr:row>
      <xdr:rowOff>139620</xdr:rowOff>
    </xdr:from>
    <xdr:to>
      <xdr:col>10</xdr:col>
      <xdr:colOff>93696</xdr:colOff>
      <xdr:row>21</xdr:row>
      <xdr:rowOff>139620</xdr:rowOff>
    </xdr:to>
    <xdr:cxnSp macro="">
      <xdr:nvCxnSpPr>
        <xdr:cNvPr id="62" name="Straight Connector 61">
          <a:extLst>
            <a:ext uri="{FF2B5EF4-FFF2-40B4-BE49-F238E27FC236}">
              <a16:creationId xmlns:a16="http://schemas.microsoft.com/office/drawing/2014/main" id="{32B75C3D-F38B-475B-A049-D5DB6D76099A}"/>
            </a:ext>
          </a:extLst>
        </xdr:cNvPr>
        <xdr:cNvCxnSpPr/>
      </xdr:nvCxnSpPr>
      <xdr:spPr>
        <a:xfrm>
          <a:off x="3503161" y="4140120"/>
          <a:ext cx="2713749"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494251</xdr:colOff>
      <xdr:row>22</xdr:row>
      <xdr:rowOff>16174</xdr:rowOff>
    </xdr:from>
    <xdr:to>
      <xdr:col>14</xdr:col>
      <xdr:colOff>264690</xdr:colOff>
      <xdr:row>23</xdr:row>
      <xdr:rowOff>154933</xdr:rowOff>
    </xdr:to>
    <xdr:sp macro="" textlink="">
      <xdr:nvSpPr>
        <xdr:cNvPr id="63" name="TextBox 62">
          <a:extLst>
            <a:ext uri="{FF2B5EF4-FFF2-40B4-BE49-F238E27FC236}">
              <a16:creationId xmlns:a16="http://schemas.microsoft.com/office/drawing/2014/main" id="{9F746111-DDE7-411D-A101-391B5F1A2C56}"/>
            </a:ext>
          </a:extLst>
        </xdr:cNvPr>
        <xdr:cNvSpPr txBox="1"/>
      </xdr:nvSpPr>
      <xdr:spPr>
        <a:xfrm>
          <a:off x="7229787" y="4207174"/>
          <a:ext cx="1607403" cy="3292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n>
                <a:noFill/>
              </a:ln>
              <a:solidFill>
                <a:schemeClr val="tx1"/>
              </a:solidFill>
              <a:latin typeface="Helvetica" panose="020B0604020202020204" pitchFamily="34" charset="0"/>
              <a:cs typeface="Helvetica" panose="020B0604020202020204" pitchFamily="34" charset="0"/>
            </a:rPr>
            <a:t>Total House :</a:t>
          </a:r>
        </a:p>
      </xdr:txBody>
    </xdr:sp>
    <xdr:clientData/>
  </xdr:twoCellAnchor>
  <xdr:twoCellAnchor>
    <xdr:from>
      <xdr:col>11</xdr:col>
      <xdr:colOff>489211</xdr:colOff>
      <xdr:row>23</xdr:row>
      <xdr:rowOff>106968</xdr:rowOff>
    </xdr:from>
    <xdr:to>
      <xdr:col>14</xdr:col>
      <xdr:colOff>224278</xdr:colOff>
      <xdr:row>25</xdr:row>
      <xdr:rowOff>34506</xdr:rowOff>
    </xdr:to>
    <xdr:sp macro="" textlink="">
      <xdr:nvSpPr>
        <xdr:cNvPr id="64" name="TextBox 63">
          <a:extLst>
            <a:ext uri="{FF2B5EF4-FFF2-40B4-BE49-F238E27FC236}">
              <a16:creationId xmlns:a16="http://schemas.microsoft.com/office/drawing/2014/main" id="{4C7C3607-732D-434C-94A1-8B759C0CBB25}"/>
            </a:ext>
          </a:extLst>
        </xdr:cNvPr>
        <xdr:cNvSpPr txBox="1"/>
      </xdr:nvSpPr>
      <xdr:spPr>
        <a:xfrm>
          <a:off x="7224747" y="4488468"/>
          <a:ext cx="1572031" cy="3085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n>
                <a:noFill/>
              </a:ln>
              <a:solidFill>
                <a:schemeClr val="tx1"/>
              </a:solidFill>
              <a:latin typeface="Helvetica" panose="020B0604020202020204" pitchFamily="34" charset="0"/>
              <a:cs typeface="Helvetica" panose="020B0604020202020204" pitchFamily="34" charset="0"/>
            </a:rPr>
            <a:t>Total Tag Ins.:</a:t>
          </a:r>
        </a:p>
      </xdr:txBody>
    </xdr:sp>
    <xdr:clientData/>
  </xdr:twoCellAnchor>
  <xdr:twoCellAnchor>
    <xdr:from>
      <xdr:col>13</xdr:col>
      <xdr:colOff>326542</xdr:colOff>
      <xdr:row>22</xdr:row>
      <xdr:rowOff>34435</xdr:rowOff>
    </xdr:from>
    <xdr:to>
      <xdr:col>14</xdr:col>
      <xdr:colOff>576667</xdr:colOff>
      <xdr:row>23</xdr:row>
      <xdr:rowOff>180340</xdr:rowOff>
    </xdr:to>
    <xdr:sp macro="" textlink="Pivot_analysis!AM7">
      <xdr:nvSpPr>
        <xdr:cNvPr id="65" name="TextBox 64">
          <a:extLst>
            <a:ext uri="{FF2B5EF4-FFF2-40B4-BE49-F238E27FC236}">
              <a16:creationId xmlns:a16="http://schemas.microsoft.com/office/drawing/2014/main" id="{3057C19A-5622-48C6-930B-B4F78CA303C8}"/>
            </a:ext>
          </a:extLst>
        </xdr:cNvPr>
        <xdr:cNvSpPr txBox="1"/>
      </xdr:nvSpPr>
      <xdr:spPr>
        <a:xfrm>
          <a:off x="8286721" y="4225435"/>
          <a:ext cx="862446" cy="336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B323634-BFEB-4289-8FA7-0B647063456F}" type="TxLink">
            <a:rPr lang="en-US" sz="1200" b="0" i="0" u="none" strike="noStrike">
              <a:ln>
                <a:noFill/>
              </a:ln>
              <a:solidFill>
                <a:schemeClr val="tx1"/>
              </a:solidFill>
              <a:latin typeface="Helvetica" panose="020B0604020202020204" pitchFamily="34" charset="0"/>
              <a:cs typeface="Helvetica" panose="020B0604020202020204" pitchFamily="34" charset="0"/>
            </a:rPr>
            <a:pPr/>
            <a:t>5332</a:t>
          </a:fld>
          <a:endParaRPr lang="en-US" sz="120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13</xdr:col>
      <xdr:colOff>368268</xdr:colOff>
      <xdr:row>23</xdr:row>
      <xdr:rowOff>93688</xdr:rowOff>
    </xdr:from>
    <xdr:to>
      <xdr:col>15</xdr:col>
      <xdr:colOff>115525</xdr:colOff>
      <xdr:row>25</xdr:row>
      <xdr:rowOff>55065</xdr:rowOff>
    </xdr:to>
    <xdr:sp macro="" textlink="Pivot_analysis!AM10">
      <xdr:nvSpPr>
        <xdr:cNvPr id="66" name="TextBox 65">
          <a:extLst>
            <a:ext uri="{FF2B5EF4-FFF2-40B4-BE49-F238E27FC236}">
              <a16:creationId xmlns:a16="http://schemas.microsoft.com/office/drawing/2014/main" id="{080A8C2D-87FA-42D5-A7F4-B7A401C1C0F7}"/>
            </a:ext>
          </a:extLst>
        </xdr:cNvPr>
        <xdr:cNvSpPr txBox="1"/>
      </xdr:nvSpPr>
      <xdr:spPr>
        <a:xfrm>
          <a:off x="8328447" y="4475188"/>
          <a:ext cx="971899" cy="3423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690EABB-3A39-4F3F-8AD1-F30DA05F95FE}" type="TxLink">
            <a:rPr lang="en-US" sz="1200" b="0" i="0" u="none" strike="noStrike">
              <a:ln>
                <a:noFill/>
              </a:ln>
              <a:solidFill>
                <a:schemeClr val="tx1"/>
              </a:solidFill>
              <a:latin typeface="Helvetica" panose="020B0604020202020204" pitchFamily="34" charset="0"/>
              <a:cs typeface="Helvetica" panose="020B0604020202020204" pitchFamily="34" charset="0"/>
            </a:rPr>
            <a:pPr/>
            <a:t>35730</a:t>
          </a:fld>
          <a:endParaRPr lang="en-US" sz="120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10</xdr:col>
      <xdr:colOff>563129</xdr:colOff>
      <xdr:row>21</xdr:row>
      <xdr:rowOff>179431</xdr:rowOff>
    </xdr:from>
    <xdr:to>
      <xdr:col>15</xdr:col>
      <xdr:colOff>220136</xdr:colOff>
      <xdr:row>21</xdr:row>
      <xdr:rowOff>179431</xdr:rowOff>
    </xdr:to>
    <xdr:cxnSp macro="">
      <xdr:nvCxnSpPr>
        <xdr:cNvPr id="68" name="Straight Connector 67">
          <a:extLst>
            <a:ext uri="{FF2B5EF4-FFF2-40B4-BE49-F238E27FC236}">
              <a16:creationId xmlns:a16="http://schemas.microsoft.com/office/drawing/2014/main" id="{CFB96CB5-FA3E-4092-AD9A-694C89BD701A}"/>
            </a:ext>
          </a:extLst>
        </xdr:cNvPr>
        <xdr:cNvCxnSpPr/>
      </xdr:nvCxnSpPr>
      <xdr:spPr>
        <a:xfrm>
          <a:off x="6686343" y="4179931"/>
          <a:ext cx="271861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186663</xdr:colOff>
      <xdr:row>21</xdr:row>
      <xdr:rowOff>183412</xdr:rowOff>
    </xdr:from>
    <xdr:to>
      <xdr:col>25</xdr:col>
      <xdr:colOff>460856</xdr:colOff>
      <xdr:row>21</xdr:row>
      <xdr:rowOff>183412</xdr:rowOff>
    </xdr:to>
    <xdr:cxnSp macro="">
      <xdr:nvCxnSpPr>
        <xdr:cNvPr id="86" name="Straight Connector 85">
          <a:extLst>
            <a:ext uri="{FF2B5EF4-FFF2-40B4-BE49-F238E27FC236}">
              <a16:creationId xmlns:a16="http://schemas.microsoft.com/office/drawing/2014/main" id="{898B699E-1088-4CA8-8485-2CDE3DB38F4D}"/>
            </a:ext>
          </a:extLst>
        </xdr:cNvPr>
        <xdr:cNvCxnSpPr/>
      </xdr:nvCxnSpPr>
      <xdr:spPr>
        <a:xfrm>
          <a:off x="13045413" y="4183912"/>
          <a:ext cx="2723479"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297735</xdr:colOff>
      <xdr:row>21</xdr:row>
      <xdr:rowOff>135638</xdr:rowOff>
    </xdr:from>
    <xdr:to>
      <xdr:col>30</xdr:col>
      <xdr:colOff>60877</xdr:colOff>
      <xdr:row>23</xdr:row>
      <xdr:rowOff>83081</xdr:rowOff>
    </xdr:to>
    <xdr:sp macro="" textlink="">
      <xdr:nvSpPr>
        <xdr:cNvPr id="87" name="TextBox 86">
          <a:extLst>
            <a:ext uri="{FF2B5EF4-FFF2-40B4-BE49-F238E27FC236}">
              <a16:creationId xmlns:a16="http://schemas.microsoft.com/office/drawing/2014/main" id="{7E102378-4390-4E76-AF61-F8EE1E7BC265}"/>
            </a:ext>
          </a:extLst>
        </xdr:cNvPr>
        <xdr:cNvSpPr txBox="1"/>
      </xdr:nvSpPr>
      <xdr:spPr>
        <a:xfrm>
          <a:off x="16830414" y="4136138"/>
          <a:ext cx="1600106" cy="3284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n>
                <a:noFill/>
              </a:ln>
              <a:solidFill>
                <a:schemeClr val="tx1"/>
              </a:solidFill>
              <a:latin typeface="Helvetica" panose="020B0604020202020204" pitchFamily="34" charset="0"/>
              <a:cs typeface="Helvetica" panose="020B0604020202020204" pitchFamily="34" charset="0"/>
            </a:rPr>
            <a:t>Total House :</a:t>
          </a:r>
        </a:p>
      </xdr:txBody>
    </xdr:sp>
    <xdr:clientData/>
  </xdr:twoCellAnchor>
  <xdr:twoCellAnchor>
    <xdr:from>
      <xdr:col>27</xdr:col>
      <xdr:colOff>326923</xdr:colOff>
      <xdr:row>23</xdr:row>
      <xdr:rowOff>83082</xdr:rowOff>
    </xdr:from>
    <xdr:to>
      <xdr:col>30</xdr:col>
      <xdr:colOff>38987</xdr:colOff>
      <xdr:row>25</xdr:row>
      <xdr:rowOff>12610</xdr:rowOff>
    </xdr:to>
    <xdr:sp macro="" textlink="">
      <xdr:nvSpPr>
        <xdr:cNvPr id="88" name="TextBox 87">
          <a:extLst>
            <a:ext uri="{FF2B5EF4-FFF2-40B4-BE49-F238E27FC236}">
              <a16:creationId xmlns:a16="http://schemas.microsoft.com/office/drawing/2014/main" id="{49447B5F-E4EB-4410-903C-BCD9D62A09E5}"/>
            </a:ext>
          </a:extLst>
        </xdr:cNvPr>
        <xdr:cNvSpPr txBox="1"/>
      </xdr:nvSpPr>
      <xdr:spPr>
        <a:xfrm>
          <a:off x="16859602" y="4464582"/>
          <a:ext cx="1549028" cy="3105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n>
                <a:noFill/>
              </a:ln>
              <a:solidFill>
                <a:schemeClr val="tx1"/>
              </a:solidFill>
              <a:latin typeface="Helvetica" panose="020B0604020202020204" pitchFamily="34" charset="0"/>
              <a:cs typeface="Helvetica" panose="020B0604020202020204" pitchFamily="34" charset="0"/>
            </a:rPr>
            <a:t>Total Lad :</a:t>
          </a:r>
        </a:p>
      </xdr:txBody>
    </xdr:sp>
    <xdr:clientData/>
  </xdr:twoCellAnchor>
  <xdr:twoCellAnchor>
    <xdr:from>
      <xdr:col>29</xdr:col>
      <xdr:colOff>68749</xdr:colOff>
      <xdr:row>21</xdr:row>
      <xdr:rowOff>145591</xdr:rowOff>
    </xdr:from>
    <xdr:to>
      <xdr:col>30</xdr:col>
      <xdr:colOff>316071</xdr:colOff>
      <xdr:row>23</xdr:row>
      <xdr:rowOff>104978</xdr:rowOff>
    </xdr:to>
    <xdr:sp macro="" textlink="Pivot_analysis!AT8">
      <xdr:nvSpPr>
        <xdr:cNvPr id="89" name="TextBox 88">
          <a:extLst>
            <a:ext uri="{FF2B5EF4-FFF2-40B4-BE49-F238E27FC236}">
              <a16:creationId xmlns:a16="http://schemas.microsoft.com/office/drawing/2014/main" id="{702BAF07-63C7-4848-874B-AAEA74C964F8}"/>
            </a:ext>
          </a:extLst>
        </xdr:cNvPr>
        <xdr:cNvSpPr txBox="1"/>
      </xdr:nvSpPr>
      <xdr:spPr>
        <a:xfrm>
          <a:off x="17826070" y="4146091"/>
          <a:ext cx="859644" cy="340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C8EECDC-5B56-4620-A8B3-244B2EDAFDE1}" type="TxLink">
            <a:rPr lang="en-US" sz="1200" b="0" i="0" u="none" strike="noStrike">
              <a:ln>
                <a:noFill/>
              </a:ln>
              <a:solidFill>
                <a:schemeClr val="tx1"/>
              </a:solidFill>
              <a:latin typeface="Helvetica" panose="020B0604020202020204" pitchFamily="34" charset="0"/>
              <a:cs typeface="Helvetica" panose="020B0604020202020204" pitchFamily="34" charset="0"/>
            </a:rPr>
            <a:pPr/>
            <a:t>774</a:t>
          </a:fld>
          <a:endParaRPr lang="en-US" sz="120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28</xdr:col>
      <xdr:colOff>542220</xdr:colOff>
      <xdr:row>23</xdr:row>
      <xdr:rowOff>73456</xdr:rowOff>
    </xdr:from>
    <xdr:to>
      <xdr:col>30</xdr:col>
      <xdr:colOff>188526</xdr:colOff>
      <xdr:row>25</xdr:row>
      <xdr:rowOff>36824</xdr:rowOff>
    </xdr:to>
    <xdr:sp macro="" textlink="Pivot_analysis!AT9">
      <xdr:nvSpPr>
        <xdr:cNvPr id="90" name="TextBox 89">
          <a:extLst>
            <a:ext uri="{FF2B5EF4-FFF2-40B4-BE49-F238E27FC236}">
              <a16:creationId xmlns:a16="http://schemas.microsoft.com/office/drawing/2014/main" id="{0DBB8F6C-89D1-4CD3-AD02-E994656B00B2}"/>
            </a:ext>
          </a:extLst>
        </xdr:cNvPr>
        <xdr:cNvSpPr txBox="1"/>
      </xdr:nvSpPr>
      <xdr:spPr>
        <a:xfrm>
          <a:off x="17687220" y="4454956"/>
          <a:ext cx="870949" cy="344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1CE33FF-43FC-440D-A235-066AB397DDD8}" type="TxLink">
            <a:rPr lang="en-US" sz="1200" b="0" i="0" u="none" strike="noStrike">
              <a:ln>
                <a:noFill/>
              </a:ln>
              <a:solidFill>
                <a:schemeClr val="tx1"/>
              </a:solidFill>
              <a:latin typeface="Helvetica" panose="020B0604020202020204" pitchFamily="34" charset="0"/>
              <a:cs typeface="Helvetica" panose="020B0604020202020204" pitchFamily="34" charset="0"/>
            </a:rPr>
            <a:pPr/>
            <a:t>5724</a:t>
          </a:fld>
          <a:endParaRPr lang="en-US" sz="120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26</xdr:col>
      <xdr:colOff>359318</xdr:colOff>
      <xdr:row>21</xdr:row>
      <xdr:rowOff>155544</xdr:rowOff>
    </xdr:from>
    <xdr:to>
      <xdr:col>31</xdr:col>
      <xdr:colOff>18756</xdr:colOff>
      <xdr:row>21</xdr:row>
      <xdr:rowOff>155544</xdr:rowOff>
    </xdr:to>
    <xdr:cxnSp macro="">
      <xdr:nvCxnSpPr>
        <xdr:cNvPr id="92" name="Straight Connector 91">
          <a:extLst>
            <a:ext uri="{FF2B5EF4-FFF2-40B4-BE49-F238E27FC236}">
              <a16:creationId xmlns:a16="http://schemas.microsoft.com/office/drawing/2014/main" id="{19427CDF-F047-412E-86C8-F9DCF5A4F12E}"/>
            </a:ext>
          </a:extLst>
        </xdr:cNvPr>
        <xdr:cNvCxnSpPr/>
      </xdr:nvCxnSpPr>
      <xdr:spPr>
        <a:xfrm>
          <a:off x="16279675" y="4156044"/>
          <a:ext cx="272104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292600</xdr:colOff>
      <xdr:row>21</xdr:row>
      <xdr:rowOff>159573</xdr:rowOff>
    </xdr:from>
    <xdr:to>
      <xdr:col>35</xdr:col>
      <xdr:colOff>131142</xdr:colOff>
      <xdr:row>23</xdr:row>
      <xdr:rowOff>103035</xdr:rowOff>
    </xdr:to>
    <xdr:sp macro="" textlink="">
      <xdr:nvSpPr>
        <xdr:cNvPr id="93" name="TextBox 92">
          <a:extLst>
            <a:ext uri="{FF2B5EF4-FFF2-40B4-BE49-F238E27FC236}">
              <a16:creationId xmlns:a16="http://schemas.microsoft.com/office/drawing/2014/main" id="{C8CA4D3C-D33F-4ECA-A089-F95A5A751188}"/>
            </a:ext>
          </a:extLst>
        </xdr:cNvPr>
        <xdr:cNvSpPr txBox="1"/>
      </xdr:nvSpPr>
      <xdr:spPr>
        <a:xfrm>
          <a:off x="19886886" y="4160073"/>
          <a:ext cx="1675506" cy="3244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n>
                <a:noFill/>
              </a:ln>
              <a:solidFill>
                <a:schemeClr val="tx1"/>
              </a:solidFill>
              <a:latin typeface="Helvetica" panose="020B0604020202020204" pitchFamily="34" charset="0"/>
              <a:cs typeface="Helvetica" panose="020B0604020202020204" pitchFamily="34" charset="0"/>
            </a:rPr>
            <a:t>Solve by Pho :</a:t>
          </a:r>
        </a:p>
      </xdr:txBody>
    </xdr:sp>
    <xdr:clientData/>
  </xdr:twoCellAnchor>
  <xdr:twoCellAnchor>
    <xdr:from>
      <xdr:col>32</xdr:col>
      <xdr:colOff>292600</xdr:colOff>
      <xdr:row>23</xdr:row>
      <xdr:rowOff>91044</xdr:rowOff>
    </xdr:from>
    <xdr:to>
      <xdr:col>35</xdr:col>
      <xdr:colOff>99522</xdr:colOff>
      <xdr:row>25</xdr:row>
      <xdr:rowOff>24553</xdr:rowOff>
    </xdr:to>
    <xdr:sp macro="" textlink="">
      <xdr:nvSpPr>
        <xdr:cNvPr id="94" name="TextBox 93">
          <a:extLst>
            <a:ext uri="{FF2B5EF4-FFF2-40B4-BE49-F238E27FC236}">
              <a16:creationId xmlns:a16="http://schemas.microsoft.com/office/drawing/2014/main" id="{B0168B9C-22C9-4430-BF0E-3A169F868621}"/>
            </a:ext>
          </a:extLst>
        </xdr:cNvPr>
        <xdr:cNvSpPr txBox="1"/>
      </xdr:nvSpPr>
      <xdr:spPr>
        <a:xfrm>
          <a:off x="19886886" y="4472544"/>
          <a:ext cx="1643886" cy="3145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n>
                <a:noFill/>
              </a:ln>
              <a:solidFill>
                <a:schemeClr val="tx1"/>
              </a:solidFill>
              <a:latin typeface="Helvetica" panose="020B0604020202020204" pitchFamily="34" charset="0"/>
              <a:cs typeface="Helvetica" panose="020B0604020202020204" pitchFamily="34" charset="0"/>
            </a:rPr>
            <a:t>Solve on</a:t>
          </a:r>
          <a:r>
            <a:rPr lang="en-US" sz="1200" baseline="0">
              <a:ln>
                <a:noFill/>
              </a:ln>
              <a:solidFill>
                <a:schemeClr val="tx1"/>
              </a:solidFill>
              <a:latin typeface="Helvetica" panose="020B0604020202020204" pitchFamily="34" charset="0"/>
              <a:cs typeface="Helvetica" panose="020B0604020202020204" pitchFamily="34" charset="0"/>
            </a:rPr>
            <a:t> Site </a:t>
          </a:r>
          <a:r>
            <a:rPr lang="en-US" sz="1200">
              <a:ln>
                <a:noFill/>
              </a:ln>
              <a:solidFill>
                <a:schemeClr val="tx1"/>
              </a:solidFill>
              <a:latin typeface="Helvetica" panose="020B0604020202020204" pitchFamily="34" charset="0"/>
              <a:cs typeface="Helvetica" panose="020B0604020202020204" pitchFamily="34" charset="0"/>
            </a:rPr>
            <a:t>:</a:t>
          </a:r>
        </a:p>
      </xdr:txBody>
    </xdr:sp>
    <xdr:clientData/>
  </xdr:twoCellAnchor>
  <xdr:twoCellAnchor>
    <xdr:from>
      <xdr:col>34</xdr:col>
      <xdr:colOff>208687</xdr:colOff>
      <xdr:row>21</xdr:row>
      <xdr:rowOff>157535</xdr:rowOff>
    </xdr:from>
    <xdr:to>
      <xdr:col>35</xdr:col>
      <xdr:colOff>478759</xdr:colOff>
      <xdr:row>23</xdr:row>
      <xdr:rowOff>112940</xdr:rowOff>
    </xdr:to>
    <xdr:sp macro="" textlink="ANALYSIS!BD2">
      <xdr:nvSpPr>
        <xdr:cNvPr id="95" name="TextBox 94">
          <a:extLst>
            <a:ext uri="{FF2B5EF4-FFF2-40B4-BE49-F238E27FC236}">
              <a16:creationId xmlns:a16="http://schemas.microsoft.com/office/drawing/2014/main" id="{DE425398-642F-4970-A766-7872B425E6D9}"/>
            </a:ext>
          </a:extLst>
        </xdr:cNvPr>
        <xdr:cNvSpPr txBox="1"/>
      </xdr:nvSpPr>
      <xdr:spPr>
        <a:xfrm>
          <a:off x="21027616" y="4158035"/>
          <a:ext cx="882393" cy="336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F0D0EC2-35F1-4F45-BFDA-69F0E5AD9AAD}" type="TxLink">
            <a:rPr lang="en-US" sz="1200" b="0" i="0" u="none" strike="noStrike">
              <a:ln>
                <a:noFill/>
              </a:ln>
              <a:solidFill>
                <a:schemeClr val="tx1"/>
              </a:solidFill>
              <a:latin typeface="Helvetica" panose="020B0604020202020204" pitchFamily="34" charset="0"/>
              <a:ea typeface="+mn-ea"/>
              <a:cs typeface="Helvetica" panose="020B0604020202020204" pitchFamily="34" charset="0"/>
            </a:rPr>
            <a:pPr marL="0" indent="0"/>
            <a:t>14612</a:t>
          </a:fld>
          <a:endParaRPr lang="en-US" sz="1200" b="0" i="0" u="none" strike="noStrike">
            <a:ln>
              <a:noFill/>
            </a:ln>
            <a:solidFill>
              <a:schemeClr val="tx1"/>
            </a:solidFill>
            <a:latin typeface="Helvetica" panose="020B0604020202020204" pitchFamily="34" charset="0"/>
            <a:ea typeface="+mn-ea"/>
            <a:cs typeface="Helvetica" panose="020B0604020202020204" pitchFamily="34" charset="0"/>
          </a:endParaRPr>
        </a:p>
      </xdr:txBody>
    </xdr:sp>
    <xdr:clientData/>
  </xdr:twoCellAnchor>
  <xdr:twoCellAnchor>
    <xdr:from>
      <xdr:col>34</xdr:col>
      <xdr:colOff>210534</xdr:colOff>
      <xdr:row>23</xdr:row>
      <xdr:rowOff>97016</xdr:rowOff>
    </xdr:from>
    <xdr:to>
      <xdr:col>35</xdr:col>
      <xdr:colOff>474883</xdr:colOff>
      <xdr:row>25</xdr:row>
      <xdr:rowOff>58393</xdr:rowOff>
    </xdr:to>
    <xdr:sp macro="" textlink="ANALYSIS!BE2">
      <xdr:nvSpPr>
        <xdr:cNvPr id="96" name="TextBox 95">
          <a:extLst>
            <a:ext uri="{FF2B5EF4-FFF2-40B4-BE49-F238E27FC236}">
              <a16:creationId xmlns:a16="http://schemas.microsoft.com/office/drawing/2014/main" id="{570F66F2-375F-4BEA-9DAC-0B9448104C9A}"/>
            </a:ext>
          </a:extLst>
        </xdr:cNvPr>
        <xdr:cNvSpPr txBox="1"/>
      </xdr:nvSpPr>
      <xdr:spPr>
        <a:xfrm>
          <a:off x="21029463" y="4478516"/>
          <a:ext cx="876670" cy="3423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03AD9B7-BD96-4F71-BB86-15E17879E944}" type="TxLink">
            <a:rPr lang="en-US" sz="1200" b="0" i="0" u="none" strike="noStrike">
              <a:ln>
                <a:noFill/>
              </a:ln>
              <a:solidFill>
                <a:schemeClr val="tx1"/>
              </a:solidFill>
              <a:latin typeface="Helvetica" panose="020B0604020202020204" pitchFamily="34" charset="0"/>
              <a:ea typeface="+mn-ea"/>
              <a:cs typeface="Helvetica" panose="020B0604020202020204" pitchFamily="34" charset="0"/>
            </a:rPr>
            <a:pPr marL="0" indent="0"/>
            <a:t>1834</a:t>
          </a:fld>
          <a:endParaRPr lang="en-US" sz="1200" b="0" i="0" u="none" strike="noStrike">
            <a:ln>
              <a:noFill/>
            </a:ln>
            <a:solidFill>
              <a:schemeClr val="tx1"/>
            </a:solidFill>
            <a:latin typeface="Helvetica" panose="020B0604020202020204" pitchFamily="34" charset="0"/>
            <a:ea typeface="+mn-ea"/>
            <a:cs typeface="Helvetica" panose="020B0604020202020204" pitchFamily="34" charset="0"/>
          </a:endParaRPr>
        </a:p>
      </xdr:txBody>
    </xdr:sp>
    <xdr:clientData/>
  </xdr:twoCellAnchor>
  <xdr:twoCellAnchor>
    <xdr:from>
      <xdr:col>31</xdr:col>
      <xdr:colOff>439544</xdr:colOff>
      <xdr:row>20</xdr:row>
      <xdr:rowOff>1676</xdr:rowOff>
    </xdr:from>
    <xdr:to>
      <xdr:col>36</xdr:col>
      <xdr:colOff>89255</xdr:colOff>
      <xdr:row>20</xdr:row>
      <xdr:rowOff>1676</xdr:rowOff>
    </xdr:to>
    <xdr:cxnSp macro="">
      <xdr:nvCxnSpPr>
        <xdr:cNvPr id="98" name="Straight Connector 97">
          <a:extLst>
            <a:ext uri="{FF2B5EF4-FFF2-40B4-BE49-F238E27FC236}">
              <a16:creationId xmlns:a16="http://schemas.microsoft.com/office/drawing/2014/main" id="{AFAE61BB-AEB5-4450-B8E3-BA0FB0BD6982}"/>
            </a:ext>
          </a:extLst>
        </xdr:cNvPr>
        <xdr:cNvCxnSpPr/>
      </xdr:nvCxnSpPr>
      <xdr:spPr>
        <a:xfrm>
          <a:off x="19421508" y="3811676"/>
          <a:ext cx="2711318"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512094</xdr:colOff>
      <xdr:row>21</xdr:row>
      <xdr:rowOff>176893</xdr:rowOff>
    </xdr:from>
    <xdr:to>
      <xdr:col>6</xdr:col>
      <xdr:colOff>367924</xdr:colOff>
      <xdr:row>25</xdr:row>
      <xdr:rowOff>3763</xdr:rowOff>
    </xdr:to>
    <xdr:pic>
      <xdr:nvPicPr>
        <xdr:cNvPr id="23" name="Picture 22">
          <a:extLst>
            <a:ext uri="{FF2B5EF4-FFF2-40B4-BE49-F238E27FC236}">
              <a16:creationId xmlns:a16="http://schemas.microsoft.com/office/drawing/2014/main" id="{FAACBAEA-F152-4BA9-BFA4-5AA8C7C3FE1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573701" y="4177393"/>
          <a:ext cx="468152" cy="588870"/>
        </a:xfrm>
        <a:prstGeom prst="rect">
          <a:avLst/>
        </a:prstGeom>
      </xdr:spPr>
    </xdr:pic>
    <xdr:clientData/>
  </xdr:twoCellAnchor>
  <xdr:twoCellAnchor>
    <xdr:from>
      <xdr:col>11</xdr:col>
      <xdr:colOff>40772</xdr:colOff>
      <xdr:row>22</xdr:row>
      <xdr:rowOff>152389</xdr:rowOff>
    </xdr:from>
    <xdr:to>
      <xdr:col>11</xdr:col>
      <xdr:colOff>421821</xdr:colOff>
      <xdr:row>24</xdr:row>
      <xdr:rowOff>160689</xdr:rowOff>
    </xdr:to>
    <xdr:pic>
      <xdr:nvPicPr>
        <xdr:cNvPr id="24" name="Picture 23">
          <a:extLst>
            <a:ext uri="{FF2B5EF4-FFF2-40B4-BE49-F238E27FC236}">
              <a16:creationId xmlns:a16="http://schemas.microsoft.com/office/drawing/2014/main" id="{121D7262-5C88-4EA4-9997-605B4523E31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776308" y="4343389"/>
          <a:ext cx="381049" cy="389300"/>
        </a:xfrm>
        <a:prstGeom prst="rect">
          <a:avLst/>
        </a:prstGeom>
      </xdr:spPr>
    </xdr:pic>
    <xdr:clientData/>
  </xdr:twoCellAnchor>
  <xdr:twoCellAnchor>
    <xdr:from>
      <xdr:col>21</xdr:col>
      <xdr:colOff>245581</xdr:colOff>
      <xdr:row>22</xdr:row>
      <xdr:rowOff>29660</xdr:rowOff>
    </xdr:from>
    <xdr:to>
      <xdr:col>22</xdr:col>
      <xdr:colOff>108858</xdr:colOff>
      <xdr:row>25</xdr:row>
      <xdr:rowOff>74813</xdr:rowOff>
    </xdr:to>
    <xdr:pic>
      <xdr:nvPicPr>
        <xdr:cNvPr id="18" name="Picture 17">
          <a:extLst>
            <a:ext uri="{FF2B5EF4-FFF2-40B4-BE49-F238E27FC236}">
              <a16:creationId xmlns:a16="http://schemas.microsoft.com/office/drawing/2014/main" id="{1DA70447-3381-445A-82BC-334B0A6BEFB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flipH="1">
          <a:off x="13104331" y="4220660"/>
          <a:ext cx="475598" cy="616653"/>
        </a:xfrm>
        <a:prstGeom prst="rect">
          <a:avLst/>
        </a:prstGeom>
      </xdr:spPr>
    </xdr:pic>
    <xdr:clientData/>
  </xdr:twoCellAnchor>
  <xdr:twoCellAnchor>
    <xdr:from>
      <xdr:col>26</xdr:col>
      <xdr:colOff>446468</xdr:colOff>
      <xdr:row>22</xdr:row>
      <xdr:rowOff>27214</xdr:rowOff>
    </xdr:from>
    <xdr:to>
      <xdr:col>27</xdr:col>
      <xdr:colOff>296283</xdr:colOff>
      <xdr:row>24</xdr:row>
      <xdr:rowOff>101561</xdr:rowOff>
    </xdr:to>
    <xdr:pic>
      <xdr:nvPicPr>
        <xdr:cNvPr id="16" name="Picture 15">
          <a:extLst>
            <a:ext uri="{FF2B5EF4-FFF2-40B4-BE49-F238E27FC236}">
              <a16:creationId xmlns:a16="http://schemas.microsoft.com/office/drawing/2014/main" id="{782BF9DC-82C3-445B-BFE0-D469E65E8A3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6366825" y="4218214"/>
          <a:ext cx="462137" cy="455347"/>
        </a:xfrm>
        <a:prstGeom prst="rect">
          <a:avLst/>
        </a:prstGeom>
      </xdr:spPr>
    </xdr:pic>
    <xdr:clientData/>
  </xdr:twoCellAnchor>
  <xdr:twoCellAnchor>
    <xdr:from>
      <xdr:col>31</xdr:col>
      <xdr:colOff>393938</xdr:colOff>
      <xdr:row>21</xdr:row>
      <xdr:rowOff>40821</xdr:rowOff>
    </xdr:from>
    <xdr:to>
      <xdr:col>32</xdr:col>
      <xdr:colOff>381004</xdr:colOff>
      <xdr:row>24</xdr:row>
      <xdr:rowOff>35867</xdr:rowOff>
    </xdr:to>
    <xdr:pic>
      <xdr:nvPicPr>
        <xdr:cNvPr id="99" name="Picture 98">
          <a:extLst>
            <a:ext uri="{FF2B5EF4-FFF2-40B4-BE49-F238E27FC236}">
              <a16:creationId xmlns:a16="http://schemas.microsoft.com/office/drawing/2014/main" id="{C2967551-DBAE-41F4-B0B7-584502C5EA5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9375902" y="4041321"/>
          <a:ext cx="599388" cy="566546"/>
        </a:xfrm>
        <a:prstGeom prst="rect">
          <a:avLst/>
        </a:prstGeom>
      </xdr:spPr>
    </xdr:pic>
    <xdr:clientData/>
  </xdr:twoCellAnchor>
  <xdr:twoCellAnchor>
    <xdr:from>
      <xdr:col>32</xdr:col>
      <xdr:colOff>270767</xdr:colOff>
      <xdr:row>20</xdr:row>
      <xdr:rowOff>25563</xdr:rowOff>
    </xdr:from>
    <xdr:to>
      <xdr:col>35</xdr:col>
      <xdr:colOff>264977</xdr:colOff>
      <xdr:row>21</xdr:row>
      <xdr:rowOff>157535</xdr:rowOff>
    </xdr:to>
    <xdr:sp macro="" textlink="">
      <xdr:nvSpPr>
        <xdr:cNvPr id="107" name="TextBox 106">
          <a:extLst>
            <a:ext uri="{FF2B5EF4-FFF2-40B4-BE49-F238E27FC236}">
              <a16:creationId xmlns:a16="http://schemas.microsoft.com/office/drawing/2014/main" id="{EF5F12B2-1DF0-4780-BCC3-EBF39117E2DA}"/>
            </a:ext>
          </a:extLst>
        </xdr:cNvPr>
        <xdr:cNvSpPr txBox="1"/>
      </xdr:nvSpPr>
      <xdr:spPr>
        <a:xfrm>
          <a:off x="19865053" y="3835563"/>
          <a:ext cx="1831174" cy="32247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n>
                <a:noFill/>
              </a:ln>
              <a:solidFill>
                <a:schemeClr val="tx1"/>
              </a:solidFill>
              <a:latin typeface="Helvetica" panose="020B0604020202020204" pitchFamily="34" charset="0"/>
              <a:cs typeface="Helvetica" panose="020B0604020202020204" pitchFamily="34" charset="0"/>
            </a:rPr>
            <a:t>Total Call Rece :</a:t>
          </a:r>
        </a:p>
      </xdr:txBody>
    </xdr:sp>
    <xdr:clientData/>
  </xdr:twoCellAnchor>
  <xdr:twoCellAnchor>
    <xdr:from>
      <xdr:col>34</xdr:col>
      <xdr:colOff>292961</xdr:colOff>
      <xdr:row>20</xdr:row>
      <xdr:rowOff>43996</xdr:rowOff>
    </xdr:from>
    <xdr:to>
      <xdr:col>36</xdr:col>
      <xdr:colOff>41280</xdr:colOff>
      <xdr:row>22</xdr:row>
      <xdr:rowOff>6548</xdr:rowOff>
    </xdr:to>
    <xdr:sp macro="" textlink="Pivot_analysis!BB6">
      <xdr:nvSpPr>
        <xdr:cNvPr id="108" name="TextBox 107">
          <a:extLst>
            <a:ext uri="{FF2B5EF4-FFF2-40B4-BE49-F238E27FC236}">
              <a16:creationId xmlns:a16="http://schemas.microsoft.com/office/drawing/2014/main" id="{6B7511E4-7DF6-42AD-8BEE-495BFE73A6BB}"/>
            </a:ext>
          </a:extLst>
        </xdr:cNvPr>
        <xdr:cNvSpPr txBox="1"/>
      </xdr:nvSpPr>
      <xdr:spPr>
        <a:xfrm>
          <a:off x="21111890" y="3853996"/>
          <a:ext cx="972961" cy="343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97C9009-A386-495A-B36F-35169EBABB0E}" type="TxLink">
            <a:rPr lang="en-US" sz="1200" b="0" i="0" u="none" strike="noStrike">
              <a:ln>
                <a:noFill/>
              </a:ln>
              <a:solidFill>
                <a:schemeClr val="tx1"/>
              </a:solidFill>
              <a:latin typeface="Helvetica" panose="020B0604020202020204" pitchFamily="34" charset="0"/>
              <a:cs typeface="Helvetica" panose="020B0604020202020204" pitchFamily="34" charset="0"/>
            </a:rPr>
            <a:pPr/>
            <a:t>16446</a:t>
          </a:fld>
          <a:endParaRPr lang="en-US" sz="120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0</xdr:col>
      <xdr:colOff>278627</xdr:colOff>
      <xdr:row>26</xdr:row>
      <xdr:rowOff>96808</xdr:rowOff>
    </xdr:from>
    <xdr:to>
      <xdr:col>8</xdr:col>
      <xdr:colOff>109834</xdr:colOff>
      <xdr:row>42</xdr:row>
      <xdr:rowOff>50580</xdr:rowOff>
    </xdr:to>
    <xdr:sp macro="" textlink="">
      <xdr:nvSpPr>
        <xdr:cNvPr id="3" name="Rectangle: Rounded Corners 2">
          <a:extLst>
            <a:ext uri="{FF2B5EF4-FFF2-40B4-BE49-F238E27FC236}">
              <a16:creationId xmlns:a16="http://schemas.microsoft.com/office/drawing/2014/main" id="{AE8C75F7-C399-4796-910A-6361B7770B69}"/>
            </a:ext>
          </a:extLst>
        </xdr:cNvPr>
        <xdr:cNvSpPr/>
      </xdr:nvSpPr>
      <xdr:spPr>
        <a:xfrm>
          <a:off x="278627" y="5049808"/>
          <a:ext cx="4729778" cy="3001772"/>
        </a:xfrm>
        <a:prstGeom prst="roundRect">
          <a:avLst>
            <a:gd name="adj" fmla="val 1108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noFill/>
            </a:ln>
            <a:latin typeface="Arial" panose="020B0604020202020204" pitchFamily="34" charset="0"/>
            <a:cs typeface="Arial" panose="020B0604020202020204" pitchFamily="34" charset="0"/>
          </a:endParaRPr>
        </a:p>
      </xdr:txBody>
    </xdr:sp>
    <xdr:clientData/>
  </xdr:twoCellAnchor>
  <xdr:twoCellAnchor>
    <xdr:from>
      <xdr:col>0</xdr:col>
      <xdr:colOff>378353</xdr:colOff>
      <xdr:row>26</xdr:row>
      <xdr:rowOff>132637</xdr:rowOff>
    </xdr:from>
    <xdr:to>
      <xdr:col>8</xdr:col>
      <xdr:colOff>58757</xdr:colOff>
      <xdr:row>41</xdr:row>
      <xdr:rowOff>181363</xdr:rowOff>
    </xdr:to>
    <xdr:graphicFrame macro="">
      <xdr:nvGraphicFramePr>
        <xdr:cNvPr id="110" name="Chart 109">
          <a:extLst>
            <a:ext uri="{FF2B5EF4-FFF2-40B4-BE49-F238E27FC236}">
              <a16:creationId xmlns:a16="http://schemas.microsoft.com/office/drawing/2014/main" id="{9E27D0D6-8B16-4B05-8281-84E8603778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564095</xdr:colOff>
      <xdr:row>34</xdr:row>
      <xdr:rowOff>9996</xdr:rowOff>
    </xdr:from>
    <xdr:to>
      <xdr:col>5</xdr:col>
      <xdr:colOff>193459</xdr:colOff>
      <xdr:row>36</xdr:row>
      <xdr:rowOff>134599</xdr:rowOff>
    </xdr:to>
    <xdr:sp macro="" textlink="">
      <xdr:nvSpPr>
        <xdr:cNvPr id="4" name="TextBox 3">
          <a:extLst>
            <a:ext uri="{FF2B5EF4-FFF2-40B4-BE49-F238E27FC236}">
              <a16:creationId xmlns:a16="http://schemas.microsoft.com/office/drawing/2014/main" id="{6D12DD7C-E64D-4A0B-B181-38BE36329011}"/>
            </a:ext>
          </a:extLst>
        </xdr:cNvPr>
        <xdr:cNvSpPr txBox="1"/>
      </xdr:nvSpPr>
      <xdr:spPr>
        <a:xfrm>
          <a:off x="1788738" y="6486996"/>
          <a:ext cx="1466328" cy="5056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ln>
                <a:noFill/>
              </a:ln>
              <a:solidFill>
                <a:schemeClr val="tx1"/>
              </a:solidFill>
              <a:latin typeface="Segoe UI" panose="020B0502040204020203" pitchFamily="34" charset="0"/>
              <a:cs typeface="Segoe UI" panose="020B0502040204020203" pitchFamily="34" charset="0"/>
            </a:rPr>
            <a:t>Total</a:t>
          </a:r>
          <a:r>
            <a:rPr lang="en-US" sz="1100" b="1" baseline="0">
              <a:ln>
                <a:noFill/>
              </a:ln>
              <a:solidFill>
                <a:schemeClr val="tx1"/>
              </a:solidFill>
              <a:latin typeface="Segoe UI" panose="020B0502040204020203" pitchFamily="34" charset="0"/>
              <a:cs typeface="Segoe UI" panose="020B0502040204020203" pitchFamily="34" charset="0"/>
            </a:rPr>
            <a:t> Meter :</a:t>
          </a:r>
        </a:p>
        <a:p>
          <a:pPr algn="ctr"/>
          <a:r>
            <a:rPr lang="en-US" sz="1100" b="1" baseline="0">
              <a:ln>
                <a:noFill/>
              </a:ln>
              <a:solidFill>
                <a:schemeClr val="tx1"/>
              </a:solidFill>
              <a:latin typeface="Segoe UI" panose="020B0502040204020203" pitchFamily="34" charset="0"/>
              <a:cs typeface="Segoe UI" panose="020B0502040204020203" pitchFamily="34" charset="0"/>
            </a:rPr>
            <a:t>100000</a:t>
          </a:r>
          <a:endParaRPr lang="en-US" sz="1100" b="1">
            <a:ln>
              <a:noFill/>
            </a:ln>
            <a:solidFill>
              <a:schemeClr val="tx1"/>
            </a:solidFill>
            <a:latin typeface="Segoe UI" panose="020B0502040204020203" pitchFamily="34" charset="0"/>
            <a:cs typeface="Segoe UI" panose="020B0502040204020203" pitchFamily="34" charset="0"/>
          </a:endParaRPr>
        </a:p>
      </xdr:txBody>
    </xdr:sp>
    <xdr:clientData/>
  </xdr:twoCellAnchor>
  <xdr:twoCellAnchor>
    <xdr:from>
      <xdr:col>8</xdr:col>
      <xdr:colOff>265501</xdr:colOff>
      <xdr:row>26</xdr:row>
      <xdr:rowOff>96808</xdr:rowOff>
    </xdr:from>
    <xdr:to>
      <xdr:col>16</xdr:col>
      <xdr:colOff>96705</xdr:colOff>
      <xdr:row>42</xdr:row>
      <xdr:rowOff>50580</xdr:rowOff>
    </xdr:to>
    <xdr:sp macro="" textlink="">
      <xdr:nvSpPr>
        <xdr:cNvPr id="91" name="Rectangle: Rounded Corners 90">
          <a:extLst>
            <a:ext uri="{FF2B5EF4-FFF2-40B4-BE49-F238E27FC236}">
              <a16:creationId xmlns:a16="http://schemas.microsoft.com/office/drawing/2014/main" id="{EE90DE2B-C0CC-4406-9A94-4A1AF635021F}"/>
            </a:ext>
          </a:extLst>
        </xdr:cNvPr>
        <xdr:cNvSpPr/>
      </xdr:nvSpPr>
      <xdr:spPr>
        <a:xfrm>
          <a:off x="5164072" y="5049808"/>
          <a:ext cx="4729776" cy="3001772"/>
        </a:xfrm>
        <a:prstGeom prst="roundRect">
          <a:avLst>
            <a:gd name="adj" fmla="val 1108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noFill/>
            </a:ln>
            <a:latin typeface="Arial" panose="020B0604020202020204" pitchFamily="34" charset="0"/>
            <a:cs typeface="Arial" panose="020B0604020202020204" pitchFamily="34" charset="0"/>
          </a:endParaRPr>
        </a:p>
      </xdr:txBody>
    </xdr:sp>
    <xdr:clientData/>
  </xdr:twoCellAnchor>
  <xdr:twoCellAnchor>
    <xdr:from>
      <xdr:col>8</xdr:col>
      <xdr:colOff>243611</xdr:colOff>
      <xdr:row>26</xdr:row>
      <xdr:rowOff>152543</xdr:rowOff>
    </xdr:from>
    <xdr:to>
      <xdr:col>15</xdr:col>
      <xdr:colOff>536335</xdr:colOff>
      <xdr:row>42</xdr:row>
      <xdr:rowOff>10769</xdr:rowOff>
    </xdr:to>
    <xdr:graphicFrame macro="">
      <xdr:nvGraphicFramePr>
        <xdr:cNvPr id="97" name="Chart 96">
          <a:extLst>
            <a:ext uri="{FF2B5EF4-FFF2-40B4-BE49-F238E27FC236}">
              <a16:creationId xmlns:a16="http://schemas.microsoft.com/office/drawing/2014/main" id="{9A9E7D3A-A075-43BF-8262-9B4B4E8A6D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289825</xdr:colOff>
      <xdr:row>26</xdr:row>
      <xdr:rowOff>140600</xdr:rowOff>
    </xdr:from>
    <xdr:to>
      <xdr:col>16</xdr:col>
      <xdr:colOff>33467</xdr:colOff>
      <xdr:row>42</xdr:row>
      <xdr:rowOff>68495</xdr:rowOff>
    </xdr:to>
    <xdr:graphicFrame macro="">
      <xdr:nvGraphicFramePr>
        <xdr:cNvPr id="85" name="Chart 84">
          <a:extLst>
            <a:ext uri="{FF2B5EF4-FFF2-40B4-BE49-F238E27FC236}">
              <a16:creationId xmlns:a16="http://schemas.microsoft.com/office/drawing/2014/main" id="{067EF216-1A4E-40E1-BD37-7918AB4179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315113</xdr:colOff>
      <xdr:row>14</xdr:row>
      <xdr:rowOff>187215</xdr:rowOff>
    </xdr:from>
    <xdr:to>
      <xdr:col>5</xdr:col>
      <xdr:colOff>88871</xdr:colOff>
      <xdr:row>16</xdr:row>
      <xdr:rowOff>122715</xdr:rowOff>
    </xdr:to>
    <xdr:sp macro="" textlink="">
      <xdr:nvSpPr>
        <xdr:cNvPr id="100" name="TextBox 99">
          <a:extLst>
            <a:ext uri="{FF2B5EF4-FFF2-40B4-BE49-F238E27FC236}">
              <a16:creationId xmlns:a16="http://schemas.microsoft.com/office/drawing/2014/main" id="{74FAB280-394A-4C53-B6D4-6E0A6BD81D77}"/>
            </a:ext>
          </a:extLst>
        </xdr:cNvPr>
        <xdr:cNvSpPr txBox="1"/>
      </xdr:nvSpPr>
      <xdr:spPr>
        <a:xfrm>
          <a:off x="315113" y="2854215"/>
          <a:ext cx="2835365" cy="316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ln>
                <a:noFill/>
              </a:ln>
              <a:solidFill>
                <a:srgbClr val="FF3300"/>
              </a:solidFill>
              <a:latin typeface="Arial" panose="020B0604020202020204" pitchFamily="34" charset="0"/>
              <a:cs typeface="Arial" panose="020B0604020202020204" pitchFamily="34" charset="0"/>
            </a:rPr>
            <a:t>New Meter Installed</a:t>
          </a:r>
        </a:p>
      </xdr:txBody>
    </xdr:sp>
    <xdr:clientData/>
  </xdr:twoCellAnchor>
  <xdr:twoCellAnchor>
    <xdr:from>
      <xdr:col>0</xdr:col>
      <xdr:colOff>444025</xdr:colOff>
      <xdr:row>16</xdr:row>
      <xdr:rowOff>43092</xdr:rowOff>
    </xdr:from>
    <xdr:to>
      <xdr:col>5</xdr:col>
      <xdr:colOff>101032</xdr:colOff>
      <xdr:row>16</xdr:row>
      <xdr:rowOff>45083</xdr:rowOff>
    </xdr:to>
    <xdr:cxnSp macro="">
      <xdr:nvCxnSpPr>
        <xdr:cNvPr id="101" name="Straight Connector 100">
          <a:extLst>
            <a:ext uri="{FF2B5EF4-FFF2-40B4-BE49-F238E27FC236}">
              <a16:creationId xmlns:a16="http://schemas.microsoft.com/office/drawing/2014/main" id="{664B4D06-4AA0-4320-9583-68AB38036D53}"/>
            </a:ext>
          </a:extLst>
        </xdr:cNvPr>
        <xdr:cNvCxnSpPr/>
      </xdr:nvCxnSpPr>
      <xdr:spPr>
        <a:xfrm>
          <a:off x="444025" y="3091092"/>
          <a:ext cx="2718614" cy="1991"/>
        </a:xfrm>
        <a:prstGeom prst="line">
          <a:avLst/>
        </a:prstGeom>
        <a:ln>
          <a:solidFill>
            <a:srgbClr val="FFC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302952</xdr:colOff>
      <xdr:row>16</xdr:row>
      <xdr:rowOff>150582</xdr:rowOff>
    </xdr:from>
    <xdr:to>
      <xdr:col>5</xdr:col>
      <xdr:colOff>76710</xdr:colOff>
      <xdr:row>18</xdr:row>
      <xdr:rowOff>94044</xdr:rowOff>
    </xdr:to>
    <xdr:sp macro="" textlink="ANALYSIS!G15">
      <xdr:nvSpPr>
        <xdr:cNvPr id="102" name="TextBox 101">
          <a:extLst>
            <a:ext uri="{FF2B5EF4-FFF2-40B4-BE49-F238E27FC236}">
              <a16:creationId xmlns:a16="http://schemas.microsoft.com/office/drawing/2014/main" id="{E5FEB3DD-4E52-4946-89AA-FA3DCE8FFE02}"/>
            </a:ext>
          </a:extLst>
        </xdr:cNvPr>
        <xdr:cNvSpPr txBox="1"/>
      </xdr:nvSpPr>
      <xdr:spPr>
        <a:xfrm>
          <a:off x="302952" y="3198582"/>
          <a:ext cx="2835365" cy="324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2C53ECF-5AF2-4461-9E71-4EA3EB064F91}" type="TxLink">
            <a:rPr lang="en-US" sz="1200" b="0" i="0" u="none" strike="noStrike">
              <a:ln>
                <a:noFill/>
              </a:ln>
              <a:solidFill>
                <a:srgbClr val="002060"/>
              </a:solidFill>
              <a:latin typeface="Arial" panose="020B0604020202020204" pitchFamily="34" charset="0"/>
              <a:cs typeface="Arial" panose="020B0604020202020204" pitchFamily="34" charset="0"/>
            </a:rPr>
            <a:pPr algn="ctr"/>
            <a:t>2024-12-23</a:t>
          </a:fld>
          <a:endParaRPr lang="en-US" sz="1600">
            <a:ln>
              <a:noFill/>
            </a:ln>
            <a:solidFill>
              <a:srgbClr val="002060"/>
            </a:solidFill>
            <a:latin typeface="Arial" panose="020B0604020202020204" pitchFamily="34" charset="0"/>
            <a:cs typeface="Arial" panose="020B0604020202020204" pitchFamily="34" charset="0"/>
          </a:endParaRPr>
        </a:p>
      </xdr:txBody>
    </xdr:sp>
    <xdr:clientData/>
  </xdr:twoCellAnchor>
  <xdr:twoCellAnchor>
    <xdr:from>
      <xdr:col>0</xdr:col>
      <xdr:colOff>352973</xdr:colOff>
      <xdr:row>18</xdr:row>
      <xdr:rowOff>35991</xdr:rowOff>
    </xdr:from>
    <xdr:to>
      <xdr:col>2</xdr:col>
      <xdr:colOff>46349</xdr:colOff>
      <xdr:row>19</xdr:row>
      <xdr:rowOff>150047</xdr:rowOff>
    </xdr:to>
    <xdr:sp macro="" textlink="">
      <xdr:nvSpPr>
        <xdr:cNvPr id="103" name="TextBox 102">
          <a:extLst>
            <a:ext uri="{FF2B5EF4-FFF2-40B4-BE49-F238E27FC236}">
              <a16:creationId xmlns:a16="http://schemas.microsoft.com/office/drawing/2014/main" id="{D0EDDCCC-6395-48D4-B0F5-1DCF7ADC3572}"/>
            </a:ext>
          </a:extLst>
        </xdr:cNvPr>
        <xdr:cNvSpPr txBox="1"/>
      </xdr:nvSpPr>
      <xdr:spPr>
        <a:xfrm>
          <a:off x="352973" y="3464991"/>
          <a:ext cx="918019" cy="304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0">
              <a:ln>
                <a:noFill/>
              </a:ln>
              <a:solidFill>
                <a:schemeClr val="tx1"/>
              </a:solidFill>
              <a:latin typeface="Helvetica" panose="020B0604020202020204" pitchFamily="34" charset="0"/>
              <a:cs typeface="Helvetica" panose="020B0604020202020204" pitchFamily="34" charset="0"/>
            </a:rPr>
            <a:t>House :</a:t>
          </a:r>
        </a:p>
      </xdr:txBody>
    </xdr:sp>
    <xdr:clientData/>
  </xdr:twoCellAnchor>
  <xdr:twoCellAnchor>
    <xdr:from>
      <xdr:col>0</xdr:col>
      <xdr:colOff>345676</xdr:colOff>
      <xdr:row>19</xdr:row>
      <xdr:rowOff>99958</xdr:rowOff>
    </xdr:from>
    <xdr:to>
      <xdr:col>2</xdr:col>
      <xdr:colOff>2568</xdr:colOff>
      <xdr:row>21</xdr:row>
      <xdr:rowOff>27496</xdr:rowOff>
    </xdr:to>
    <xdr:sp macro="" textlink="">
      <xdr:nvSpPr>
        <xdr:cNvPr id="104" name="TextBox 103">
          <a:extLst>
            <a:ext uri="{FF2B5EF4-FFF2-40B4-BE49-F238E27FC236}">
              <a16:creationId xmlns:a16="http://schemas.microsoft.com/office/drawing/2014/main" id="{245D1605-A761-43DF-BCD3-083EA2D2D024}"/>
            </a:ext>
          </a:extLst>
        </xdr:cNvPr>
        <xdr:cNvSpPr txBox="1"/>
      </xdr:nvSpPr>
      <xdr:spPr>
        <a:xfrm>
          <a:off x="345676" y="3719458"/>
          <a:ext cx="881535" cy="3085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ln>
                <a:noFill/>
              </a:ln>
              <a:solidFill>
                <a:schemeClr val="tx1"/>
              </a:solidFill>
              <a:latin typeface="Helvetica" panose="020B0604020202020204" pitchFamily="34" charset="0"/>
              <a:cs typeface="Helvetica" panose="020B0604020202020204" pitchFamily="34" charset="0"/>
            </a:rPr>
            <a:t>Meter :</a:t>
          </a:r>
        </a:p>
      </xdr:txBody>
    </xdr:sp>
    <xdr:clientData/>
  </xdr:twoCellAnchor>
  <xdr:twoCellAnchor>
    <xdr:from>
      <xdr:col>1</xdr:col>
      <xdr:colOff>408439</xdr:colOff>
      <xdr:row>18</xdr:row>
      <xdr:rowOff>34328</xdr:rowOff>
    </xdr:from>
    <xdr:to>
      <xdr:col>3</xdr:col>
      <xdr:colOff>50738</xdr:colOff>
      <xdr:row>19</xdr:row>
      <xdr:rowOff>176252</xdr:rowOff>
    </xdr:to>
    <xdr:sp macro="" textlink="ANALYSIS!H15">
      <xdr:nvSpPr>
        <xdr:cNvPr id="105" name="TextBox 104">
          <a:extLst>
            <a:ext uri="{FF2B5EF4-FFF2-40B4-BE49-F238E27FC236}">
              <a16:creationId xmlns:a16="http://schemas.microsoft.com/office/drawing/2014/main" id="{BF94F220-1D0D-4606-9DDE-15F8F4422BB9}"/>
            </a:ext>
          </a:extLst>
        </xdr:cNvPr>
        <xdr:cNvSpPr txBox="1"/>
      </xdr:nvSpPr>
      <xdr:spPr>
        <a:xfrm>
          <a:off x="1020760" y="3463328"/>
          <a:ext cx="866942" cy="332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B1D2BA9-E133-42CE-AF84-0FB4BDA7D3B2}" type="TxLink">
            <a:rPr lang="en-US" sz="1200" b="0" i="0" u="none" strike="noStrike">
              <a:ln>
                <a:noFill/>
              </a:ln>
              <a:solidFill>
                <a:schemeClr val="tx1"/>
              </a:solidFill>
              <a:latin typeface="Helvetica" panose="020B0604020202020204" pitchFamily="34" charset="0"/>
              <a:ea typeface="+mn-ea"/>
              <a:cs typeface="Helvetica" panose="020B0604020202020204" pitchFamily="34" charset="0"/>
            </a:rPr>
            <a:pPr marL="0" indent="0"/>
            <a:t>102</a:t>
          </a:fld>
          <a:endParaRPr lang="en-US" sz="1200" b="0" i="0" u="none" strike="noStrike">
            <a:ln>
              <a:noFill/>
            </a:ln>
            <a:solidFill>
              <a:schemeClr val="tx1"/>
            </a:solidFill>
            <a:latin typeface="Helvetica" panose="020B0604020202020204" pitchFamily="34" charset="0"/>
            <a:ea typeface="+mn-ea"/>
            <a:cs typeface="Helvetica" panose="020B0604020202020204" pitchFamily="34" charset="0"/>
          </a:endParaRPr>
        </a:p>
      </xdr:txBody>
    </xdr:sp>
    <xdr:clientData/>
  </xdr:twoCellAnchor>
  <xdr:twoCellAnchor>
    <xdr:from>
      <xdr:col>1</xdr:col>
      <xdr:colOff>375045</xdr:colOff>
      <xdr:row>19</xdr:row>
      <xdr:rowOff>89043</xdr:rowOff>
    </xdr:from>
    <xdr:to>
      <xdr:col>3</xdr:col>
      <xdr:colOff>2751</xdr:colOff>
      <xdr:row>21</xdr:row>
      <xdr:rowOff>50420</xdr:rowOff>
    </xdr:to>
    <xdr:sp macro="" textlink="ANALYSIS!I15">
      <xdr:nvSpPr>
        <xdr:cNvPr id="106" name="TextBox 105">
          <a:extLst>
            <a:ext uri="{FF2B5EF4-FFF2-40B4-BE49-F238E27FC236}">
              <a16:creationId xmlns:a16="http://schemas.microsoft.com/office/drawing/2014/main" id="{61F1233F-C6E7-48B6-93D2-01ECCF02B15A}"/>
            </a:ext>
          </a:extLst>
        </xdr:cNvPr>
        <xdr:cNvSpPr txBox="1"/>
      </xdr:nvSpPr>
      <xdr:spPr>
        <a:xfrm>
          <a:off x="987366" y="3708543"/>
          <a:ext cx="852349" cy="3423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2D123F7-5E69-43D4-8783-081980B426C0}" type="TxLink">
            <a:rPr lang="en-US" sz="1200" b="0" i="0" u="none" strike="noStrike">
              <a:ln>
                <a:noFill/>
              </a:ln>
              <a:solidFill>
                <a:schemeClr val="tx1"/>
              </a:solidFill>
              <a:latin typeface="Helvetica" panose="020B0604020202020204" pitchFamily="34" charset="0"/>
              <a:cs typeface="Helvetica" panose="020B0604020202020204" pitchFamily="34" charset="0"/>
            </a:rPr>
            <a:pPr/>
            <a:t>325</a:t>
          </a:fld>
          <a:endParaRPr lang="en-US" sz="1200" b="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5</xdr:col>
      <xdr:colOff>392908</xdr:colOff>
      <xdr:row>14</xdr:row>
      <xdr:rowOff>187215</xdr:rowOff>
    </xdr:from>
    <xdr:to>
      <xdr:col>10</xdr:col>
      <xdr:colOff>166664</xdr:colOff>
      <xdr:row>16</xdr:row>
      <xdr:rowOff>122715</xdr:rowOff>
    </xdr:to>
    <xdr:sp macro="" textlink="">
      <xdr:nvSpPr>
        <xdr:cNvPr id="118" name="TextBox 117">
          <a:extLst>
            <a:ext uri="{FF2B5EF4-FFF2-40B4-BE49-F238E27FC236}">
              <a16:creationId xmlns:a16="http://schemas.microsoft.com/office/drawing/2014/main" id="{0481318F-2219-4C19-961D-0504480C95CF}"/>
            </a:ext>
          </a:extLst>
        </xdr:cNvPr>
        <xdr:cNvSpPr txBox="1"/>
      </xdr:nvSpPr>
      <xdr:spPr>
        <a:xfrm>
          <a:off x="3454515" y="2854215"/>
          <a:ext cx="2835363" cy="316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ln>
                <a:noFill/>
              </a:ln>
              <a:solidFill>
                <a:srgbClr val="FF3300"/>
              </a:solidFill>
              <a:latin typeface="Arial" panose="020B0604020202020204" pitchFamily="34" charset="0"/>
              <a:cs typeface="Arial" panose="020B0604020202020204" pitchFamily="34" charset="0"/>
            </a:rPr>
            <a:t>New IC Card Distributed</a:t>
          </a:r>
        </a:p>
      </xdr:txBody>
    </xdr:sp>
    <xdr:clientData/>
  </xdr:twoCellAnchor>
  <xdr:twoCellAnchor>
    <xdr:from>
      <xdr:col>5</xdr:col>
      <xdr:colOff>521820</xdr:colOff>
      <xdr:row>16</xdr:row>
      <xdr:rowOff>43092</xdr:rowOff>
    </xdr:from>
    <xdr:to>
      <xdr:col>10</xdr:col>
      <xdr:colOff>178826</xdr:colOff>
      <xdr:row>16</xdr:row>
      <xdr:rowOff>45083</xdr:rowOff>
    </xdr:to>
    <xdr:cxnSp macro="">
      <xdr:nvCxnSpPr>
        <xdr:cNvPr id="119" name="Straight Connector 118">
          <a:extLst>
            <a:ext uri="{FF2B5EF4-FFF2-40B4-BE49-F238E27FC236}">
              <a16:creationId xmlns:a16="http://schemas.microsoft.com/office/drawing/2014/main" id="{4C532193-42EA-4DA5-A17E-D0DE441C03CE}"/>
            </a:ext>
          </a:extLst>
        </xdr:cNvPr>
        <xdr:cNvCxnSpPr/>
      </xdr:nvCxnSpPr>
      <xdr:spPr>
        <a:xfrm>
          <a:off x="3583427" y="3091092"/>
          <a:ext cx="2718613" cy="1991"/>
        </a:xfrm>
        <a:prstGeom prst="line">
          <a:avLst/>
        </a:prstGeom>
        <a:ln>
          <a:solidFill>
            <a:srgbClr val="FFC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423810</xdr:colOff>
      <xdr:row>16</xdr:row>
      <xdr:rowOff>155852</xdr:rowOff>
    </xdr:from>
    <xdr:to>
      <xdr:col>10</xdr:col>
      <xdr:colOff>35707</xdr:colOff>
      <xdr:row>18</xdr:row>
      <xdr:rowOff>77652</xdr:rowOff>
    </xdr:to>
    <xdr:sp macro="" textlink="ANALYSIS!AD2">
      <xdr:nvSpPr>
        <xdr:cNvPr id="120" name="TextBox 119">
          <a:extLst>
            <a:ext uri="{FF2B5EF4-FFF2-40B4-BE49-F238E27FC236}">
              <a16:creationId xmlns:a16="http://schemas.microsoft.com/office/drawing/2014/main" id="{C69B2048-2F59-499E-9886-82981EE17659}"/>
            </a:ext>
          </a:extLst>
        </xdr:cNvPr>
        <xdr:cNvSpPr txBox="1"/>
      </xdr:nvSpPr>
      <xdr:spPr>
        <a:xfrm>
          <a:off x="3485417" y="3203852"/>
          <a:ext cx="2673504" cy="302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461A604-4CDE-43D0-8272-7033C1192E91}" type="TxLink">
            <a:rPr lang="en-US" sz="1200" b="0" i="0" u="none" strike="noStrike">
              <a:ln>
                <a:noFill/>
              </a:ln>
              <a:solidFill>
                <a:srgbClr val="002060"/>
              </a:solidFill>
              <a:latin typeface="Arial" panose="020B0604020202020204" pitchFamily="34" charset="0"/>
              <a:cs typeface="Arial" panose="020B0604020202020204" pitchFamily="34" charset="0"/>
            </a:rPr>
            <a:pPr algn="ctr"/>
            <a:t>2024-12-23</a:t>
          </a:fld>
          <a:endParaRPr lang="en-US" sz="1400" b="0">
            <a:ln>
              <a:noFill/>
            </a:ln>
            <a:solidFill>
              <a:srgbClr val="002060"/>
            </a:solidFill>
            <a:latin typeface="Arial" panose="020B0604020202020204" pitchFamily="34" charset="0"/>
            <a:cs typeface="Arial" panose="020B0604020202020204" pitchFamily="34" charset="0"/>
          </a:endParaRPr>
        </a:p>
      </xdr:txBody>
    </xdr:sp>
    <xdr:clientData/>
  </xdr:twoCellAnchor>
  <xdr:twoCellAnchor>
    <xdr:from>
      <xdr:col>5</xdr:col>
      <xdr:colOff>449766</xdr:colOff>
      <xdr:row>18</xdr:row>
      <xdr:rowOff>32337</xdr:rowOff>
    </xdr:from>
    <xdr:to>
      <xdr:col>8</xdr:col>
      <xdr:colOff>9454</xdr:colOff>
      <xdr:row>19</xdr:row>
      <xdr:rowOff>180233</xdr:rowOff>
    </xdr:to>
    <xdr:sp macro="" textlink="">
      <xdr:nvSpPr>
        <xdr:cNvPr id="121" name="TextBox 120">
          <a:extLst>
            <a:ext uri="{FF2B5EF4-FFF2-40B4-BE49-F238E27FC236}">
              <a16:creationId xmlns:a16="http://schemas.microsoft.com/office/drawing/2014/main" id="{9349115F-A94D-4A98-8C4C-206E95A3C0B2}"/>
            </a:ext>
          </a:extLst>
        </xdr:cNvPr>
        <xdr:cNvSpPr txBox="1"/>
      </xdr:nvSpPr>
      <xdr:spPr>
        <a:xfrm>
          <a:off x="3511373" y="3461337"/>
          <a:ext cx="1396652" cy="3383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baseline="0">
              <a:ln>
                <a:noFill/>
              </a:ln>
              <a:solidFill>
                <a:schemeClr val="tx1"/>
              </a:solidFill>
              <a:latin typeface="Arial" panose="020B0604020202020204" pitchFamily="34" charset="0"/>
              <a:cs typeface="Arial" panose="020B0604020202020204" pitchFamily="34" charset="0"/>
            </a:rPr>
            <a:t> </a:t>
          </a:r>
          <a:r>
            <a:rPr lang="en-US" sz="1200" b="0">
              <a:ln>
                <a:noFill/>
              </a:ln>
              <a:solidFill>
                <a:schemeClr val="tx1"/>
              </a:solidFill>
              <a:latin typeface="Arial" panose="020B0604020202020204" pitchFamily="34" charset="0"/>
              <a:cs typeface="Arial" panose="020B0604020202020204" pitchFamily="34" charset="0"/>
            </a:rPr>
            <a:t>House </a:t>
          </a:r>
          <a:r>
            <a:rPr lang="en-US" sz="1200" b="1">
              <a:ln>
                <a:noFill/>
              </a:ln>
              <a:solidFill>
                <a:schemeClr val="tx1"/>
              </a:solidFill>
              <a:latin typeface="Arial" panose="020B0604020202020204" pitchFamily="34" charset="0"/>
              <a:cs typeface="Arial" panose="020B0604020202020204" pitchFamily="34" charset="0"/>
            </a:rPr>
            <a:t>:</a:t>
          </a:r>
        </a:p>
      </xdr:txBody>
    </xdr:sp>
    <xdr:clientData/>
  </xdr:twoCellAnchor>
  <xdr:twoCellAnchor>
    <xdr:from>
      <xdr:col>5</xdr:col>
      <xdr:colOff>465807</xdr:colOff>
      <xdr:row>19</xdr:row>
      <xdr:rowOff>96629</xdr:rowOff>
    </xdr:from>
    <xdr:to>
      <xdr:col>7</xdr:col>
      <xdr:colOff>520922</xdr:colOff>
      <xdr:row>21</xdr:row>
      <xdr:rowOff>34119</xdr:rowOff>
    </xdr:to>
    <xdr:sp macro="" textlink="">
      <xdr:nvSpPr>
        <xdr:cNvPr id="122" name="TextBox 121">
          <a:extLst>
            <a:ext uri="{FF2B5EF4-FFF2-40B4-BE49-F238E27FC236}">
              <a16:creationId xmlns:a16="http://schemas.microsoft.com/office/drawing/2014/main" id="{7E0BABCB-54FD-4C0D-988E-F62474BCC853}"/>
            </a:ext>
          </a:extLst>
        </xdr:cNvPr>
        <xdr:cNvSpPr txBox="1"/>
      </xdr:nvSpPr>
      <xdr:spPr>
        <a:xfrm>
          <a:off x="3527414" y="3716129"/>
          <a:ext cx="1279758" cy="318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ln>
                <a:noFill/>
              </a:ln>
              <a:solidFill>
                <a:schemeClr val="tx1"/>
              </a:solidFill>
              <a:latin typeface="Helvetica" panose="020B0604020202020204" pitchFamily="34" charset="0"/>
              <a:cs typeface="Helvetica" panose="020B0604020202020204" pitchFamily="34" charset="0"/>
            </a:rPr>
            <a:t>Total </a:t>
          </a:r>
          <a:r>
            <a:rPr lang="en-US" sz="1200" b="0">
              <a:ln>
                <a:noFill/>
              </a:ln>
              <a:solidFill>
                <a:schemeClr val="tx1"/>
              </a:solidFill>
              <a:latin typeface="Arial" panose="020B0604020202020204" pitchFamily="34" charset="0"/>
              <a:cs typeface="Arial" panose="020B0604020202020204" pitchFamily="34" charset="0"/>
            </a:rPr>
            <a:t>Card</a:t>
          </a:r>
          <a:r>
            <a:rPr lang="en-US" sz="1200" b="0">
              <a:ln>
                <a:noFill/>
              </a:ln>
              <a:solidFill>
                <a:schemeClr val="tx1"/>
              </a:solidFill>
              <a:latin typeface="Helvetica" panose="020B0604020202020204" pitchFamily="34" charset="0"/>
              <a:cs typeface="Helvetica" panose="020B0604020202020204" pitchFamily="34" charset="0"/>
            </a:rPr>
            <a:t> :</a:t>
          </a:r>
        </a:p>
      </xdr:txBody>
    </xdr:sp>
    <xdr:clientData/>
  </xdr:twoCellAnchor>
  <xdr:twoCellAnchor>
    <xdr:from>
      <xdr:col>7</xdr:col>
      <xdr:colOff>14920</xdr:colOff>
      <xdr:row>18</xdr:row>
      <xdr:rowOff>42026</xdr:rowOff>
    </xdr:from>
    <xdr:to>
      <xdr:col>8</xdr:col>
      <xdr:colOff>272223</xdr:colOff>
      <xdr:row>19</xdr:row>
      <xdr:rowOff>181960</xdr:rowOff>
    </xdr:to>
    <xdr:sp macro="" textlink="ANALYSIS!AF2">
      <xdr:nvSpPr>
        <xdr:cNvPr id="123" name="TextBox 122">
          <a:extLst>
            <a:ext uri="{FF2B5EF4-FFF2-40B4-BE49-F238E27FC236}">
              <a16:creationId xmlns:a16="http://schemas.microsoft.com/office/drawing/2014/main" id="{1E8F1753-2AEF-441E-9DF1-86869A54B0F5}"/>
            </a:ext>
          </a:extLst>
        </xdr:cNvPr>
        <xdr:cNvSpPr txBox="1"/>
      </xdr:nvSpPr>
      <xdr:spPr>
        <a:xfrm>
          <a:off x="4301170" y="3471026"/>
          <a:ext cx="869624" cy="3304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FC51E54-6413-4BE2-B914-0093985B2FE4}" type="TxLink">
            <a:rPr lang="en-US" sz="1200" b="0" i="0" u="none" strike="noStrike">
              <a:ln>
                <a:noFill/>
              </a:ln>
              <a:solidFill>
                <a:schemeClr val="tx1"/>
              </a:solidFill>
              <a:latin typeface="Helvetica" panose="020B0604020202020204" pitchFamily="34" charset="0"/>
              <a:cs typeface="Helvetica" panose="020B0604020202020204" pitchFamily="34" charset="0"/>
            </a:rPr>
            <a:pPr/>
            <a:t>0</a:t>
          </a:fld>
          <a:endParaRPr lang="en-US" sz="1200" b="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7</xdr:col>
      <xdr:colOff>206934</xdr:colOff>
      <xdr:row>19</xdr:row>
      <xdr:rowOff>107285</xdr:rowOff>
    </xdr:from>
    <xdr:to>
      <xdr:col>8</xdr:col>
      <xdr:colOff>463455</xdr:colOff>
      <xdr:row>21</xdr:row>
      <xdr:rowOff>68662</xdr:rowOff>
    </xdr:to>
    <xdr:sp macro="" textlink="ANALYSIS!AE2">
      <xdr:nvSpPr>
        <xdr:cNvPr id="124" name="TextBox 123">
          <a:extLst>
            <a:ext uri="{FF2B5EF4-FFF2-40B4-BE49-F238E27FC236}">
              <a16:creationId xmlns:a16="http://schemas.microsoft.com/office/drawing/2014/main" id="{75090292-484F-4BD5-98D0-4FCCD718D81B}"/>
            </a:ext>
          </a:extLst>
        </xdr:cNvPr>
        <xdr:cNvSpPr txBox="1"/>
      </xdr:nvSpPr>
      <xdr:spPr>
        <a:xfrm>
          <a:off x="4493184" y="3726785"/>
          <a:ext cx="868842" cy="3423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575BC8C-B3A7-4FAC-ACA7-7AA72379CD0B}" type="TxLink">
            <a:rPr lang="en-US" sz="1200" b="0" i="0" u="none" strike="noStrike">
              <a:ln>
                <a:noFill/>
              </a:ln>
              <a:solidFill>
                <a:schemeClr val="tx1"/>
              </a:solidFill>
              <a:latin typeface="Helvetica" panose="020B0604020202020204" pitchFamily="34" charset="0"/>
              <a:cs typeface="Helvetica" panose="020B0604020202020204" pitchFamily="34" charset="0"/>
            </a:rPr>
            <a:pPr/>
            <a:t>0</a:t>
          </a:fld>
          <a:endParaRPr lang="en-US" sz="1200" b="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31</xdr:col>
      <xdr:colOff>364142</xdr:colOff>
      <xdr:row>14</xdr:row>
      <xdr:rowOff>147403</xdr:rowOff>
    </xdr:from>
    <xdr:to>
      <xdr:col>36</xdr:col>
      <xdr:colOff>137900</xdr:colOff>
      <xdr:row>16</xdr:row>
      <xdr:rowOff>82903</xdr:rowOff>
    </xdr:to>
    <xdr:sp macro="" textlink="ANALYSIS!AN2">
      <xdr:nvSpPr>
        <xdr:cNvPr id="127" name="TextBox 126">
          <a:extLst>
            <a:ext uri="{FF2B5EF4-FFF2-40B4-BE49-F238E27FC236}">
              <a16:creationId xmlns:a16="http://schemas.microsoft.com/office/drawing/2014/main" id="{36C95D46-6A95-434E-990E-A877330286D6}"/>
            </a:ext>
          </a:extLst>
        </xdr:cNvPr>
        <xdr:cNvSpPr txBox="1"/>
      </xdr:nvSpPr>
      <xdr:spPr>
        <a:xfrm>
          <a:off x="19346106" y="2814403"/>
          <a:ext cx="2835365" cy="316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A7D0DE7-9429-498F-A076-B0700BD90E0D}" type="TxLink">
            <a:rPr lang="en-US" sz="1200" b="0" i="0" u="none" strike="noStrike">
              <a:ln>
                <a:noFill/>
              </a:ln>
              <a:solidFill>
                <a:srgbClr val="002060"/>
              </a:solidFill>
              <a:latin typeface="Arial" panose="020B0604020202020204" pitchFamily="34" charset="0"/>
              <a:ea typeface="+mn-ea"/>
              <a:cs typeface="Arial" panose="020B0604020202020204" pitchFamily="34" charset="0"/>
            </a:rPr>
            <a:pPr marL="0" indent="0" algn="ctr"/>
            <a:t>2024-12-23</a:t>
          </a:fld>
          <a:endParaRPr lang="en-US" sz="1400" b="0" i="0" u="none" strike="noStrike">
            <a:ln>
              <a:noFill/>
            </a:ln>
            <a:solidFill>
              <a:srgbClr val="002060"/>
            </a:solidFill>
            <a:latin typeface="Arial" panose="020B0604020202020204" pitchFamily="34" charset="0"/>
            <a:ea typeface="+mn-ea"/>
            <a:cs typeface="Arial" panose="020B0604020202020204" pitchFamily="34" charset="0"/>
          </a:endParaRPr>
        </a:p>
      </xdr:txBody>
    </xdr:sp>
    <xdr:clientData/>
  </xdr:twoCellAnchor>
  <xdr:twoCellAnchor>
    <xdr:from>
      <xdr:col>31</xdr:col>
      <xdr:colOff>500057</xdr:colOff>
      <xdr:row>16</xdr:row>
      <xdr:rowOff>33724</xdr:rowOff>
    </xdr:from>
    <xdr:to>
      <xdr:col>33</xdr:col>
      <xdr:colOff>361159</xdr:colOff>
      <xdr:row>17</xdr:row>
      <xdr:rowOff>71554</xdr:rowOff>
    </xdr:to>
    <xdr:sp macro="" textlink="">
      <xdr:nvSpPr>
        <xdr:cNvPr id="132" name="TextBox 131">
          <a:extLst>
            <a:ext uri="{FF2B5EF4-FFF2-40B4-BE49-F238E27FC236}">
              <a16:creationId xmlns:a16="http://schemas.microsoft.com/office/drawing/2014/main" id="{38EDCE3A-CB49-43DA-B480-DE2C4389D25F}"/>
            </a:ext>
          </a:extLst>
        </xdr:cNvPr>
        <xdr:cNvSpPr txBox="1"/>
      </xdr:nvSpPr>
      <xdr:spPr>
        <a:xfrm>
          <a:off x="19482021" y="3081724"/>
          <a:ext cx="1085745" cy="2283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ln>
                <a:noFill/>
              </a:ln>
              <a:solidFill>
                <a:schemeClr val="tx1"/>
              </a:solidFill>
              <a:latin typeface="Abadi" panose="020B0604020104020204" pitchFamily="34" charset="0"/>
              <a:cs typeface="Arial" panose="020B0604020202020204" pitchFamily="34" charset="0"/>
            </a:rPr>
            <a:t>Toall</a:t>
          </a:r>
          <a:r>
            <a:rPr lang="en-US" sz="1200" b="0" baseline="0">
              <a:ln>
                <a:noFill/>
              </a:ln>
              <a:solidFill>
                <a:schemeClr val="tx1"/>
              </a:solidFill>
              <a:latin typeface="Abadi" panose="020B0604020104020204" pitchFamily="34" charset="0"/>
              <a:cs typeface="Arial" panose="020B0604020202020204" pitchFamily="34" charset="0"/>
            </a:rPr>
            <a:t> call :</a:t>
          </a:r>
          <a:endParaRPr lang="en-US" sz="1200" b="0">
            <a:ln>
              <a:noFill/>
            </a:ln>
            <a:solidFill>
              <a:schemeClr val="tx1"/>
            </a:solidFill>
            <a:latin typeface="Abadi" panose="020B0604020104020204" pitchFamily="34" charset="0"/>
            <a:cs typeface="Arial" panose="020B0604020202020204" pitchFamily="34" charset="0"/>
          </a:endParaRPr>
        </a:p>
      </xdr:txBody>
    </xdr:sp>
    <xdr:clientData/>
  </xdr:twoCellAnchor>
  <xdr:twoCellAnchor>
    <xdr:from>
      <xdr:col>31</xdr:col>
      <xdr:colOff>500928</xdr:colOff>
      <xdr:row>17</xdr:row>
      <xdr:rowOff>23782</xdr:rowOff>
    </xdr:from>
    <xdr:to>
      <xdr:col>34</xdr:col>
      <xdr:colOff>214708</xdr:colOff>
      <xdr:row>18</xdr:row>
      <xdr:rowOff>54235</xdr:rowOff>
    </xdr:to>
    <xdr:sp macro="" textlink="">
      <xdr:nvSpPr>
        <xdr:cNvPr id="134" name="TextBox 133">
          <a:extLst>
            <a:ext uri="{FF2B5EF4-FFF2-40B4-BE49-F238E27FC236}">
              <a16:creationId xmlns:a16="http://schemas.microsoft.com/office/drawing/2014/main" id="{CF932F3B-008E-4388-8AFF-4ABD5CC9D70C}"/>
            </a:ext>
          </a:extLst>
        </xdr:cNvPr>
        <xdr:cNvSpPr txBox="1"/>
      </xdr:nvSpPr>
      <xdr:spPr>
        <a:xfrm>
          <a:off x="19482892" y="3262282"/>
          <a:ext cx="1550745" cy="220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ln>
                <a:noFill/>
              </a:ln>
              <a:solidFill>
                <a:schemeClr val="tx1"/>
              </a:solidFill>
              <a:latin typeface="Abadi" panose="020B0604020104020204" pitchFamily="34" charset="0"/>
              <a:cs typeface="Arial" panose="020B0604020202020204" pitchFamily="34" charset="0"/>
            </a:rPr>
            <a:t>Solve</a:t>
          </a:r>
          <a:r>
            <a:rPr lang="en-US" sz="1200" b="0" baseline="0">
              <a:ln>
                <a:noFill/>
              </a:ln>
              <a:solidFill>
                <a:schemeClr val="tx1"/>
              </a:solidFill>
              <a:latin typeface="Abadi" panose="020B0604020104020204" pitchFamily="34" charset="0"/>
              <a:cs typeface="Arial" panose="020B0604020202020204" pitchFamily="34" charset="0"/>
            </a:rPr>
            <a:t> By Pho. :</a:t>
          </a:r>
          <a:endParaRPr lang="en-US" sz="1200" b="0">
            <a:ln>
              <a:noFill/>
            </a:ln>
            <a:solidFill>
              <a:schemeClr val="tx1"/>
            </a:solidFill>
            <a:latin typeface="Abadi" panose="020B0604020104020204" pitchFamily="34" charset="0"/>
            <a:cs typeface="Arial" panose="020B0604020202020204" pitchFamily="34" charset="0"/>
          </a:endParaRPr>
        </a:p>
      </xdr:txBody>
    </xdr:sp>
    <xdr:clientData/>
  </xdr:twoCellAnchor>
  <xdr:twoCellAnchor>
    <xdr:from>
      <xdr:col>31</xdr:col>
      <xdr:colOff>520801</xdr:colOff>
      <xdr:row>18</xdr:row>
      <xdr:rowOff>55897</xdr:rowOff>
    </xdr:from>
    <xdr:to>
      <xdr:col>34</xdr:col>
      <xdr:colOff>164615</xdr:colOff>
      <xdr:row>19</xdr:row>
      <xdr:rowOff>134123</xdr:rowOff>
    </xdr:to>
    <xdr:sp macro="" textlink="">
      <xdr:nvSpPr>
        <xdr:cNvPr id="136" name="TextBox 135">
          <a:extLst>
            <a:ext uri="{FF2B5EF4-FFF2-40B4-BE49-F238E27FC236}">
              <a16:creationId xmlns:a16="http://schemas.microsoft.com/office/drawing/2014/main" id="{137CEC69-A994-45AA-81C7-176E95D631E4}"/>
            </a:ext>
          </a:extLst>
        </xdr:cNvPr>
        <xdr:cNvSpPr txBox="1"/>
      </xdr:nvSpPr>
      <xdr:spPr>
        <a:xfrm>
          <a:off x="19502765" y="3484897"/>
          <a:ext cx="1480779" cy="268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ln>
                <a:noFill/>
              </a:ln>
              <a:solidFill>
                <a:schemeClr val="tx1"/>
              </a:solidFill>
              <a:latin typeface="Abadi" panose="020B0604020104020204" pitchFamily="34" charset="0"/>
              <a:cs typeface="Arial" panose="020B0604020202020204" pitchFamily="34" charset="0"/>
            </a:rPr>
            <a:t>Solve on</a:t>
          </a:r>
          <a:r>
            <a:rPr lang="en-US" sz="1200" b="0" baseline="0">
              <a:ln>
                <a:noFill/>
              </a:ln>
              <a:solidFill>
                <a:schemeClr val="tx1"/>
              </a:solidFill>
              <a:latin typeface="Abadi" panose="020B0604020104020204" pitchFamily="34" charset="0"/>
              <a:cs typeface="Arial" panose="020B0604020202020204" pitchFamily="34" charset="0"/>
            </a:rPr>
            <a:t> Site</a:t>
          </a:r>
          <a:r>
            <a:rPr lang="en-US" sz="1200" b="0">
              <a:ln>
                <a:noFill/>
              </a:ln>
              <a:solidFill>
                <a:schemeClr val="tx1"/>
              </a:solidFill>
              <a:latin typeface="Abadi" panose="020B0604020104020204" pitchFamily="34" charset="0"/>
              <a:cs typeface="Arial" panose="020B0604020202020204" pitchFamily="34" charset="0"/>
            </a:rPr>
            <a:t> :</a:t>
          </a:r>
        </a:p>
      </xdr:txBody>
    </xdr:sp>
    <xdr:clientData/>
  </xdr:twoCellAnchor>
  <xdr:twoCellAnchor>
    <xdr:from>
      <xdr:col>33</xdr:col>
      <xdr:colOff>119163</xdr:colOff>
      <xdr:row>16</xdr:row>
      <xdr:rowOff>29720</xdr:rowOff>
    </xdr:from>
    <xdr:to>
      <xdr:col>35</xdr:col>
      <xdr:colOff>105989</xdr:colOff>
      <xdr:row>17</xdr:row>
      <xdr:rowOff>62163</xdr:rowOff>
    </xdr:to>
    <xdr:sp macro="" textlink="ANALYSIS!AP2">
      <xdr:nvSpPr>
        <xdr:cNvPr id="109" name="TextBox 108">
          <a:extLst>
            <a:ext uri="{FF2B5EF4-FFF2-40B4-BE49-F238E27FC236}">
              <a16:creationId xmlns:a16="http://schemas.microsoft.com/office/drawing/2014/main" id="{9D8C5DE0-A3C9-4BF2-AE67-61C5A7E5C742}"/>
            </a:ext>
          </a:extLst>
        </xdr:cNvPr>
        <xdr:cNvSpPr txBox="1"/>
      </xdr:nvSpPr>
      <xdr:spPr>
        <a:xfrm>
          <a:off x="20325770" y="3077720"/>
          <a:ext cx="1211469" cy="222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122D955-52A0-4E34-AC69-9F75C8B5A335}" type="TxLink">
            <a:rPr lang="en-US" sz="1200" b="0" i="0" u="none" strike="noStrike">
              <a:ln>
                <a:noFill/>
              </a:ln>
              <a:solidFill>
                <a:schemeClr val="tx1"/>
              </a:solidFill>
              <a:latin typeface="Abadi" panose="020B0604020104020204" pitchFamily="34" charset="0"/>
              <a:ea typeface="+mn-ea"/>
              <a:cs typeface="Arial" panose="020B0604020202020204" pitchFamily="34" charset="0"/>
            </a:rPr>
            <a:pPr marL="0" indent="0"/>
            <a:t>89</a:t>
          </a:fld>
          <a:endParaRPr lang="en-US" sz="1200" b="0" i="0" u="none" strike="noStrike">
            <a:ln>
              <a:noFill/>
            </a:ln>
            <a:solidFill>
              <a:schemeClr val="tx1"/>
            </a:solidFill>
            <a:latin typeface="Abadi" panose="020B0604020104020204" pitchFamily="34" charset="0"/>
            <a:ea typeface="+mn-ea"/>
            <a:cs typeface="Arial" panose="020B0604020202020204" pitchFamily="34" charset="0"/>
          </a:endParaRPr>
        </a:p>
      </xdr:txBody>
    </xdr:sp>
    <xdr:clientData/>
  </xdr:twoCellAnchor>
  <xdr:twoCellAnchor>
    <xdr:from>
      <xdr:col>33</xdr:col>
      <xdr:colOff>379469</xdr:colOff>
      <xdr:row>17</xdr:row>
      <xdr:rowOff>12875</xdr:rowOff>
    </xdr:from>
    <xdr:to>
      <xdr:col>34</xdr:col>
      <xdr:colOff>320156</xdr:colOff>
      <xdr:row>18</xdr:row>
      <xdr:rowOff>32338</xdr:rowOff>
    </xdr:to>
    <xdr:sp macro="" textlink="ANALYSIS!AQ2">
      <xdr:nvSpPr>
        <xdr:cNvPr id="111" name="TextBox 110">
          <a:extLst>
            <a:ext uri="{FF2B5EF4-FFF2-40B4-BE49-F238E27FC236}">
              <a16:creationId xmlns:a16="http://schemas.microsoft.com/office/drawing/2014/main" id="{EEAB3F05-9820-4E58-B261-A2BD22622708}"/>
            </a:ext>
          </a:extLst>
        </xdr:cNvPr>
        <xdr:cNvSpPr txBox="1"/>
      </xdr:nvSpPr>
      <xdr:spPr>
        <a:xfrm>
          <a:off x="20586076" y="3251375"/>
          <a:ext cx="553009" cy="20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39852A5-E4C1-46D3-86BD-B8EEC21A713B}" type="TxLink">
            <a:rPr lang="en-US" sz="1200" b="0" i="0" u="none" strike="noStrike">
              <a:ln>
                <a:noFill/>
              </a:ln>
              <a:solidFill>
                <a:schemeClr val="tx1"/>
              </a:solidFill>
              <a:latin typeface="Abadi" panose="020B0604020104020204" pitchFamily="34" charset="0"/>
              <a:cs typeface="Arial" panose="020B0604020202020204" pitchFamily="34" charset="0"/>
            </a:rPr>
            <a:pPr/>
            <a:t>73</a:t>
          </a:fld>
          <a:endParaRPr lang="en-US" sz="1200" b="0">
            <a:ln>
              <a:noFill/>
            </a:ln>
            <a:solidFill>
              <a:schemeClr val="tx1"/>
            </a:solidFill>
            <a:latin typeface="Abadi" panose="020B0604020104020204" pitchFamily="34" charset="0"/>
            <a:cs typeface="Arial" panose="020B0604020202020204" pitchFamily="34" charset="0"/>
          </a:endParaRPr>
        </a:p>
      </xdr:txBody>
    </xdr:sp>
    <xdr:clientData/>
  </xdr:twoCellAnchor>
  <xdr:twoCellAnchor>
    <xdr:from>
      <xdr:col>33</xdr:col>
      <xdr:colOff>399914</xdr:colOff>
      <xdr:row>18</xdr:row>
      <xdr:rowOff>41806</xdr:rowOff>
    </xdr:from>
    <xdr:to>
      <xdr:col>35</xdr:col>
      <xdr:colOff>412433</xdr:colOff>
      <xdr:row>19</xdr:row>
      <xdr:rowOff>70268</xdr:rowOff>
    </xdr:to>
    <xdr:sp macro="" textlink="ANALYSIS!AO2">
      <xdr:nvSpPr>
        <xdr:cNvPr id="112" name="TextBox 111">
          <a:extLst>
            <a:ext uri="{FF2B5EF4-FFF2-40B4-BE49-F238E27FC236}">
              <a16:creationId xmlns:a16="http://schemas.microsoft.com/office/drawing/2014/main" id="{C3B38E7B-3077-4D53-822A-573785A5C006}"/>
            </a:ext>
          </a:extLst>
        </xdr:cNvPr>
        <xdr:cNvSpPr txBox="1"/>
      </xdr:nvSpPr>
      <xdr:spPr>
        <a:xfrm>
          <a:off x="20606521" y="3470806"/>
          <a:ext cx="1237162" cy="2189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5D413D5-794D-4B09-8ED4-0EEC66B511EA}" type="TxLink">
            <a:rPr lang="en-US" sz="1200" b="0" i="0" u="none" strike="noStrike">
              <a:ln>
                <a:noFill/>
              </a:ln>
              <a:solidFill>
                <a:schemeClr val="tx1"/>
              </a:solidFill>
              <a:latin typeface="Abadi" panose="020B0604020104020204" pitchFamily="34" charset="0"/>
              <a:cs typeface="Arial" panose="020B0604020202020204" pitchFamily="34" charset="0"/>
            </a:rPr>
            <a:pPr/>
            <a:t>16</a:t>
          </a:fld>
          <a:endParaRPr lang="en-US" sz="1200" b="0">
            <a:ln>
              <a:noFill/>
            </a:ln>
            <a:solidFill>
              <a:schemeClr val="tx1"/>
            </a:solidFill>
            <a:latin typeface="Abadi" panose="020B0604020104020204" pitchFamily="34" charset="0"/>
            <a:cs typeface="Arial" panose="020B0604020202020204" pitchFamily="34" charset="0"/>
          </a:endParaRPr>
        </a:p>
      </xdr:txBody>
    </xdr:sp>
    <xdr:clientData/>
  </xdr:twoCellAnchor>
  <xdr:twoCellAnchor>
    <xdr:from>
      <xdr:col>16</xdr:col>
      <xdr:colOff>223183</xdr:colOff>
      <xdr:row>26</xdr:row>
      <xdr:rowOff>104770</xdr:rowOff>
    </xdr:from>
    <xdr:to>
      <xdr:col>29</xdr:col>
      <xdr:colOff>468886</xdr:colOff>
      <xdr:row>42</xdr:row>
      <xdr:rowOff>58542</xdr:rowOff>
    </xdr:to>
    <xdr:sp macro="" textlink="">
      <xdr:nvSpPr>
        <xdr:cNvPr id="125" name="Rectangle: Rounded Corners 124">
          <a:extLst>
            <a:ext uri="{FF2B5EF4-FFF2-40B4-BE49-F238E27FC236}">
              <a16:creationId xmlns:a16="http://schemas.microsoft.com/office/drawing/2014/main" id="{6568EA87-8588-467F-9876-7F1733C299BD}"/>
            </a:ext>
          </a:extLst>
        </xdr:cNvPr>
        <xdr:cNvSpPr/>
      </xdr:nvSpPr>
      <xdr:spPr>
        <a:xfrm>
          <a:off x="10020326" y="5057770"/>
          <a:ext cx="8205881" cy="3001772"/>
        </a:xfrm>
        <a:prstGeom prst="roundRect">
          <a:avLst>
            <a:gd name="adj" fmla="val 1108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noFill/>
            </a:ln>
            <a:latin typeface="Arial" panose="020B0604020202020204" pitchFamily="34" charset="0"/>
            <a:cs typeface="Arial" panose="020B0604020202020204" pitchFamily="34" charset="0"/>
          </a:endParaRPr>
        </a:p>
      </xdr:txBody>
    </xdr:sp>
    <xdr:clientData/>
  </xdr:twoCellAnchor>
  <xdr:twoCellAnchor>
    <xdr:from>
      <xdr:col>16</xdr:col>
      <xdr:colOff>257238</xdr:colOff>
      <xdr:row>26</xdr:row>
      <xdr:rowOff>148562</xdr:rowOff>
    </xdr:from>
    <xdr:to>
      <xdr:col>29</xdr:col>
      <xdr:colOff>468886</xdr:colOff>
      <xdr:row>42</xdr:row>
      <xdr:rowOff>62523</xdr:rowOff>
    </xdr:to>
    <xdr:graphicFrame macro="">
      <xdr:nvGraphicFramePr>
        <xdr:cNvPr id="113" name="Chart 112">
          <a:extLst>
            <a:ext uri="{FF2B5EF4-FFF2-40B4-BE49-F238E27FC236}">
              <a16:creationId xmlns:a16="http://schemas.microsoft.com/office/drawing/2014/main" id="{A87E49D7-2EE7-4AD9-9100-60CAF2FE04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307815</xdr:colOff>
      <xdr:row>42</xdr:row>
      <xdr:rowOff>170014</xdr:rowOff>
    </xdr:from>
    <xdr:to>
      <xdr:col>8</xdr:col>
      <xdr:colOff>75783</xdr:colOff>
      <xdr:row>58</xdr:row>
      <xdr:rowOff>123786</xdr:rowOff>
    </xdr:to>
    <xdr:sp macro="" textlink="">
      <xdr:nvSpPr>
        <xdr:cNvPr id="126" name="Rectangle: Rounded Corners 125">
          <a:extLst>
            <a:ext uri="{FF2B5EF4-FFF2-40B4-BE49-F238E27FC236}">
              <a16:creationId xmlns:a16="http://schemas.microsoft.com/office/drawing/2014/main" id="{E76FCF1F-CAE8-4D2A-9D65-FB105EFD82DE}"/>
            </a:ext>
          </a:extLst>
        </xdr:cNvPr>
        <xdr:cNvSpPr/>
      </xdr:nvSpPr>
      <xdr:spPr>
        <a:xfrm>
          <a:off x="307815" y="8171014"/>
          <a:ext cx="4666539" cy="3001772"/>
        </a:xfrm>
        <a:prstGeom prst="roundRect">
          <a:avLst>
            <a:gd name="adj" fmla="val 1108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noFill/>
            </a:ln>
            <a:latin typeface="Arial" panose="020B0604020202020204" pitchFamily="34" charset="0"/>
            <a:cs typeface="Arial" panose="020B0604020202020204" pitchFamily="34" charset="0"/>
          </a:endParaRPr>
        </a:p>
      </xdr:txBody>
    </xdr:sp>
    <xdr:clientData/>
  </xdr:twoCellAnchor>
  <xdr:twoCellAnchor>
    <xdr:from>
      <xdr:col>0</xdr:col>
      <xdr:colOff>322410</xdr:colOff>
      <xdr:row>42</xdr:row>
      <xdr:rowOff>181957</xdr:rowOff>
    </xdr:from>
    <xdr:to>
      <xdr:col>8</xdr:col>
      <xdr:colOff>36866</xdr:colOff>
      <xdr:row>58</xdr:row>
      <xdr:rowOff>135729</xdr:rowOff>
    </xdr:to>
    <xdr:graphicFrame macro="">
      <xdr:nvGraphicFramePr>
        <xdr:cNvPr id="117" name="Chart 116">
          <a:extLst>
            <a:ext uri="{FF2B5EF4-FFF2-40B4-BE49-F238E27FC236}">
              <a16:creationId xmlns:a16="http://schemas.microsoft.com/office/drawing/2014/main" id="{081AA2A4-DF64-434E-879D-42E38D81EF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236313</xdr:colOff>
      <xdr:row>42</xdr:row>
      <xdr:rowOff>173995</xdr:rowOff>
    </xdr:from>
    <xdr:to>
      <xdr:col>16</xdr:col>
      <xdr:colOff>67517</xdr:colOff>
      <xdr:row>58</xdr:row>
      <xdr:rowOff>139710</xdr:rowOff>
    </xdr:to>
    <xdr:sp macro="" textlink="">
      <xdr:nvSpPr>
        <xdr:cNvPr id="128" name="Rectangle: Rounded Corners 127">
          <a:extLst>
            <a:ext uri="{FF2B5EF4-FFF2-40B4-BE49-F238E27FC236}">
              <a16:creationId xmlns:a16="http://schemas.microsoft.com/office/drawing/2014/main" id="{8F347B66-27DC-41C5-A59C-D0FADC68BB7B}"/>
            </a:ext>
          </a:extLst>
        </xdr:cNvPr>
        <xdr:cNvSpPr/>
      </xdr:nvSpPr>
      <xdr:spPr>
        <a:xfrm>
          <a:off x="5134884" y="8174995"/>
          <a:ext cx="4729776" cy="3013715"/>
        </a:xfrm>
        <a:prstGeom prst="roundRect">
          <a:avLst>
            <a:gd name="adj" fmla="val 1108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noFill/>
            </a:ln>
            <a:latin typeface="Arial" panose="020B0604020202020204" pitchFamily="34" charset="0"/>
            <a:cs typeface="Arial" panose="020B0604020202020204" pitchFamily="34" charset="0"/>
          </a:endParaRPr>
        </a:p>
      </xdr:txBody>
    </xdr:sp>
    <xdr:clientData/>
  </xdr:twoCellAnchor>
  <xdr:twoCellAnchor>
    <xdr:from>
      <xdr:col>16</xdr:col>
      <xdr:colOff>193997</xdr:colOff>
      <xdr:row>42</xdr:row>
      <xdr:rowOff>177976</xdr:rowOff>
    </xdr:from>
    <xdr:to>
      <xdr:col>24</xdr:col>
      <xdr:colOff>25204</xdr:colOff>
      <xdr:row>58</xdr:row>
      <xdr:rowOff>131748</xdr:rowOff>
    </xdr:to>
    <xdr:sp macro="" textlink="">
      <xdr:nvSpPr>
        <xdr:cNvPr id="129" name="Rectangle: Rounded Corners 128">
          <a:extLst>
            <a:ext uri="{FF2B5EF4-FFF2-40B4-BE49-F238E27FC236}">
              <a16:creationId xmlns:a16="http://schemas.microsoft.com/office/drawing/2014/main" id="{5DE1E017-99E1-4B88-A0E5-5959619CF895}"/>
            </a:ext>
          </a:extLst>
        </xdr:cNvPr>
        <xdr:cNvSpPr/>
      </xdr:nvSpPr>
      <xdr:spPr>
        <a:xfrm>
          <a:off x="9991140" y="8178976"/>
          <a:ext cx="4729778" cy="3001772"/>
        </a:xfrm>
        <a:prstGeom prst="roundRect">
          <a:avLst>
            <a:gd name="adj" fmla="val 1108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noFill/>
            </a:ln>
            <a:latin typeface="Arial" panose="020B0604020202020204" pitchFamily="34" charset="0"/>
            <a:cs typeface="Arial" panose="020B0604020202020204" pitchFamily="34" charset="0"/>
          </a:endParaRPr>
        </a:p>
      </xdr:txBody>
    </xdr:sp>
    <xdr:clientData/>
  </xdr:twoCellAnchor>
  <xdr:twoCellAnchor>
    <xdr:from>
      <xdr:col>24</xdr:col>
      <xdr:colOff>170838</xdr:colOff>
      <xdr:row>43</xdr:row>
      <xdr:rowOff>17244</xdr:rowOff>
    </xdr:from>
    <xdr:to>
      <xdr:col>36</xdr:col>
      <xdr:colOff>402413</xdr:colOff>
      <xdr:row>58</xdr:row>
      <xdr:rowOff>147816</xdr:rowOff>
    </xdr:to>
    <xdr:sp macro="" textlink="">
      <xdr:nvSpPr>
        <xdr:cNvPr id="131" name="Rectangle: Rounded Corners 130">
          <a:extLst>
            <a:ext uri="{FF2B5EF4-FFF2-40B4-BE49-F238E27FC236}">
              <a16:creationId xmlns:a16="http://schemas.microsoft.com/office/drawing/2014/main" id="{0B9E904B-26D0-4FFC-A3FA-FF7EB2A09F14}"/>
            </a:ext>
          </a:extLst>
        </xdr:cNvPr>
        <xdr:cNvSpPr/>
      </xdr:nvSpPr>
      <xdr:spPr>
        <a:xfrm>
          <a:off x="14866552" y="8208744"/>
          <a:ext cx="7579432" cy="2988072"/>
        </a:xfrm>
        <a:prstGeom prst="roundRect">
          <a:avLst>
            <a:gd name="adj" fmla="val 1108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noFill/>
            </a:ln>
            <a:latin typeface="Arial" panose="020B0604020202020204" pitchFamily="34" charset="0"/>
            <a:cs typeface="Arial" panose="020B0604020202020204" pitchFamily="34" charset="0"/>
          </a:endParaRPr>
        </a:p>
      </xdr:txBody>
    </xdr:sp>
    <xdr:clientData/>
  </xdr:twoCellAnchor>
  <xdr:twoCellAnchor>
    <xdr:from>
      <xdr:col>8</xdr:col>
      <xdr:colOff>270367</xdr:colOff>
      <xdr:row>43</xdr:row>
      <xdr:rowOff>7382</xdr:rowOff>
    </xdr:from>
    <xdr:to>
      <xdr:col>16</xdr:col>
      <xdr:colOff>23738</xdr:colOff>
      <xdr:row>58</xdr:row>
      <xdr:rowOff>111843</xdr:rowOff>
    </xdr:to>
    <xdr:graphicFrame macro="">
      <xdr:nvGraphicFramePr>
        <xdr:cNvPr id="138" name="Chart 137">
          <a:extLst>
            <a:ext uri="{FF2B5EF4-FFF2-40B4-BE49-F238E27FC236}">
              <a16:creationId xmlns:a16="http://schemas.microsoft.com/office/drawing/2014/main" id="{64CBC612-E6E7-4DC8-86C0-5B924F24BD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218321</xdr:colOff>
      <xdr:row>42</xdr:row>
      <xdr:rowOff>189919</xdr:rowOff>
    </xdr:from>
    <xdr:to>
      <xdr:col>24</xdr:col>
      <xdr:colOff>882</xdr:colOff>
      <xdr:row>58</xdr:row>
      <xdr:rowOff>79993</xdr:rowOff>
    </xdr:to>
    <xdr:graphicFrame macro="">
      <xdr:nvGraphicFramePr>
        <xdr:cNvPr id="139" name="Chart 138">
          <a:extLst>
            <a:ext uri="{FF2B5EF4-FFF2-40B4-BE49-F238E27FC236}">
              <a16:creationId xmlns:a16="http://schemas.microsoft.com/office/drawing/2014/main" id="{08B56125-F805-420D-9B0E-3D68FC45E4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32</xdr:col>
      <xdr:colOff>280098</xdr:colOff>
      <xdr:row>0</xdr:row>
      <xdr:rowOff>149037</xdr:rowOff>
    </xdr:from>
    <xdr:to>
      <xdr:col>36</xdr:col>
      <xdr:colOff>266814</xdr:colOff>
      <xdr:row>10</xdr:row>
      <xdr:rowOff>99244</xdr:rowOff>
    </xdr:to>
    <xdr:sp macro="" textlink="">
      <xdr:nvSpPr>
        <xdr:cNvPr id="176" name="Rectangle: Rounded Corners 175">
          <a:extLst>
            <a:ext uri="{FF2B5EF4-FFF2-40B4-BE49-F238E27FC236}">
              <a16:creationId xmlns:a16="http://schemas.microsoft.com/office/drawing/2014/main" id="{6AA6FFF7-9C44-465B-BC13-57CE3EE9DA03}"/>
            </a:ext>
          </a:extLst>
        </xdr:cNvPr>
        <xdr:cNvSpPr/>
      </xdr:nvSpPr>
      <xdr:spPr>
        <a:xfrm>
          <a:off x="19874384" y="149037"/>
          <a:ext cx="2436001" cy="1855207"/>
        </a:xfrm>
        <a:prstGeom prst="roundRect">
          <a:avLst>
            <a:gd name="adj" fmla="val 13186"/>
          </a:avLst>
        </a:prstGeom>
        <a:solidFill>
          <a:srgbClr val="FF7F50"/>
        </a:solidFill>
        <a:ln>
          <a:solidFill>
            <a:srgbClr val="D9D9D9"/>
          </a:solid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1371600" lvl="3" indent="0" algn="l"/>
          <a:endParaRPr lang="en-US" sz="2800" baseline="0">
            <a:ln>
              <a:noFill/>
            </a:ln>
            <a:solidFill>
              <a:schemeClr val="bg1">
                <a:lumMod val="75000"/>
              </a:schemeClr>
            </a:solidFill>
            <a:latin typeface="+mn-lt"/>
            <a:ea typeface="+mn-ea"/>
            <a:cs typeface="+mn-cs"/>
          </a:endParaRPr>
        </a:p>
      </xdr:txBody>
    </xdr:sp>
    <xdr:clientData/>
  </xdr:twoCellAnchor>
  <xdr:twoCellAnchor>
    <xdr:from>
      <xdr:col>33</xdr:col>
      <xdr:colOff>483426</xdr:colOff>
      <xdr:row>1</xdr:row>
      <xdr:rowOff>39932</xdr:rowOff>
    </xdr:from>
    <xdr:to>
      <xdr:col>35</xdr:col>
      <xdr:colOff>60558</xdr:colOff>
      <xdr:row>3</xdr:row>
      <xdr:rowOff>102309</xdr:rowOff>
    </xdr:to>
    <xdr:pic>
      <xdr:nvPicPr>
        <xdr:cNvPr id="177" name="Picture 176">
          <a:extLst>
            <a:ext uri="{FF2B5EF4-FFF2-40B4-BE49-F238E27FC236}">
              <a16:creationId xmlns:a16="http://schemas.microsoft.com/office/drawing/2014/main" id="{86B0099B-ABD1-4513-AD9F-82F060866CCE}"/>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0690033" y="230432"/>
          <a:ext cx="801775" cy="443377"/>
        </a:xfrm>
        <a:prstGeom prst="rect">
          <a:avLst/>
        </a:prstGeom>
        <a:solidFill>
          <a:schemeClr val="accent4">
            <a:lumMod val="40000"/>
            <a:lumOff val="60000"/>
          </a:schemeClr>
        </a:solidFill>
      </xdr:spPr>
    </xdr:pic>
    <xdr:clientData/>
  </xdr:twoCellAnchor>
  <xdr:twoCellAnchor>
    <xdr:from>
      <xdr:col>32</xdr:col>
      <xdr:colOff>490154</xdr:colOff>
      <xdr:row>7</xdr:row>
      <xdr:rowOff>36206</xdr:rowOff>
    </xdr:from>
    <xdr:to>
      <xdr:col>34</xdr:col>
      <xdr:colOff>394309</xdr:colOff>
      <xdr:row>8</xdr:row>
      <xdr:rowOff>74917</xdr:rowOff>
    </xdr:to>
    <xdr:sp macro="" textlink="">
      <xdr:nvSpPr>
        <xdr:cNvPr id="178" name="TextBox 177">
          <a:extLst>
            <a:ext uri="{FF2B5EF4-FFF2-40B4-BE49-F238E27FC236}">
              <a16:creationId xmlns:a16="http://schemas.microsoft.com/office/drawing/2014/main" id="{021BEFCF-834F-410F-B0C8-A0A3EE6330FA}"/>
            </a:ext>
          </a:extLst>
        </xdr:cNvPr>
        <xdr:cNvSpPr txBox="1"/>
      </xdr:nvSpPr>
      <xdr:spPr>
        <a:xfrm>
          <a:off x="20084440" y="1369706"/>
          <a:ext cx="1128798" cy="2292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a:ln>
                <a:noFill/>
              </a:ln>
              <a:solidFill>
                <a:schemeClr val="tx1"/>
              </a:solidFill>
              <a:latin typeface="Arial" panose="020B0604020202020204" pitchFamily="34" charset="0"/>
              <a:cs typeface="Arial" panose="020B0604020202020204" pitchFamily="34" charset="0"/>
            </a:rPr>
            <a:t>Month :</a:t>
          </a:r>
        </a:p>
      </xdr:txBody>
    </xdr:sp>
    <xdr:clientData/>
  </xdr:twoCellAnchor>
  <xdr:twoCellAnchor>
    <xdr:from>
      <xdr:col>34</xdr:col>
      <xdr:colOff>270858</xdr:colOff>
      <xdr:row>7</xdr:row>
      <xdr:rowOff>40023</xdr:rowOff>
    </xdr:from>
    <xdr:to>
      <xdr:col>36</xdr:col>
      <xdr:colOff>152903</xdr:colOff>
      <xdr:row>8</xdr:row>
      <xdr:rowOff>72606</xdr:rowOff>
    </xdr:to>
    <xdr:sp macro="" textlink="Pivot_analysis!B86">
      <xdr:nvSpPr>
        <xdr:cNvPr id="179" name="Rectangle 178">
          <a:extLst>
            <a:ext uri="{FF2B5EF4-FFF2-40B4-BE49-F238E27FC236}">
              <a16:creationId xmlns:a16="http://schemas.microsoft.com/office/drawing/2014/main" id="{D3B53A62-C11B-48E3-9FA7-4A2AC6E7B24A}"/>
            </a:ext>
          </a:extLst>
        </xdr:cNvPr>
        <xdr:cNvSpPr/>
      </xdr:nvSpPr>
      <xdr:spPr>
        <a:xfrm>
          <a:off x="21089787" y="1373523"/>
          <a:ext cx="1106687" cy="223083"/>
        </a:xfrm>
        <a:prstGeom prst="rect">
          <a:avLst/>
        </a:prstGeom>
        <a:no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73E183C1-9C6D-41A4-B7D1-C5502800D2C6}" type="TxLink">
            <a:rPr lang="en-US" sz="1600" b="0" i="0" u="none" strike="noStrike">
              <a:ln>
                <a:noFill/>
              </a:ln>
              <a:solidFill>
                <a:srgbClr val="002060"/>
              </a:solidFill>
              <a:latin typeface="Arial" panose="020B0604020202020204" pitchFamily="34" charset="0"/>
              <a:ea typeface="PMingLiU-ExtB" panose="02020500000000000000" pitchFamily="18" charset="-120"/>
              <a:cs typeface="Arial" panose="020B0604020202020204" pitchFamily="34" charset="0"/>
            </a:rPr>
            <a:pPr algn="l"/>
            <a:t>MAY</a:t>
          </a:fld>
          <a:endParaRPr lang="en-US" sz="2400" b="0">
            <a:ln>
              <a:noFill/>
            </a:ln>
            <a:solidFill>
              <a:srgbClr val="002060"/>
            </a:solidFill>
            <a:latin typeface="Arial" panose="020B0604020202020204" pitchFamily="34" charset="0"/>
            <a:ea typeface="PMingLiU-ExtB" panose="02020500000000000000" pitchFamily="18" charset="-120"/>
            <a:cs typeface="Arial" panose="020B0604020202020204" pitchFamily="34" charset="0"/>
          </a:endParaRPr>
        </a:p>
      </xdr:txBody>
    </xdr:sp>
    <xdr:clientData/>
  </xdr:twoCellAnchor>
  <xdr:twoCellAnchor>
    <xdr:from>
      <xdr:col>34</xdr:col>
      <xdr:colOff>270931</xdr:colOff>
      <xdr:row>8</xdr:row>
      <xdr:rowOff>149582</xdr:rowOff>
    </xdr:from>
    <xdr:to>
      <xdr:col>36</xdr:col>
      <xdr:colOff>256524</xdr:colOff>
      <xdr:row>9</xdr:row>
      <xdr:rowOff>188011</xdr:rowOff>
    </xdr:to>
    <xdr:sp macro="" textlink="Pivot_analysis!C86">
      <xdr:nvSpPr>
        <xdr:cNvPr id="181" name="Rectangle 180">
          <a:extLst>
            <a:ext uri="{FF2B5EF4-FFF2-40B4-BE49-F238E27FC236}">
              <a16:creationId xmlns:a16="http://schemas.microsoft.com/office/drawing/2014/main" id="{D566E84E-CB29-4D27-8CC8-BE58508D3FBA}"/>
            </a:ext>
          </a:extLst>
        </xdr:cNvPr>
        <xdr:cNvSpPr/>
      </xdr:nvSpPr>
      <xdr:spPr>
        <a:xfrm>
          <a:off x="21089860" y="1673582"/>
          <a:ext cx="1210235" cy="228929"/>
        </a:xfrm>
        <a:prstGeom prst="rect">
          <a:avLst/>
        </a:prstGeom>
        <a:no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BDC9AFD7-F664-4806-B0A2-474A421A73E6}" type="TxLink">
            <a:rPr lang="en-US" sz="1600" b="0" i="0" u="none" strike="noStrike">
              <a:ln>
                <a:noFill/>
              </a:ln>
              <a:solidFill>
                <a:srgbClr val="002060"/>
              </a:solidFill>
              <a:latin typeface="Arial" panose="020B0604020202020204" pitchFamily="34" charset="0"/>
              <a:ea typeface="PMingLiU-ExtB" panose="02020500000000000000" pitchFamily="18" charset="-120"/>
              <a:cs typeface="Arial" panose="020B0604020202020204" pitchFamily="34" charset="0"/>
            </a:rPr>
            <a:pPr algn="l"/>
            <a:t>7472</a:t>
          </a:fld>
          <a:endParaRPr lang="en-US" sz="3600" b="0">
            <a:ln>
              <a:noFill/>
            </a:ln>
            <a:solidFill>
              <a:srgbClr val="002060"/>
            </a:solidFill>
            <a:latin typeface="Arial" panose="020B0604020202020204" pitchFamily="34" charset="0"/>
            <a:ea typeface="PMingLiU-ExtB" panose="02020500000000000000" pitchFamily="18" charset="-120"/>
            <a:cs typeface="Arial" panose="020B0604020202020204" pitchFamily="34" charset="0"/>
          </a:endParaRPr>
        </a:p>
      </xdr:txBody>
    </xdr:sp>
    <xdr:clientData/>
  </xdr:twoCellAnchor>
  <xdr:twoCellAnchor>
    <xdr:from>
      <xdr:col>32</xdr:col>
      <xdr:colOff>411429</xdr:colOff>
      <xdr:row>8</xdr:row>
      <xdr:rowOff>104990</xdr:rowOff>
    </xdr:from>
    <xdr:to>
      <xdr:col>34</xdr:col>
      <xdr:colOff>474064</xdr:colOff>
      <xdr:row>10</xdr:row>
      <xdr:rowOff>19559</xdr:rowOff>
    </xdr:to>
    <xdr:sp macro="" textlink="">
      <xdr:nvSpPr>
        <xdr:cNvPr id="183" name="TextBox 182">
          <a:extLst>
            <a:ext uri="{FF2B5EF4-FFF2-40B4-BE49-F238E27FC236}">
              <a16:creationId xmlns:a16="http://schemas.microsoft.com/office/drawing/2014/main" id="{B2B12067-F76A-4543-A64C-29FD6B2AC663}"/>
            </a:ext>
          </a:extLst>
        </xdr:cNvPr>
        <xdr:cNvSpPr txBox="1"/>
      </xdr:nvSpPr>
      <xdr:spPr>
        <a:xfrm>
          <a:off x="20005715" y="1628990"/>
          <a:ext cx="1287278" cy="2955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a:ln>
                <a:noFill/>
              </a:ln>
              <a:solidFill>
                <a:schemeClr val="tx1"/>
              </a:solidFill>
              <a:latin typeface="Arial" panose="020B0604020202020204" pitchFamily="34" charset="0"/>
              <a:cs typeface="Arial" panose="020B0604020202020204" pitchFamily="34" charset="0"/>
            </a:rPr>
            <a:t>Meter  :</a:t>
          </a:r>
        </a:p>
      </xdr:txBody>
    </xdr:sp>
    <xdr:clientData/>
  </xdr:twoCellAnchor>
  <xdr:twoCellAnchor>
    <xdr:from>
      <xdr:col>32</xdr:col>
      <xdr:colOff>292835</xdr:colOff>
      <xdr:row>3</xdr:row>
      <xdr:rowOff>107364</xdr:rowOff>
    </xdr:from>
    <xdr:to>
      <xdr:col>36</xdr:col>
      <xdr:colOff>296001</xdr:colOff>
      <xdr:row>6</xdr:row>
      <xdr:rowOff>145024</xdr:rowOff>
    </xdr:to>
    <xdr:sp macro="" textlink="">
      <xdr:nvSpPr>
        <xdr:cNvPr id="184" name="TextBox 183">
          <a:extLst>
            <a:ext uri="{FF2B5EF4-FFF2-40B4-BE49-F238E27FC236}">
              <a16:creationId xmlns:a16="http://schemas.microsoft.com/office/drawing/2014/main" id="{9EA99FE2-88B2-4638-B761-01C532AA2B6D}"/>
            </a:ext>
          </a:extLst>
        </xdr:cNvPr>
        <xdr:cNvSpPr txBox="1"/>
      </xdr:nvSpPr>
      <xdr:spPr>
        <a:xfrm>
          <a:off x="19887121" y="678864"/>
          <a:ext cx="2452451" cy="609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300" b="1">
              <a:ln>
                <a:noFill/>
              </a:ln>
              <a:solidFill>
                <a:srgbClr val="003366"/>
              </a:solidFill>
              <a:latin typeface="Arial" panose="020B0604020202020204" pitchFamily="34" charset="0"/>
              <a:ea typeface="+mn-ea"/>
              <a:cs typeface="Arial" panose="020B0604020202020204" pitchFamily="34" charset="0"/>
            </a:rPr>
            <a:t>The</a:t>
          </a:r>
          <a:r>
            <a:rPr lang="en-US" sz="1300" b="1" baseline="0">
              <a:ln>
                <a:noFill/>
              </a:ln>
              <a:solidFill>
                <a:srgbClr val="003366"/>
              </a:solidFill>
              <a:latin typeface="Arial" panose="020B0604020202020204" pitchFamily="34" charset="0"/>
              <a:ea typeface="+mn-ea"/>
              <a:cs typeface="Arial" panose="020B0604020202020204" pitchFamily="34" charset="0"/>
            </a:rPr>
            <a:t> </a:t>
          </a:r>
          <a:r>
            <a:rPr lang="en-US" sz="1300" b="1">
              <a:ln>
                <a:noFill/>
              </a:ln>
              <a:solidFill>
                <a:srgbClr val="003366"/>
              </a:solidFill>
              <a:latin typeface="Arial" panose="020B0604020202020204" pitchFamily="34" charset="0"/>
              <a:ea typeface="+mn-ea"/>
              <a:cs typeface="Arial" panose="020B0604020202020204" pitchFamily="34" charset="0"/>
            </a:rPr>
            <a:t>Month</a:t>
          </a:r>
          <a:r>
            <a:rPr lang="en-US" sz="1600" b="0" baseline="0">
              <a:ln>
                <a:noFill/>
              </a:ln>
              <a:solidFill>
                <a:schemeClr val="tx1"/>
              </a:solidFill>
              <a:latin typeface="Arial" panose="020B0604020202020204" pitchFamily="34" charset="0"/>
              <a:cs typeface="Arial" panose="020B0604020202020204" pitchFamily="34" charset="0"/>
            </a:rPr>
            <a:t> </a:t>
          </a:r>
          <a:r>
            <a:rPr lang="en-US" sz="1300" b="1">
              <a:ln>
                <a:noFill/>
              </a:ln>
              <a:solidFill>
                <a:srgbClr val="003366"/>
              </a:solidFill>
              <a:latin typeface="Arial" panose="020B0604020202020204" pitchFamily="34" charset="0"/>
              <a:ea typeface="+mn-ea"/>
              <a:cs typeface="Arial" panose="020B0604020202020204" pitchFamily="34" charset="0"/>
            </a:rPr>
            <a:t>of the Highest Installations</a:t>
          </a:r>
        </a:p>
      </xdr:txBody>
    </xdr:sp>
    <xdr:clientData/>
  </xdr:twoCellAnchor>
  <xdr:twoCellAnchor>
    <xdr:from>
      <xdr:col>16</xdr:col>
      <xdr:colOff>175854</xdr:colOff>
      <xdr:row>22</xdr:row>
      <xdr:rowOff>122464</xdr:rowOff>
    </xdr:from>
    <xdr:to>
      <xdr:col>17</xdr:col>
      <xdr:colOff>8393</xdr:colOff>
      <xdr:row>24</xdr:row>
      <xdr:rowOff>119985</xdr:rowOff>
    </xdr:to>
    <xdr:pic>
      <xdr:nvPicPr>
        <xdr:cNvPr id="17" name="Picture 16">
          <a:extLst>
            <a:ext uri="{FF2B5EF4-FFF2-40B4-BE49-F238E27FC236}">
              <a16:creationId xmlns:a16="http://schemas.microsoft.com/office/drawing/2014/main" id="{AA1F632B-F3CD-4DE9-BA33-EA56AF5311DC}"/>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9972997" y="4313464"/>
          <a:ext cx="444860" cy="378521"/>
        </a:xfrm>
        <a:prstGeom prst="rect">
          <a:avLst/>
        </a:prstGeom>
      </xdr:spPr>
    </xdr:pic>
    <xdr:clientData/>
  </xdr:twoCellAnchor>
  <xdr:twoCellAnchor>
    <xdr:from>
      <xdr:col>17</xdr:col>
      <xdr:colOff>23395</xdr:colOff>
      <xdr:row>23</xdr:row>
      <xdr:rowOff>6855</xdr:rowOff>
    </xdr:from>
    <xdr:to>
      <xdr:col>19</xdr:col>
      <xdr:colOff>479120</xdr:colOff>
      <xdr:row>24</xdr:row>
      <xdr:rowOff>131098</xdr:rowOff>
    </xdr:to>
    <xdr:sp macro="" textlink="">
      <xdr:nvSpPr>
        <xdr:cNvPr id="195" name="TextBox 194">
          <a:extLst>
            <a:ext uri="{FF2B5EF4-FFF2-40B4-BE49-F238E27FC236}">
              <a16:creationId xmlns:a16="http://schemas.microsoft.com/office/drawing/2014/main" id="{8FEECCF2-D510-4D61-9200-84521E552C7E}"/>
            </a:ext>
          </a:extLst>
        </xdr:cNvPr>
        <xdr:cNvSpPr txBox="1"/>
      </xdr:nvSpPr>
      <xdr:spPr>
        <a:xfrm>
          <a:off x="10432859" y="4388355"/>
          <a:ext cx="1680368" cy="3147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n>
                <a:noFill/>
              </a:ln>
              <a:solidFill>
                <a:schemeClr val="tx1"/>
              </a:solidFill>
              <a:latin typeface="Helvetica" panose="020B0604020202020204" pitchFamily="34" charset="0"/>
              <a:cs typeface="Helvetica" panose="020B0604020202020204" pitchFamily="34" charset="0"/>
            </a:rPr>
            <a:t>Total R.Q   :</a:t>
          </a:r>
        </a:p>
      </xdr:txBody>
    </xdr:sp>
    <xdr:clientData/>
  </xdr:twoCellAnchor>
  <xdr:twoCellAnchor>
    <xdr:from>
      <xdr:col>17</xdr:col>
      <xdr:colOff>11234</xdr:colOff>
      <xdr:row>24</xdr:row>
      <xdr:rowOff>21617</xdr:rowOff>
    </xdr:from>
    <xdr:to>
      <xdr:col>19</xdr:col>
      <xdr:colOff>425610</xdr:colOff>
      <xdr:row>25</xdr:row>
      <xdr:rowOff>145626</xdr:rowOff>
    </xdr:to>
    <xdr:sp macro="" textlink="">
      <xdr:nvSpPr>
        <xdr:cNvPr id="196" name="TextBox 195">
          <a:extLst>
            <a:ext uri="{FF2B5EF4-FFF2-40B4-BE49-F238E27FC236}">
              <a16:creationId xmlns:a16="http://schemas.microsoft.com/office/drawing/2014/main" id="{E2BE7046-7D76-4005-8030-49588E9BE49A}"/>
            </a:ext>
          </a:extLst>
        </xdr:cNvPr>
        <xdr:cNvSpPr txBox="1"/>
      </xdr:nvSpPr>
      <xdr:spPr>
        <a:xfrm>
          <a:off x="10420698" y="4593617"/>
          <a:ext cx="1639019" cy="3145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n>
                <a:noFill/>
              </a:ln>
              <a:solidFill>
                <a:schemeClr val="tx1"/>
              </a:solidFill>
              <a:latin typeface="Helvetica" panose="020B0604020202020204" pitchFamily="34" charset="0"/>
              <a:cs typeface="Helvetica" panose="020B0604020202020204" pitchFamily="34" charset="0"/>
            </a:rPr>
            <a:t>Total M.</a:t>
          </a:r>
          <a:r>
            <a:rPr lang="en-US" sz="1200" baseline="0">
              <a:ln>
                <a:noFill/>
              </a:ln>
              <a:solidFill>
                <a:schemeClr val="tx1"/>
              </a:solidFill>
              <a:latin typeface="Helvetica" panose="020B0604020202020204" pitchFamily="34" charset="0"/>
              <a:cs typeface="Helvetica" panose="020B0604020202020204" pitchFamily="34" charset="0"/>
            </a:rPr>
            <a:t> Done  </a:t>
          </a:r>
          <a:r>
            <a:rPr lang="en-US" sz="1200">
              <a:ln>
                <a:noFill/>
              </a:ln>
              <a:solidFill>
                <a:schemeClr val="tx1"/>
              </a:solidFill>
              <a:latin typeface="Helvetica" panose="020B0604020202020204" pitchFamily="34" charset="0"/>
              <a:cs typeface="Helvetica" panose="020B0604020202020204" pitchFamily="34" charset="0"/>
            </a:rPr>
            <a:t>:</a:t>
          </a:r>
        </a:p>
      </xdr:txBody>
    </xdr:sp>
    <xdr:clientData/>
  </xdr:twoCellAnchor>
  <xdr:twoCellAnchor>
    <xdr:from>
      <xdr:col>18</xdr:col>
      <xdr:colOff>368525</xdr:colOff>
      <xdr:row>23</xdr:row>
      <xdr:rowOff>21491</xdr:rowOff>
    </xdr:from>
    <xdr:to>
      <xdr:col>19</xdr:col>
      <xdr:colOff>424699</xdr:colOff>
      <xdr:row>24</xdr:row>
      <xdr:rowOff>104167</xdr:rowOff>
    </xdr:to>
    <xdr:sp macro="" textlink="Pivot_analysis!R4">
      <xdr:nvSpPr>
        <xdr:cNvPr id="197" name="TextBox 196">
          <a:extLst>
            <a:ext uri="{FF2B5EF4-FFF2-40B4-BE49-F238E27FC236}">
              <a16:creationId xmlns:a16="http://schemas.microsoft.com/office/drawing/2014/main" id="{3DB49DCE-06E4-436C-A6CC-49A04A234479}"/>
            </a:ext>
          </a:extLst>
        </xdr:cNvPr>
        <xdr:cNvSpPr txBox="1"/>
      </xdr:nvSpPr>
      <xdr:spPr>
        <a:xfrm>
          <a:off x="11390311" y="4402991"/>
          <a:ext cx="668495" cy="273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6E58D01-C0E6-4AA1-BB96-65D8F08F2AB1}" type="TxLink">
            <a:rPr lang="en-US" sz="1200" b="0" i="0" u="none" strike="noStrike">
              <a:ln>
                <a:noFill/>
              </a:ln>
              <a:solidFill>
                <a:schemeClr val="tx1"/>
              </a:solidFill>
              <a:latin typeface="Helvetica" panose="020B0604020202020204" pitchFamily="34" charset="0"/>
              <a:cs typeface="Helvetica" panose="020B0604020202020204" pitchFamily="34" charset="0"/>
            </a:rPr>
            <a:pPr/>
            <a:t>14</a:t>
          </a:fld>
          <a:endParaRPr lang="en-US" sz="120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19</xdr:col>
      <xdr:colOff>59601</xdr:colOff>
      <xdr:row>24</xdr:row>
      <xdr:rowOff>41757</xdr:rowOff>
    </xdr:from>
    <xdr:to>
      <xdr:col>20</xdr:col>
      <xdr:colOff>323952</xdr:colOff>
      <xdr:row>26</xdr:row>
      <xdr:rowOff>3134</xdr:rowOff>
    </xdr:to>
    <xdr:sp macro="" textlink="Pivot_analysis!R6">
      <xdr:nvSpPr>
        <xdr:cNvPr id="198" name="TextBox 197">
          <a:extLst>
            <a:ext uri="{FF2B5EF4-FFF2-40B4-BE49-F238E27FC236}">
              <a16:creationId xmlns:a16="http://schemas.microsoft.com/office/drawing/2014/main" id="{79E9F964-806A-42A8-B2C7-8CD3AFF4D461}"/>
            </a:ext>
          </a:extLst>
        </xdr:cNvPr>
        <xdr:cNvSpPr txBox="1"/>
      </xdr:nvSpPr>
      <xdr:spPr>
        <a:xfrm>
          <a:off x="11693708" y="4613757"/>
          <a:ext cx="876673" cy="3423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CBA9DE4-E044-4683-969B-CD5A64143C5F}" type="TxLink">
            <a:rPr lang="en-US" sz="1200" b="0" i="0" u="none" strike="noStrike">
              <a:ln>
                <a:noFill/>
              </a:ln>
              <a:solidFill>
                <a:schemeClr val="tx1"/>
              </a:solidFill>
              <a:latin typeface="Helvetica" panose="020B0604020202020204" pitchFamily="34" charset="0"/>
              <a:cs typeface="Helvetica" panose="020B0604020202020204" pitchFamily="34" charset="0"/>
            </a:rPr>
            <a:pPr/>
            <a:t>0</a:t>
          </a:fld>
          <a:endParaRPr lang="en-US" sz="120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16</xdr:col>
      <xdr:colOff>104146</xdr:colOff>
      <xdr:row>21</xdr:row>
      <xdr:rowOff>171587</xdr:rowOff>
    </xdr:from>
    <xdr:to>
      <xdr:col>20</xdr:col>
      <xdr:colOff>361313</xdr:colOff>
      <xdr:row>21</xdr:row>
      <xdr:rowOff>171587</xdr:rowOff>
    </xdr:to>
    <xdr:cxnSp macro="">
      <xdr:nvCxnSpPr>
        <xdr:cNvPr id="199" name="Straight Connector 198">
          <a:extLst>
            <a:ext uri="{FF2B5EF4-FFF2-40B4-BE49-F238E27FC236}">
              <a16:creationId xmlns:a16="http://schemas.microsoft.com/office/drawing/2014/main" id="{4B1127B0-A91F-4600-B445-5432812AFD4C}"/>
            </a:ext>
          </a:extLst>
        </xdr:cNvPr>
        <xdr:cNvCxnSpPr/>
      </xdr:nvCxnSpPr>
      <xdr:spPr>
        <a:xfrm>
          <a:off x="9901289" y="4172087"/>
          <a:ext cx="2706453"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13666</xdr:colOff>
      <xdr:row>21</xdr:row>
      <xdr:rowOff>185052</xdr:rowOff>
    </xdr:from>
    <xdr:to>
      <xdr:col>20</xdr:col>
      <xdr:colOff>3008</xdr:colOff>
      <xdr:row>23</xdr:row>
      <xdr:rowOff>130271</xdr:rowOff>
    </xdr:to>
    <xdr:sp macro="" textlink="">
      <xdr:nvSpPr>
        <xdr:cNvPr id="200" name="TextBox 199">
          <a:extLst>
            <a:ext uri="{FF2B5EF4-FFF2-40B4-BE49-F238E27FC236}">
              <a16:creationId xmlns:a16="http://schemas.microsoft.com/office/drawing/2014/main" id="{75E15AB5-51F6-4C05-8503-3BEF64C67FF7}"/>
            </a:ext>
          </a:extLst>
        </xdr:cNvPr>
        <xdr:cNvSpPr txBox="1"/>
      </xdr:nvSpPr>
      <xdr:spPr>
        <a:xfrm>
          <a:off x="10423130" y="4185552"/>
          <a:ext cx="1826307" cy="326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ln>
                <a:noFill/>
              </a:ln>
              <a:solidFill>
                <a:schemeClr val="tx1"/>
              </a:solidFill>
              <a:latin typeface="Helvetica" panose="020B0604020202020204" pitchFamily="34" charset="0"/>
              <a:cs typeface="Helvetica" panose="020B0604020202020204" pitchFamily="34" charset="0"/>
            </a:rPr>
            <a:t>Total Regulator :</a:t>
          </a:r>
        </a:p>
      </xdr:txBody>
    </xdr:sp>
    <xdr:clientData/>
  </xdr:twoCellAnchor>
  <xdr:twoCellAnchor>
    <xdr:from>
      <xdr:col>19</xdr:col>
      <xdr:colOff>47276</xdr:colOff>
      <xdr:row>22</xdr:row>
      <xdr:rowOff>20740</xdr:rowOff>
    </xdr:from>
    <xdr:to>
      <xdr:col>20</xdr:col>
      <xdr:colOff>198024</xdr:colOff>
      <xdr:row>23</xdr:row>
      <xdr:rowOff>105052</xdr:rowOff>
    </xdr:to>
    <xdr:sp macro="" textlink="Pivot_analysis!R5">
      <xdr:nvSpPr>
        <xdr:cNvPr id="201" name="TextBox 200">
          <a:extLst>
            <a:ext uri="{FF2B5EF4-FFF2-40B4-BE49-F238E27FC236}">
              <a16:creationId xmlns:a16="http://schemas.microsoft.com/office/drawing/2014/main" id="{10B47B42-3A07-47F4-A76D-157ECE136499}"/>
            </a:ext>
          </a:extLst>
        </xdr:cNvPr>
        <xdr:cNvSpPr txBox="1"/>
      </xdr:nvSpPr>
      <xdr:spPr>
        <a:xfrm>
          <a:off x="11681383" y="4211740"/>
          <a:ext cx="763070" cy="2748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44E0CBE-5C65-4C86-8B7F-E43846A17334}" type="TxLink">
            <a:rPr lang="en-US" sz="1200" b="0" i="0" u="none" strike="noStrike">
              <a:ln>
                <a:noFill/>
              </a:ln>
              <a:solidFill>
                <a:schemeClr val="tx1"/>
              </a:solidFill>
              <a:latin typeface="Helvetica" panose="020B0604020202020204" pitchFamily="34" charset="0"/>
              <a:cs typeface="Helvetica" panose="020B0604020202020204" pitchFamily="34" charset="0"/>
            </a:rPr>
            <a:pPr/>
            <a:t>3</a:t>
          </a:fld>
          <a:endParaRPr lang="en-US" sz="1200" b="0" i="0" u="none" strike="noStrike">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15</xdr:col>
      <xdr:colOff>583264</xdr:colOff>
      <xdr:row>16</xdr:row>
      <xdr:rowOff>64519</xdr:rowOff>
    </xdr:from>
    <xdr:to>
      <xdr:col>20</xdr:col>
      <xdr:colOff>357021</xdr:colOff>
      <xdr:row>18</xdr:row>
      <xdr:rowOff>4000</xdr:rowOff>
    </xdr:to>
    <xdr:sp macro="" textlink="ANALYSIS!AX2">
      <xdr:nvSpPr>
        <xdr:cNvPr id="202" name="TextBox 201">
          <a:extLst>
            <a:ext uri="{FF2B5EF4-FFF2-40B4-BE49-F238E27FC236}">
              <a16:creationId xmlns:a16="http://schemas.microsoft.com/office/drawing/2014/main" id="{B11AD4D8-072A-4F63-9439-2BA970AE13D8}"/>
            </a:ext>
          </a:extLst>
        </xdr:cNvPr>
        <xdr:cNvSpPr txBox="1"/>
      </xdr:nvSpPr>
      <xdr:spPr>
        <a:xfrm>
          <a:off x="9768085" y="3112519"/>
          <a:ext cx="2835365" cy="320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FACB01A-7728-4F07-8B2E-4707F4D5246D}" type="TxLink">
            <a:rPr lang="en-US" sz="1200" b="0" i="0" u="none" strike="noStrike">
              <a:ln>
                <a:noFill/>
              </a:ln>
              <a:solidFill>
                <a:srgbClr val="002060"/>
              </a:solidFill>
              <a:latin typeface="Arial" panose="020B0604020202020204" pitchFamily="34" charset="0"/>
              <a:ea typeface="+mn-ea"/>
              <a:cs typeface="Arial" panose="020B0604020202020204" pitchFamily="34" charset="0"/>
            </a:rPr>
            <a:pPr marL="0" indent="0" algn="ctr"/>
            <a:t>2024-12-23</a:t>
          </a:fld>
          <a:endParaRPr lang="en-US" sz="1600" b="0" i="0" u="none" strike="noStrike">
            <a:ln>
              <a:noFill/>
            </a:ln>
            <a:solidFill>
              <a:srgbClr val="002060"/>
            </a:solidFill>
            <a:latin typeface="Arial" panose="020B0604020202020204" pitchFamily="34" charset="0"/>
            <a:ea typeface="+mn-ea"/>
            <a:cs typeface="Arial" panose="020B0604020202020204" pitchFamily="34" charset="0"/>
          </a:endParaRPr>
        </a:p>
      </xdr:txBody>
    </xdr:sp>
    <xdr:clientData/>
  </xdr:twoCellAnchor>
  <xdr:twoCellAnchor>
    <xdr:from>
      <xdr:col>16</xdr:col>
      <xdr:colOff>84687</xdr:colOff>
      <xdr:row>17</xdr:row>
      <xdr:rowOff>85839</xdr:rowOff>
    </xdr:from>
    <xdr:to>
      <xdr:col>18</xdr:col>
      <xdr:colOff>605659</xdr:colOff>
      <xdr:row>18</xdr:row>
      <xdr:rowOff>158797</xdr:rowOff>
    </xdr:to>
    <xdr:sp macro="" textlink="">
      <xdr:nvSpPr>
        <xdr:cNvPr id="203" name="TextBox 202">
          <a:extLst>
            <a:ext uri="{FF2B5EF4-FFF2-40B4-BE49-F238E27FC236}">
              <a16:creationId xmlns:a16="http://schemas.microsoft.com/office/drawing/2014/main" id="{FB2E227C-47C3-44B4-8855-CD77CC11D70D}"/>
            </a:ext>
          </a:extLst>
        </xdr:cNvPr>
        <xdr:cNvSpPr txBox="1"/>
      </xdr:nvSpPr>
      <xdr:spPr>
        <a:xfrm>
          <a:off x="9881830" y="3324339"/>
          <a:ext cx="1745615" cy="263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ln>
                <a:noFill/>
              </a:ln>
              <a:solidFill>
                <a:schemeClr val="tx1"/>
              </a:solidFill>
              <a:latin typeface="Helvetica" panose="020B0604020202020204" pitchFamily="34" charset="0"/>
              <a:cs typeface="Helvetica" panose="020B0604020202020204" pitchFamily="34" charset="0"/>
            </a:rPr>
            <a:t>Total</a:t>
          </a:r>
          <a:r>
            <a:rPr lang="en-US" sz="1200" b="0" baseline="0">
              <a:ln>
                <a:noFill/>
              </a:ln>
              <a:solidFill>
                <a:schemeClr val="tx1"/>
              </a:solidFill>
              <a:latin typeface="Helvetica" panose="020B0604020202020204" pitchFamily="34" charset="0"/>
              <a:cs typeface="Helvetica" panose="020B0604020202020204" pitchFamily="34" charset="0"/>
            </a:rPr>
            <a:t> Regulator :</a:t>
          </a:r>
          <a:endParaRPr lang="en-US" sz="1200" b="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16</xdr:col>
      <xdr:colOff>108436</xdr:colOff>
      <xdr:row>18</xdr:row>
      <xdr:rowOff>127534</xdr:rowOff>
    </xdr:from>
    <xdr:to>
      <xdr:col>18</xdr:col>
      <xdr:colOff>550858</xdr:colOff>
      <xdr:row>20</xdr:row>
      <xdr:rowOff>29663</xdr:rowOff>
    </xdr:to>
    <xdr:sp macro="" textlink="">
      <xdr:nvSpPr>
        <xdr:cNvPr id="204" name="TextBox 203">
          <a:extLst>
            <a:ext uri="{FF2B5EF4-FFF2-40B4-BE49-F238E27FC236}">
              <a16:creationId xmlns:a16="http://schemas.microsoft.com/office/drawing/2014/main" id="{777B61D5-A149-477E-9E19-26F9F160D8E4}"/>
            </a:ext>
          </a:extLst>
        </xdr:cNvPr>
        <xdr:cNvSpPr txBox="1"/>
      </xdr:nvSpPr>
      <xdr:spPr>
        <a:xfrm>
          <a:off x="9905579" y="3556534"/>
          <a:ext cx="1667065" cy="283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ln>
                <a:noFill/>
              </a:ln>
              <a:solidFill>
                <a:schemeClr val="tx1"/>
              </a:solidFill>
              <a:latin typeface="Helvetica" panose="020B0604020202020204" pitchFamily="34" charset="0"/>
              <a:cs typeface="Helvetica" panose="020B0604020202020204" pitchFamily="34" charset="0"/>
            </a:rPr>
            <a:t>Riser</a:t>
          </a:r>
          <a:r>
            <a:rPr lang="en-US" sz="1200" b="0" baseline="0">
              <a:ln>
                <a:noFill/>
              </a:ln>
              <a:solidFill>
                <a:schemeClr val="tx1"/>
              </a:solidFill>
              <a:latin typeface="Helvetica" panose="020B0604020202020204" pitchFamily="34" charset="0"/>
              <a:cs typeface="Helvetica" panose="020B0604020202020204" pitchFamily="34" charset="0"/>
            </a:rPr>
            <a:t> Qunatity :</a:t>
          </a:r>
          <a:endParaRPr lang="en-US" sz="1200" b="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16</xdr:col>
      <xdr:colOff>104142</xdr:colOff>
      <xdr:row>20</xdr:row>
      <xdr:rowOff>8118</xdr:rowOff>
    </xdr:from>
    <xdr:to>
      <xdr:col>18</xdr:col>
      <xdr:colOff>486332</xdr:colOff>
      <xdr:row>21</xdr:row>
      <xdr:rowOff>147232</xdr:rowOff>
    </xdr:to>
    <xdr:sp macro="" textlink="">
      <xdr:nvSpPr>
        <xdr:cNvPr id="205" name="TextBox 204">
          <a:extLst>
            <a:ext uri="{FF2B5EF4-FFF2-40B4-BE49-F238E27FC236}">
              <a16:creationId xmlns:a16="http://schemas.microsoft.com/office/drawing/2014/main" id="{D890B0D3-4DB7-4B1E-892A-2AB051DF896D}"/>
            </a:ext>
          </a:extLst>
        </xdr:cNvPr>
        <xdr:cNvSpPr txBox="1"/>
      </xdr:nvSpPr>
      <xdr:spPr>
        <a:xfrm>
          <a:off x="9901285" y="3818118"/>
          <a:ext cx="1606833" cy="3296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ln>
                <a:noFill/>
              </a:ln>
              <a:solidFill>
                <a:schemeClr val="tx1"/>
              </a:solidFill>
              <a:latin typeface="Helvetica" panose="020B0604020202020204" pitchFamily="34" charset="0"/>
              <a:cs typeface="Helvetica" panose="020B0604020202020204" pitchFamily="34" charset="0"/>
            </a:rPr>
            <a:t>No</a:t>
          </a:r>
          <a:r>
            <a:rPr lang="en-US" sz="1200" b="0" baseline="0">
              <a:ln>
                <a:noFill/>
              </a:ln>
              <a:solidFill>
                <a:schemeClr val="tx1"/>
              </a:solidFill>
              <a:latin typeface="Helvetica" panose="020B0604020202020204" pitchFamily="34" charset="0"/>
              <a:cs typeface="Helvetica" panose="020B0604020202020204" pitchFamily="34" charset="0"/>
            </a:rPr>
            <a:t> of M. Done :</a:t>
          </a:r>
          <a:endParaRPr lang="en-US" sz="1200" b="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18</xdr:col>
      <xdr:colOff>188161</xdr:colOff>
      <xdr:row>17</xdr:row>
      <xdr:rowOff>97431</xdr:rowOff>
    </xdr:from>
    <xdr:to>
      <xdr:col>20</xdr:col>
      <xdr:colOff>186617</xdr:colOff>
      <xdr:row>18</xdr:row>
      <xdr:rowOff>111959</xdr:rowOff>
    </xdr:to>
    <xdr:sp macro="" textlink="ANALYSIS!BA2">
      <xdr:nvSpPr>
        <xdr:cNvPr id="206" name="TextBox 205">
          <a:extLst>
            <a:ext uri="{FF2B5EF4-FFF2-40B4-BE49-F238E27FC236}">
              <a16:creationId xmlns:a16="http://schemas.microsoft.com/office/drawing/2014/main" id="{5C7547E7-ABAC-40E8-BB7D-2A832E1CBFB5}"/>
            </a:ext>
          </a:extLst>
        </xdr:cNvPr>
        <xdr:cNvSpPr txBox="1"/>
      </xdr:nvSpPr>
      <xdr:spPr>
        <a:xfrm>
          <a:off x="11209947" y="3335931"/>
          <a:ext cx="1223099" cy="205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5D8F32C-C50B-4244-9DD8-BF302F59C292}" type="TxLink">
            <a:rPr lang="en-US" sz="1200" b="0" i="0" u="none" strike="noStrike">
              <a:ln>
                <a:noFill/>
              </a:ln>
              <a:solidFill>
                <a:schemeClr val="tx1"/>
              </a:solidFill>
              <a:latin typeface="Helvetica" panose="020B0604020202020204" pitchFamily="34" charset="0"/>
              <a:cs typeface="Helvetica" panose="020B0604020202020204" pitchFamily="34" charset="0"/>
            </a:rPr>
            <a:pPr/>
            <a:t>0</a:t>
          </a:fld>
          <a:endParaRPr lang="en-US" sz="1200" b="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18</xdr:col>
      <xdr:colOff>167215</xdr:colOff>
      <xdr:row>18</xdr:row>
      <xdr:rowOff>141500</xdr:rowOff>
    </xdr:from>
    <xdr:to>
      <xdr:col>20</xdr:col>
      <xdr:colOff>164281</xdr:colOff>
      <xdr:row>19</xdr:row>
      <xdr:rowOff>163990</xdr:rowOff>
    </xdr:to>
    <xdr:sp macro="" textlink="ANALYSIS!AZ2">
      <xdr:nvSpPr>
        <xdr:cNvPr id="207" name="TextBox 206">
          <a:extLst>
            <a:ext uri="{FF2B5EF4-FFF2-40B4-BE49-F238E27FC236}">
              <a16:creationId xmlns:a16="http://schemas.microsoft.com/office/drawing/2014/main" id="{CD0BD978-6A76-4C06-A202-77BA15BDED80}"/>
            </a:ext>
          </a:extLst>
        </xdr:cNvPr>
        <xdr:cNvSpPr txBox="1"/>
      </xdr:nvSpPr>
      <xdr:spPr>
        <a:xfrm>
          <a:off x="11189001" y="3570500"/>
          <a:ext cx="1221709" cy="2129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D080B86-DC14-4AD9-AC36-D3731D4CA7F8}" type="TxLink">
            <a:rPr lang="en-US" sz="1200" b="0" i="0" u="none" strike="noStrike">
              <a:ln>
                <a:noFill/>
              </a:ln>
              <a:solidFill>
                <a:schemeClr val="tx1"/>
              </a:solidFill>
              <a:latin typeface="Helvetica" panose="020B0604020202020204" pitchFamily="34" charset="0"/>
              <a:cs typeface="Helvetica" panose="020B0604020202020204" pitchFamily="34" charset="0"/>
            </a:rPr>
            <a:pPr/>
            <a:t>0</a:t>
          </a:fld>
          <a:endParaRPr lang="en-US" sz="1200" b="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18</xdr:col>
      <xdr:colOff>141173</xdr:colOff>
      <xdr:row>20</xdr:row>
      <xdr:rowOff>1593</xdr:rowOff>
    </xdr:from>
    <xdr:to>
      <xdr:col>20</xdr:col>
      <xdr:colOff>153692</xdr:colOff>
      <xdr:row>21</xdr:row>
      <xdr:rowOff>43755</xdr:rowOff>
    </xdr:to>
    <xdr:sp macro="" textlink="ANALYSIS!AY2">
      <xdr:nvSpPr>
        <xdr:cNvPr id="208" name="TextBox 207">
          <a:extLst>
            <a:ext uri="{FF2B5EF4-FFF2-40B4-BE49-F238E27FC236}">
              <a16:creationId xmlns:a16="http://schemas.microsoft.com/office/drawing/2014/main" id="{F654EA17-EFA3-494A-A0E0-08B1DC6916D2}"/>
            </a:ext>
          </a:extLst>
        </xdr:cNvPr>
        <xdr:cNvSpPr txBox="1"/>
      </xdr:nvSpPr>
      <xdr:spPr>
        <a:xfrm>
          <a:off x="11162959" y="3811593"/>
          <a:ext cx="1237162" cy="232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5E48D29-3E25-403D-B8D3-0D22EABB46D0}" type="TxLink">
            <a:rPr lang="en-US" sz="1200" b="0" i="0" u="none" strike="noStrike">
              <a:ln>
                <a:noFill/>
              </a:ln>
              <a:solidFill>
                <a:schemeClr val="tx1"/>
              </a:solidFill>
              <a:latin typeface="Helvetica" panose="020B0604020202020204" pitchFamily="34" charset="0"/>
              <a:cs typeface="Helvetica" panose="020B0604020202020204" pitchFamily="34" charset="0"/>
            </a:rPr>
            <a:pPr/>
            <a:t>0</a:t>
          </a:fld>
          <a:endParaRPr lang="en-US" sz="1200" b="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26</xdr:col>
      <xdr:colOff>343580</xdr:colOff>
      <xdr:row>15</xdr:row>
      <xdr:rowOff>37579</xdr:rowOff>
    </xdr:from>
    <xdr:to>
      <xdr:col>31</xdr:col>
      <xdr:colOff>117335</xdr:colOff>
      <xdr:row>16</xdr:row>
      <xdr:rowOff>177279</xdr:rowOff>
    </xdr:to>
    <xdr:sp macro="" textlink="">
      <xdr:nvSpPr>
        <xdr:cNvPr id="216" name="TextBox 215">
          <a:extLst>
            <a:ext uri="{FF2B5EF4-FFF2-40B4-BE49-F238E27FC236}">
              <a16:creationId xmlns:a16="http://schemas.microsoft.com/office/drawing/2014/main" id="{20F19DCB-A98D-425C-9C1E-0EDA9D38CD18}"/>
            </a:ext>
          </a:extLst>
        </xdr:cNvPr>
        <xdr:cNvSpPr txBox="1"/>
      </xdr:nvSpPr>
      <xdr:spPr>
        <a:xfrm>
          <a:off x="16263937" y="2895079"/>
          <a:ext cx="2835362"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ln>
                <a:noFill/>
              </a:ln>
              <a:solidFill>
                <a:srgbClr val="FF3300"/>
              </a:solidFill>
              <a:latin typeface="Arial" panose="020B0604020202020204" pitchFamily="34" charset="0"/>
              <a:cs typeface="Arial" panose="020B0604020202020204" pitchFamily="34" charset="0"/>
            </a:rPr>
            <a:t>New Led Distributed</a:t>
          </a:r>
        </a:p>
      </xdr:txBody>
    </xdr:sp>
    <xdr:clientData/>
  </xdr:twoCellAnchor>
  <xdr:twoCellAnchor>
    <xdr:from>
      <xdr:col>26</xdr:col>
      <xdr:colOff>486553</xdr:colOff>
      <xdr:row>16</xdr:row>
      <xdr:rowOff>83956</xdr:rowOff>
    </xdr:from>
    <xdr:to>
      <xdr:col>31</xdr:col>
      <xdr:colOff>124632</xdr:colOff>
      <xdr:row>16</xdr:row>
      <xdr:rowOff>85947</xdr:rowOff>
    </xdr:to>
    <xdr:cxnSp macro="">
      <xdr:nvCxnSpPr>
        <xdr:cNvPr id="217" name="Straight Connector 216">
          <a:extLst>
            <a:ext uri="{FF2B5EF4-FFF2-40B4-BE49-F238E27FC236}">
              <a16:creationId xmlns:a16="http://schemas.microsoft.com/office/drawing/2014/main" id="{91D331BF-B72A-411C-A8D8-2C6270222CE8}"/>
            </a:ext>
          </a:extLst>
        </xdr:cNvPr>
        <xdr:cNvCxnSpPr/>
      </xdr:nvCxnSpPr>
      <xdr:spPr>
        <a:xfrm>
          <a:off x="16406910" y="3131956"/>
          <a:ext cx="2699686" cy="1991"/>
        </a:xfrm>
        <a:prstGeom prst="line">
          <a:avLst/>
        </a:prstGeom>
        <a:ln>
          <a:solidFill>
            <a:srgbClr val="FFC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379347</xdr:colOff>
      <xdr:row>17</xdr:row>
      <xdr:rowOff>12188</xdr:rowOff>
    </xdr:from>
    <xdr:to>
      <xdr:col>30</xdr:col>
      <xdr:colOff>605465</xdr:colOff>
      <xdr:row>18</xdr:row>
      <xdr:rowOff>126478</xdr:rowOff>
    </xdr:to>
    <xdr:sp macro="" textlink="ANALYSIS!CV2">
      <xdr:nvSpPr>
        <xdr:cNvPr id="218" name="TextBox 217">
          <a:extLst>
            <a:ext uri="{FF2B5EF4-FFF2-40B4-BE49-F238E27FC236}">
              <a16:creationId xmlns:a16="http://schemas.microsoft.com/office/drawing/2014/main" id="{979382C1-473C-4AC9-920F-C20C1997BDD7}"/>
            </a:ext>
          </a:extLst>
        </xdr:cNvPr>
        <xdr:cNvSpPr txBox="1"/>
      </xdr:nvSpPr>
      <xdr:spPr>
        <a:xfrm>
          <a:off x="16299704" y="3250688"/>
          <a:ext cx="2675404" cy="3047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BCC56B93-2EE9-4132-AF8D-FE4923D8CBB3}" type="TxLink">
            <a:rPr lang="en-US" sz="1200" b="0" i="0" u="none" strike="noStrike">
              <a:ln>
                <a:noFill/>
              </a:ln>
              <a:solidFill>
                <a:srgbClr val="002060"/>
              </a:solidFill>
              <a:latin typeface="Arial" panose="020B0604020202020204" pitchFamily="34" charset="0"/>
              <a:ea typeface="+mn-ea"/>
              <a:cs typeface="Arial" panose="020B0604020202020204" pitchFamily="34" charset="0"/>
            </a:rPr>
            <a:pPr marL="0" indent="0" algn="ctr"/>
            <a:t>2024-12-23</a:t>
          </a:fld>
          <a:endParaRPr lang="en-US" sz="1200" b="0" i="0" u="none" strike="noStrike">
            <a:ln>
              <a:noFill/>
            </a:ln>
            <a:solidFill>
              <a:srgbClr val="002060"/>
            </a:solidFill>
            <a:latin typeface="Arial" panose="020B0604020202020204" pitchFamily="34" charset="0"/>
            <a:ea typeface="+mn-ea"/>
            <a:cs typeface="Arial" panose="020B0604020202020204" pitchFamily="34" charset="0"/>
          </a:endParaRPr>
        </a:p>
      </xdr:txBody>
    </xdr:sp>
    <xdr:clientData/>
  </xdr:twoCellAnchor>
  <xdr:twoCellAnchor>
    <xdr:from>
      <xdr:col>26</xdr:col>
      <xdr:colOff>359547</xdr:colOff>
      <xdr:row>18</xdr:row>
      <xdr:rowOff>103060</xdr:rowOff>
    </xdr:from>
    <xdr:to>
      <xdr:col>28</xdr:col>
      <xdr:colOff>45628</xdr:colOff>
      <xdr:row>20</xdr:row>
      <xdr:rowOff>50503</xdr:rowOff>
    </xdr:to>
    <xdr:sp macro="" textlink="">
      <xdr:nvSpPr>
        <xdr:cNvPr id="219" name="TextBox 218">
          <a:extLst>
            <a:ext uri="{FF2B5EF4-FFF2-40B4-BE49-F238E27FC236}">
              <a16:creationId xmlns:a16="http://schemas.microsoft.com/office/drawing/2014/main" id="{C3407B6A-A663-43B0-8D29-910D3AD19CA0}"/>
            </a:ext>
          </a:extLst>
        </xdr:cNvPr>
        <xdr:cNvSpPr txBox="1"/>
      </xdr:nvSpPr>
      <xdr:spPr>
        <a:xfrm>
          <a:off x="16279904" y="3532060"/>
          <a:ext cx="910724" cy="328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ln>
                <a:noFill/>
              </a:ln>
              <a:solidFill>
                <a:schemeClr val="tx1"/>
              </a:solidFill>
              <a:latin typeface="Abadi" panose="020B0604020104020204" pitchFamily="34" charset="0"/>
              <a:cs typeface="Arial" panose="020B0604020202020204" pitchFamily="34" charset="0"/>
            </a:rPr>
            <a:t>House :</a:t>
          </a:r>
        </a:p>
      </xdr:txBody>
    </xdr:sp>
    <xdr:clientData/>
  </xdr:twoCellAnchor>
  <xdr:twoCellAnchor>
    <xdr:from>
      <xdr:col>26</xdr:col>
      <xdr:colOff>386762</xdr:colOff>
      <xdr:row>19</xdr:row>
      <xdr:rowOff>149764</xdr:rowOff>
    </xdr:from>
    <xdr:to>
      <xdr:col>28</xdr:col>
      <xdr:colOff>36358</xdr:colOff>
      <xdr:row>21</xdr:row>
      <xdr:rowOff>65358</xdr:rowOff>
    </xdr:to>
    <xdr:sp macro="" textlink="">
      <xdr:nvSpPr>
        <xdr:cNvPr id="220" name="TextBox 219">
          <a:extLst>
            <a:ext uri="{FF2B5EF4-FFF2-40B4-BE49-F238E27FC236}">
              <a16:creationId xmlns:a16="http://schemas.microsoft.com/office/drawing/2014/main" id="{85474279-903D-4211-8A85-69A2F54DD619}"/>
            </a:ext>
          </a:extLst>
        </xdr:cNvPr>
        <xdr:cNvSpPr txBox="1"/>
      </xdr:nvSpPr>
      <xdr:spPr>
        <a:xfrm>
          <a:off x="16307119" y="3769264"/>
          <a:ext cx="874239" cy="296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ln>
                <a:noFill/>
              </a:ln>
              <a:solidFill>
                <a:schemeClr val="tx1"/>
              </a:solidFill>
              <a:latin typeface="Abadi" panose="020B0604020104020204" pitchFamily="34" charset="0"/>
              <a:cs typeface="Arial" panose="020B0604020202020204" pitchFamily="34" charset="0"/>
            </a:rPr>
            <a:t>Lad    :</a:t>
          </a:r>
        </a:p>
      </xdr:txBody>
    </xdr:sp>
    <xdr:clientData/>
  </xdr:twoCellAnchor>
  <xdr:twoCellAnchor>
    <xdr:from>
      <xdr:col>27</xdr:col>
      <xdr:colOff>385044</xdr:colOff>
      <xdr:row>18</xdr:row>
      <xdr:rowOff>102006</xdr:rowOff>
    </xdr:from>
    <xdr:to>
      <xdr:col>29</xdr:col>
      <xdr:colOff>3020</xdr:colOff>
      <xdr:row>20</xdr:row>
      <xdr:rowOff>37506</xdr:rowOff>
    </xdr:to>
    <xdr:sp macro="" textlink="ANALYSIS!CW2">
      <xdr:nvSpPr>
        <xdr:cNvPr id="221" name="TextBox 220">
          <a:extLst>
            <a:ext uri="{FF2B5EF4-FFF2-40B4-BE49-F238E27FC236}">
              <a16:creationId xmlns:a16="http://schemas.microsoft.com/office/drawing/2014/main" id="{ECB0FBAA-C9D0-46C3-9E47-83372BFC0712}"/>
            </a:ext>
          </a:extLst>
        </xdr:cNvPr>
        <xdr:cNvSpPr txBox="1"/>
      </xdr:nvSpPr>
      <xdr:spPr>
        <a:xfrm>
          <a:off x="16917723" y="3531006"/>
          <a:ext cx="842618" cy="316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0757E54-CD82-4E0C-BBF6-29D124FFF144}" type="TxLink">
            <a:rPr lang="en-US" sz="1200" b="0" i="0" u="none" strike="noStrike">
              <a:ln>
                <a:noFill/>
              </a:ln>
              <a:solidFill>
                <a:schemeClr val="tx1"/>
              </a:solidFill>
              <a:latin typeface="Abadi" panose="020B0604020104020204" pitchFamily="34" charset="0"/>
              <a:ea typeface="+mn-ea"/>
              <a:cs typeface="Arial" panose="020B0604020202020204" pitchFamily="34" charset="0"/>
            </a:rPr>
            <a:pPr marL="0" indent="0"/>
            <a:t>0</a:t>
          </a:fld>
          <a:endParaRPr lang="en-US" sz="1200" b="0" i="0" u="none" strike="noStrike">
            <a:ln>
              <a:noFill/>
            </a:ln>
            <a:solidFill>
              <a:schemeClr val="tx1"/>
            </a:solidFill>
            <a:latin typeface="Abadi" panose="020B0604020104020204" pitchFamily="34" charset="0"/>
            <a:ea typeface="+mn-ea"/>
            <a:cs typeface="Arial" panose="020B0604020202020204" pitchFamily="34" charset="0"/>
          </a:endParaRPr>
        </a:p>
      </xdr:txBody>
    </xdr:sp>
    <xdr:clientData/>
  </xdr:twoCellAnchor>
  <xdr:twoCellAnchor>
    <xdr:from>
      <xdr:col>27</xdr:col>
      <xdr:colOff>373038</xdr:colOff>
      <xdr:row>19</xdr:row>
      <xdr:rowOff>137728</xdr:rowOff>
    </xdr:from>
    <xdr:to>
      <xdr:col>28</xdr:col>
      <xdr:colOff>608200</xdr:colOff>
      <xdr:row>21</xdr:row>
      <xdr:rowOff>85405</xdr:rowOff>
    </xdr:to>
    <xdr:sp macro="" textlink="ANALYSIS!CX2">
      <xdr:nvSpPr>
        <xdr:cNvPr id="222" name="TextBox 221">
          <a:extLst>
            <a:ext uri="{FF2B5EF4-FFF2-40B4-BE49-F238E27FC236}">
              <a16:creationId xmlns:a16="http://schemas.microsoft.com/office/drawing/2014/main" id="{017EBC3F-0532-40D1-839F-CC28827BED23}"/>
            </a:ext>
          </a:extLst>
        </xdr:cNvPr>
        <xdr:cNvSpPr txBox="1"/>
      </xdr:nvSpPr>
      <xdr:spPr>
        <a:xfrm>
          <a:off x="16905717" y="3757228"/>
          <a:ext cx="847483" cy="328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08E4F57-DCF8-49ED-A1BF-EE62CB7E691A}" type="TxLink">
            <a:rPr lang="en-US" sz="1200" b="0" i="0" u="none" strike="noStrike">
              <a:ln>
                <a:noFill/>
              </a:ln>
              <a:solidFill>
                <a:schemeClr val="tx1"/>
              </a:solidFill>
              <a:latin typeface="Abadi" panose="020B0604020104020204" pitchFamily="34" charset="0"/>
              <a:ea typeface="+mn-ea"/>
              <a:cs typeface="Arial" panose="020B0604020202020204" pitchFamily="34" charset="0"/>
            </a:rPr>
            <a:pPr marL="0" indent="0"/>
            <a:t>0</a:t>
          </a:fld>
          <a:endParaRPr lang="en-US" sz="1200" b="0" i="0" u="none" strike="noStrike">
            <a:ln>
              <a:noFill/>
            </a:ln>
            <a:solidFill>
              <a:schemeClr val="tx1"/>
            </a:solidFill>
            <a:latin typeface="Abadi" panose="020B0604020104020204" pitchFamily="34" charset="0"/>
            <a:ea typeface="+mn-ea"/>
            <a:cs typeface="Arial" panose="020B0604020202020204" pitchFamily="34" charset="0"/>
          </a:endParaRPr>
        </a:p>
      </xdr:txBody>
    </xdr:sp>
    <xdr:clientData/>
  </xdr:twoCellAnchor>
  <xdr:twoCellAnchor>
    <xdr:from>
      <xdr:col>10</xdr:col>
      <xdr:colOff>568138</xdr:colOff>
      <xdr:row>14</xdr:row>
      <xdr:rowOff>161805</xdr:rowOff>
    </xdr:from>
    <xdr:to>
      <xdr:col>15</xdr:col>
      <xdr:colOff>341894</xdr:colOff>
      <xdr:row>16</xdr:row>
      <xdr:rowOff>97305</xdr:rowOff>
    </xdr:to>
    <xdr:sp macro="" textlink="">
      <xdr:nvSpPr>
        <xdr:cNvPr id="227" name="TextBox 226">
          <a:extLst>
            <a:ext uri="{FF2B5EF4-FFF2-40B4-BE49-F238E27FC236}">
              <a16:creationId xmlns:a16="http://schemas.microsoft.com/office/drawing/2014/main" id="{FA1F5CEE-0A2D-434B-9386-99F094C130C5}"/>
            </a:ext>
          </a:extLst>
        </xdr:cNvPr>
        <xdr:cNvSpPr txBox="1"/>
      </xdr:nvSpPr>
      <xdr:spPr>
        <a:xfrm>
          <a:off x="6691352" y="2828805"/>
          <a:ext cx="2835363" cy="316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ln>
                <a:noFill/>
              </a:ln>
              <a:solidFill>
                <a:srgbClr val="FF3300"/>
              </a:solidFill>
              <a:latin typeface="Arial" panose="020B0604020202020204" pitchFamily="34" charset="0"/>
              <a:cs typeface="Arial" panose="020B0604020202020204" pitchFamily="34" charset="0"/>
            </a:rPr>
            <a:t>New Tag Record</a:t>
          </a:r>
        </a:p>
      </xdr:txBody>
    </xdr:sp>
    <xdr:clientData/>
  </xdr:twoCellAnchor>
  <xdr:twoCellAnchor>
    <xdr:from>
      <xdr:col>11</xdr:col>
      <xdr:colOff>92025</xdr:colOff>
      <xdr:row>16</xdr:row>
      <xdr:rowOff>17683</xdr:rowOff>
    </xdr:from>
    <xdr:to>
      <xdr:col>15</xdr:col>
      <xdr:colOff>356489</xdr:colOff>
      <xdr:row>16</xdr:row>
      <xdr:rowOff>19674</xdr:rowOff>
    </xdr:to>
    <xdr:cxnSp macro="">
      <xdr:nvCxnSpPr>
        <xdr:cNvPr id="228" name="Straight Connector 227">
          <a:extLst>
            <a:ext uri="{FF2B5EF4-FFF2-40B4-BE49-F238E27FC236}">
              <a16:creationId xmlns:a16="http://schemas.microsoft.com/office/drawing/2014/main" id="{30F5ACBC-AFE3-4A62-91F3-4B932D806927}"/>
            </a:ext>
          </a:extLst>
        </xdr:cNvPr>
        <xdr:cNvCxnSpPr/>
      </xdr:nvCxnSpPr>
      <xdr:spPr>
        <a:xfrm>
          <a:off x="6827561" y="3065683"/>
          <a:ext cx="2713749" cy="1991"/>
        </a:xfrm>
        <a:prstGeom prst="line">
          <a:avLst/>
        </a:prstGeom>
        <a:ln>
          <a:solidFill>
            <a:srgbClr val="FFC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606337</xdr:colOff>
      <xdr:row>16</xdr:row>
      <xdr:rowOff>116743</xdr:rowOff>
    </xdr:from>
    <xdr:to>
      <xdr:col>15</xdr:col>
      <xdr:colOff>222567</xdr:colOff>
      <xdr:row>18</xdr:row>
      <xdr:rowOff>56224</xdr:rowOff>
    </xdr:to>
    <xdr:sp macro="" textlink="ANALYSIS!CJ2">
      <xdr:nvSpPr>
        <xdr:cNvPr id="229" name="TextBox 228">
          <a:extLst>
            <a:ext uri="{FF2B5EF4-FFF2-40B4-BE49-F238E27FC236}">
              <a16:creationId xmlns:a16="http://schemas.microsoft.com/office/drawing/2014/main" id="{ED518E76-9540-4C33-85D8-1E3D853417BB}"/>
            </a:ext>
          </a:extLst>
        </xdr:cNvPr>
        <xdr:cNvSpPr txBox="1"/>
      </xdr:nvSpPr>
      <xdr:spPr>
        <a:xfrm>
          <a:off x="6729551" y="3164743"/>
          <a:ext cx="2677837" cy="320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435068B-8BD5-4D13-80DE-602E2DE5F97C}" type="TxLink">
            <a:rPr lang="en-US" sz="1200" b="0" i="0" u="none" strike="noStrike">
              <a:ln>
                <a:noFill/>
              </a:ln>
              <a:solidFill>
                <a:srgbClr val="002060"/>
              </a:solidFill>
              <a:latin typeface="Arial" panose="020B0604020202020204" pitchFamily="34" charset="0"/>
              <a:ea typeface="+mn-ea"/>
              <a:cs typeface="Arial" panose="020B0604020202020204" pitchFamily="34" charset="0"/>
            </a:rPr>
            <a:pPr marL="0" indent="0" algn="ctr"/>
            <a:t>2024-12-23</a:t>
          </a:fld>
          <a:endParaRPr lang="en-US" sz="1200" b="0" i="0" u="none" strike="noStrike">
            <a:ln>
              <a:noFill/>
            </a:ln>
            <a:solidFill>
              <a:srgbClr val="002060"/>
            </a:solidFill>
            <a:latin typeface="Arial" panose="020B0604020202020204" pitchFamily="34" charset="0"/>
            <a:ea typeface="+mn-ea"/>
            <a:cs typeface="Arial" panose="020B0604020202020204" pitchFamily="34" charset="0"/>
          </a:endParaRPr>
        </a:p>
      </xdr:txBody>
    </xdr:sp>
    <xdr:clientData/>
  </xdr:twoCellAnchor>
  <xdr:twoCellAnchor>
    <xdr:from>
      <xdr:col>11</xdr:col>
      <xdr:colOff>19901</xdr:colOff>
      <xdr:row>18</xdr:row>
      <xdr:rowOff>12431</xdr:rowOff>
    </xdr:from>
    <xdr:to>
      <xdr:col>12</xdr:col>
      <xdr:colOff>344916</xdr:colOff>
      <xdr:row>19</xdr:row>
      <xdr:rowOff>137142</xdr:rowOff>
    </xdr:to>
    <xdr:sp macro="" textlink="">
      <xdr:nvSpPr>
        <xdr:cNvPr id="230" name="TextBox 229">
          <a:extLst>
            <a:ext uri="{FF2B5EF4-FFF2-40B4-BE49-F238E27FC236}">
              <a16:creationId xmlns:a16="http://schemas.microsoft.com/office/drawing/2014/main" id="{A716FBED-42D9-45AB-B41C-B7B6E427D878}"/>
            </a:ext>
          </a:extLst>
        </xdr:cNvPr>
        <xdr:cNvSpPr txBox="1"/>
      </xdr:nvSpPr>
      <xdr:spPr>
        <a:xfrm>
          <a:off x="6755437" y="3441431"/>
          <a:ext cx="937336" cy="3152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ln>
                <a:noFill/>
              </a:ln>
              <a:solidFill>
                <a:schemeClr val="tx1"/>
              </a:solidFill>
              <a:latin typeface="Helvetica" panose="020B0604020202020204" pitchFamily="34" charset="0"/>
              <a:cs typeface="Helvetica" panose="020B0604020202020204" pitchFamily="34" charset="0"/>
            </a:rPr>
            <a:t>House :</a:t>
          </a:r>
        </a:p>
      </xdr:txBody>
    </xdr:sp>
    <xdr:clientData/>
  </xdr:twoCellAnchor>
  <xdr:twoCellAnchor>
    <xdr:from>
      <xdr:col>10</xdr:col>
      <xdr:colOff>606914</xdr:colOff>
      <xdr:row>19</xdr:row>
      <xdr:rowOff>93116</xdr:rowOff>
    </xdr:from>
    <xdr:to>
      <xdr:col>12</xdr:col>
      <xdr:colOff>263809</xdr:colOff>
      <xdr:row>21</xdr:row>
      <xdr:rowOff>30606</xdr:rowOff>
    </xdr:to>
    <xdr:sp macro="" textlink="">
      <xdr:nvSpPr>
        <xdr:cNvPr id="231" name="TextBox 230">
          <a:extLst>
            <a:ext uri="{FF2B5EF4-FFF2-40B4-BE49-F238E27FC236}">
              <a16:creationId xmlns:a16="http://schemas.microsoft.com/office/drawing/2014/main" id="{216B2D9E-CB56-4A67-8B40-85DCF41D9B2F}"/>
            </a:ext>
          </a:extLst>
        </xdr:cNvPr>
        <xdr:cNvSpPr txBox="1"/>
      </xdr:nvSpPr>
      <xdr:spPr>
        <a:xfrm>
          <a:off x="6730128" y="3712616"/>
          <a:ext cx="881538" cy="318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ln>
                <a:noFill/>
              </a:ln>
              <a:solidFill>
                <a:schemeClr val="tx1"/>
              </a:solidFill>
              <a:latin typeface="Helvetica" panose="020B0604020202020204" pitchFamily="34" charset="0"/>
              <a:cs typeface="Helvetica" panose="020B0604020202020204" pitchFamily="34" charset="0"/>
            </a:rPr>
            <a:t>Tag    :</a:t>
          </a:r>
        </a:p>
      </xdr:txBody>
    </xdr:sp>
    <xdr:clientData/>
  </xdr:twoCellAnchor>
  <xdr:twoCellAnchor>
    <xdr:from>
      <xdr:col>12</xdr:col>
      <xdr:colOff>37280</xdr:colOff>
      <xdr:row>18</xdr:row>
      <xdr:rowOff>20862</xdr:rowOff>
    </xdr:from>
    <xdr:to>
      <xdr:col>13</xdr:col>
      <xdr:colOff>517069</xdr:colOff>
      <xdr:row>19</xdr:row>
      <xdr:rowOff>166767</xdr:rowOff>
    </xdr:to>
    <xdr:sp macro="" textlink="ANALYSIS!CL2">
      <xdr:nvSpPr>
        <xdr:cNvPr id="232" name="TextBox 231">
          <a:extLst>
            <a:ext uri="{FF2B5EF4-FFF2-40B4-BE49-F238E27FC236}">
              <a16:creationId xmlns:a16="http://schemas.microsoft.com/office/drawing/2014/main" id="{C35BCEBD-5412-4A5A-A7B2-B0FECAA08825}"/>
            </a:ext>
          </a:extLst>
        </xdr:cNvPr>
        <xdr:cNvSpPr txBox="1"/>
      </xdr:nvSpPr>
      <xdr:spPr>
        <a:xfrm>
          <a:off x="7385137" y="3449862"/>
          <a:ext cx="1092111" cy="336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DD223A7-1E19-422C-AC97-2E6644B44504}" type="TxLink">
            <a:rPr lang="en-US" sz="1200" b="0" i="0" u="none" strike="noStrike">
              <a:ln>
                <a:noFill/>
              </a:ln>
              <a:solidFill>
                <a:schemeClr val="tx1"/>
              </a:solidFill>
              <a:latin typeface="Abadi" panose="020B0604020104020204" pitchFamily="34" charset="0"/>
              <a:ea typeface="+mn-ea"/>
              <a:cs typeface="Arial" panose="020B0604020202020204" pitchFamily="34" charset="0"/>
            </a:rPr>
            <a:pPr marL="0" indent="0"/>
            <a:t>43</a:t>
          </a:fld>
          <a:endParaRPr lang="en-US" sz="1200" b="0" i="0" u="none" strike="noStrike">
            <a:ln>
              <a:noFill/>
            </a:ln>
            <a:solidFill>
              <a:schemeClr val="tx1"/>
            </a:solidFill>
            <a:latin typeface="Abadi" panose="020B0604020104020204" pitchFamily="34" charset="0"/>
            <a:ea typeface="+mn-ea"/>
            <a:cs typeface="Arial" panose="020B0604020202020204" pitchFamily="34" charset="0"/>
          </a:endParaRPr>
        </a:p>
      </xdr:txBody>
    </xdr:sp>
    <xdr:clientData/>
  </xdr:twoCellAnchor>
  <xdr:twoCellAnchor>
    <xdr:from>
      <xdr:col>12</xdr:col>
      <xdr:colOff>21632</xdr:colOff>
      <xdr:row>19</xdr:row>
      <xdr:rowOff>101079</xdr:rowOff>
    </xdr:from>
    <xdr:to>
      <xdr:col>13</xdr:col>
      <xdr:colOff>266522</xdr:colOff>
      <xdr:row>21</xdr:row>
      <xdr:rowOff>54494</xdr:rowOff>
    </xdr:to>
    <xdr:sp macro="" textlink="ANALYSIS!CK2">
      <xdr:nvSpPr>
        <xdr:cNvPr id="233" name="TextBox 232">
          <a:extLst>
            <a:ext uri="{FF2B5EF4-FFF2-40B4-BE49-F238E27FC236}">
              <a16:creationId xmlns:a16="http://schemas.microsoft.com/office/drawing/2014/main" id="{41C2E9E5-40F8-4BBF-9287-3FA0A3D34062}"/>
            </a:ext>
          </a:extLst>
        </xdr:cNvPr>
        <xdr:cNvSpPr txBox="1"/>
      </xdr:nvSpPr>
      <xdr:spPr>
        <a:xfrm>
          <a:off x="7369489" y="3720579"/>
          <a:ext cx="857212" cy="3344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572B31C-B33E-4967-8DA6-299D9CD3148C}" type="TxLink">
            <a:rPr lang="en-US" sz="1200" b="0" i="0" u="none" strike="noStrike">
              <a:ln>
                <a:noFill/>
              </a:ln>
              <a:solidFill>
                <a:schemeClr val="tx1"/>
              </a:solidFill>
              <a:latin typeface="Abadi" panose="020B0604020104020204" pitchFamily="34" charset="0"/>
              <a:ea typeface="+mn-ea"/>
              <a:cs typeface="Arial" panose="020B0604020202020204" pitchFamily="34" charset="0"/>
            </a:rPr>
            <a:pPr marL="0" indent="0"/>
            <a:t>402</a:t>
          </a:fld>
          <a:endParaRPr lang="en-US" sz="1200" b="0" i="0" u="none" strike="noStrike">
            <a:ln>
              <a:noFill/>
            </a:ln>
            <a:solidFill>
              <a:schemeClr val="tx1"/>
            </a:solidFill>
            <a:latin typeface="Abadi" panose="020B0604020104020204" pitchFamily="34" charset="0"/>
            <a:ea typeface="+mn-ea"/>
            <a:cs typeface="Arial" panose="020B0604020202020204" pitchFamily="34" charset="0"/>
          </a:endParaRPr>
        </a:p>
      </xdr:txBody>
    </xdr:sp>
    <xdr:clientData/>
  </xdr:twoCellAnchor>
  <xdr:twoCellAnchor>
    <xdr:from>
      <xdr:col>24</xdr:col>
      <xdr:colOff>206953</xdr:colOff>
      <xdr:row>43</xdr:row>
      <xdr:rowOff>33215</xdr:rowOff>
    </xdr:from>
    <xdr:to>
      <xdr:col>36</xdr:col>
      <xdr:colOff>372008</xdr:colOff>
      <xdr:row>58</xdr:row>
      <xdr:rowOff>163320</xdr:rowOff>
    </xdr:to>
    <xdr:graphicFrame macro="">
      <xdr:nvGraphicFramePr>
        <xdr:cNvPr id="302" name="Chart 301">
          <a:extLst>
            <a:ext uri="{FF2B5EF4-FFF2-40B4-BE49-F238E27FC236}">
              <a16:creationId xmlns:a16="http://schemas.microsoft.com/office/drawing/2014/main" id="{DBF47214-5DF4-43A0-80C6-F037AD2B24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0</xdr:col>
      <xdr:colOff>332138</xdr:colOff>
      <xdr:row>0</xdr:row>
      <xdr:rowOff>137094</xdr:rowOff>
    </xdr:from>
    <xdr:to>
      <xdr:col>4</xdr:col>
      <xdr:colOff>366923</xdr:colOff>
      <xdr:row>10</xdr:row>
      <xdr:rowOff>59433</xdr:rowOff>
    </xdr:to>
    <xdr:sp macro="" textlink="">
      <xdr:nvSpPr>
        <xdr:cNvPr id="168" name="Rectangle: Rounded Corners 167">
          <a:extLst>
            <a:ext uri="{FF2B5EF4-FFF2-40B4-BE49-F238E27FC236}">
              <a16:creationId xmlns:a16="http://schemas.microsoft.com/office/drawing/2014/main" id="{C170D47E-868F-4756-9004-28F202266276}"/>
            </a:ext>
          </a:extLst>
        </xdr:cNvPr>
        <xdr:cNvSpPr/>
      </xdr:nvSpPr>
      <xdr:spPr>
        <a:xfrm>
          <a:off x="332138" y="137094"/>
          <a:ext cx="2484071" cy="1827339"/>
        </a:xfrm>
        <a:prstGeom prst="roundRect">
          <a:avLst>
            <a:gd name="adj" fmla="val 14019"/>
          </a:avLst>
        </a:prstGeom>
        <a:solidFill>
          <a:srgbClr val="FF7F50"/>
        </a:solidFill>
        <a:ln>
          <a:solidFill>
            <a:srgbClr val="D9D9D9"/>
          </a:solid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3" algn="l"/>
          <a:endParaRPr lang="en-US" sz="2800" baseline="0">
            <a:ln>
              <a:noFill/>
            </a:ln>
            <a:solidFill>
              <a:schemeClr val="bg1">
                <a:lumMod val="75000"/>
              </a:schemeClr>
            </a:solidFill>
          </a:endParaRPr>
        </a:p>
      </xdr:txBody>
    </xdr:sp>
    <xdr:clientData/>
  </xdr:twoCellAnchor>
  <xdr:twoCellAnchor>
    <xdr:from>
      <xdr:col>0</xdr:col>
      <xdr:colOff>400218</xdr:colOff>
      <xdr:row>1</xdr:row>
      <xdr:rowOff>52641</xdr:rowOff>
    </xdr:from>
    <xdr:to>
      <xdr:col>2</xdr:col>
      <xdr:colOff>610174</xdr:colOff>
      <xdr:row>5</xdr:row>
      <xdr:rowOff>158084</xdr:rowOff>
    </xdr:to>
    <xdr:sp macro="" textlink="">
      <xdr:nvSpPr>
        <xdr:cNvPr id="169" name="Rectangle 168">
          <a:extLst>
            <a:ext uri="{FF2B5EF4-FFF2-40B4-BE49-F238E27FC236}">
              <a16:creationId xmlns:a16="http://schemas.microsoft.com/office/drawing/2014/main" id="{02482E5E-0DA2-44F2-BEF7-2BC1C9D7841C}"/>
            </a:ext>
          </a:extLst>
        </xdr:cNvPr>
        <xdr:cNvSpPr/>
      </xdr:nvSpPr>
      <xdr:spPr>
        <a:xfrm>
          <a:off x="400218" y="243141"/>
          <a:ext cx="1434599" cy="86744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300" b="1">
              <a:ln>
                <a:noFill/>
              </a:ln>
              <a:solidFill>
                <a:srgbClr val="003366"/>
              </a:solidFill>
              <a:latin typeface="Arial" panose="020B0604020202020204" pitchFamily="34" charset="0"/>
              <a:cs typeface="Arial" panose="020B0604020202020204" pitchFamily="34" charset="0"/>
            </a:rPr>
            <a:t>AVAREGE METER INSTALLED</a:t>
          </a:r>
          <a:r>
            <a:rPr lang="en-US" sz="700" b="0">
              <a:ln>
                <a:noFill/>
              </a:ln>
              <a:solidFill>
                <a:srgbClr val="003366"/>
              </a:solidFill>
            </a:rPr>
            <a:t>(DAY)</a:t>
          </a:r>
          <a:endParaRPr lang="en-US" sz="600" b="0">
            <a:ln>
              <a:noFill/>
            </a:ln>
            <a:solidFill>
              <a:srgbClr val="003366"/>
            </a:solidFill>
          </a:endParaRPr>
        </a:p>
        <a:p>
          <a:pPr algn="l"/>
          <a:endParaRPr lang="en-US" sz="1100">
            <a:ln>
              <a:noFill/>
            </a:ln>
            <a:solidFill>
              <a:srgbClr val="003366"/>
            </a:solidFill>
          </a:endParaRPr>
        </a:p>
      </xdr:txBody>
    </xdr:sp>
    <xdr:clientData/>
  </xdr:twoCellAnchor>
  <xdr:twoCellAnchor>
    <xdr:from>
      <xdr:col>2</xdr:col>
      <xdr:colOff>549445</xdr:colOff>
      <xdr:row>1</xdr:row>
      <xdr:rowOff>113004</xdr:rowOff>
    </xdr:from>
    <xdr:to>
      <xdr:col>4</xdr:col>
      <xdr:colOff>252463</xdr:colOff>
      <xdr:row>5</xdr:row>
      <xdr:rowOff>100790</xdr:rowOff>
    </xdr:to>
    <xdr:pic>
      <xdr:nvPicPr>
        <xdr:cNvPr id="170" name="Picture 169">
          <a:extLst>
            <a:ext uri="{FF2B5EF4-FFF2-40B4-BE49-F238E27FC236}">
              <a16:creationId xmlns:a16="http://schemas.microsoft.com/office/drawing/2014/main" id="{E66AC0B4-545C-457A-A25E-D7C1F53B52A8}"/>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774088" y="303504"/>
          <a:ext cx="927661" cy="749786"/>
        </a:xfrm>
        <a:prstGeom prst="rect">
          <a:avLst/>
        </a:prstGeom>
      </xdr:spPr>
    </xdr:pic>
    <xdr:clientData/>
  </xdr:twoCellAnchor>
  <xdr:twoCellAnchor>
    <xdr:from>
      <xdr:col>0</xdr:col>
      <xdr:colOff>559263</xdr:colOff>
      <xdr:row>6</xdr:row>
      <xdr:rowOff>10303</xdr:rowOff>
    </xdr:from>
    <xdr:to>
      <xdr:col>4</xdr:col>
      <xdr:colOff>233010</xdr:colOff>
      <xdr:row>9</xdr:row>
      <xdr:rowOff>130412</xdr:rowOff>
    </xdr:to>
    <xdr:sp macro="" textlink="ANALYSIS!DV6">
      <xdr:nvSpPr>
        <xdr:cNvPr id="171" name="Rectangle 170">
          <a:extLst>
            <a:ext uri="{FF2B5EF4-FFF2-40B4-BE49-F238E27FC236}">
              <a16:creationId xmlns:a16="http://schemas.microsoft.com/office/drawing/2014/main" id="{EAC24231-80DF-4D1B-AD17-1F5955061FAA}"/>
            </a:ext>
          </a:extLst>
        </xdr:cNvPr>
        <xdr:cNvSpPr/>
      </xdr:nvSpPr>
      <xdr:spPr>
        <a:xfrm>
          <a:off x="559263" y="1153303"/>
          <a:ext cx="2123033" cy="691609"/>
        </a:xfrm>
        <a:prstGeom prst="rect">
          <a:avLst/>
        </a:prstGeom>
        <a:no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D36F0E6-A42A-4C2D-92A7-867E5A21355D}" type="TxLink">
            <a:rPr lang="en-US" sz="2800" b="0" i="0" u="none" strike="noStrike">
              <a:ln>
                <a:noFill/>
              </a:ln>
              <a:solidFill>
                <a:srgbClr val="002060"/>
              </a:solidFill>
              <a:latin typeface="Arial" panose="020B0604020202020204" pitchFamily="34" charset="0"/>
              <a:ea typeface="PMingLiU-ExtB" panose="02020500000000000000" pitchFamily="18" charset="-120"/>
              <a:cs typeface="Arial" panose="020B0604020202020204" pitchFamily="34" charset="0"/>
            </a:rPr>
            <a:pPr marL="0" indent="0" algn="ctr"/>
            <a:t>241.12</a:t>
          </a:fld>
          <a:endParaRPr lang="en-US" sz="2800" b="0" i="0" u="none" strike="noStrike">
            <a:ln>
              <a:noFill/>
            </a:ln>
            <a:solidFill>
              <a:srgbClr val="002060"/>
            </a:solidFill>
            <a:latin typeface="Arial" panose="020B0604020202020204" pitchFamily="34" charset="0"/>
            <a:ea typeface="PMingLiU-ExtB" panose="02020500000000000000" pitchFamily="18" charset="-120"/>
            <a:cs typeface="Arial" panose="020B0604020202020204" pitchFamily="34" charset="0"/>
          </a:endParaRPr>
        </a:p>
      </xdr:txBody>
    </xdr:sp>
    <xdr:clientData/>
  </xdr:twoCellAnchor>
  <xdr:twoCellAnchor>
    <xdr:from>
      <xdr:col>0</xdr:col>
      <xdr:colOff>300518</xdr:colOff>
      <xdr:row>59</xdr:row>
      <xdr:rowOff>62672</xdr:rowOff>
    </xdr:from>
    <xdr:to>
      <xdr:col>8</xdr:col>
      <xdr:colOff>58757</xdr:colOff>
      <xdr:row>75</xdr:row>
      <xdr:rowOff>2510</xdr:rowOff>
    </xdr:to>
    <xdr:sp macro="" textlink="">
      <xdr:nvSpPr>
        <xdr:cNvPr id="173" name="Rectangle: Rounded Corners 172">
          <a:extLst>
            <a:ext uri="{FF2B5EF4-FFF2-40B4-BE49-F238E27FC236}">
              <a16:creationId xmlns:a16="http://schemas.microsoft.com/office/drawing/2014/main" id="{8E1D3364-3E99-49B9-9DAF-6D3548FC93DB}"/>
            </a:ext>
          </a:extLst>
        </xdr:cNvPr>
        <xdr:cNvSpPr/>
      </xdr:nvSpPr>
      <xdr:spPr>
        <a:xfrm>
          <a:off x="300518" y="11302172"/>
          <a:ext cx="4656810" cy="2987838"/>
        </a:xfrm>
        <a:prstGeom prst="roundRect">
          <a:avLst>
            <a:gd name="adj" fmla="val 1108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noFill/>
            </a:ln>
            <a:latin typeface="Arial" panose="020B0604020202020204" pitchFamily="34" charset="0"/>
            <a:cs typeface="Arial" panose="020B0604020202020204" pitchFamily="34" charset="0"/>
          </a:endParaRPr>
        </a:p>
      </xdr:txBody>
    </xdr:sp>
    <xdr:clientData/>
  </xdr:twoCellAnchor>
  <xdr:twoCellAnchor>
    <xdr:from>
      <xdr:col>21</xdr:col>
      <xdr:colOff>141736</xdr:colOff>
      <xdr:row>16</xdr:row>
      <xdr:rowOff>104331</xdr:rowOff>
    </xdr:from>
    <xdr:to>
      <xdr:col>25</xdr:col>
      <xdr:colOff>527815</xdr:colOff>
      <xdr:row>18</xdr:row>
      <xdr:rowOff>43812</xdr:rowOff>
    </xdr:to>
    <xdr:sp macro="" textlink="ANALYSIS!BU2">
      <xdr:nvSpPr>
        <xdr:cNvPr id="180" name="TextBox 179">
          <a:extLst>
            <a:ext uri="{FF2B5EF4-FFF2-40B4-BE49-F238E27FC236}">
              <a16:creationId xmlns:a16="http://schemas.microsoft.com/office/drawing/2014/main" id="{C06EBC97-DD6A-4FD2-A1E7-01AE08FB0C03}"/>
            </a:ext>
          </a:extLst>
        </xdr:cNvPr>
        <xdr:cNvSpPr txBox="1"/>
      </xdr:nvSpPr>
      <xdr:spPr>
        <a:xfrm>
          <a:off x="13000486" y="3152331"/>
          <a:ext cx="2835365" cy="320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32B40AC-3348-4F6D-AB55-D0D8E095A019}" type="TxLink">
            <a:rPr lang="en-US" sz="1200" b="0" i="0" u="none" strike="noStrike">
              <a:ln>
                <a:noFill/>
              </a:ln>
              <a:solidFill>
                <a:srgbClr val="002060"/>
              </a:solidFill>
              <a:latin typeface="Arial" panose="020B0604020202020204" pitchFamily="34" charset="0"/>
              <a:ea typeface="+mn-ea"/>
              <a:cs typeface="Arial" panose="020B0604020202020204" pitchFamily="34" charset="0"/>
            </a:rPr>
            <a:pPr marL="0" indent="0" algn="ctr"/>
            <a:t>2024-12-23</a:t>
          </a:fld>
          <a:endParaRPr lang="en-US" sz="1200" b="0" i="0" u="none" strike="noStrike">
            <a:ln>
              <a:noFill/>
            </a:ln>
            <a:solidFill>
              <a:srgbClr val="002060"/>
            </a:solidFill>
            <a:latin typeface="Arial" panose="020B0604020202020204" pitchFamily="34" charset="0"/>
            <a:ea typeface="+mn-ea"/>
            <a:cs typeface="Arial" panose="020B0604020202020204" pitchFamily="34" charset="0"/>
          </a:endParaRPr>
        </a:p>
      </xdr:txBody>
    </xdr:sp>
    <xdr:clientData/>
  </xdr:twoCellAnchor>
  <xdr:twoCellAnchor>
    <xdr:from>
      <xdr:col>21</xdr:col>
      <xdr:colOff>211128</xdr:colOff>
      <xdr:row>17</xdr:row>
      <xdr:rowOff>145556</xdr:rowOff>
    </xdr:from>
    <xdr:to>
      <xdr:col>24</xdr:col>
      <xdr:colOff>123253</xdr:colOff>
      <xdr:row>19</xdr:row>
      <xdr:rowOff>28014</xdr:rowOff>
    </xdr:to>
    <xdr:sp macro="" textlink="">
      <xdr:nvSpPr>
        <xdr:cNvPr id="182" name="TextBox 181">
          <a:extLst>
            <a:ext uri="{FF2B5EF4-FFF2-40B4-BE49-F238E27FC236}">
              <a16:creationId xmlns:a16="http://schemas.microsoft.com/office/drawing/2014/main" id="{EE52FB5A-2956-48A4-8754-0EC29133BE45}"/>
            </a:ext>
          </a:extLst>
        </xdr:cNvPr>
        <xdr:cNvSpPr txBox="1"/>
      </xdr:nvSpPr>
      <xdr:spPr>
        <a:xfrm>
          <a:off x="13069878" y="3384056"/>
          <a:ext cx="1749089" cy="263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ln>
                <a:noFill/>
              </a:ln>
              <a:solidFill>
                <a:schemeClr val="tx1"/>
              </a:solidFill>
              <a:latin typeface="Helvetica" panose="020B0604020202020204" pitchFamily="34" charset="0"/>
              <a:cs typeface="Helvetica" panose="020B0604020202020204" pitchFamily="34" charset="0"/>
            </a:rPr>
            <a:t>With Shed</a:t>
          </a:r>
          <a:r>
            <a:rPr lang="en-US" sz="1200" b="0" baseline="0">
              <a:ln>
                <a:noFill/>
              </a:ln>
              <a:solidFill>
                <a:schemeClr val="tx1"/>
              </a:solidFill>
              <a:latin typeface="Helvetica" panose="020B0604020202020204" pitchFamily="34" charset="0"/>
              <a:cs typeface="Helvetica" panose="020B0604020202020204" pitchFamily="34" charset="0"/>
            </a:rPr>
            <a:t>:</a:t>
          </a:r>
          <a:endParaRPr lang="en-US" sz="1200" b="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21</xdr:col>
      <xdr:colOff>198393</xdr:colOff>
      <xdr:row>18</xdr:row>
      <xdr:rowOff>187251</xdr:rowOff>
    </xdr:from>
    <xdr:to>
      <xdr:col>24</xdr:col>
      <xdr:colOff>28494</xdr:colOff>
      <xdr:row>20</xdr:row>
      <xdr:rowOff>89380</xdr:rowOff>
    </xdr:to>
    <xdr:sp macro="" textlink="">
      <xdr:nvSpPr>
        <xdr:cNvPr id="185" name="TextBox 184">
          <a:extLst>
            <a:ext uri="{FF2B5EF4-FFF2-40B4-BE49-F238E27FC236}">
              <a16:creationId xmlns:a16="http://schemas.microsoft.com/office/drawing/2014/main" id="{97475BC2-DA2C-49B3-B555-B220D7C81D10}"/>
            </a:ext>
          </a:extLst>
        </xdr:cNvPr>
        <xdr:cNvSpPr txBox="1"/>
      </xdr:nvSpPr>
      <xdr:spPr>
        <a:xfrm>
          <a:off x="13057143" y="3616251"/>
          <a:ext cx="1667065" cy="283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ln>
                <a:noFill/>
              </a:ln>
              <a:solidFill>
                <a:schemeClr val="tx1"/>
              </a:solidFill>
              <a:latin typeface="Helvetica" panose="020B0604020202020204" pitchFamily="34" charset="0"/>
              <a:cs typeface="Helvetica" panose="020B0604020202020204" pitchFamily="34" charset="0"/>
            </a:rPr>
            <a:t>With out Shed</a:t>
          </a:r>
          <a:r>
            <a:rPr lang="en-US" sz="1200" b="0" baseline="0">
              <a:ln>
                <a:noFill/>
              </a:ln>
              <a:solidFill>
                <a:schemeClr val="tx1"/>
              </a:solidFill>
              <a:latin typeface="Helvetica" panose="020B0604020202020204" pitchFamily="34" charset="0"/>
              <a:cs typeface="Helvetica" panose="020B0604020202020204" pitchFamily="34" charset="0"/>
            </a:rPr>
            <a:t>:</a:t>
          </a:r>
          <a:endParaRPr lang="en-US" sz="1200" b="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21</xdr:col>
      <xdr:colOff>194099</xdr:colOff>
      <xdr:row>20</xdr:row>
      <xdr:rowOff>67835</xdr:rowOff>
    </xdr:from>
    <xdr:to>
      <xdr:col>23</xdr:col>
      <xdr:colOff>576289</xdr:colOff>
      <xdr:row>22</xdr:row>
      <xdr:rowOff>16449</xdr:rowOff>
    </xdr:to>
    <xdr:sp macro="" textlink="">
      <xdr:nvSpPr>
        <xdr:cNvPr id="186" name="TextBox 185">
          <a:extLst>
            <a:ext uri="{FF2B5EF4-FFF2-40B4-BE49-F238E27FC236}">
              <a16:creationId xmlns:a16="http://schemas.microsoft.com/office/drawing/2014/main" id="{786A12E1-8A6D-4992-84C9-910D367FC2A5}"/>
            </a:ext>
          </a:extLst>
        </xdr:cNvPr>
        <xdr:cNvSpPr txBox="1"/>
      </xdr:nvSpPr>
      <xdr:spPr>
        <a:xfrm>
          <a:off x="13052849" y="3877835"/>
          <a:ext cx="1606833" cy="3296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ln>
                <a:noFill/>
              </a:ln>
              <a:solidFill>
                <a:schemeClr val="tx1"/>
              </a:solidFill>
              <a:latin typeface="Helvetica" panose="020B0604020202020204" pitchFamily="34" charset="0"/>
              <a:cs typeface="Helvetica" panose="020B0604020202020204" pitchFamily="34" charset="0"/>
            </a:rPr>
            <a:t>House</a:t>
          </a:r>
          <a:r>
            <a:rPr lang="en-US" sz="1200" b="0" baseline="0">
              <a:ln>
                <a:noFill/>
              </a:ln>
              <a:solidFill>
                <a:schemeClr val="tx1"/>
              </a:solidFill>
              <a:latin typeface="Helvetica" panose="020B0604020202020204" pitchFamily="34" charset="0"/>
              <a:cs typeface="Helvetica" panose="020B0604020202020204" pitchFamily="34" charset="0"/>
            </a:rPr>
            <a:t>:</a:t>
          </a:r>
          <a:endParaRPr lang="en-US" sz="1200" b="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22</xdr:col>
      <xdr:colOff>481881</xdr:colOff>
      <xdr:row>17</xdr:row>
      <xdr:rowOff>150850</xdr:rowOff>
    </xdr:from>
    <xdr:to>
      <xdr:col>24</xdr:col>
      <xdr:colOff>476861</xdr:colOff>
      <xdr:row>18</xdr:row>
      <xdr:rowOff>165378</xdr:rowOff>
    </xdr:to>
    <xdr:sp macro="" textlink="ANALYSIS!BV2">
      <xdr:nvSpPr>
        <xdr:cNvPr id="187" name="TextBox 186">
          <a:extLst>
            <a:ext uri="{FF2B5EF4-FFF2-40B4-BE49-F238E27FC236}">
              <a16:creationId xmlns:a16="http://schemas.microsoft.com/office/drawing/2014/main" id="{0549B24C-51EA-4A2B-AFD0-D8160CD0C73A}"/>
            </a:ext>
          </a:extLst>
        </xdr:cNvPr>
        <xdr:cNvSpPr txBox="1"/>
      </xdr:nvSpPr>
      <xdr:spPr>
        <a:xfrm>
          <a:off x="13952952" y="3389350"/>
          <a:ext cx="1219623" cy="205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E68C986-4D89-4008-AAA8-8F7E30DF7F07}" type="TxLink">
            <a:rPr lang="en-US" sz="1200" b="0" i="0" u="none" strike="noStrike">
              <a:ln>
                <a:noFill/>
              </a:ln>
              <a:solidFill>
                <a:srgbClr val="000000"/>
              </a:solidFill>
              <a:latin typeface="Helvetica" panose="020B0604020202020204" pitchFamily="34" charset="0"/>
              <a:cs typeface="Helvetica" panose="020B0604020202020204" pitchFamily="34" charset="0"/>
            </a:rPr>
            <a:pPr/>
            <a:t>117</a:t>
          </a:fld>
          <a:endParaRPr lang="en-US" sz="1200" b="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23</xdr:col>
      <xdr:colOff>121099</xdr:colOff>
      <xdr:row>18</xdr:row>
      <xdr:rowOff>187608</xdr:rowOff>
    </xdr:from>
    <xdr:to>
      <xdr:col>25</xdr:col>
      <xdr:colOff>118165</xdr:colOff>
      <xdr:row>20</xdr:row>
      <xdr:rowOff>19598</xdr:rowOff>
    </xdr:to>
    <xdr:sp macro="" textlink="ANALYSIS!BW2">
      <xdr:nvSpPr>
        <xdr:cNvPr id="188" name="TextBox 187">
          <a:extLst>
            <a:ext uri="{FF2B5EF4-FFF2-40B4-BE49-F238E27FC236}">
              <a16:creationId xmlns:a16="http://schemas.microsoft.com/office/drawing/2014/main" id="{02719334-CD19-4701-8BBE-0B550D1126A8}"/>
            </a:ext>
          </a:extLst>
        </xdr:cNvPr>
        <xdr:cNvSpPr txBox="1"/>
      </xdr:nvSpPr>
      <xdr:spPr>
        <a:xfrm>
          <a:off x="14204492" y="3616608"/>
          <a:ext cx="1221709" cy="2129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342E521-DE9D-4524-8715-29B9FFCC7FCB}" type="TxLink">
            <a:rPr lang="en-US" sz="1200" b="0" i="0" u="none" strike="noStrike">
              <a:ln>
                <a:noFill/>
              </a:ln>
              <a:solidFill>
                <a:srgbClr val="000000"/>
              </a:solidFill>
              <a:latin typeface="Helvetica" panose="020B0604020202020204" pitchFamily="34" charset="0"/>
              <a:cs typeface="Helvetica" panose="020B0604020202020204" pitchFamily="34" charset="0"/>
            </a:rPr>
            <a:pPr/>
            <a:t>267</a:t>
          </a:fld>
          <a:endParaRPr lang="en-US" sz="1200" b="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22</xdr:col>
      <xdr:colOff>217699</xdr:colOff>
      <xdr:row>20</xdr:row>
      <xdr:rowOff>81216</xdr:rowOff>
    </xdr:from>
    <xdr:to>
      <xdr:col>23</xdr:col>
      <xdr:colOff>244089</xdr:colOff>
      <xdr:row>21</xdr:row>
      <xdr:rowOff>127676</xdr:rowOff>
    </xdr:to>
    <xdr:sp macro="" textlink="ANALYSIS!BX2">
      <xdr:nvSpPr>
        <xdr:cNvPr id="189" name="TextBox 188">
          <a:extLst>
            <a:ext uri="{FF2B5EF4-FFF2-40B4-BE49-F238E27FC236}">
              <a16:creationId xmlns:a16="http://schemas.microsoft.com/office/drawing/2014/main" id="{082062CA-0291-4E07-B8C2-68EF9B5E2713}"/>
            </a:ext>
          </a:extLst>
        </xdr:cNvPr>
        <xdr:cNvSpPr txBox="1"/>
      </xdr:nvSpPr>
      <xdr:spPr>
        <a:xfrm>
          <a:off x="13688770" y="3891216"/>
          <a:ext cx="638712" cy="236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408ADC6-4C11-4060-B9D5-4B04D1AE0469}" type="TxLink">
            <a:rPr lang="en-US" sz="1200" b="0" i="0" u="none" strike="noStrike">
              <a:ln>
                <a:noFill/>
              </a:ln>
              <a:solidFill>
                <a:srgbClr val="000000"/>
              </a:solidFill>
              <a:latin typeface="Helvetica" panose="020B0604020202020204" pitchFamily="34" charset="0"/>
              <a:cs typeface="Helvetica" panose="020B0604020202020204" pitchFamily="34" charset="0"/>
            </a:rPr>
            <a:pPr/>
            <a:t>46</a:t>
          </a:fld>
          <a:endParaRPr lang="en-US" sz="1200" b="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23</xdr:col>
      <xdr:colOff>326332</xdr:colOff>
      <xdr:row>20</xdr:row>
      <xdr:rowOff>59403</xdr:rowOff>
    </xdr:from>
    <xdr:to>
      <xdr:col>25</xdr:col>
      <xdr:colOff>19567</xdr:colOff>
      <xdr:row>22</xdr:row>
      <xdr:rowOff>36356</xdr:rowOff>
    </xdr:to>
    <xdr:sp macro="" textlink="">
      <xdr:nvSpPr>
        <xdr:cNvPr id="190" name="TextBox 189">
          <a:extLst>
            <a:ext uri="{FF2B5EF4-FFF2-40B4-BE49-F238E27FC236}">
              <a16:creationId xmlns:a16="http://schemas.microsoft.com/office/drawing/2014/main" id="{9B339136-A14D-411C-BA76-418B48D2970D}"/>
            </a:ext>
          </a:extLst>
        </xdr:cNvPr>
        <xdr:cNvSpPr txBox="1"/>
      </xdr:nvSpPr>
      <xdr:spPr>
        <a:xfrm>
          <a:off x="14409725" y="3869403"/>
          <a:ext cx="917878" cy="357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baseline="0">
              <a:ln>
                <a:noFill/>
              </a:ln>
              <a:solidFill>
                <a:schemeClr val="tx1"/>
              </a:solidFill>
              <a:latin typeface="Helvetica" panose="020B0604020202020204" pitchFamily="34" charset="0"/>
              <a:cs typeface="Helvetica" panose="020B0604020202020204" pitchFamily="34" charset="0"/>
            </a:rPr>
            <a:t>Meter :</a:t>
          </a:r>
          <a:endParaRPr lang="en-US" sz="1200" b="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24</xdr:col>
      <xdr:colOff>283341</xdr:colOff>
      <xdr:row>20</xdr:row>
      <xdr:rowOff>81216</xdr:rowOff>
    </xdr:from>
    <xdr:to>
      <xdr:col>25</xdr:col>
      <xdr:colOff>309731</xdr:colOff>
      <xdr:row>21</xdr:row>
      <xdr:rowOff>127676</xdr:rowOff>
    </xdr:to>
    <xdr:sp macro="" textlink="ANALYSIS!BY2">
      <xdr:nvSpPr>
        <xdr:cNvPr id="191" name="TextBox 190">
          <a:extLst>
            <a:ext uri="{FF2B5EF4-FFF2-40B4-BE49-F238E27FC236}">
              <a16:creationId xmlns:a16="http://schemas.microsoft.com/office/drawing/2014/main" id="{8D5F2E6E-4F01-45BA-B2B0-7AA6112B27ED}"/>
            </a:ext>
          </a:extLst>
        </xdr:cNvPr>
        <xdr:cNvSpPr txBox="1"/>
      </xdr:nvSpPr>
      <xdr:spPr>
        <a:xfrm>
          <a:off x="14979055" y="3891216"/>
          <a:ext cx="638712" cy="236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02E0BF0-09D0-47C2-B3C0-00FDAD9DA9AF}" type="TxLink">
            <a:rPr lang="en-US" sz="1200" b="0" i="0" u="none" strike="noStrike">
              <a:ln>
                <a:noFill/>
              </a:ln>
              <a:solidFill>
                <a:srgbClr val="000000"/>
              </a:solidFill>
              <a:latin typeface="Helvetica" panose="020B0604020202020204" pitchFamily="34" charset="0"/>
              <a:cs typeface="Helvetica" panose="020B0604020202020204" pitchFamily="34" charset="0"/>
            </a:rPr>
            <a:pPr/>
            <a:t>384</a:t>
          </a:fld>
          <a:endParaRPr lang="en-US" sz="1200" b="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23</xdr:col>
      <xdr:colOff>131745</xdr:colOff>
      <xdr:row>20</xdr:row>
      <xdr:rowOff>89261</xdr:rowOff>
    </xdr:from>
    <xdr:to>
      <xdr:col>23</xdr:col>
      <xdr:colOff>131745</xdr:colOff>
      <xdr:row>21</xdr:row>
      <xdr:rowOff>107770</xdr:rowOff>
    </xdr:to>
    <xdr:cxnSp macro="">
      <xdr:nvCxnSpPr>
        <xdr:cNvPr id="6" name="Straight Connector 5">
          <a:extLst>
            <a:ext uri="{FF2B5EF4-FFF2-40B4-BE49-F238E27FC236}">
              <a16:creationId xmlns:a16="http://schemas.microsoft.com/office/drawing/2014/main" id="{ADB063A5-E11B-4C81-BAED-9C1DE9E4FD94}"/>
            </a:ext>
          </a:extLst>
        </xdr:cNvPr>
        <xdr:cNvCxnSpPr/>
      </xdr:nvCxnSpPr>
      <xdr:spPr>
        <a:xfrm>
          <a:off x="14215138" y="3899261"/>
          <a:ext cx="0" cy="209009"/>
        </a:xfrm>
        <a:prstGeom prst="line">
          <a:avLst/>
        </a:prstGeom>
        <a:ln w="19050">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91174</xdr:colOff>
      <xdr:row>22</xdr:row>
      <xdr:rowOff>186817</xdr:rowOff>
    </xdr:from>
    <xdr:to>
      <xdr:col>24</xdr:col>
      <xdr:colOff>604634</xdr:colOff>
      <xdr:row>24</xdr:row>
      <xdr:rowOff>120560</xdr:rowOff>
    </xdr:to>
    <xdr:sp macro="" textlink="">
      <xdr:nvSpPr>
        <xdr:cNvPr id="243" name="TextBox 242">
          <a:extLst>
            <a:ext uri="{FF2B5EF4-FFF2-40B4-BE49-F238E27FC236}">
              <a16:creationId xmlns:a16="http://schemas.microsoft.com/office/drawing/2014/main" id="{F8348DDD-71FD-4F92-98F5-AF0C66FE4670}"/>
            </a:ext>
          </a:extLst>
        </xdr:cNvPr>
        <xdr:cNvSpPr txBox="1"/>
      </xdr:nvSpPr>
      <xdr:spPr>
        <a:xfrm>
          <a:off x="13562245" y="4377817"/>
          <a:ext cx="1738103" cy="3147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n>
                <a:noFill/>
              </a:ln>
              <a:solidFill>
                <a:schemeClr val="tx1"/>
              </a:solidFill>
              <a:latin typeface="Helvetica" panose="020B0604020202020204" pitchFamily="34" charset="0"/>
              <a:cs typeface="Helvetica" panose="020B0604020202020204" pitchFamily="34" charset="0"/>
            </a:rPr>
            <a:t>Total w/o</a:t>
          </a:r>
          <a:r>
            <a:rPr lang="en-US" sz="1200" baseline="0">
              <a:ln>
                <a:noFill/>
              </a:ln>
              <a:solidFill>
                <a:schemeClr val="tx1"/>
              </a:solidFill>
              <a:latin typeface="Helvetica" panose="020B0604020202020204" pitchFamily="34" charset="0"/>
              <a:cs typeface="Helvetica" panose="020B0604020202020204" pitchFamily="34" charset="0"/>
            </a:rPr>
            <a:t> Shed </a:t>
          </a:r>
          <a:r>
            <a:rPr lang="en-US" sz="1200">
              <a:ln>
                <a:noFill/>
              </a:ln>
              <a:solidFill>
                <a:schemeClr val="tx1"/>
              </a:solidFill>
              <a:latin typeface="Helvetica" panose="020B0604020202020204" pitchFamily="34" charset="0"/>
              <a:cs typeface="Helvetica" panose="020B0604020202020204" pitchFamily="34" charset="0"/>
            </a:rPr>
            <a:t>:</a:t>
          </a:r>
        </a:p>
      </xdr:txBody>
    </xdr:sp>
    <xdr:clientData/>
  </xdr:twoCellAnchor>
  <xdr:twoCellAnchor>
    <xdr:from>
      <xdr:col>22</xdr:col>
      <xdr:colOff>79014</xdr:colOff>
      <xdr:row>24</xdr:row>
      <xdr:rowOff>11079</xdr:rowOff>
    </xdr:from>
    <xdr:to>
      <xdr:col>23</xdr:col>
      <xdr:colOff>219172</xdr:colOff>
      <xdr:row>25</xdr:row>
      <xdr:rowOff>135088</xdr:rowOff>
    </xdr:to>
    <xdr:sp macro="" textlink="">
      <xdr:nvSpPr>
        <xdr:cNvPr id="244" name="TextBox 243">
          <a:extLst>
            <a:ext uri="{FF2B5EF4-FFF2-40B4-BE49-F238E27FC236}">
              <a16:creationId xmlns:a16="http://schemas.microsoft.com/office/drawing/2014/main" id="{CFCC326C-4A5D-4D3C-8282-175A0DF47F71}"/>
            </a:ext>
          </a:extLst>
        </xdr:cNvPr>
        <xdr:cNvSpPr txBox="1"/>
      </xdr:nvSpPr>
      <xdr:spPr>
        <a:xfrm>
          <a:off x="13550085" y="4583079"/>
          <a:ext cx="752480" cy="3145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n>
                <a:noFill/>
              </a:ln>
              <a:solidFill>
                <a:schemeClr val="tx1"/>
              </a:solidFill>
              <a:latin typeface="Helvetica" panose="020B0604020202020204" pitchFamily="34" charset="0"/>
              <a:cs typeface="Helvetica" panose="020B0604020202020204" pitchFamily="34" charset="0"/>
            </a:rPr>
            <a:t>T.</a:t>
          </a:r>
          <a:r>
            <a:rPr lang="en-US" sz="1200" baseline="0">
              <a:ln>
                <a:noFill/>
              </a:ln>
              <a:solidFill>
                <a:schemeClr val="tx1"/>
              </a:solidFill>
              <a:latin typeface="Helvetica" panose="020B0604020202020204" pitchFamily="34" charset="0"/>
              <a:cs typeface="Helvetica" panose="020B0604020202020204" pitchFamily="34" charset="0"/>
            </a:rPr>
            <a:t> H </a:t>
          </a:r>
          <a:r>
            <a:rPr lang="en-US" sz="1200">
              <a:ln>
                <a:noFill/>
              </a:ln>
              <a:solidFill>
                <a:schemeClr val="tx1"/>
              </a:solidFill>
              <a:latin typeface="Helvetica" panose="020B0604020202020204" pitchFamily="34" charset="0"/>
              <a:cs typeface="Helvetica" panose="020B0604020202020204" pitchFamily="34" charset="0"/>
            </a:rPr>
            <a:t>:</a:t>
          </a:r>
        </a:p>
      </xdr:txBody>
    </xdr:sp>
    <xdr:clientData/>
  </xdr:twoCellAnchor>
  <xdr:twoCellAnchor>
    <xdr:from>
      <xdr:col>24</xdr:col>
      <xdr:colOff>136017</xdr:colOff>
      <xdr:row>22</xdr:row>
      <xdr:rowOff>164630</xdr:rowOff>
    </xdr:from>
    <xdr:to>
      <xdr:col>25</xdr:col>
      <xdr:colOff>306652</xdr:colOff>
      <xdr:row>24</xdr:row>
      <xdr:rowOff>44047</xdr:rowOff>
    </xdr:to>
    <xdr:sp macro="" textlink="Pivot_analysis!AA5">
      <xdr:nvSpPr>
        <xdr:cNvPr id="245" name="TextBox 244">
          <a:extLst>
            <a:ext uri="{FF2B5EF4-FFF2-40B4-BE49-F238E27FC236}">
              <a16:creationId xmlns:a16="http://schemas.microsoft.com/office/drawing/2014/main" id="{FBF52313-8212-4369-8259-519153E44534}"/>
            </a:ext>
          </a:extLst>
        </xdr:cNvPr>
        <xdr:cNvSpPr txBox="1"/>
      </xdr:nvSpPr>
      <xdr:spPr>
        <a:xfrm>
          <a:off x="14831731" y="4355630"/>
          <a:ext cx="782957" cy="260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1BDEA39-19E0-4D71-9B21-1A834729E883}" type="TxLink">
            <a:rPr lang="en-US" sz="1200" b="0" i="0" u="none" strike="noStrike">
              <a:ln>
                <a:noFill/>
              </a:ln>
              <a:solidFill>
                <a:srgbClr val="000000"/>
              </a:solidFill>
              <a:latin typeface="Helvetica" panose="020B0604020202020204" pitchFamily="34" charset="0"/>
              <a:cs typeface="Helvetica" panose="020B0604020202020204" pitchFamily="34" charset="0"/>
            </a:rPr>
            <a:pPr/>
            <a:t>9058</a:t>
          </a:fld>
          <a:endParaRPr lang="en-US" sz="120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22</xdr:col>
      <xdr:colOff>608436</xdr:colOff>
      <xdr:row>24</xdr:row>
      <xdr:rowOff>15763</xdr:rowOff>
    </xdr:from>
    <xdr:to>
      <xdr:col>23</xdr:col>
      <xdr:colOff>609768</xdr:colOff>
      <xdr:row>25</xdr:row>
      <xdr:rowOff>102186</xdr:rowOff>
    </xdr:to>
    <xdr:sp macro="" textlink="Pivot_analysis!AA6">
      <xdr:nvSpPr>
        <xdr:cNvPr id="246" name="TextBox 245">
          <a:extLst>
            <a:ext uri="{FF2B5EF4-FFF2-40B4-BE49-F238E27FC236}">
              <a16:creationId xmlns:a16="http://schemas.microsoft.com/office/drawing/2014/main" id="{F31326D4-446F-4164-8900-24BD00D02419}"/>
            </a:ext>
          </a:extLst>
        </xdr:cNvPr>
        <xdr:cNvSpPr txBox="1"/>
      </xdr:nvSpPr>
      <xdr:spPr>
        <a:xfrm>
          <a:off x="14079507" y="4587763"/>
          <a:ext cx="613654" cy="2769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99C8E33-851C-498E-9FA9-643E4D881E96}" type="TxLink">
            <a:rPr lang="en-US" sz="1200" b="0" i="0" u="none" strike="noStrike">
              <a:ln>
                <a:noFill/>
              </a:ln>
              <a:solidFill>
                <a:srgbClr val="000000"/>
              </a:solidFill>
              <a:latin typeface="Helvetica" panose="020B0604020202020204" pitchFamily="34" charset="0"/>
              <a:cs typeface="Helvetica" panose="020B0604020202020204" pitchFamily="34" charset="0"/>
            </a:rPr>
            <a:pPr/>
            <a:t>1569</a:t>
          </a:fld>
          <a:endParaRPr lang="en-US" sz="120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22</xdr:col>
      <xdr:colOff>81445</xdr:colOff>
      <xdr:row>21</xdr:row>
      <xdr:rowOff>174514</xdr:rowOff>
    </xdr:from>
    <xdr:to>
      <xdr:col>24</xdr:col>
      <xdr:colOff>252978</xdr:colOff>
      <xdr:row>23</xdr:row>
      <xdr:rowOff>119733</xdr:rowOff>
    </xdr:to>
    <xdr:sp macro="" textlink="">
      <xdr:nvSpPr>
        <xdr:cNvPr id="247" name="TextBox 246">
          <a:extLst>
            <a:ext uri="{FF2B5EF4-FFF2-40B4-BE49-F238E27FC236}">
              <a16:creationId xmlns:a16="http://schemas.microsoft.com/office/drawing/2014/main" id="{B225C9EA-E76A-438E-B630-41416A7F2A6D}"/>
            </a:ext>
          </a:extLst>
        </xdr:cNvPr>
        <xdr:cNvSpPr txBox="1"/>
      </xdr:nvSpPr>
      <xdr:spPr>
        <a:xfrm>
          <a:off x="13552516" y="4175014"/>
          <a:ext cx="1396176" cy="326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ln>
                <a:noFill/>
              </a:ln>
              <a:solidFill>
                <a:schemeClr val="tx1"/>
              </a:solidFill>
              <a:latin typeface="Helvetica" panose="020B0604020202020204" pitchFamily="34" charset="0"/>
              <a:cs typeface="Helvetica" panose="020B0604020202020204" pitchFamily="34" charset="0"/>
            </a:rPr>
            <a:t>Total Shed :</a:t>
          </a:r>
        </a:p>
      </xdr:txBody>
    </xdr:sp>
    <xdr:clientData/>
  </xdr:twoCellAnchor>
  <xdr:twoCellAnchor>
    <xdr:from>
      <xdr:col>23</xdr:col>
      <xdr:colOff>437166</xdr:colOff>
      <xdr:row>21</xdr:row>
      <xdr:rowOff>169683</xdr:rowOff>
    </xdr:from>
    <xdr:to>
      <xdr:col>25</xdr:col>
      <xdr:colOff>51421</xdr:colOff>
      <xdr:row>23</xdr:row>
      <xdr:rowOff>50387</xdr:rowOff>
    </xdr:to>
    <xdr:sp macro="" textlink="Pivot_analysis!AA4">
      <xdr:nvSpPr>
        <xdr:cNvPr id="248" name="TextBox 247">
          <a:extLst>
            <a:ext uri="{FF2B5EF4-FFF2-40B4-BE49-F238E27FC236}">
              <a16:creationId xmlns:a16="http://schemas.microsoft.com/office/drawing/2014/main" id="{9BED2A4D-AF3A-48DD-9A3C-02F7043C6D2D}"/>
            </a:ext>
          </a:extLst>
        </xdr:cNvPr>
        <xdr:cNvSpPr txBox="1"/>
      </xdr:nvSpPr>
      <xdr:spPr>
        <a:xfrm>
          <a:off x="14520559" y="4170183"/>
          <a:ext cx="838898" cy="2617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7DB610C-7BFC-4359-8050-374E0FBBC4D2}" type="TxLink">
            <a:rPr lang="en-US" sz="1200" b="0" i="0" u="none" strike="noStrike">
              <a:ln>
                <a:noFill/>
              </a:ln>
              <a:solidFill>
                <a:srgbClr val="000000"/>
              </a:solidFill>
              <a:latin typeface="Helvetica" panose="020B0604020202020204" pitchFamily="34" charset="0"/>
              <a:cs typeface="Helvetica" panose="020B0604020202020204" pitchFamily="34" charset="0"/>
            </a:rPr>
            <a:pPr/>
            <a:t>5362</a:t>
          </a:fld>
          <a:endParaRPr lang="en-US" sz="1200" b="0" i="0" u="none" strike="noStrike">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23</xdr:col>
      <xdr:colOff>546817</xdr:colOff>
      <xdr:row>24</xdr:row>
      <xdr:rowOff>1127</xdr:rowOff>
    </xdr:from>
    <xdr:to>
      <xdr:col>25</xdr:col>
      <xdr:colOff>153490</xdr:colOff>
      <xdr:row>25</xdr:row>
      <xdr:rowOff>125136</xdr:rowOff>
    </xdr:to>
    <xdr:sp macro="" textlink="">
      <xdr:nvSpPr>
        <xdr:cNvPr id="249" name="TextBox 248">
          <a:extLst>
            <a:ext uri="{FF2B5EF4-FFF2-40B4-BE49-F238E27FC236}">
              <a16:creationId xmlns:a16="http://schemas.microsoft.com/office/drawing/2014/main" id="{9C765A45-7561-4AEB-A229-DDEBF76C5C38}"/>
            </a:ext>
          </a:extLst>
        </xdr:cNvPr>
        <xdr:cNvSpPr txBox="1"/>
      </xdr:nvSpPr>
      <xdr:spPr>
        <a:xfrm>
          <a:off x="14630210" y="4573127"/>
          <a:ext cx="831316" cy="314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n>
                <a:noFill/>
              </a:ln>
              <a:solidFill>
                <a:schemeClr val="tx1"/>
              </a:solidFill>
              <a:latin typeface="Helvetica" panose="020B0604020202020204" pitchFamily="34" charset="0"/>
              <a:cs typeface="Helvetica" panose="020B0604020202020204" pitchFamily="34" charset="0"/>
            </a:rPr>
            <a:t>T.</a:t>
          </a:r>
          <a:r>
            <a:rPr lang="en-US" sz="1200" baseline="0">
              <a:ln>
                <a:noFill/>
              </a:ln>
              <a:solidFill>
                <a:schemeClr val="tx1"/>
              </a:solidFill>
              <a:latin typeface="Helvetica" panose="020B0604020202020204" pitchFamily="34" charset="0"/>
              <a:cs typeface="Helvetica" panose="020B0604020202020204" pitchFamily="34" charset="0"/>
            </a:rPr>
            <a:t> M </a:t>
          </a:r>
          <a:r>
            <a:rPr lang="en-US" sz="1200">
              <a:ln>
                <a:noFill/>
              </a:ln>
              <a:solidFill>
                <a:schemeClr val="tx1"/>
              </a:solidFill>
              <a:latin typeface="Helvetica" panose="020B0604020202020204" pitchFamily="34" charset="0"/>
              <a:cs typeface="Helvetica" panose="020B0604020202020204" pitchFamily="34" charset="0"/>
            </a:rPr>
            <a:t>:</a:t>
          </a:r>
        </a:p>
      </xdr:txBody>
    </xdr:sp>
    <xdr:clientData/>
  </xdr:twoCellAnchor>
  <xdr:twoCellAnchor>
    <xdr:from>
      <xdr:col>24</xdr:col>
      <xdr:colOff>474865</xdr:colOff>
      <xdr:row>24</xdr:row>
      <xdr:rowOff>8567</xdr:rowOff>
    </xdr:from>
    <xdr:to>
      <xdr:col>26</xdr:col>
      <xdr:colOff>84113</xdr:colOff>
      <xdr:row>25</xdr:row>
      <xdr:rowOff>72044</xdr:rowOff>
    </xdr:to>
    <xdr:sp macro="" textlink="Pivot_analysis!AA7">
      <xdr:nvSpPr>
        <xdr:cNvPr id="250" name="TextBox 249">
          <a:extLst>
            <a:ext uri="{FF2B5EF4-FFF2-40B4-BE49-F238E27FC236}">
              <a16:creationId xmlns:a16="http://schemas.microsoft.com/office/drawing/2014/main" id="{8C680E46-6B6A-4557-B2EC-72DC1926D8ED}"/>
            </a:ext>
          </a:extLst>
        </xdr:cNvPr>
        <xdr:cNvSpPr txBox="1"/>
      </xdr:nvSpPr>
      <xdr:spPr>
        <a:xfrm>
          <a:off x="15170579" y="4580567"/>
          <a:ext cx="833891" cy="253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3E329A0-D07B-4968-96B2-EABD7D45FE41}" type="TxLink">
            <a:rPr lang="en-US" sz="1200" b="0" i="0" u="none" strike="noStrike">
              <a:ln>
                <a:noFill/>
              </a:ln>
              <a:solidFill>
                <a:srgbClr val="000000"/>
              </a:solidFill>
              <a:latin typeface="Helvetica" panose="020B0604020202020204" pitchFamily="34" charset="0"/>
              <a:cs typeface="Helvetica" panose="020B0604020202020204" pitchFamily="34" charset="0"/>
            </a:rPr>
            <a:pPr/>
            <a:t>14420</a:t>
          </a:fld>
          <a:endParaRPr lang="en-US" sz="1200">
            <a:ln>
              <a:noFill/>
            </a:ln>
            <a:solidFill>
              <a:schemeClr val="tx1"/>
            </a:solidFill>
            <a:latin typeface="Helvetica" panose="020B0604020202020204" pitchFamily="34" charset="0"/>
            <a:cs typeface="Helvetica" panose="020B0604020202020204" pitchFamily="34" charset="0"/>
          </a:endParaRPr>
        </a:p>
      </xdr:txBody>
    </xdr:sp>
    <xdr:clientData/>
  </xdr:twoCellAnchor>
  <xdr:twoCellAnchor>
    <xdr:from>
      <xdr:col>23</xdr:col>
      <xdr:colOff>609053</xdr:colOff>
      <xdr:row>24</xdr:row>
      <xdr:rowOff>65527</xdr:rowOff>
    </xdr:from>
    <xdr:to>
      <xdr:col>23</xdr:col>
      <xdr:colOff>609053</xdr:colOff>
      <xdr:row>25</xdr:row>
      <xdr:rowOff>84036</xdr:rowOff>
    </xdr:to>
    <xdr:cxnSp macro="">
      <xdr:nvCxnSpPr>
        <xdr:cNvPr id="251" name="Straight Connector 250">
          <a:extLst>
            <a:ext uri="{FF2B5EF4-FFF2-40B4-BE49-F238E27FC236}">
              <a16:creationId xmlns:a16="http://schemas.microsoft.com/office/drawing/2014/main" id="{3DF7B2FD-E10F-4A45-8899-452A44564134}"/>
            </a:ext>
          </a:extLst>
        </xdr:cNvPr>
        <xdr:cNvCxnSpPr/>
      </xdr:nvCxnSpPr>
      <xdr:spPr>
        <a:xfrm>
          <a:off x="14692446" y="4637527"/>
          <a:ext cx="0" cy="209009"/>
        </a:xfrm>
        <a:prstGeom prst="line">
          <a:avLst/>
        </a:prstGeom>
        <a:ln w="12700"/>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202261</xdr:colOff>
      <xdr:row>59</xdr:row>
      <xdr:rowOff>72625</xdr:rowOff>
    </xdr:from>
    <xdr:to>
      <xdr:col>16</xdr:col>
      <xdr:colOff>48668</xdr:colOff>
      <xdr:row>75</xdr:row>
      <xdr:rowOff>12463</xdr:rowOff>
    </xdr:to>
    <xdr:sp macro="" textlink="">
      <xdr:nvSpPr>
        <xdr:cNvPr id="255" name="Rectangle: Rounded Corners 254">
          <a:extLst>
            <a:ext uri="{FF2B5EF4-FFF2-40B4-BE49-F238E27FC236}">
              <a16:creationId xmlns:a16="http://schemas.microsoft.com/office/drawing/2014/main" id="{AAF8B3B7-3502-486E-B624-DC9A71617651}"/>
            </a:ext>
          </a:extLst>
        </xdr:cNvPr>
        <xdr:cNvSpPr/>
      </xdr:nvSpPr>
      <xdr:spPr>
        <a:xfrm>
          <a:off x="5100832" y="11312125"/>
          <a:ext cx="4744979" cy="2987838"/>
        </a:xfrm>
        <a:prstGeom prst="roundRect">
          <a:avLst>
            <a:gd name="adj" fmla="val 1108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noFill/>
            </a:ln>
            <a:latin typeface="Arial" panose="020B0604020202020204" pitchFamily="34" charset="0"/>
            <a:cs typeface="Arial" panose="020B0604020202020204" pitchFamily="34" charset="0"/>
          </a:endParaRPr>
        </a:p>
      </xdr:txBody>
    </xdr:sp>
    <xdr:clientData/>
  </xdr:twoCellAnchor>
  <xdr:twoCellAnchor>
    <xdr:from>
      <xdr:col>21</xdr:col>
      <xdr:colOff>220716</xdr:colOff>
      <xdr:row>15</xdr:row>
      <xdr:rowOff>2451</xdr:rowOff>
    </xdr:from>
    <xdr:to>
      <xdr:col>25</xdr:col>
      <xdr:colOff>606793</xdr:colOff>
      <xdr:row>16</xdr:row>
      <xdr:rowOff>142151</xdr:rowOff>
    </xdr:to>
    <xdr:sp macro="" textlink="">
      <xdr:nvSpPr>
        <xdr:cNvPr id="175" name="TextBox 174">
          <a:extLst>
            <a:ext uri="{FF2B5EF4-FFF2-40B4-BE49-F238E27FC236}">
              <a16:creationId xmlns:a16="http://schemas.microsoft.com/office/drawing/2014/main" id="{AB555076-4FFD-4B30-BB54-245ED681435B}"/>
            </a:ext>
          </a:extLst>
        </xdr:cNvPr>
        <xdr:cNvSpPr txBox="1"/>
      </xdr:nvSpPr>
      <xdr:spPr>
        <a:xfrm>
          <a:off x="13079466" y="2859951"/>
          <a:ext cx="2835363"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ln>
                <a:noFill/>
              </a:ln>
              <a:solidFill>
                <a:srgbClr val="FF3300"/>
              </a:solidFill>
              <a:latin typeface="Arial" panose="020B0604020202020204" pitchFamily="34" charset="0"/>
              <a:cs typeface="Arial" panose="020B0604020202020204" pitchFamily="34" charset="0"/>
            </a:rPr>
            <a:t>New Shed &amp; Bracket</a:t>
          </a:r>
        </a:p>
      </xdr:txBody>
    </xdr:sp>
    <xdr:clientData/>
  </xdr:twoCellAnchor>
  <xdr:twoCellAnchor>
    <xdr:from>
      <xdr:col>21</xdr:col>
      <xdr:colOff>354493</xdr:colOff>
      <xdr:row>16</xdr:row>
      <xdr:rowOff>48828</xdr:rowOff>
    </xdr:from>
    <xdr:to>
      <xdr:col>26</xdr:col>
      <xdr:colOff>1770</xdr:colOff>
      <xdr:row>16</xdr:row>
      <xdr:rowOff>50819</xdr:rowOff>
    </xdr:to>
    <xdr:cxnSp macro="">
      <xdr:nvCxnSpPr>
        <xdr:cNvPr id="192" name="Straight Connector 191">
          <a:extLst>
            <a:ext uri="{FF2B5EF4-FFF2-40B4-BE49-F238E27FC236}">
              <a16:creationId xmlns:a16="http://schemas.microsoft.com/office/drawing/2014/main" id="{B25FE64B-FA27-4367-890D-632E0CE4B977}"/>
            </a:ext>
          </a:extLst>
        </xdr:cNvPr>
        <xdr:cNvCxnSpPr/>
      </xdr:nvCxnSpPr>
      <xdr:spPr>
        <a:xfrm>
          <a:off x="13213243" y="3096828"/>
          <a:ext cx="2708884" cy="1991"/>
        </a:xfrm>
        <a:prstGeom prst="line">
          <a:avLst/>
        </a:prstGeom>
        <a:ln>
          <a:solidFill>
            <a:srgbClr val="FFC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97852</xdr:colOff>
      <xdr:row>14</xdr:row>
      <xdr:rowOff>181242</xdr:rowOff>
    </xdr:from>
    <xdr:to>
      <xdr:col>20</xdr:col>
      <xdr:colOff>483931</xdr:colOff>
      <xdr:row>16</xdr:row>
      <xdr:rowOff>130442</xdr:rowOff>
    </xdr:to>
    <xdr:sp macro="" textlink="">
      <xdr:nvSpPr>
        <xdr:cNvPr id="193" name="TextBox 192">
          <a:extLst>
            <a:ext uri="{FF2B5EF4-FFF2-40B4-BE49-F238E27FC236}">
              <a16:creationId xmlns:a16="http://schemas.microsoft.com/office/drawing/2014/main" id="{2BECC5A3-6A66-43B8-A622-FDCC02869EF8}"/>
            </a:ext>
          </a:extLst>
        </xdr:cNvPr>
        <xdr:cNvSpPr txBox="1"/>
      </xdr:nvSpPr>
      <xdr:spPr>
        <a:xfrm>
          <a:off x="9894995" y="2848242"/>
          <a:ext cx="2835365"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ln>
                <a:noFill/>
              </a:ln>
              <a:solidFill>
                <a:srgbClr val="FF3300"/>
              </a:solidFill>
              <a:latin typeface="Arial" panose="020B0604020202020204" pitchFamily="34" charset="0"/>
              <a:cs typeface="Arial" panose="020B0604020202020204" pitchFamily="34" charset="0"/>
            </a:rPr>
            <a:t>New Riser</a:t>
          </a:r>
          <a:r>
            <a:rPr lang="en-US" sz="1200" baseline="0">
              <a:ln>
                <a:noFill/>
              </a:ln>
              <a:solidFill>
                <a:srgbClr val="FF3300"/>
              </a:solidFill>
              <a:latin typeface="Arial" panose="020B0604020202020204" pitchFamily="34" charset="0"/>
              <a:cs typeface="Arial" panose="020B0604020202020204" pitchFamily="34" charset="0"/>
            </a:rPr>
            <a:t> Con. Com.</a:t>
          </a:r>
          <a:endParaRPr lang="en-US" sz="1200">
            <a:ln>
              <a:noFill/>
            </a:ln>
            <a:solidFill>
              <a:srgbClr val="FF3300"/>
            </a:solidFill>
            <a:latin typeface="Arial" panose="020B0604020202020204" pitchFamily="34" charset="0"/>
            <a:cs typeface="Arial" panose="020B0604020202020204" pitchFamily="34" charset="0"/>
          </a:endParaRPr>
        </a:p>
      </xdr:txBody>
    </xdr:sp>
    <xdr:clientData/>
  </xdr:twoCellAnchor>
  <xdr:twoCellAnchor>
    <xdr:from>
      <xdr:col>16</xdr:col>
      <xdr:colOff>231628</xdr:colOff>
      <xdr:row>16</xdr:row>
      <xdr:rowOff>37119</xdr:rowOff>
    </xdr:from>
    <xdr:to>
      <xdr:col>20</xdr:col>
      <xdr:colOff>491227</xdr:colOff>
      <xdr:row>16</xdr:row>
      <xdr:rowOff>39110</xdr:rowOff>
    </xdr:to>
    <xdr:cxnSp macro="">
      <xdr:nvCxnSpPr>
        <xdr:cNvPr id="194" name="Straight Connector 193">
          <a:extLst>
            <a:ext uri="{FF2B5EF4-FFF2-40B4-BE49-F238E27FC236}">
              <a16:creationId xmlns:a16="http://schemas.microsoft.com/office/drawing/2014/main" id="{BCEC768C-5DC6-41C2-9B22-49FFE68D813B}"/>
            </a:ext>
          </a:extLst>
        </xdr:cNvPr>
        <xdr:cNvCxnSpPr/>
      </xdr:nvCxnSpPr>
      <xdr:spPr>
        <a:xfrm>
          <a:off x="10028771" y="3085119"/>
          <a:ext cx="2708885" cy="1991"/>
        </a:xfrm>
        <a:prstGeom prst="line">
          <a:avLst/>
        </a:prstGeom>
        <a:ln>
          <a:solidFill>
            <a:srgbClr val="FFC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185485</xdr:colOff>
      <xdr:row>59</xdr:row>
      <xdr:rowOff>81643</xdr:rowOff>
    </xdr:from>
    <xdr:to>
      <xdr:col>36</xdr:col>
      <xdr:colOff>402413</xdr:colOff>
      <xdr:row>75</xdr:row>
      <xdr:rowOff>40408</xdr:rowOff>
    </xdr:to>
    <xdr:sp macro="" textlink="">
      <xdr:nvSpPr>
        <xdr:cNvPr id="215" name="Rectangle: Rounded Corners 214">
          <a:extLst>
            <a:ext uri="{FF2B5EF4-FFF2-40B4-BE49-F238E27FC236}">
              <a16:creationId xmlns:a16="http://schemas.microsoft.com/office/drawing/2014/main" id="{7E963A81-6F71-4F49-91F1-900D0419551F}"/>
            </a:ext>
          </a:extLst>
        </xdr:cNvPr>
        <xdr:cNvSpPr/>
      </xdr:nvSpPr>
      <xdr:spPr>
        <a:xfrm>
          <a:off x="9982628" y="11321143"/>
          <a:ext cx="12463356" cy="3006765"/>
        </a:xfrm>
        <a:prstGeom prst="roundRect">
          <a:avLst>
            <a:gd name="adj" fmla="val 1108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noFill/>
            </a:ln>
            <a:latin typeface="Arial" panose="020B0604020202020204" pitchFamily="34" charset="0"/>
            <a:cs typeface="Arial" panose="020B0604020202020204" pitchFamily="34" charset="0"/>
          </a:endParaRPr>
        </a:p>
      </xdr:txBody>
    </xdr:sp>
    <xdr:clientData/>
  </xdr:twoCellAnchor>
  <xdr:twoCellAnchor>
    <xdr:from>
      <xdr:col>16</xdr:col>
      <xdr:colOff>215889</xdr:colOff>
      <xdr:row>59</xdr:row>
      <xdr:rowOff>27214</xdr:rowOff>
    </xdr:from>
    <xdr:to>
      <xdr:col>36</xdr:col>
      <xdr:colOff>408215</xdr:colOff>
      <xdr:row>75</xdr:row>
      <xdr:rowOff>116967</xdr:rowOff>
    </xdr:to>
    <xdr:graphicFrame macro="">
      <xdr:nvGraphicFramePr>
        <xdr:cNvPr id="213" name="Chart 212">
          <a:extLst>
            <a:ext uri="{FF2B5EF4-FFF2-40B4-BE49-F238E27FC236}">
              <a16:creationId xmlns:a16="http://schemas.microsoft.com/office/drawing/2014/main" id="{5A90C51F-B678-44DB-B86A-B8430B84E3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30</xdr:col>
      <xdr:colOff>85202</xdr:colOff>
      <xdr:row>31</xdr:row>
      <xdr:rowOff>76390</xdr:rowOff>
    </xdr:from>
    <xdr:to>
      <xdr:col>36</xdr:col>
      <xdr:colOff>372009</xdr:colOff>
      <xdr:row>42</xdr:row>
      <xdr:rowOff>58542</xdr:rowOff>
    </xdr:to>
    <mc:AlternateContent xmlns:mc="http://schemas.openxmlformats.org/markup-compatibility/2006" xmlns:a14="http://schemas.microsoft.com/office/drawing/2010/main">
      <mc:Choice Requires="a14">
        <xdr:graphicFrame macro="">
          <xdr:nvGraphicFramePr>
            <xdr:cNvPr id="209" name="Month 2">
              <a:extLst>
                <a:ext uri="{FF2B5EF4-FFF2-40B4-BE49-F238E27FC236}">
                  <a16:creationId xmlns:a16="http://schemas.microsoft.com/office/drawing/2014/main" id="{C5D49C4C-95CE-4907-A111-1861EF9DFCAE}"/>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18454845" y="5981890"/>
              <a:ext cx="3960735" cy="207765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30</xdr:col>
      <xdr:colOff>76078</xdr:colOff>
      <xdr:row>26</xdr:row>
      <xdr:rowOff>78395</xdr:rowOff>
    </xdr:from>
    <xdr:to>
      <xdr:col>36</xdr:col>
      <xdr:colOff>387209</xdr:colOff>
      <xdr:row>31</xdr:row>
      <xdr:rowOff>113713</xdr:rowOff>
    </xdr:to>
    <mc:AlternateContent xmlns:mc="http://schemas.openxmlformats.org/markup-compatibility/2006" xmlns:a14="http://schemas.microsoft.com/office/drawing/2010/main">
      <mc:Choice Requires="a14">
        <xdr:graphicFrame macro="">
          <xdr:nvGraphicFramePr>
            <xdr:cNvPr id="210" name="Year 1">
              <a:extLst>
                <a:ext uri="{FF2B5EF4-FFF2-40B4-BE49-F238E27FC236}">
                  <a16:creationId xmlns:a16="http://schemas.microsoft.com/office/drawing/2014/main" id="{BFA8320A-B64C-43C8-87C4-3250F6558A35}"/>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8445721" y="5031395"/>
              <a:ext cx="3985059" cy="98781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0</xdr:col>
      <xdr:colOff>327275</xdr:colOff>
      <xdr:row>59</xdr:row>
      <xdr:rowOff>79592</xdr:rowOff>
    </xdr:from>
    <xdr:to>
      <xdr:col>8</xdr:col>
      <xdr:colOff>43555</xdr:colOff>
      <xdr:row>75</xdr:row>
      <xdr:rowOff>17439</xdr:rowOff>
    </xdr:to>
    <xdr:graphicFrame macro="">
      <xdr:nvGraphicFramePr>
        <xdr:cNvPr id="212" name="Chart 211">
          <a:extLst>
            <a:ext uri="{FF2B5EF4-FFF2-40B4-BE49-F238E27FC236}">
              <a16:creationId xmlns:a16="http://schemas.microsoft.com/office/drawing/2014/main" id="{8B6CED90-200E-4991-B4FD-69837AA510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8</xdr:col>
      <xdr:colOff>210776</xdr:colOff>
      <xdr:row>59</xdr:row>
      <xdr:rowOff>42269</xdr:rowOff>
    </xdr:from>
    <xdr:to>
      <xdr:col>16</xdr:col>
      <xdr:colOff>33467</xdr:colOff>
      <xdr:row>74</xdr:row>
      <xdr:rowOff>170616</xdr:rowOff>
    </xdr:to>
    <xdr:graphicFrame macro="">
      <xdr:nvGraphicFramePr>
        <xdr:cNvPr id="211" name="Chart 210">
          <a:extLst>
            <a:ext uri="{FF2B5EF4-FFF2-40B4-BE49-F238E27FC236}">
              <a16:creationId xmlns:a16="http://schemas.microsoft.com/office/drawing/2014/main" id="{6F07D874-5E7E-49E0-BA51-2DAFF6006D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8</xdr:col>
      <xdr:colOff>210775</xdr:colOff>
      <xdr:row>75</xdr:row>
      <xdr:rowOff>137712</xdr:rowOff>
    </xdr:from>
    <xdr:to>
      <xdr:col>36</xdr:col>
      <xdr:colOff>396735</xdr:colOff>
      <xdr:row>91</xdr:row>
      <xdr:rowOff>92137</xdr:rowOff>
    </xdr:to>
    <xdr:sp macro="" textlink="">
      <xdr:nvSpPr>
        <xdr:cNvPr id="223" name="Rectangle: Rounded Corners 222">
          <a:extLst>
            <a:ext uri="{FF2B5EF4-FFF2-40B4-BE49-F238E27FC236}">
              <a16:creationId xmlns:a16="http://schemas.microsoft.com/office/drawing/2014/main" id="{4FCFDD61-CA72-4917-8CD9-BF70D51469CD}"/>
            </a:ext>
          </a:extLst>
        </xdr:cNvPr>
        <xdr:cNvSpPr/>
      </xdr:nvSpPr>
      <xdr:spPr>
        <a:xfrm>
          <a:off x="5109346" y="14425212"/>
          <a:ext cx="17330960" cy="3002425"/>
        </a:xfrm>
        <a:prstGeom prst="roundRect">
          <a:avLst>
            <a:gd name="adj" fmla="val 1108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noFill/>
            </a:ln>
            <a:latin typeface="Arial" panose="020B0604020202020204" pitchFamily="34" charset="0"/>
            <a:cs typeface="Arial" panose="020B0604020202020204" pitchFamily="34" charset="0"/>
          </a:endParaRPr>
        </a:p>
      </xdr:txBody>
    </xdr:sp>
    <xdr:clientData/>
  </xdr:twoCellAnchor>
  <xdr:twoCellAnchor>
    <xdr:from>
      <xdr:col>16</xdr:col>
      <xdr:colOff>404827</xdr:colOff>
      <xdr:row>76</xdr:row>
      <xdr:rowOff>27214</xdr:rowOff>
    </xdr:from>
    <xdr:to>
      <xdr:col>36</xdr:col>
      <xdr:colOff>372010</xdr:colOff>
      <xdr:row>91</xdr:row>
      <xdr:rowOff>104578</xdr:rowOff>
    </xdr:to>
    <xdr:graphicFrame macro="">
      <xdr:nvGraphicFramePr>
        <xdr:cNvPr id="214" name="Chart 213">
          <a:extLst>
            <a:ext uri="{FF2B5EF4-FFF2-40B4-BE49-F238E27FC236}">
              <a16:creationId xmlns:a16="http://schemas.microsoft.com/office/drawing/2014/main" id="{474E7B99-2B16-44C9-BC4E-901929834E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8</xdr:col>
      <xdr:colOff>195573</xdr:colOff>
      <xdr:row>75</xdr:row>
      <xdr:rowOff>154291</xdr:rowOff>
    </xdr:from>
    <xdr:to>
      <xdr:col>16</xdr:col>
      <xdr:colOff>288249</xdr:colOff>
      <xdr:row>91</xdr:row>
      <xdr:rowOff>94129</xdr:rowOff>
    </xdr:to>
    <xdr:sp macro="" textlink="">
      <xdr:nvSpPr>
        <xdr:cNvPr id="240" name="Rectangle: Rounded Corners 239">
          <a:extLst>
            <a:ext uri="{FF2B5EF4-FFF2-40B4-BE49-F238E27FC236}">
              <a16:creationId xmlns:a16="http://schemas.microsoft.com/office/drawing/2014/main" id="{E60F2493-8AFD-4E9C-8D64-F3E458B50F63}"/>
            </a:ext>
          </a:extLst>
        </xdr:cNvPr>
        <xdr:cNvSpPr/>
      </xdr:nvSpPr>
      <xdr:spPr>
        <a:xfrm>
          <a:off x="5094144" y="14441791"/>
          <a:ext cx="4991248" cy="2987838"/>
        </a:xfrm>
        <a:prstGeom prst="roundRect">
          <a:avLst>
            <a:gd name="adj" fmla="val 1108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r"/>
          <a:endParaRPr lang="en-US" sz="1200">
            <a:ln>
              <a:noFill/>
            </a:ln>
            <a:latin typeface="Segoe UI" panose="020B0502040204020203" pitchFamily="34" charset="0"/>
            <a:cs typeface="Segoe UI" panose="020B0502040204020203" pitchFamily="34" charset="0"/>
          </a:endParaRPr>
        </a:p>
      </xdr:txBody>
    </xdr:sp>
    <xdr:clientData/>
  </xdr:twoCellAnchor>
  <xdr:twoCellAnchor>
    <xdr:from>
      <xdr:col>9</xdr:col>
      <xdr:colOff>253894</xdr:colOff>
      <xdr:row>79</xdr:row>
      <xdr:rowOff>168409</xdr:rowOff>
    </xdr:from>
    <xdr:to>
      <xdr:col>13</xdr:col>
      <xdr:colOff>234315</xdr:colOff>
      <xdr:row>81</xdr:row>
      <xdr:rowOff>60769</xdr:rowOff>
    </xdr:to>
    <xdr:sp macro="" textlink="">
      <xdr:nvSpPr>
        <xdr:cNvPr id="242" name="TextBox 9">
          <a:extLst>
            <a:ext uri="{FF2B5EF4-FFF2-40B4-BE49-F238E27FC236}">
              <a16:creationId xmlns:a16="http://schemas.microsoft.com/office/drawing/2014/main" id="{F0A70D4D-ED1F-4CA1-8EC7-E6E20AA7016E}"/>
            </a:ext>
          </a:extLst>
        </xdr:cNvPr>
        <xdr:cNvSpPr txBox="1"/>
      </xdr:nvSpPr>
      <xdr:spPr>
        <a:xfrm>
          <a:off x="5764787" y="15217909"/>
          <a:ext cx="2429707" cy="27336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r"/>
          <a:r>
            <a:rPr lang="en-GB" sz="1200">
              <a:ln>
                <a:noFill/>
              </a:ln>
              <a:latin typeface="Segoe UI" panose="020B0502040204020203" pitchFamily="34" charset="0"/>
              <a:cs typeface="Segoe UI" panose="020B0502040204020203" pitchFamily="34" charset="0"/>
            </a:rPr>
            <a:t>AVERAGE METER INSTALLED:</a:t>
          </a:r>
        </a:p>
      </xdr:txBody>
    </xdr:sp>
    <xdr:clientData/>
  </xdr:twoCellAnchor>
  <xdr:twoCellAnchor>
    <xdr:from>
      <xdr:col>8</xdr:col>
      <xdr:colOff>176895</xdr:colOff>
      <xdr:row>85</xdr:row>
      <xdr:rowOff>168120</xdr:rowOff>
    </xdr:from>
    <xdr:to>
      <xdr:col>13</xdr:col>
      <xdr:colOff>234316</xdr:colOff>
      <xdr:row>88</xdr:row>
      <xdr:rowOff>81642</xdr:rowOff>
    </xdr:to>
    <xdr:sp macro="" textlink="">
      <xdr:nvSpPr>
        <xdr:cNvPr id="252" name="TextBox 10">
          <a:extLst>
            <a:ext uri="{FF2B5EF4-FFF2-40B4-BE49-F238E27FC236}">
              <a16:creationId xmlns:a16="http://schemas.microsoft.com/office/drawing/2014/main" id="{37840011-ED1F-4D9E-8EE6-61160A69B334}"/>
            </a:ext>
          </a:extLst>
        </xdr:cNvPr>
        <xdr:cNvSpPr txBox="1"/>
      </xdr:nvSpPr>
      <xdr:spPr>
        <a:xfrm>
          <a:off x="5075466" y="16360620"/>
          <a:ext cx="3119029" cy="485022"/>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r"/>
          <a:r>
            <a:rPr lang="en-GB" sz="1200">
              <a:ln>
                <a:noFill/>
              </a:ln>
              <a:latin typeface="Segoe UI" panose="020B0502040204020203" pitchFamily="34" charset="0"/>
              <a:cs typeface="Segoe UI" panose="020B0502040204020203" pitchFamily="34" charset="0"/>
            </a:rPr>
            <a:t>APPROXIMATELY DAYS NEED FOR END PROJECT (BASED ON D.A):</a:t>
          </a:r>
        </a:p>
      </xdr:txBody>
    </xdr:sp>
    <xdr:clientData/>
  </xdr:twoCellAnchor>
  <xdr:twoCellAnchor>
    <xdr:from>
      <xdr:col>13</xdr:col>
      <xdr:colOff>307874</xdr:colOff>
      <xdr:row>79</xdr:row>
      <xdr:rowOff>168409</xdr:rowOff>
    </xdr:from>
    <xdr:to>
      <xdr:col>13</xdr:col>
      <xdr:colOff>601849</xdr:colOff>
      <xdr:row>81</xdr:row>
      <xdr:rowOff>63852</xdr:rowOff>
    </xdr:to>
    <xdr:sp macro="" textlink="">
      <xdr:nvSpPr>
        <xdr:cNvPr id="257" name="TextBox 17">
          <a:extLst>
            <a:ext uri="{FF2B5EF4-FFF2-40B4-BE49-F238E27FC236}">
              <a16:creationId xmlns:a16="http://schemas.microsoft.com/office/drawing/2014/main" id="{2340B2B1-9D78-4131-9A0C-A2819E670BCD}"/>
            </a:ext>
          </a:extLst>
        </xdr:cNvPr>
        <xdr:cNvSpPr txBox="1"/>
      </xdr:nvSpPr>
      <xdr:spPr>
        <a:xfrm>
          <a:off x="8268053" y="15217909"/>
          <a:ext cx="293975" cy="2764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GB" sz="1200">
              <a:ln>
                <a:noFill/>
              </a:ln>
              <a:latin typeface="Segoe UI" panose="020B0502040204020203" pitchFamily="34" charset="0"/>
              <a:cs typeface="Segoe UI" panose="020B0502040204020203" pitchFamily="34" charset="0"/>
            </a:rPr>
            <a:t>=</a:t>
          </a:r>
        </a:p>
      </xdr:txBody>
    </xdr:sp>
    <xdr:clientData/>
  </xdr:twoCellAnchor>
  <xdr:twoCellAnchor>
    <xdr:from>
      <xdr:col>13</xdr:col>
      <xdr:colOff>321482</xdr:colOff>
      <xdr:row>86</xdr:row>
      <xdr:rowOff>66060</xdr:rowOff>
    </xdr:from>
    <xdr:to>
      <xdr:col>13</xdr:col>
      <xdr:colOff>600135</xdr:colOff>
      <xdr:row>87</xdr:row>
      <xdr:rowOff>152003</xdr:rowOff>
    </xdr:to>
    <xdr:sp macro="" textlink="">
      <xdr:nvSpPr>
        <xdr:cNvPr id="258" name="TextBox 18">
          <a:extLst>
            <a:ext uri="{FF2B5EF4-FFF2-40B4-BE49-F238E27FC236}">
              <a16:creationId xmlns:a16="http://schemas.microsoft.com/office/drawing/2014/main" id="{F5690D0F-CEE5-4BF2-9B04-CA5BF347DD8F}"/>
            </a:ext>
          </a:extLst>
        </xdr:cNvPr>
        <xdr:cNvSpPr txBox="1"/>
      </xdr:nvSpPr>
      <xdr:spPr>
        <a:xfrm>
          <a:off x="8281661" y="16449060"/>
          <a:ext cx="278653" cy="2764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GB" sz="1200">
              <a:ln>
                <a:noFill/>
              </a:ln>
              <a:latin typeface="Segoe UI" panose="020B0502040204020203" pitchFamily="34" charset="0"/>
              <a:cs typeface="Segoe UI" panose="020B0502040204020203" pitchFamily="34" charset="0"/>
            </a:rPr>
            <a:t>=</a:t>
          </a:r>
        </a:p>
      </xdr:txBody>
    </xdr:sp>
    <xdr:clientData/>
  </xdr:twoCellAnchor>
  <xdr:twoCellAnchor>
    <xdr:from>
      <xdr:col>9</xdr:col>
      <xdr:colOff>332875</xdr:colOff>
      <xdr:row>76</xdr:row>
      <xdr:rowOff>59841</xdr:rowOff>
    </xdr:from>
    <xdr:to>
      <xdr:col>13</xdr:col>
      <xdr:colOff>247920</xdr:colOff>
      <xdr:row>77</xdr:row>
      <xdr:rowOff>142701</xdr:rowOff>
    </xdr:to>
    <xdr:sp macro="" textlink="">
      <xdr:nvSpPr>
        <xdr:cNvPr id="241" name="TextBox 8">
          <a:extLst>
            <a:ext uri="{FF2B5EF4-FFF2-40B4-BE49-F238E27FC236}">
              <a16:creationId xmlns:a16="http://schemas.microsoft.com/office/drawing/2014/main" id="{89EF9DCA-C4F2-4ED5-B370-30EC64F7AC2A}"/>
            </a:ext>
          </a:extLst>
        </xdr:cNvPr>
        <xdr:cNvSpPr txBox="1"/>
      </xdr:nvSpPr>
      <xdr:spPr>
        <a:xfrm>
          <a:off x="5843768" y="14537841"/>
          <a:ext cx="2364331" cy="27336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r"/>
          <a:r>
            <a:rPr lang="en-GB" sz="1200">
              <a:ln>
                <a:noFill/>
              </a:ln>
              <a:latin typeface="Segoe UI" panose="020B0502040204020203" pitchFamily="34" charset="0"/>
              <a:cs typeface="Segoe UI" panose="020B0502040204020203" pitchFamily="34" charset="0"/>
            </a:rPr>
            <a:t>TOTAL WORKING DAYS:</a:t>
          </a:r>
        </a:p>
      </xdr:txBody>
    </xdr:sp>
    <xdr:clientData/>
  </xdr:twoCellAnchor>
  <xdr:twoCellAnchor>
    <xdr:from>
      <xdr:col>13</xdr:col>
      <xdr:colOff>307875</xdr:colOff>
      <xdr:row>76</xdr:row>
      <xdr:rowOff>59841</xdr:rowOff>
    </xdr:from>
    <xdr:to>
      <xdr:col>13</xdr:col>
      <xdr:colOff>601851</xdr:colOff>
      <xdr:row>77</xdr:row>
      <xdr:rowOff>145784</xdr:rowOff>
    </xdr:to>
    <xdr:sp macro="" textlink="">
      <xdr:nvSpPr>
        <xdr:cNvPr id="261" name="TextBox 22">
          <a:extLst>
            <a:ext uri="{FF2B5EF4-FFF2-40B4-BE49-F238E27FC236}">
              <a16:creationId xmlns:a16="http://schemas.microsoft.com/office/drawing/2014/main" id="{BED34E60-BD2D-412F-9D3E-A5BF85963071}"/>
            </a:ext>
          </a:extLst>
        </xdr:cNvPr>
        <xdr:cNvSpPr txBox="1"/>
      </xdr:nvSpPr>
      <xdr:spPr>
        <a:xfrm>
          <a:off x="8268054" y="14537841"/>
          <a:ext cx="293976" cy="2764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GB" sz="1200">
              <a:ln>
                <a:noFill/>
              </a:ln>
              <a:latin typeface="Segoe UI" panose="020B0502040204020203" pitchFamily="34" charset="0"/>
              <a:cs typeface="Segoe UI" panose="020B0502040204020203" pitchFamily="34" charset="0"/>
            </a:rPr>
            <a:t>=</a:t>
          </a:r>
        </a:p>
      </xdr:txBody>
    </xdr:sp>
    <xdr:clientData/>
  </xdr:twoCellAnchor>
  <xdr:twoCellAnchor>
    <xdr:from>
      <xdr:col>14</xdr:col>
      <xdr:colOff>139318</xdr:colOff>
      <xdr:row>76</xdr:row>
      <xdr:rowOff>55548</xdr:rowOff>
    </xdr:from>
    <xdr:to>
      <xdr:col>15</xdr:col>
      <xdr:colOff>323734</xdr:colOff>
      <xdr:row>77</xdr:row>
      <xdr:rowOff>113869</xdr:rowOff>
    </xdr:to>
    <xdr:sp macro="" textlink="ANALYSIS!EE2">
      <xdr:nvSpPr>
        <xdr:cNvPr id="2" name="TextBox 1">
          <a:extLst>
            <a:ext uri="{FF2B5EF4-FFF2-40B4-BE49-F238E27FC236}">
              <a16:creationId xmlns:a16="http://schemas.microsoft.com/office/drawing/2014/main" id="{4B4A741E-DAFC-4968-8C9C-A31FB80913E4}"/>
            </a:ext>
          </a:extLst>
        </xdr:cNvPr>
        <xdr:cNvSpPr txBox="1"/>
      </xdr:nvSpPr>
      <xdr:spPr>
        <a:xfrm>
          <a:off x="8711818" y="14533548"/>
          <a:ext cx="796737" cy="248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D954799D-8FE9-40A3-908E-6DC8F6801CEB}" type="TxLink">
            <a:rPr lang="en-US" sz="1200" b="0" i="0" u="none" strike="noStrike">
              <a:ln>
                <a:noFill/>
              </a:ln>
              <a:solidFill>
                <a:srgbClr val="000000"/>
              </a:solidFill>
              <a:latin typeface="Segoe UI" panose="020B0502040204020203" pitchFamily="34" charset="0"/>
              <a:ea typeface="Calibri"/>
              <a:cs typeface="Segoe UI" panose="020B0502040204020203" pitchFamily="34" charset="0"/>
            </a:rPr>
            <a:pPr marL="0" indent="0" algn="l"/>
            <a:t>236 /379</a:t>
          </a:fld>
          <a:endParaRPr lang="en-GB" sz="1200" b="0" i="0" u="none" strike="noStrike">
            <a:ln>
              <a:noFill/>
            </a:ln>
            <a:solidFill>
              <a:srgbClr val="000000"/>
            </a:solidFill>
            <a:latin typeface="Segoe UI" panose="020B0502040204020203" pitchFamily="34" charset="0"/>
            <a:ea typeface="Calibri"/>
            <a:cs typeface="Segoe UI" panose="020B0502040204020203" pitchFamily="34" charset="0"/>
          </a:endParaRPr>
        </a:p>
      </xdr:txBody>
    </xdr:sp>
    <xdr:clientData/>
  </xdr:twoCellAnchor>
  <xdr:twoCellAnchor>
    <xdr:from>
      <xdr:col>14</xdr:col>
      <xdr:colOff>166532</xdr:colOff>
      <xdr:row>79</xdr:row>
      <xdr:rowOff>176854</xdr:rowOff>
    </xdr:from>
    <xdr:to>
      <xdr:col>15</xdr:col>
      <xdr:colOff>350948</xdr:colOff>
      <xdr:row>81</xdr:row>
      <xdr:rowOff>44675</xdr:rowOff>
    </xdr:to>
    <xdr:sp macro="" textlink="ANALYSIS!DV7">
      <xdr:nvSpPr>
        <xdr:cNvPr id="224" name="TextBox 223">
          <a:extLst>
            <a:ext uri="{FF2B5EF4-FFF2-40B4-BE49-F238E27FC236}">
              <a16:creationId xmlns:a16="http://schemas.microsoft.com/office/drawing/2014/main" id="{8D80F3C7-3E86-40F5-BDB4-840A1C103916}"/>
            </a:ext>
          </a:extLst>
        </xdr:cNvPr>
        <xdr:cNvSpPr txBox="1"/>
      </xdr:nvSpPr>
      <xdr:spPr>
        <a:xfrm>
          <a:off x="8739032" y="15226354"/>
          <a:ext cx="796737" cy="248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1B19BFD-B237-4F60-8F1D-B477117032B4}" type="TxLink">
            <a:rPr lang="en-US" sz="1200" b="0" i="0" u="none" strike="noStrike">
              <a:ln>
                <a:noFill/>
              </a:ln>
              <a:solidFill>
                <a:srgbClr val="000000"/>
              </a:solidFill>
              <a:latin typeface="Segoe UI" panose="020B0502040204020203" pitchFamily="34" charset="0"/>
              <a:ea typeface="Calibri"/>
              <a:cs typeface="Segoe UI" panose="020B0502040204020203" pitchFamily="34" charset="0"/>
            </a:rPr>
            <a:pPr algn="l"/>
            <a:t>241.1228814</a:t>
          </a:fld>
          <a:endParaRPr lang="en-GB" sz="1200">
            <a:ln>
              <a:noFill/>
            </a:ln>
            <a:latin typeface="Segoe UI" panose="020B0502040204020203" pitchFamily="34" charset="0"/>
            <a:cs typeface="Segoe UI" panose="020B0502040204020203" pitchFamily="34" charset="0"/>
          </a:endParaRPr>
        </a:p>
      </xdr:txBody>
    </xdr:sp>
    <xdr:clientData/>
  </xdr:twoCellAnchor>
  <xdr:twoCellAnchor>
    <xdr:from>
      <xdr:col>9</xdr:col>
      <xdr:colOff>253896</xdr:colOff>
      <xdr:row>78</xdr:row>
      <xdr:rowOff>20362</xdr:rowOff>
    </xdr:from>
    <xdr:to>
      <xdr:col>13</xdr:col>
      <xdr:colOff>234317</xdr:colOff>
      <xdr:row>79</xdr:row>
      <xdr:rowOff>103222</xdr:rowOff>
    </xdr:to>
    <xdr:sp macro="" textlink="">
      <xdr:nvSpPr>
        <xdr:cNvPr id="253" name="TextBox 11">
          <a:extLst>
            <a:ext uri="{FF2B5EF4-FFF2-40B4-BE49-F238E27FC236}">
              <a16:creationId xmlns:a16="http://schemas.microsoft.com/office/drawing/2014/main" id="{E9B3ABB3-1BB5-4BDC-B701-E05408DCEEEF}"/>
            </a:ext>
          </a:extLst>
        </xdr:cNvPr>
        <xdr:cNvSpPr txBox="1"/>
      </xdr:nvSpPr>
      <xdr:spPr>
        <a:xfrm>
          <a:off x="5764789" y="14879362"/>
          <a:ext cx="2429707" cy="27336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r"/>
          <a:r>
            <a:rPr lang="en-GB" sz="1200">
              <a:ln>
                <a:noFill/>
              </a:ln>
              <a:latin typeface="Segoe UI" panose="020B0502040204020203" pitchFamily="34" charset="0"/>
              <a:cs typeface="Segoe UI" panose="020B0502040204020203" pitchFamily="34" charset="0"/>
            </a:rPr>
            <a:t>LEFT WORKING DAYS:</a:t>
          </a:r>
        </a:p>
      </xdr:txBody>
    </xdr:sp>
    <xdr:clientData/>
  </xdr:twoCellAnchor>
  <xdr:twoCellAnchor>
    <xdr:from>
      <xdr:col>13</xdr:col>
      <xdr:colOff>307875</xdr:colOff>
      <xdr:row>77</xdr:row>
      <xdr:rowOff>186643</xdr:rowOff>
    </xdr:from>
    <xdr:to>
      <xdr:col>13</xdr:col>
      <xdr:colOff>586528</xdr:colOff>
      <xdr:row>79</xdr:row>
      <xdr:rowOff>82086</xdr:rowOff>
    </xdr:to>
    <xdr:sp macro="" textlink="">
      <xdr:nvSpPr>
        <xdr:cNvPr id="259" name="TextBox 19">
          <a:extLst>
            <a:ext uri="{FF2B5EF4-FFF2-40B4-BE49-F238E27FC236}">
              <a16:creationId xmlns:a16="http://schemas.microsoft.com/office/drawing/2014/main" id="{1AB0B4BF-9E6A-4B17-8AA1-45B9D8D96CD0}"/>
            </a:ext>
          </a:extLst>
        </xdr:cNvPr>
        <xdr:cNvSpPr txBox="1"/>
      </xdr:nvSpPr>
      <xdr:spPr>
        <a:xfrm>
          <a:off x="8268054" y="14855143"/>
          <a:ext cx="278653" cy="2764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GB" sz="1200">
              <a:ln>
                <a:noFill/>
              </a:ln>
              <a:latin typeface="Segoe UI" panose="020B0502040204020203" pitchFamily="34" charset="0"/>
              <a:cs typeface="Segoe UI" panose="020B0502040204020203" pitchFamily="34" charset="0"/>
            </a:rPr>
            <a:t>=</a:t>
          </a:r>
        </a:p>
      </xdr:txBody>
    </xdr:sp>
    <xdr:clientData/>
  </xdr:twoCellAnchor>
  <xdr:twoCellAnchor>
    <xdr:from>
      <xdr:col>14</xdr:col>
      <xdr:colOff>158068</xdr:colOff>
      <xdr:row>78</xdr:row>
      <xdr:rowOff>7754</xdr:rowOff>
    </xdr:from>
    <xdr:to>
      <xdr:col>15</xdr:col>
      <xdr:colOff>342484</xdr:colOff>
      <xdr:row>79</xdr:row>
      <xdr:rowOff>66075</xdr:rowOff>
    </xdr:to>
    <xdr:sp macro="" textlink="ANALYSIS!DV11">
      <xdr:nvSpPr>
        <xdr:cNvPr id="225" name="TextBox 224">
          <a:extLst>
            <a:ext uri="{FF2B5EF4-FFF2-40B4-BE49-F238E27FC236}">
              <a16:creationId xmlns:a16="http://schemas.microsoft.com/office/drawing/2014/main" id="{7FE58292-7C85-4650-AC9B-1F0FF5C405C8}"/>
            </a:ext>
          </a:extLst>
        </xdr:cNvPr>
        <xdr:cNvSpPr txBox="1"/>
      </xdr:nvSpPr>
      <xdr:spPr>
        <a:xfrm>
          <a:off x="8730568" y="14866754"/>
          <a:ext cx="796737" cy="248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CAAC22DA-8C39-4B6A-AAEC-808F266FB0C2}" type="TxLink">
            <a:rPr lang="en-US" sz="1200" b="0" i="0" u="none" strike="noStrike">
              <a:ln>
                <a:noFill/>
              </a:ln>
              <a:solidFill>
                <a:srgbClr val="000000"/>
              </a:solidFill>
              <a:latin typeface="Segoe UI" panose="020B0502040204020203" pitchFamily="34" charset="0"/>
              <a:ea typeface="Calibri"/>
              <a:cs typeface="Segoe UI" panose="020B0502040204020203" pitchFamily="34" charset="0"/>
            </a:rPr>
            <a:pPr algn="l"/>
            <a:t>143</a:t>
          </a:fld>
          <a:endParaRPr lang="en-GB" sz="1200">
            <a:ln>
              <a:noFill/>
            </a:ln>
            <a:latin typeface="Segoe UI" panose="020B0502040204020203" pitchFamily="34" charset="0"/>
            <a:cs typeface="Segoe UI" panose="020B0502040204020203" pitchFamily="34" charset="0"/>
          </a:endParaRPr>
        </a:p>
      </xdr:txBody>
    </xdr:sp>
    <xdr:clientData/>
  </xdr:twoCellAnchor>
  <xdr:twoCellAnchor>
    <xdr:from>
      <xdr:col>14</xdr:col>
      <xdr:colOff>156355</xdr:colOff>
      <xdr:row>86</xdr:row>
      <xdr:rowOff>48567</xdr:rowOff>
    </xdr:from>
    <xdr:to>
      <xdr:col>15</xdr:col>
      <xdr:colOff>340771</xdr:colOff>
      <xdr:row>87</xdr:row>
      <xdr:rowOff>106888</xdr:rowOff>
    </xdr:to>
    <xdr:sp macro="" textlink="ANALYSIS!DV8">
      <xdr:nvSpPr>
        <xdr:cNvPr id="226" name="TextBox 225">
          <a:extLst>
            <a:ext uri="{FF2B5EF4-FFF2-40B4-BE49-F238E27FC236}">
              <a16:creationId xmlns:a16="http://schemas.microsoft.com/office/drawing/2014/main" id="{C3CBF0F6-4087-416B-BCF5-B3717263EA48}"/>
            </a:ext>
          </a:extLst>
        </xdr:cNvPr>
        <xdr:cNvSpPr txBox="1"/>
      </xdr:nvSpPr>
      <xdr:spPr>
        <a:xfrm>
          <a:off x="8728855" y="16431567"/>
          <a:ext cx="796737" cy="248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0DCDA44B-DF18-4052-9573-F74694D3223E}" type="TxLink">
            <a:rPr lang="en-US" sz="1200" b="0" i="0" u="none" strike="noStrike">
              <a:ln>
                <a:noFill/>
              </a:ln>
              <a:solidFill>
                <a:srgbClr val="000000"/>
              </a:solidFill>
              <a:latin typeface="Segoe UI" panose="020B0502040204020203" pitchFamily="34" charset="0"/>
              <a:ea typeface="Calibri"/>
              <a:cs typeface="Segoe UI" panose="020B0502040204020203" pitchFamily="34" charset="0"/>
            </a:rPr>
            <a:pPr algn="l"/>
            <a:t>179</a:t>
          </a:fld>
          <a:endParaRPr lang="en-GB" sz="1200">
            <a:ln>
              <a:noFill/>
            </a:ln>
            <a:latin typeface="Segoe UI" panose="020B0502040204020203" pitchFamily="34" charset="0"/>
            <a:cs typeface="Segoe UI" panose="020B0502040204020203" pitchFamily="34" charset="0"/>
          </a:endParaRPr>
        </a:p>
      </xdr:txBody>
    </xdr:sp>
    <xdr:clientData/>
  </xdr:twoCellAnchor>
  <xdr:twoCellAnchor>
    <xdr:from>
      <xdr:col>9</xdr:col>
      <xdr:colOff>240289</xdr:colOff>
      <xdr:row>81</xdr:row>
      <xdr:rowOff>171153</xdr:rowOff>
    </xdr:from>
    <xdr:to>
      <xdr:col>15</xdr:col>
      <xdr:colOff>327163</xdr:colOff>
      <xdr:row>83</xdr:row>
      <xdr:rowOff>69092</xdr:rowOff>
    </xdr:to>
    <xdr:grpSp>
      <xdr:nvGrpSpPr>
        <xdr:cNvPr id="9" name="Group 8">
          <a:extLst>
            <a:ext uri="{FF2B5EF4-FFF2-40B4-BE49-F238E27FC236}">
              <a16:creationId xmlns:a16="http://schemas.microsoft.com/office/drawing/2014/main" id="{E3976B0B-45A2-40C8-A120-AA0F12D04F85}"/>
            </a:ext>
          </a:extLst>
        </xdr:cNvPr>
        <xdr:cNvGrpSpPr/>
      </xdr:nvGrpSpPr>
      <xdr:grpSpPr>
        <a:xfrm>
          <a:off x="5754992" y="14516892"/>
          <a:ext cx="3753182" cy="246009"/>
          <a:chOff x="5764789" y="16867117"/>
          <a:chExt cx="3760802" cy="278939"/>
        </a:xfrm>
      </xdr:grpSpPr>
      <xdr:sp macro="" textlink="">
        <xdr:nvSpPr>
          <xdr:cNvPr id="254" name="TextBox 12">
            <a:extLst>
              <a:ext uri="{FF2B5EF4-FFF2-40B4-BE49-F238E27FC236}">
                <a16:creationId xmlns:a16="http://schemas.microsoft.com/office/drawing/2014/main" id="{5A0B6125-1647-43DA-BF5A-0EAC9FB2A291}"/>
              </a:ext>
            </a:extLst>
          </xdr:cNvPr>
          <xdr:cNvSpPr txBox="1"/>
        </xdr:nvSpPr>
        <xdr:spPr>
          <a:xfrm>
            <a:off x="5764789" y="16872696"/>
            <a:ext cx="2429706" cy="27336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r"/>
            <a:r>
              <a:rPr lang="en-GB" sz="1200">
                <a:ln>
                  <a:noFill/>
                </a:ln>
                <a:latin typeface="Segoe UI" panose="020B0502040204020203" pitchFamily="34" charset="0"/>
                <a:cs typeface="Segoe UI" panose="020B0502040204020203" pitchFamily="34" charset="0"/>
              </a:rPr>
              <a:t>IDEAL AVERAGE METER:</a:t>
            </a:r>
          </a:p>
        </xdr:txBody>
      </xdr:sp>
      <xdr:sp macro="" textlink="">
        <xdr:nvSpPr>
          <xdr:cNvPr id="260" name="TextBox 21">
            <a:extLst>
              <a:ext uri="{FF2B5EF4-FFF2-40B4-BE49-F238E27FC236}">
                <a16:creationId xmlns:a16="http://schemas.microsoft.com/office/drawing/2014/main" id="{D23AA8A3-E1C4-4D8A-BC3B-316715304046}"/>
              </a:ext>
            </a:extLst>
          </xdr:cNvPr>
          <xdr:cNvSpPr txBox="1"/>
        </xdr:nvSpPr>
        <xdr:spPr>
          <a:xfrm>
            <a:off x="8281662" y="16867117"/>
            <a:ext cx="324619" cy="2764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GB" sz="1200">
                <a:ln>
                  <a:noFill/>
                </a:ln>
                <a:latin typeface="Segoe UI" panose="020B0502040204020203" pitchFamily="34" charset="0"/>
                <a:cs typeface="Segoe UI" panose="020B0502040204020203" pitchFamily="34" charset="0"/>
              </a:rPr>
              <a:t>=</a:t>
            </a:r>
          </a:p>
        </xdr:txBody>
      </xdr:sp>
      <xdr:sp macro="" textlink="ANALYSIS!DV13">
        <xdr:nvSpPr>
          <xdr:cNvPr id="234" name="TextBox 233">
            <a:extLst>
              <a:ext uri="{FF2B5EF4-FFF2-40B4-BE49-F238E27FC236}">
                <a16:creationId xmlns:a16="http://schemas.microsoft.com/office/drawing/2014/main" id="{79D86310-B4FA-4EDA-B44E-F10A953889E1}"/>
              </a:ext>
            </a:extLst>
          </xdr:cNvPr>
          <xdr:cNvSpPr txBox="1"/>
        </xdr:nvSpPr>
        <xdr:spPr>
          <a:xfrm>
            <a:off x="8728854" y="16882949"/>
            <a:ext cx="796737" cy="248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95B8C4EB-1155-4AFF-AEE6-F0F9421A727D}" type="TxLink">
              <a:rPr lang="en-US" sz="1200" b="0" i="0" u="none" strike="noStrike">
                <a:ln>
                  <a:noFill/>
                </a:ln>
                <a:solidFill>
                  <a:srgbClr val="000000"/>
                </a:solidFill>
                <a:latin typeface="Segoe UI" panose="020B0502040204020203" pitchFamily="34" charset="0"/>
                <a:ea typeface="Calibri"/>
                <a:cs typeface="Segoe UI" panose="020B0502040204020203" pitchFamily="34" charset="0"/>
              </a:rPr>
              <a:pPr algn="l"/>
              <a:t>263.8522427</a:t>
            </a:fld>
            <a:endParaRPr lang="en-GB" sz="1200">
              <a:ln>
                <a:noFill/>
              </a:ln>
              <a:latin typeface="Segoe UI" panose="020B0502040204020203" pitchFamily="34" charset="0"/>
              <a:cs typeface="Segoe UI" panose="020B0502040204020203" pitchFamily="34" charset="0"/>
            </a:endParaRPr>
          </a:p>
        </xdr:txBody>
      </xdr:sp>
    </xdr:grpSp>
    <xdr:clientData/>
  </xdr:twoCellAnchor>
  <xdr:twoCellAnchor>
    <xdr:from>
      <xdr:col>0</xdr:col>
      <xdr:colOff>300518</xdr:colOff>
      <xdr:row>75</xdr:row>
      <xdr:rowOff>104527</xdr:rowOff>
    </xdr:from>
    <xdr:to>
      <xdr:col>8</xdr:col>
      <xdr:colOff>58757</xdr:colOff>
      <xdr:row>91</xdr:row>
      <xdr:rowOff>79697</xdr:rowOff>
    </xdr:to>
    <xdr:sp macro="" textlink="">
      <xdr:nvSpPr>
        <xdr:cNvPr id="236" name="Rectangle: Rounded Corners 235">
          <a:extLst>
            <a:ext uri="{FF2B5EF4-FFF2-40B4-BE49-F238E27FC236}">
              <a16:creationId xmlns:a16="http://schemas.microsoft.com/office/drawing/2014/main" id="{F865EF48-002D-4DE9-8CF8-D908F37A17DB}"/>
            </a:ext>
          </a:extLst>
        </xdr:cNvPr>
        <xdr:cNvSpPr/>
      </xdr:nvSpPr>
      <xdr:spPr>
        <a:xfrm>
          <a:off x="300518" y="14392027"/>
          <a:ext cx="4656810" cy="3023170"/>
        </a:xfrm>
        <a:prstGeom prst="roundRect">
          <a:avLst>
            <a:gd name="adj" fmla="val 1108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noFill/>
            </a:ln>
            <a:latin typeface="Arial" panose="020B0604020202020204" pitchFamily="34" charset="0"/>
            <a:cs typeface="Arial" panose="020B0604020202020204" pitchFamily="34" charset="0"/>
          </a:endParaRPr>
        </a:p>
      </xdr:txBody>
    </xdr:sp>
    <xdr:clientData/>
  </xdr:twoCellAnchor>
  <xdr:twoCellAnchor>
    <xdr:from>
      <xdr:col>0</xdr:col>
      <xdr:colOff>327275</xdr:colOff>
      <xdr:row>75</xdr:row>
      <xdr:rowOff>129410</xdr:rowOff>
    </xdr:from>
    <xdr:to>
      <xdr:col>8</xdr:col>
      <xdr:colOff>43555</xdr:colOff>
      <xdr:row>91</xdr:row>
      <xdr:rowOff>29933</xdr:rowOff>
    </xdr:to>
    <xdr:graphicFrame macro="">
      <xdr:nvGraphicFramePr>
        <xdr:cNvPr id="235" name="Chart 234">
          <a:extLst>
            <a:ext uri="{FF2B5EF4-FFF2-40B4-BE49-F238E27FC236}">
              <a16:creationId xmlns:a16="http://schemas.microsoft.com/office/drawing/2014/main" id="{E80F1AAC-A921-4282-A28D-06E7016A66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8</xdr:col>
      <xdr:colOff>353787</xdr:colOff>
      <xdr:row>84</xdr:row>
      <xdr:rowOff>0</xdr:rowOff>
    </xdr:from>
    <xdr:to>
      <xdr:col>13</xdr:col>
      <xdr:colOff>207099</xdr:colOff>
      <xdr:row>85</xdr:row>
      <xdr:rowOff>88274</xdr:rowOff>
    </xdr:to>
    <xdr:sp macro="" textlink="">
      <xdr:nvSpPr>
        <xdr:cNvPr id="237" name="TextBox 8">
          <a:extLst>
            <a:ext uri="{FF2B5EF4-FFF2-40B4-BE49-F238E27FC236}">
              <a16:creationId xmlns:a16="http://schemas.microsoft.com/office/drawing/2014/main" id="{5E3994E6-157D-48B7-BC26-3F0831AE3D2C}"/>
            </a:ext>
          </a:extLst>
        </xdr:cNvPr>
        <xdr:cNvSpPr txBox="1"/>
      </xdr:nvSpPr>
      <xdr:spPr>
        <a:xfrm>
          <a:off x="5252358" y="16002000"/>
          <a:ext cx="2914920" cy="27877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r"/>
          <a:r>
            <a:rPr lang="en-GB" sz="1200">
              <a:ln>
                <a:noFill/>
              </a:ln>
              <a:latin typeface="Segoe UI" panose="020B0502040204020203" pitchFamily="34" charset="0"/>
              <a:cs typeface="Segoe UI" panose="020B0502040204020203" pitchFamily="34" charset="0"/>
            </a:rPr>
            <a:t>PROJECTED INSTALLATION (PREDICT):</a:t>
          </a:r>
        </a:p>
      </xdr:txBody>
    </xdr:sp>
    <xdr:clientData/>
  </xdr:twoCellAnchor>
  <xdr:twoCellAnchor>
    <xdr:from>
      <xdr:col>13</xdr:col>
      <xdr:colOff>321481</xdr:colOff>
      <xdr:row>84</xdr:row>
      <xdr:rowOff>5412</xdr:rowOff>
    </xdr:from>
    <xdr:to>
      <xdr:col>14</xdr:col>
      <xdr:colOff>3136</xdr:colOff>
      <xdr:row>85</xdr:row>
      <xdr:rowOff>91355</xdr:rowOff>
    </xdr:to>
    <xdr:sp macro="" textlink="">
      <xdr:nvSpPr>
        <xdr:cNvPr id="238" name="TextBox 22">
          <a:extLst>
            <a:ext uri="{FF2B5EF4-FFF2-40B4-BE49-F238E27FC236}">
              <a16:creationId xmlns:a16="http://schemas.microsoft.com/office/drawing/2014/main" id="{C4E9D0AF-ECCF-431E-ADAE-297EAAC2CE00}"/>
            </a:ext>
          </a:extLst>
        </xdr:cNvPr>
        <xdr:cNvSpPr txBox="1"/>
      </xdr:nvSpPr>
      <xdr:spPr>
        <a:xfrm>
          <a:off x="8281660" y="16007412"/>
          <a:ext cx="293976" cy="2764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GB" sz="1200">
              <a:ln>
                <a:noFill/>
              </a:ln>
              <a:latin typeface="Segoe UI" panose="020B0502040204020203" pitchFamily="34" charset="0"/>
              <a:cs typeface="Segoe UI" panose="020B0502040204020203" pitchFamily="34" charset="0"/>
            </a:rPr>
            <a:t>=</a:t>
          </a:r>
        </a:p>
      </xdr:txBody>
    </xdr:sp>
    <xdr:clientData/>
  </xdr:twoCellAnchor>
  <xdr:twoCellAnchor>
    <xdr:from>
      <xdr:col>14</xdr:col>
      <xdr:colOff>152924</xdr:colOff>
      <xdr:row>84</xdr:row>
      <xdr:rowOff>14727</xdr:rowOff>
    </xdr:from>
    <xdr:to>
      <xdr:col>15</xdr:col>
      <xdr:colOff>337340</xdr:colOff>
      <xdr:row>85</xdr:row>
      <xdr:rowOff>73048</xdr:rowOff>
    </xdr:to>
    <xdr:sp macro="" textlink="ANALYSIS!DV15">
      <xdr:nvSpPr>
        <xdr:cNvPr id="239" name="TextBox 238">
          <a:extLst>
            <a:ext uri="{FF2B5EF4-FFF2-40B4-BE49-F238E27FC236}">
              <a16:creationId xmlns:a16="http://schemas.microsoft.com/office/drawing/2014/main" id="{319D6539-E324-4FFC-8BFF-1E48C76E7667}"/>
            </a:ext>
          </a:extLst>
        </xdr:cNvPr>
        <xdr:cNvSpPr txBox="1"/>
      </xdr:nvSpPr>
      <xdr:spPr>
        <a:xfrm>
          <a:off x="8725424" y="16016727"/>
          <a:ext cx="796737" cy="248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E68236B1-8F90-44C1-B2EC-10994702477E}" type="TxLink">
            <a:rPr lang="en-US" sz="1200" b="0" i="0" u="none" strike="noStrike">
              <a:ln>
                <a:noFill/>
              </a:ln>
              <a:solidFill>
                <a:srgbClr val="000000"/>
              </a:solidFill>
              <a:latin typeface="Segoe UI" panose="020B0502040204020203" pitchFamily="34" charset="0"/>
              <a:ea typeface="Calibri"/>
              <a:cs typeface="Segoe UI" panose="020B0502040204020203" pitchFamily="34" charset="0"/>
            </a:rPr>
            <a:pPr marL="0" indent="0" algn="l"/>
            <a:t>91385.16</a:t>
          </a:fld>
          <a:endParaRPr lang="en-GB" sz="1200" b="0" i="0" u="none" strike="noStrike">
            <a:ln>
              <a:noFill/>
            </a:ln>
            <a:solidFill>
              <a:srgbClr val="000000"/>
            </a:solidFill>
            <a:latin typeface="Segoe UI" panose="020B0502040204020203" pitchFamily="34" charset="0"/>
            <a:ea typeface="Calibri"/>
            <a:cs typeface="Segoe UI" panose="020B0502040204020203" pitchFamily="34" charset="0"/>
          </a:endParaRPr>
        </a:p>
      </xdr:txBody>
    </xdr:sp>
    <xdr:clientData/>
  </xdr:twoCellAnchor>
  <xdr:twoCellAnchor>
    <xdr:from>
      <xdr:col>9</xdr:col>
      <xdr:colOff>512432</xdr:colOff>
      <xdr:row>88</xdr:row>
      <xdr:rowOff>149517</xdr:rowOff>
    </xdr:from>
    <xdr:to>
      <xdr:col>13</xdr:col>
      <xdr:colOff>492852</xdr:colOff>
      <xdr:row>90</xdr:row>
      <xdr:rowOff>41877</xdr:rowOff>
    </xdr:to>
    <xdr:sp macro="" textlink="">
      <xdr:nvSpPr>
        <xdr:cNvPr id="262" name="TextBox 12">
          <a:extLst>
            <a:ext uri="{FF2B5EF4-FFF2-40B4-BE49-F238E27FC236}">
              <a16:creationId xmlns:a16="http://schemas.microsoft.com/office/drawing/2014/main" id="{E32F203D-57BC-4892-9A27-68DA89E3C544}"/>
            </a:ext>
          </a:extLst>
        </xdr:cNvPr>
        <xdr:cNvSpPr txBox="1"/>
      </xdr:nvSpPr>
      <xdr:spPr>
        <a:xfrm>
          <a:off x="6023325" y="16913517"/>
          <a:ext cx="2429706" cy="2733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indent="0" algn="l"/>
          <a:r>
            <a:rPr lang="en-GB" sz="1200" b="0" i="0" u="none" strike="noStrike">
              <a:ln>
                <a:noFill/>
              </a:ln>
              <a:solidFill>
                <a:srgbClr val="000000"/>
              </a:solidFill>
              <a:latin typeface="Segoe UI" panose="020B0502040204020203" pitchFamily="34" charset="0"/>
              <a:ea typeface="Calibri"/>
              <a:cs typeface="Segoe UI" panose="020B0502040204020203" pitchFamily="34" charset="0"/>
            </a:rPr>
            <a:t>WEIGHTED PROGRESS RATIO:</a:t>
          </a:r>
        </a:p>
      </xdr:txBody>
    </xdr:sp>
    <xdr:clientData/>
  </xdr:twoCellAnchor>
  <xdr:twoCellAnchor>
    <xdr:from>
      <xdr:col>13</xdr:col>
      <xdr:colOff>321484</xdr:colOff>
      <xdr:row>88</xdr:row>
      <xdr:rowOff>130330</xdr:rowOff>
    </xdr:from>
    <xdr:to>
      <xdr:col>14</xdr:col>
      <xdr:colOff>33782</xdr:colOff>
      <xdr:row>90</xdr:row>
      <xdr:rowOff>25773</xdr:rowOff>
    </xdr:to>
    <xdr:sp macro="" textlink="">
      <xdr:nvSpPr>
        <xdr:cNvPr id="263" name="TextBox 21">
          <a:extLst>
            <a:ext uri="{FF2B5EF4-FFF2-40B4-BE49-F238E27FC236}">
              <a16:creationId xmlns:a16="http://schemas.microsoft.com/office/drawing/2014/main" id="{7E5A2CF7-545F-4357-999C-8734EC40C6BC}"/>
            </a:ext>
          </a:extLst>
        </xdr:cNvPr>
        <xdr:cNvSpPr txBox="1"/>
      </xdr:nvSpPr>
      <xdr:spPr>
        <a:xfrm>
          <a:off x="8281663" y="16894330"/>
          <a:ext cx="324619" cy="2764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indent="0" algn="l"/>
          <a:r>
            <a:rPr lang="en-GB" sz="1200" b="0" i="0" u="none" strike="noStrike">
              <a:ln>
                <a:noFill/>
              </a:ln>
              <a:solidFill>
                <a:srgbClr val="000000"/>
              </a:solidFill>
              <a:latin typeface="Segoe UI" panose="020B0502040204020203" pitchFamily="34" charset="0"/>
              <a:ea typeface="Calibri"/>
              <a:cs typeface="Segoe UI" panose="020B0502040204020203" pitchFamily="34" charset="0"/>
            </a:rPr>
            <a:t>=</a:t>
          </a:r>
        </a:p>
      </xdr:txBody>
    </xdr:sp>
    <xdr:clientData/>
  </xdr:twoCellAnchor>
  <xdr:twoCellAnchor>
    <xdr:from>
      <xdr:col>14</xdr:col>
      <xdr:colOff>129140</xdr:colOff>
      <xdr:row>88</xdr:row>
      <xdr:rowOff>173377</xdr:rowOff>
    </xdr:from>
    <xdr:to>
      <xdr:col>15</xdr:col>
      <xdr:colOff>313556</xdr:colOff>
      <xdr:row>90</xdr:row>
      <xdr:rowOff>41198</xdr:rowOff>
    </xdr:to>
    <xdr:sp macro="" textlink="ANALYSIS!DV18">
      <xdr:nvSpPr>
        <xdr:cNvPr id="264" name="TextBox 263">
          <a:extLst>
            <a:ext uri="{FF2B5EF4-FFF2-40B4-BE49-F238E27FC236}">
              <a16:creationId xmlns:a16="http://schemas.microsoft.com/office/drawing/2014/main" id="{CE198233-B298-4A60-94A4-3987E407C4B9}"/>
            </a:ext>
          </a:extLst>
        </xdr:cNvPr>
        <xdr:cNvSpPr txBox="1"/>
      </xdr:nvSpPr>
      <xdr:spPr>
        <a:xfrm>
          <a:off x="8701640" y="16937377"/>
          <a:ext cx="796737" cy="248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362821E8-D4FA-45E5-835E-F0B2287E377F}" type="TxLink">
            <a:rPr lang="en-US" sz="1200" b="0" i="0" u="none" strike="noStrike">
              <a:ln>
                <a:noFill/>
              </a:ln>
              <a:solidFill>
                <a:srgbClr val="000000"/>
              </a:solidFill>
              <a:latin typeface="Segoe UI" panose="020B0502040204020203" pitchFamily="34" charset="0"/>
              <a:ea typeface="Calibri"/>
              <a:cs typeface="Segoe UI" panose="020B0502040204020203" pitchFamily="34" charset="0"/>
            </a:rPr>
            <a:pPr marL="0" indent="0" algn="l"/>
            <a:t>80%</a:t>
          </a:fld>
          <a:endParaRPr lang="en-GB" sz="1200" b="0" i="0" u="none" strike="noStrike">
            <a:ln>
              <a:noFill/>
            </a:ln>
            <a:solidFill>
              <a:srgbClr val="000000"/>
            </a:solidFill>
            <a:latin typeface="Segoe UI" panose="020B0502040204020203" pitchFamily="34" charset="0"/>
            <a:ea typeface="Calibri"/>
            <a:cs typeface="Segoe UI" panose="020B0502040204020203"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51.524975115739" createdVersion="7" refreshedVersion="8" minRefreshableVersion="3" recordCount="30" xr:uid="{D2897919-6936-47D7-93CC-28F897096168}">
  <cacheSource type="worksheet">
    <worksheetSource name="Table2"/>
  </cacheSource>
  <cacheFields count="52">
    <cacheField name="Month" numFmtId="17">
      <sharedItems containsNonDate="0" count="12">
        <s v="JAN"/>
        <s v="FEB"/>
        <s v="MAR"/>
        <s v="APR"/>
        <s v="MAY"/>
        <s v="JUN"/>
        <s v="JUL"/>
        <s v="AUG"/>
        <s v="SEP"/>
        <s v="OCT"/>
        <s v="NOV"/>
        <s v="DEC"/>
      </sharedItems>
    </cacheField>
    <cacheField name="Year" numFmtId="0">
      <sharedItems containsSemiMixedTypes="0" containsString="0" containsNumber="1" containsInteger="1" minValue="2023" maxValue="2025" count="3">
        <n v="2024"/>
        <n v="2023"/>
        <n v="2025"/>
      </sharedItems>
    </cacheField>
    <cacheField name="Cumulative House" numFmtId="0">
      <sharedItems containsSemiMixedTypes="0" containsString="0" containsNumber="1" containsInteger="1" minValue="0" maxValue="1367"/>
    </cacheField>
    <cacheField name="Cumulative Meter" numFmtId="0">
      <sharedItems containsSemiMixedTypes="0" containsString="0" containsNumber="1" containsInteger="1" minValue="0" maxValue="7472"/>
    </cacheField>
    <cacheField name="A Type" numFmtId="0">
      <sharedItems containsSemiMixedTypes="0" containsString="0" containsNumber="1" containsInteger="1" minValue="0" maxValue="799"/>
    </cacheField>
    <cacheField name="B Type" numFmtId="0">
      <sharedItems containsSemiMixedTypes="0" containsString="0" containsNumber="1" containsInteger="1" minValue="0" maxValue="7308"/>
    </cacheField>
    <cacheField name="C Type" numFmtId="0">
      <sharedItems containsSemiMixedTypes="0" containsString="0" containsNumber="1" containsInteger="1" minValue="0" maxValue="0"/>
    </cacheField>
    <cacheField name="No. of Modification Done (House)" numFmtId="0">
      <sharedItems containsMixedTypes="1" containsNumber="1" containsInteger="1" minValue="0" maxValue="2"/>
    </cacheField>
    <cacheField name="Riser Qty." numFmtId="0">
      <sharedItems containsMixedTypes="1" containsNumber="1" containsInteger="1" minValue="0" maxValue="10"/>
    </cacheField>
    <cacheField name="Total Regulator" numFmtId="0">
      <sharedItems containsMixedTypes="1" containsNumber="1" containsInteger="1" minValue="0" maxValue="0"/>
    </cacheField>
    <cacheField name="With Shed" numFmtId="0">
      <sharedItems containsSemiMixedTypes="0" containsString="0" containsNumber="1" containsInteger="1" minValue="0" maxValue="1718"/>
    </cacheField>
    <cacheField name="With Out Shed" numFmtId="0">
      <sharedItems containsSemiMixedTypes="0" containsString="0" containsNumber="1" containsInteger="1" minValue="0" maxValue="3147"/>
    </cacheField>
    <cacheField name="Total House" numFmtId="0">
      <sharedItems containsSemiMixedTypes="0" containsString="0" containsNumber="1" containsInteger="1" minValue="0" maxValue="512"/>
    </cacheField>
    <cacheField name="Total Meter" numFmtId="0">
      <sharedItems containsSemiMixedTypes="0" containsString="0" containsNumber="1" containsInteger="1" minValue="0" maxValue="4755"/>
    </cacheField>
    <cacheField name="No. of IC Card Distributed" numFmtId="0">
      <sharedItems containsSemiMixedTypes="0" containsString="0" containsNumber="1" containsInteger="1" minValue="0" maxValue="12532"/>
    </cacheField>
    <cacheField name="Total House(IC)" numFmtId="0">
      <sharedItems containsSemiMixedTypes="0" containsString="0" containsNumber="1" containsInteger="1" minValue="0" maxValue="2173"/>
    </cacheField>
    <cacheField name="Tag. Of Card Dist. Qty" numFmtId="0">
      <sharedItems containsSemiMixedTypes="0" containsString="0" containsNumber="1" containsInteger="1" minValue="0" maxValue="11634"/>
    </cacheField>
    <cacheField name="Total House(TAG)" numFmtId="0">
      <sharedItems containsSemiMixedTypes="0" containsString="0" containsNumber="1" containsInteger="1" minValue="0" maxValue="1969"/>
    </cacheField>
    <cacheField name="Total House (Lad-Seal)" numFmtId="0">
      <sharedItems containsSemiMixedTypes="0" containsString="0" containsNumber="1" containsInteger="1" minValue="0" maxValue="394"/>
    </cacheField>
    <cacheField name="Total Lad-Seal" numFmtId="0">
      <sharedItems containsSemiMixedTypes="0" containsString="0" containsNumber="1" containsInteger="1" minValue="0" maxValue="3019"/>
    </cacheField>
    <cacheField name="Total No. of Complain Solved_x000a_(On Site)" numFmtId="0">
      <sharedItems containsSemiMixedTypes="0" containsString="0" containsNumber="1" containsInteger="1" minValue="0" maxValue="388"/>
    </cacheField>
    <cacheField name="Total No. of Call Received (Complain)" numFmtId="0">
      <sharedItems containsSemiMixedTypes="0" containsString="0" containsNumber="1" containsInteger="1" minValue="0" maxValue="2189"/>
    </cacheField>
    <cacheField name="Total No. of Complain Solved_x000a_(Over Phone)" numFmtId="0">
      <sharedItems containsSemiMixedTypes="0" containsString="0" containsNumber="1" containsInteger="1" minValue="0" maxValue="1801"/>
    </cacheField>
    <cacheField name="Akbar Shah" numFmtId="0">
      <sharedItems containsString="0" containsBlank="1" containsNumber="1" containsInteger="1" minValue="0" maxValue="476"/>
    </cacheField>
    <cacheField name="Anowara" numFmtId="0">
      <sharedItems containsSemiMixedTypes="0" containsString="0" containsNumber="1" containsInteger="1" minValue="0" maxValue="24"/>
    </cacheField>
    <cacheField name="Bakolia" numFmtId="0">
      <sharedItems containsSemiMixedTypes="0" containsString="0" containsNumber="1" containsInteger="1" minValue="0" maxValue="976"/>
    </cacheField>
    <cacheField name="Bandar" numFmtId="0">
      <sharedItems containsSemiMixedTypes="0" containsString="0" containsNumber="1" containsInteger="1" minValue="0" maxValue="588"/>
    </cacheField>
    <cacheField name="Bayazid" numFmtId="0">
      <sharedItems containsSemiMixedTypes="0" containsString="0" containsNumber="1" containsInteger="1" minValue="0" maxValue="640"/>
    </cacheField>
    <cacheField name="Boalkhali" numFmtId="0">
      <sharedItems containsSemiMixedTypes="0" containsString="0" containsNumber="1" containsInteger="1" minValue="0" maxValue="843"/>
    </cacheField>
    <cacheField name="Chandgaon" numFmtId="0">
      <sharedItems containsSemiMixedTypes="0" containsString="0" containsNumber="1" containsInteger="1" minValue="0" maxValue="1444"/>
    </cacheField>
    <cacheField name="Chawkbazar" numFmtId="0">
      <sharedItems containsSemiMixedTypes="0" containsString="0" containsNumber="1" containsInteger="1" minValue="0" maxValue="322"/>
    </cacheField>
    <cacheField name="Double Mooring" numFmtId="0">
      <sharedItems containsSemiMixedTypes="0" containsString="0" containsNumber="1" containsInteger="1" minValue="0" maxValue="1085"/>
    </cacheField>
    <cacheField name="EPZ" numFmtId="0">
      <sharedItems containsSemiMixedTypes="0" containsString="0" containsNumber="1" containsInteger="1" minValue="0" maxValue="178"/>
    </cacheField>
    <cacheField name="Halishahar" numFmtId="0">
      <sharedItems containsSemiMixedTypes="0" containsString="0" containsNumber="1" containsInteger="1" minValue="0" maxValue="1447"/>
    </cacheField>
    <cacheField name="Hathazari" numFmtId="0">
      <sharedItems containsSemiMixedTypes="0" containsString="0" containsNumber="1" containsInteger="1" minValue="0" maxValue="499"/>
    </cacheField>
    <cacheField name="Karnaphuli" numFmtId="0">
      <sharedItems containsSemiMixedTypes="0" containsString="0" containsNumber="1" containsInteger="1" minValue="0" maxValue="106"/>
    </cacheField>
    <cacheField name="Khulshi" numFmtId="0">
      <sharedItems containsSemiMixedTypes="0" containsString="0" containsNumber="1" containsInteger="1" minValue="0" maxValue="1463"/>
    </cacheField>
    <cacheField name="Kotwali" numFmtId="0">
      <sharedItems containsSemiMixedTypes="0" containsString="0" containsNumber="1" containsInteger="1" minValue="0" maxValue="877"/>
    </cacheField>
    <cacheField name="Mirsharai" numFmtId="0">
      <sharedItems containsSemiMixedTypes="0" containsString="0" containsNumber="1" containsInteger="1" minValue="0" maxValue="61"/>
    </cacheField>
    <cacheField name="Pahartali" numFmtId="0">
      <sharedItems containsSemiMixedTypes="0" containsString="0" containsNumber="1" containsInteger="1" minValue="0" maxValue="780"/>
    </cacheField>
    <cacheField name="Panchlaish" numFmtId="0">
      <sharedItems containsSemiMixedTypes="0" containsString="0" containsNumber="1" containsInteger="1" minValue="0" maxValue="1490"/>
    </cacheField>
    <cacheField name="Patenga" numFmtId="0">
      <sharedItems containsSemiMixedTypes="0" containsString="0" containsNumber="1" containsInteger="1" minValue="0" maxValue="94"/>
    </cacheField>
    <cacheField name="Patiya" numFmtId="0">
      <sharedItems containsSemiMixedTypes="0" containsString="0" containsNumber="1" containsInteger="1" minValue="0" maxValue="93"/>
    </cacheField>
    <cacheField name="Sadarghat" numFmtId="0">
      <sharedItems containsSemiMixedTypes="0" containsString="0" containsNumber="1" containsInteger="1" minValue="0" maxValue="472"/>
    </cacheField>
    <cacheField name="Sitakunda" numFmtId="0">
      <sharedItems containsSemiMixedTypes="0" containsString="0" containsNumber="1" containsInteger="1" minValue="0" maxValue="129"/>
    </cacheField>
    <cacheField name="Total Burner Survey " numFmtId="0">
      <sharedItems containsSemiMixedTypes="0" containsString="0" containsNumber="1" containsInteger="1" minValue="0" maxValue="14321"/>
    </cacheField>
    <cacheField name="Total Wiring Complete" numFmtId="0">
      <sharedItems containsSemiMixedTypes="0" containsString="0" containsNumber="1" containsInteger="1" minValue="0" maxValue="7472"/>
    </cacheField>
    <cacheField name="Left Meter" numFmtId="0">
      <sharedItems containsSemiMixedTypes="0" containsString="0" containsNumber="1" containsInteger="1" minValue="-3387" maxValue="12848"/>
    </cacheField>
    <cacheField name="Number of working days" numFmtId="0">
      <sharedItems containsSemiMixedTypes="0" containsString="0" containsNumber="1" containsInteger="1" minValue="0" maxValue="25"/>
    </cacheField>
    <cacheField name="Cumulative Installed (Based on Daily Average)" numFmtId="0">
      <sharedItems containsSemiMixedTypes="0" containsString="0" containsNumber="1" minValue="0" maxValue="6028"/>
    </cacheField>
    <cacheField name="Running Installed" numFmtId="0">
      <sharedItems containsSemiMixedTypes="0" containsString="0" containsNumber="1" containsInteger="1" minValue="0" maxValue="7472"/>
    </cacheField>
    <cacheField name="Target Line (Ideal Cumulative)" numFmtId="0">
      <sharedItems containsSemiMixedTypes="0" containsString="0" containsNumber="1" minValue="0" maxValue="6596.31"/>
    </cacheField>
  </cacheFields>
  <extLst>
    <ext xmlns:x14="http://schemas.microsoft.com/office/spreadsheetml/2009/9/main" uri="{725AE2AE-9491-48be-B2B4-4EB974FC3084}">
      <x14:pivotCacheDefinition pivotCacheId="20973361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n v="187"/>
    <n v="1638"/>
    <n v="56"/>
    <n v="1582"/>
    <n v="0"/>
    <n v="0"/>
    <n v="0"/>
    <n v="0"/>
    <n v="0"/>
    <n v="0"/>
    <n v="0"/>
    <n v="0"/>
    <n v="0"/>
    <n v="0"/>
    <n v="0"/>
    <n v="0"/>
    <n v="0"/>
    <n v="0"/>
    <n v="0"/>
    <n v="0"/>
    <n v="0"/>
    <n v="56"/>
    <n v="0"/>
    <n v="13"/>
    <n v="87"/>
    <n v="12"/>
    <n v="0"/>
    <n v="0"/>
    <n v="4"/>
    <n v="161"/>
    <n v="0"/>
    <n v="1050"/>
    <n v="0"/>
    <n v="0"/>
    <n v="2"/>
    <n v="0"/>
    <n v="0"/>
    <n v="254"/>
    <n v="0"/>
    <n v="0"/>
    <n v="0"/>
    <n v="0"/>
    <n v="0"/>
    <n v="12920"/>
    <n v="1638"/>
    <n v="11282"/>
    <n v="13"/>
    <n v="3134.56"/>
    <n v="1638"/>
    <n v="3430.08"/>
  </r>
  <r>
    <x v="1"/>
    <x v="0"/>
    <n v="714"/>
    <n v="4331"/>
    <n v="454"/>
    <n v="3877"/>
    <n v="0"/>
    <n v="1"/>
    <n v="10"/>
    <n v="0"/>
    <n v="0"/>
    <n v="0"/>
    <n v="0"/>
    <n v="0"/>
    <n v="10"/>
    <n v="1"/>
    <n v="0"/>
    <n v="0"/>
    <n v="0"/>
    <n v="0"/>
    <n v="0"/>
    <n v="0"/>
    <n v="0"/>
    <n v="440"/>
    <n v="0"/>
    <n v="7"/>
    <n v="155"/>
    <n v="524"/>
    <n v="0"/>
    <n v="0"/>
    <n v="48"/>
    <n v="257"/>
    <n v="73"/>
    <n v="1447"/>
    <n v="0"/>
    <n v="12"/>
    <n v="4"/>
    <n v="865"/>
    <n v="0"/>
    <n v="303"/>
    <n v="24"/>
    <n v="15"/>
    <n v="0"/>
    <n v="157"/>
    <n v="0"/>
    <n v="14321"/>
    <n v="4331"/>
    <n v="9990"/>
    <n v="21"/>
    <n v="5063.5200000000004"/>
    <n v="4331"/>
    <n v="5540.9"/>
  </r>
  <r>
    <x v="2"/>
    <x v="0"/>
    <n v="481"/>
    <n v="4364"/>
    <n v="17"/>
    <n v="4347"/>
    <n v="0"/>
    <n v="0"/>
    <n v="0"/>
    <n v="0"/>
    <n v="0"/>
    <n v="0"/>
    <n v="0"/>
    <n v="0"/>
    <n v="0"/>
    <n v="0"/>
    <n v="0"/>
    <n v="0"/>
    <n v="0"/>
    <n v="0"/>
    <n v="34"/>
    <n v="1160"/>
    <n v="1126"/>
    <n v="212"/>
    <n v="0"/>
    <n v="671"/>
    <n v="73"/>
    <n v="512"/>
    <n v="0"/>
    <n v="83"/>
    <n v="10"/>
    <n v="340"/>
    <n v="0"/>
    <n v="606"/>
    <n v="0"/>
    <n v="0"/>
    <n v="588"/>
    <n v="426"/>
    <n v="0"/>
    <n v="487"/>
    <n v="318"/>
    <n v="0"/>
    <n v="0"/>
    <n v="39"/>
    <n v="0"/>
    <n v="14072"/>
    <n v="4364"/>
    <n v="9708"/>
    <n v="20"/>
    <n v="4822.3999999999996"/>
    <n v="4364"/>
    <n v="5277.04"/>
  </r>
  <r>
    <x v="3"/>
    <x v="0"/>
    <n v="380"/>
    <n v="3508"/>
    <n v="62"/>
    <n v="3446"/>
    <n v="0"/>
    <n v="0"/>
    <n v="0"/>
    <n v="0"/>
    <n v="0"/>
    <n v="0"/>
    <n v="0"/>
    <n v="0"/>
    <n v="0"/>
    <n v="0"/>
    <n v="0"/>
    <n v="0"/>
    <n v="0"/>
    <n v="0"/>
    <n v="84"/>
    <n v="1166"/>
    <n v="1082"/>
    <n v="6"/>
    <n v="0"/>
    <n v="219"/>
    <n v="20"/>
    <n v="120"/>
    <n v="0"/>
    <n v="890"/>
    <n v="161"/>
    <n v="121"/>
    <n v="0"/>
    <n v="214"/>
    <n v="0"/>
    <n v="0"/>
    <n v="87"/>
    <n v="1"/>
    <n v="0"/>
    <n v="105"/>
    <n v="1490"/>
    <n v="0"/>
    <n v="0"/>
    <n v="10"/>
    <n v="0"/>
    <n v="13959"/>
    <n v="3508"/>
    <n v="10451"/>
    <n v="12"/>
    <n v="2893.44"/>
    <n v="3508"/>
    <n v="3166.23"/>
  </r>
  <r>
    <x v="4"/>
    <x v="0"/>
    <n v="971"/>
    <n v="7472"/>
    <n v="164"/>
    <n v="7308"/>
    <n v="0"/>
    <n v="0"/>
    <n v="0"/>
    <n v="0"/>
    <n v="0"/>
    <n v="0"/>
    <n v="0"/>
    <n v="0"/>
    <n v="0"/>
    <n v="0"/>
    <n v="0"/>
    <n v="0"/>
    <n v="0"/>
    <n v="0"/>
    <n v="102"/>
    <n v="1673"/>
    <n v="1571"/>
    <n v="422"/>
    <n v="18"/>
    <n v="976"/>
    <n v="0"/>
    <n v="422"/>
    <n v="0"/>
    <n v="1444"/>
    <n v="322"/>
    <n v="366"/>
    <n v="0"/>
    <n v="795"/>
    <n v="25"/>
    <n v="54"/>
    <n v="145"/>
    <n v="877"/>
    <n v="0"/>
    <n v="780"/>
    <n v="485"/>
    <n v="0"/>
    <n v="62"/>
    <n v="234"/>
    <n v="45"/>
    <n v="10145"/>
    <n v="7472"/>
    <n v="2673"/>
    <n v="22"/>
    <n v="5304.64"/>
    <n v="7472"/>
    <n v="5804.75"/>
  </r>
  <r>
    <x v="5"/>
    <x v="0"/>
    <n v="860"/>
    <n v="5903"/>
    <n v="166"/>
    <n v="5737"/>
    <n v="0"/>
    <n v="0"/>
    <n v="0"/>
    <n v="0"/>
    <n v="37"/>
    <n v="0"/>
    <n v="1"/>
    <n v="37"/>
    <n v="2435"/>
    <n v="394"/>
    <n v="2539"/>
    <n v="395"/>
    <n v="394"/>
    <n v="2436"/>
    <n v="165"/>
    <n v="1724"/>
    <n v="1559"/>
    <n v="407"/>
    <n v="0"/>
    <n v="140"/>
    <n v="466"/>
    <n v="456"/>
    <n v="0"/>
    <n v="209"/>
    <n v="95"/>
    <n v="785"/>
    <n v="178"/>
    <n v="1193"/>
    <n v="210"/>
    <n v="0"/>
    <n v="512"/>
    <n v="290"/>
    <n v="0"/>
    <n v="524"/>
    <n v="436"/>
    <n v="0"/>
    <n v="0"/>
    <n v="2"/>
    <n v="0"/>
    <n v="6946"/>
    <n v="5903"/>
    <n v="1043"/>
    <n v="19"/>
    <n v="4581.28"/>
    <n v="5903"/>
    <n v="5013.1899999999996"/>
  </r>
  <r>
    <x v="6"/>
    <x v="0"/>
    <n v="821"/>
    <n v="4837"/>
    <n v="124"/>
    <n v="4713"/>
    <n v="0"/>
    <n v="0"/>
    <n v="0"/>
    <n v="0"/>
    <n v="529"/>
    <n v="690"/>
    <n v="175"/>
    <n v="1219"/>
    <n v="3042"/>
    <n v="359"/>
    <n v="2505"/>
    <n v="311"/>
    <n v="352"/>
    <n v="3019"/>
    <n v="134"/>
    <n v="1493"/>
    <n v="1359"/>
    <n v="204"/>
    <n v="0"/>
    <n v="485"/>
    <n v="0"/>
    <n v="640"/>
    <n v="0"/>
    <n v="417"/>
    <n v="169"/>
    <n v="63"/>
    <n v="0"/>
    <n v="490"/>
    <n v="0"/>
    <n v="0"/>
    <n v="175"/>
    <n v="504"/>
    <n v="0"/>
    <n v="480"/>
    <n v="742"/>
    <n v="0"/>
    <n v="0"/>
    <n v="472"/>
    <n v="0"/>
    <n v="8339"/>
    <n v="4837"/>
    <n v="3502"/>
    <n v="18"/>
    <n v="4340.16"/>
    <n v="4837"/>
    <n v="4749.34"/>
  </r>
  <r>
    <x v="7"/>
    <x v="0"/>
    <n v="814"/>
    <n v="4740"/>
    <n v="189"/>
    <n v="4551"/>
    <n v="0"/>
    <n v="0"/>
    <n v="0"/>
    <n v="0"/>
    <n v="474"/>
    <n v="1066"/>
    <n v="205"/>
    <n v="1540"/>
    <n v="4636"/>
    <n v="546"/>
    <n v="4456"/>
    <n v="531"/>
    <n v="28"/>
    <n v="269"/>
    <n v="123"/>
    <n v="1422"/>
    <n v="1299"/>
    <n v="357"/>
    <n v="0"/>
    <n v="416"/>
    <n v="93"/>
    <n v="536"/>
    <n v="0"/>
    <n v="541"/>
    <n v="203"/>
    <n v="466"/>
    <n v="22"/>
    <n v="358"/>
    <n v="58"/>
    <n v="106"/>
    <n v="220"/>
    <n v="337"/>
    <n v="61"/>
    <n v="352"/>
    <n v="279"/>
    <n v="94"/>
    <n v="32"/>
    <n v="80"/>
    <n v="129"/>
    <n v="6664"/>
    <n v="4740"/>
    <n v="1924"/>
    <n v="19"/>
    <n v="4581.28"/>
    <n v="4740"/>
    <n v="5013.1899999999996"/>
  </r>
  <r>
    <x v="8"/>
    <x v="0"/>
    <n v="1103"/>
    <n v="4147"/>
    <n v="799"/>
    <n v="3348"/>
    <n v="0"/>
    <n v="0"/>
    <n v="0"/>
    <n v="0"/>
    <n v="950"/>
    <n v="1180"/>
    <n v="238"/>
    <n v="2130"/>
    <n v="9962"/>
    <n v="1122"/>
    <n v="7732"/>
    <n v="875"/>
    <n v="0"/>
    <n v="0"/>
    <n v="241"/>
    <n v="1794"/>
    <n v="1553"/>
    <n v="240"/>
    <n v="0"/>
    <n v="260"/>
    <n v="56"/>
    <n v="289"/>
    <n v="18"/>
    <n v="376"/>
    <n v="110"/>
    <n v="409"/>
    <n v="37"/>
    <n v="326"/>
    <n v="499"/>
    <n v="61"/>
    <n v="76"/>
    <n v="368"/>
    <n v="5"/>
    <n v="315"/>
    <n v="312"/>
    <n v="85"/>
    <n v="52"/>
    <n v="210"/>
    <n v="43"/>
    <n v="5649"/>
    <n v="4147"/>
    <n v="1502"/>
    <n v="25"/>
    <n v="6028"/>
    <n v="4147"/>
    <n v="6596.31"/>
  </r>
  <r>
    <x v="9"/>
    <x v="0"/>
    <n v="886"/>
    <n v="4557"/>
    <n v="531"/>
    <n v="4026"/>
    <n v="0"/>
    <n v="0"/>
    <n v="0"/>
    <n v="0"/>
    <n v="46"/>
    <n v="101"/>
    <n v="15"/>
    <n v="147"/>
    <n v="12532"/>
    <n v="2173"/>
    <n v="11634"/>
    <n v="1969"/>
    <n v="0"/>
    <n v="0"/>
    <n v="388"/>
    <n v="2189"/>
    <n v="1801"/>
    <n v="203"/>
    <n v="15"/>
    <n v="312"/>
    <n v="89"/>
    <n v="407"/>
    <n v="0"/>
    <n v="316"/>
    <n v="62"/>
    <n v="1085"/>
    <n v="22"/>
    <n v="550"/>
    <n v="165"/>
    <n v="2"/>
    <n v="107"/>
    <n v="282"/>
    <n v="22"/>
    <n v="390"/>
    <n v="304"/>
    <n v="20"/>
    <n v="27"/>
    <n v="146"/>
    <n v="32"/>
    <n v="1170"/>
    <n v="4557"/>
    <n v="-3387"/>
    <n v="24"/>
    <n v="5786.88"/>
    <n v="4557"/>
    <n v="6332.45"/>
  </r>
  <r>
    <x v="10"/>
    <x v="0"/>
    <n v="1086"/>
    <n v="5838"/>
    <n v="537"/>
    <n v="5301"/>
    <n v="0"/>
    <n v="2"/>
    <n v="4"/>
    <n v="0"/>
    <n v="1718"/>
    <n v="2874"/>
    <n v="423"/>
    <n v="4592"/>
    <n v="7895"/>
    <n v="1488"/>
    <n v="4976"/>
    <n v="726"/>
    <n v="0"/>
    <n v="0"/>
    <n v="289"/>
    <n v="2045"/>
    <n v="1756"/>
    <n v="256"/>
    <n v="0"/>
    <n v="168"/>
    <n v="64"/>
    <n v="146"/>
    <n v="264"/>
    <n v="261"/>
    <n v="74"/>
    <n v="1003"/>
    <n v="54"/>
    <n v="268"/>
    <n v="143"/>
    <n v="0"/>
    <n v="1463"/>
    <n v="607"/>
    <n v="0"/>
    <n v="188"/>
    <n v="335"/>
    <n v="0"/>
    <n v="0"/>
    <n v="452"/>
    <n v="23"/>
    <n v="6255"/>
    <n v="3124"/>
    <n v="3131"/>
    <n v="25"/>
    <n v="6028"/>
    <n v="5838"/>
    <n v="6596.31"/>
  </r>
  <r>
    <x v="11"/>
    <x v="0"/>
    <n v="1367"/>
    <n v="5570"/>
    <n v="660"/>
    <n v="4585"/>
    <n v="0"/>
    <s v=" "/>
    <s v=" "/>
    <s v=" "/>
    <n v="1608"/>
    <n v="3147"/>
    <n v="512"/>
    <n v="4755"/>
    <n v="4633"/>
    <n v="1204"/>
    <n v="1888"/>
    <n v="525"/>
    <n v="0"/>
    <n v="0"/>
    <n v="274"/>
    <n v="1780"/>
    <n v="1506"/>
    <n v="476"/>
    <n v="24"/>
    <n v="117"/>
    <n v="588"/>
    <n v="249"/>
    <n v="843"/>
    <n v="171"/>
    <n v="92"/>
    <n v="347"/>
    <n v="65"/>
    <n v="137"/>
    <n v="190"/>
    <n v="27"/>
    <n v="412"/>
    <n v="193"/>
    <n v="3"/>
    <n v="477"/>
    <n v="313"/>
    <n v="12"/>
    <n v="93"/>
    <n v="53"/>
    <n v="31"/>
    <n v="1109"/>
    <n v="313"/>
    <n v="796"/>
    <n v="18"/>
    <n v="4340.16"/>
    <n v="5570"/>
    <n v="4749.34"/>
  </r>
  <r>
    <x v="0"/>
    <x v="1"/>
    <n v="0"/>
    <n v="0"/>
    <n v="0"/>
    <n v="0"/>
    <n v="0"/>
    <n v="0"/>
    <n v="0"/>
    <n v="0"/>
    <n v="0"/>
    <n v="0"/>
    <n v="0"/>
    <n v="0"/>
    <n v="0"/>
    <n v="0"/>
    <n v="0"/>
    <n v="0"/>
    <n v="0"/>
    <n v="0"/>
    <n v="0"/>
    <n v="0"/>
    <n v="0"/>
    <n v="0"/>
    <n v="0"/>
    <n v="0"/>
    <n v="0"/>
    <n v="0"/>
    <n v="0"/>
    <n v="0"/>
    <n v="0"/>
    <n v="0"/>
    <n v="0"/>
    <n v="0"/>
    <n v="0"/>
    <n v="0"/>
    <n v="0"/>
    <n v="0"/>
    <n v="0"/>
    <n v="0"/>
    <n v="0"/>
    <n v="0"/>
    <n v="0"/>
    <n v="0"/>
    <n v="0"/>
    <n v="0"/>
    <n v="0"/>
    <n v="0"/>
    <n v="0"/>
    <n v="0"/>
    <n v="0"/>
    <n v="0"/>
  </r>
  <r>
    <x v="1"/>
    <x v="1"/>
    <n v="0"/>
    <n v="0"/>
    <n v="0"/>
    <n v="0"/>
    <n v="0"/>
    <n v="0"/>
    <n v="0"/>
    <n v="0"/>
    <n v="0"/>
    <n v="0"/>
    <n v="0"/>
    <n v="0"/>
    <n v="0"/>
    <n v="0"/>
    <n v="0"/>
    <n v="0"/>
    <n v="0"/>
    <n v="0"/>
    <n v="0"/>
    <n v="0"/>
    <n v="0"/>
    <n v="0"/>
    <n v="0"/>
    <n v="0"/>
    <n v="0"/>
    <n v="0"/>
    <n v="0"/>
    <n v="0"/>
    <n v="0"/>
    <n v="0"/>
    <n v="0"/>
    <n v="0"/>
    <n v="0"/>
    <n v="0"/>
    <n v="0"/>
    <n v="0"/>
    <n v="0"/>
    <n v="0"/>
    <n v="0"/>
    <n v="0"/>
    <n v="0"/>
    <n v="0"/>
    <n v="0"/>
    <n v="0"/>
    <n v="0"/>
    <n v="0"/>
    <n v="0"/>
    <n v="0"/>
    <n v="0"/>
    <n v="0"/>
  </r>
  <r>
    <x v="2"/>
    <x v="1"/>
    <n v="0"/>
    <n v="0"/>
    <n v="0"/>
    <n v="0"/>
    <n v="0"/>
    <n v="0"/>
    <n v="0"/>
    <n v="0"/>
    <n v="0"/>
    <n v="0"/>
    <n v="0"/>
    <n v="0"/>
    <n v="0"/>
    <n v="0"/>
    <n v="0"/>
    <n v="0"/>
    <n v="0"/>
    <n v="0"/>
    <n v="0"/>
    <n v="0"/>
    <n v="0"/>
    <n v="0"/>
    <n v="0"/>
    <n v="0"/>
    <n v="0"/>
    <n v="0"/>
    <n v="0"/>
    <n v="0"/>
    <n v="0"/>
    <n v="0"/>
    <n v="0"/>
    <n v="0"/>
    <n v="0"/>
    <n v="0"/>
    <n v="0"/>
    <n v="0"/>
    <n v="0"/>
    <n v="0"/>
    <n v="0"/>
    <n v="0"/>
    <n v="0"/>
    <n v="0"/>
    <n v="0"/>
    <n v="0"/>
    <n v="0"/>
    <n v="0"/>
    <n v="0"/>
    <n v="0"/>
    <n v="0"/>
    <n v="0"/>
  </r>
  <r>
    <x v="3"/>
    <x v="1"/>
    <n v="0"/>
    <n v="0"/>
    <n v="0"/>
    <n v="0"/>
    <n v="0"/>
    <n v="0"/>
    <n v="0"/>
    <n v="0"/>
    <n v="0"/>
    <n v="0"/>
    <n v="0"/>
    <n v="0"/>
    <n v="0"/>
    <n v="0"/>
    <n v="0"/>
    <n v="0"/>
    <n v="0"/>
    <n v="0"/>
    <n v="0"/>
    <n v="0"/>
    <n v="0"/>
    <n v="0"/>
    <n v="0"/>
    <n v="0"/>
    <n v="0"/>
    <n v="0"/>
    <n v="0"/>
    <n v="0"/>
    <n v="0"/>
    <n v="0"/>
    <n v="0"/>
    <n v="0"/>
    <n v="0"/>
    <n v="0"/>
    <n v="0"/>
    <n v="0"/>
    <n v="0"/>
    <n v="0"/>
    <n v="0"/>
    <n v="0"/>
    <n v="0"/>
    <n v="0"/>
    <n v="0"/>
    <n v="0"/>
    <n v="0"/>
    <n v="0"/>
    <n v="0"/>
    <n v="0"/>
    <n v="0"/>
    <n v="0"/>
  </r>
  <r>
    <x v="4"/>
    <x v="1"/>
    <n v="0"/>
    <n v="0"/>
    <n v="0"/>
    <n v="0"/>
    <n v="0"/>
    <n v="0"/>
    <n v="0"/>
    <n v="0"/>
    <n v="0"/>
    <n v="0"/>
    <n v="0"/>
    <n v="0"/>
    <n v="0"/>
    <n v="0"/>
    <n v="0"/>
    <n v="0"/>
    <n v="0"/>
    <n v="0"/>
    <n v="0"/>
    <n v="0"/>
    <n v="0"/>
    <n v="0"/>
    <n v="0"/>
    <n v="0"/>
    <n v="0"/>
    <n v="0"/>
    <n v="0"/>
    <n v="0"/>
    <n v="0"/>
    <n v="0"/>
    <n v="0"/>
    <n v="0"/>
    <n v="0"/>
    <n v="0"/>
    <n v="0"/>
    <n v="0"/>
    <n v="0"/>
    <n v="0"/>
    <n v="0"/>
    <n v="0"/>
    <n v="0"/>
    <n v="0"/>
    <n v="0"/>
    <n v="0"/>
    <n v="0"/>
    <n v="0"/>
    <n v="0"/>
    <n v="0"/>
    <n v="0"/>
    <n v="0"/>
  </r>
  <r>
    <x v="5"/>
    <x v="1"/>
    <n v="0"/>
    <n v="0"/>
    <n v="0"/>
    <n v="0"/>
    <n v="0"/>
    <n v="0"/>
    <n v="0"/>
    <n v="0"/>
    <n v="0"/>
    <n v="0"/>
    <n v="0"/>
    <n v="0"/>
    <n v="0"/>
    <n v="0"/>
    <n v="0"/>
    <n v="0"/>
    <n v="0"/>
    <n v="0"/>
    <n v="0"/>
    <n v="0"/>
    <n v="0"/>
    <n v="0"/>
    <n v="0"/>
    <n v="0"/>
    <n v="0"/>
    <n v="0"/>
    <n v="0"/>
    <n v="0"/>
    <n v="0"/>
    <n v="0"/>
    <n v="0"/>
    <n v="0"/>
    <n v="0"/>
    <n v="0"/>
    <n v="0"/>
    <n v="0"/>
    <n v="0"/>
    <n v="0"/>
    <n v="0"/>
    <n v="0"/>
    <n v="0"/>
    <n v="0"/>
    <n v="0"/>
    <n v="0"/>
    <n v="0"/>
    <n v="0"/>
    <n v="0"/>
    <n v="0"/>
    <n v="0"/>
    <n v="0"/>
  </r>
  <r>
    <x v="6"/>
    <x v="1"/>
    <n v="0"/>
    <n v="0"/>
    <n v="0"/>
    <n v="0"/>
    <n v="0"/>
    <n v="0"/>
    <n v="0"/>
    <n v="0"/>
    <n v="0"/>
    <n v="0"/>
    <n v="0"/>
    <n v="0"/>
    <n v="0"/>
    <n v="0"/>
    <n v="0"/>
    <n v="0"/>
    <n v="0"/>
    <n v="0"/>
    <n v="0"/>
    <n v="0"/>
    <n v="0"/>
    <n v="0"/>
    <n v="0"/>
    <n v="0"/>
    <n v="0"/>
    <n v="0"/>
    <n v="0"/>
    <n v="0"/>
    <n v="0"/>
    <n v="0"/>
    <n v="0"/>
    <n v="0"/>
    <n v="0"/>
    <n v="0"/>
    <n v="0"/>
    <n v="0"/>
    <n v="0"/>
    <n v="0"/>
    <n v="0"/>
    <n v="0"/>
    <n v="0"/>
    <n v="0"/>
    <n v="0"/>
    <n v="0"/>
    <n v="0"/>
    <n v="0"/>
    <n v="0"/>
    <n v="0"/>
    <n v="0"/>
    <n v="0"/>
  </r>
  <r>
    <x v="7"/>
    <x v="1"/>
    <n v="0"/>
    <n v="0"/>
    <n v="0"/>
    <n v="0"/>
    <n v="0"/>
    <n v="0"/>
    <n v="0"/>
    <n v="0"/>
    <n v="0"/>
    <n v="0"/>
    <n v="0"/>
    <n v="0"/>
    <n v="0"/>
    <n v="0"/>
    <n v="0"/>
    <n v="0"/>
    <n v="0"/>
    <n v="0"/>
    <n v="0"/>
    <n v="0"/>
    <n v="0"/>
    <n v="0"/>
    <n v="0"/>
    <n v="0"/>
    <n v="0"/>
    <n v="0"/>
    <n v="0"/>
    <n v="0"/>
    <n v="0"/>
    <n v="0"/>
    <n v="0"/>
    <n v="0"/>
    <n v="0"/>
    <n v="0"/>
    <n v="0"/>
    <n v="0"/>
    <n v="0"/>
    <n v="0"/>
    <n v="0"/>
    <n v="0"/>
    <n v="0"/>
    <n v="0"/>
    <n v="0"/>
    <n v="0"/>
    <n v="0"/>
    <n v="0"/>
    <n v="0"/>
    <n v="0"/>
    <n v="0"/>
    <n v="0"/>
  </r>
  <r>
    <x v="8"/>
    <x v="1"/>
    <n v="0"/>
    <n v="0"/>
    <n v="0"/>
    <n v="0"/>
    <n v="0"/>
    <n v="0"/>
    <n v="0"/>
    <n v="0"/>
    <n v="0"/>
    <n v="0"/>
    <n v="0"/>
    <n v="0"/>
    <n v="0"/>
    <n v="0"/>
    <n v="0"/>
    <n v="0"/>
    <n v="0"/>
    <n v="0"/>
    <n v="0"/>
    <n v="0"/>
    <n v="0"/>
    <n v="0"/>
    <n v="0"/>
    <n v="0"/>
    <n v="0"/>
    <n v="0"/>
    <n v="0"/>
    <n v="0"/>
    <n v="0"/>
    <n v="0"/>
    <n v="0"/>
    <n v="0"/>
    <n v="0"/>
    <n v="0"/>
    <n v="0"/>
    <n v="0"/>
    <n v="0"/>
    <n v="0"/>
    <n v="0"/>
    <n v="0"/>
    <n v="0"/>
    <n v="0"/>
    <n v="0"/>
    <n v="0"/>
    <n v="0"/>
    <n v="0"/>
    <n v="0"/>
    <n v="0"/>
    <n v="0"/>
    <n v="0"/>
  </r>
  <r>
    <x v="9"/>
    <x v="1"/>
    <n v="0"/>
    <n v="0"/>
    <n v="0"/>
    <n v="0"/>
    <n v="0"/>
    <n v="0"/>
    <n v="0"/>
    <n v="0"/>
    <n v="0"/>
    <n v="0"/>
    <n v="0"/>
    <n v="0"/>
    <n v="0"/>
    <n v="0"/>
    <n v="0"/>
    <n v="0"/>
    <n v="0"/>
    <n v="0"/>
    <n v="0"/>
    <n v="0"/>
    <n v="0"/>
    <n v="0"/>
    <n v="0"/>
    <n v="0"/>
    <n v="0"/>
    <n v="0"/>
    <n v="0"/>
    <n v="0"/>
    <n v="0"/>
    <n v="0"/>
    <n v="0"/>
    <n v="0"/>
    <n v="0"/>
    <n v="0"/>
    <n v="0"/>
    <n v="0"/>
    <n v="0"/>
    <n v="0"/>
    <n v="0"/>
    <n v="0"/>
    <n v="0"/>
    <n v="0"/>
    <n v="0"/>
    <n v="11420"/>
    <n v="0"/>
    <n v="11420"/>
    <n v="0"/>
    <n v="0"/>
    <n v="0"/>
    <n v="0"/>
  </r>
  <r>
    <x v="10"/>
    <x v="1"/>
    <n v="0"/>
    <n v="0"/>
    <n v="0"/>
    <n v="0"/>
    <n v="0"/>
    <n v="0"/>
    <n v="0"/>
    <n v="0"/>
    <n v="0"/>
    <n v="0"/>
    <n v="0"/>
    <n v="0"/>
    <n v="0"/>
    <n v="0"/>
    <n v="0"/>
    <n v="0"/>
    <n v="0"/>
    <n v="0"/>
    <n v="0"/>
    <n v="0"/>
    <n v="0"/>
    <n v="0"/>
    <n v="0"/>
    <n v="0"/>
    <n v="0"/>
    <n v="0"/>
    <n v="0"/>
    <n v="0"/>
    <n v="0"/>
    <n v="0"/>
    <n v="0"/>
    <n v="0"/>
    <n v="0"/>
    <n v="0"/>
    <n v="0"/>
    <n v="0"/>
    <n v="0"/>
    <n v="0"/>
    <n v="0"/>
    <n v="0"/>
    <n v="0"/>
    <n v="0"/>
    <n v="0"/>
    <n v="12848"/>
    <n v="0"/>
    <n v="12848"/>
    <n v="0"/>
    <n v="0"/>
    <n v="0"/>
    <n v="0"/>
  </r>
  <r>
    <x v="11"/>
    <x v="1"/>
    <n v="0"/>
    <n v="0"/>
    <n v="0"/>
    <n v="0"/>
    <n v="0"/>
    <n v="0"/>
    <n v="0"/>
    <n v="0"/>
    <n v="0"/>
    <n v="0"/>
    <n v="0"/>
    <n v="0"/>
    <n v="0"/>
    <n v="0"/>
    <n v="0"/>
    <n v="0"/>
    <n v="0"/>
    <n v="0"/>
    <n v="0"/>
    <n v="0"/>
    <n v="0"/>
    <n v="0"/>
    <n v="0"/>
    <n v="0"/>
    <n v="0"/>
    <n v="0"/>
    <n v="0"/>
    <n v="0"/>
    <n v="0"/>
    <n v="0"/>
    <n v="0"/>
    <n v="0"/>
    <n v="0"/>
    <n v="0"/>
    <n v="0"/>
    <n v="0"/>
    <n v="0"/>
    <n v="0"/>
    <n v="0"/>
    <n v="0"/>
    <n v="0"/>
    <n v="0"/>
    <n v="0"/>
    <n v="12072"/>
    <n v="0"/>
    <n v="12072"/>
    <n v="0"/>
    <n v="0"/>
    <n v="0"/>
    <n v="0"/>
  </r>
  <r>
    <x v="0"/>
    <x v="2"/>
    <n v="0"/>
    <n v="0"/>
    <n v="0"/>
    <n v="0"/>
    <n v="0"/>
    <n v="0"/>
    <n v="0"/>
    <n v="0"/>
    <n v="0"/>
    <n v="0"/>
    <n v="0"/>
    <n v="0"/>
    <n v="0"/>
    <n v="0"/>
    <n v="0"/>
    <n v="0"/>
    <n v="0"/>
    <n v="0"/>
    <n v="0"/>
    <n v="0"/>
    <n v="0"/>
    <n v="0"/>
    <n v="0"/>
    <n v="0"/>
    <n v="0"/>
    <n v="0"/>
    <n v="0"/>
    <n v="0"/>
    <n v="0"/>
    <n v="0"/>
    <n v="0"/>
    <n v="0"/>
    <n v="0"/>
    <n v="0"/>
    <n v="0"/>
    <n v="0"/>
    <n v="0"/>
    <n v="0"/>
    <n v="0"/>
    <n v="0"/>
    <n v="0"/>
    <n v="0"/>
    <n v="0"/>
    <n v="0"/>
    <n v="0"/>
    <n v="0"/>
    <n v="0"/>
    <n v="0"/>
    <n v="0"/>
    <n v="0"/>
  </r>
  <r>
    <x v="1"/>
    <x v="2"/>
    <n v="0"/>
    <n v="0"/>
    <n v="0"/>
    <n v="0"/>
    <n v="0"/>
    <n v="0"/>
    <n v="0"/>
    <n v="0"/>
    <n v="0"/>
    <n v="0"/>
    <n v="0"/>
    <n v="0"/>
    <n v="0"/>
    <n v="0"/>
    <n v="0"/>
    <n v="0"/>
    <n v="0"/>
    <n v="0"/>
    <n v="0"/>
    <n v="0"/>
    <n v="0"/>
    <n v="0"/>
    <n v="0"/>
    <n v="0"/>
    <n v="0"/>
    <n v="0"/>
    <n v="0"/>
    <n v="0"/>
    <n v="0"/>
    <n v="0"/>
    <n v="0"/>
    <n v="0"/>
    <n v="0"/>
    <n v="0"/>
    <n v="0"/>
    <n v="0"/>
    <n v="0"/>
    <n v="0"/>
    <n v="0"/>
    <n v="0"/>
    <n v="0"/>
    <n v="0"/>
    <n v="0"/>
    <n v="0"/>
    <n v="0"/>
    <n v="0"/>
    <n v="0"/>
    <n v="0"/>
    <n v="0"/>
    <n v="0"/>
  </r>
  <r>
    <x v="2"/>
    <x v="2"/>
    <n v="0"/>
    <n v="0"/>
    <n v="0"/>
    <n v="0"/>
    <n v="0"/>
    <n v="0"/>
    <n v="0"/>
    <n v="0"/>
    <n v="0"/>
    <n v="0"/>
    <n v="0"/>
    <n v="0"/>
    <n v="0"/>
    <n v="0"/>
    <n v="0"/>
    <n v="0"/>
    <n v="0"/>
    <n v="0"/>
    <n v="0"/>
    <n v="0"/>
    <n v="0"/>
    <m/>
    <n v="0"/>
    <n v="0"/>
    <n v="0"/>
    <n v="0"/>
    <n v="0"/>
    <n v="0"/>
    <n v="0"/>
    <n v="0"/>
    <n v="0"/>
    <n v="0"/>
    <n v="0"/>
    <n v="0"/>
    <n v="0"/>
    <n v="0"/>
    <n v="0"/>
    <n v="0"/>
    <n v="0"/>
    <n v="0"/>
    <n v="0"/>
    <n v="0"/>
    <n v="0"/>
    <n v="0"/>
    <n v="0"/>
    <n v="0"/>
    <n v="0"/>
    <n v="0"/>
    <n v="0"/>
    <n v="0"/>
  </r>
  <r>
    <x v="3"/>
    <x v="2"/>
    <n v="0"/>
    <n v="0"/>
    <n v="0"/>
    <n v="0"/>
    <n v="0"/>
    <n v="0"/>
    <n v="0"/>
    <n v="0"/>
    <n v="0"/>
    <n v="0"/>
    <n v="0"/>
    <n v="0"/>
    <n v="0"/>
    <n v="0"/>
    <n v="0"/>
    <n v="0"/>
    <n v="0"/>
    <n v="0"/>
    <n v="0"/>
    <n v="0"/>
    <n v="0"/>
    <n v="0"/>
    <n v="0"/>
    <n v="0"/>
    <n v="0"/>
    <n v="0"/>
    <n v="0"/>
    <n v="0"/>
    <n v="0"/>
    <n v="0"/>
    <n v="0"/>
    <n v="0"/>
    <n v="0"/>
    <n v="0"/>
    <n v="0"/>
    <n v="0"/>
    <n v="0"/>
    <n v="0"/>
    <n v="0"/>
    <n v="0"/>
    <n v="0"/>
    <n v="0"/>
    <n v="0"/>
    <n v="0"/>
    <n v="0"/>
    <n v="0"/>
    <n v="0"/>
    <n v="0"/>
    <n v="0"/>
    <n v="0"/>
  </r>
  <r>
    <x v="4"/>
    <x v="2"/>
    <n v="0"/>
    <n v="0"/>
    <n v="0"/>
    <n v="0"/>
    <n v="0"/>
    <n v="0"/>
    <n v="0"/>
    <n v="0"/>
    <n v="0"/>
    <n v="0"/>
    <n v="0"/>
    <n v="0"/>
    <n v="0"/>
    <n v="0"/>
    <n v="0"/>
    <n v="0"/>
    <n v="0"/>
    <n v="0"/>
    <n v="0"/>
    <n v="0"/>
    <n v="0"/>
    <n v="0"/>
    <n v="0"/>
    <n v="0"/>
    <n v="0"/>
    <n v="0"/>
    <n v="0"/>
    <n v="0"/>
    <n v="0"/>
    <n v="0"/>
    <n v="0"/>
    <n v="0"/>
    <n v="0"/>
    <n v="0"/>
    <n v="0"/>
    <n v="0"/>
    <n v="0"/>
    <n v="0"/>
    <n v="0"/>
    <n v="0"/>
    <n v="0"/>
    <n v="0"/>
    <n v="0"/>
    <n v="0"/>
    <n v="0"/>
    <n v="0"/>
    <n v="0"/>
    <n v="0"/>
    <n v="0"/>
    <n v="0"/>
  </r>
  <r>
    <x v="5"/>
    <x v="2"/>
    <n v="0"/>
    <n v="0"/>
    <n v="0"/>
    <n v="0"/>
    <n v="0"/>
    <n v="0"/>
    <n v="0"/>
    <n v="0"/>
    <n v="0"/>
    <n v="0"/>
    <n v="0"/>
    <n v="0"/>
    <n v="0"/>
    <n v="0"/>
    <n v="0"/>
    <n v="0"/>
    <n v="0"/>
    <n v="0"/>
    <n v="0"/>
    <n v="0"/>
    <n v="0"/>
    <n v="0"/>
    <n v="0"/>
    <n v="0"/>
    <n v="0"/>
    <n v="0"/>
    <n v="0"/>
    <n v="0"/>
    <n v="0"/>
    <n v="0"/>
    <n v="0"/>
    <n v="0"/>
    <n v="0"/>
    <n v="0"/>
    <n v="0"/>
    <n v="0"/>
    <n v="0"/>
    <n v="0"/>
    <n v="0"/>
    <n v="0"/>
    <n v="0"/>
    <n v="0"/>
    <n v="0"/>
    <n v="0"/>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7D9368-CA0C-4882-857E-A5196D286F81}"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H3:CL37" firstHeaderRow="0" firstDataRow="1" firstDataCol="1"/>
  <pivotFields count="52">
    <pivotField axis="axisRow" showAll="0">
      <items count="13">
        <item x="0"/>
        <item x="1"/>
        <item x="2"/>
        <item x="3"/>
        <item x="4"/>
        <item x="5"/>
        <item x="6"/>
        <item x="7"/>
        <item x="8"/>
        <item x="9"/>
        <item x="10"/>
        <item x="11"/>
        <item t="default"/>
      </items>
    </pivotField>
    <pivotField axis="axisRow"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s>
  <rowFields count="2">
    <field x="1"/>
    <field x="0"/>
  </rowFields>
  <rowItems count="34">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t="grand">
      <x/>
    </i>
  </rowItems>
  <colFields count="1">
    <field x="-2"/>
  </colFields>
  <colItems count="4">
    <i>
      <x/>
    </i>
    <i i="1">
      <x v="1"/>
    </i>
    <i i="2">
      <x v="2"/>
    </i>
    <i i="3">
      <x v="3"/>
    </i>
  </colItems>
  <dataFields count="4">
    <dataField name="Sum of Number of working days" fld="48" baseField="0" baseItem="0"/>
    <dataField name="Sum of Cumulative Installed (Based on Daily Average)" fld="49" baseField="0" baseItem="0"/>
    <dataField name="Sum of Running Installed" fld="50" baseField="0" baseItem="0"/>
    <dataField name="Sum of Target Line (Ideal Cumulative)" fld="5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9AC288-1D69-4FD6-8FBF-90C36E7D7128}" name="PivotTable8"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I3:AL37" firstHeaderRow="0" firstDataRow="1" firstDataCol="1"/>
  <pivotFields count="52">
    <pivotField axis="axisRow" showAll="0">
      <items count="13">
        <item x="0"/>
        <item x="1"/>
        <item x="2"/>
        <item x="3"/>
        <item x="4"/>
        <item x="5"/>
        <item x="6"/>
        <item x="7"/>
        <item x="8"/>
        <item x="9"/>
        <item x="10"/>
        <item x="11"/>
        <item t="default"/>
      </items>
    </pivotField>
    <pivotField axis="axisRow" dataField="1"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0"/>
  </rowFields>
  <rowItems count="34">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t="grand">
      <x/>
    </i>
  </rowItems>
  <colFields count="1">
    <field x="-2"/>
  </colFields>
  <colItems count="3">
    <i>
      <x/>
    </i>
    <i i="1">
      <x v="1"/>
    </i>
    <i i="2">
      <x v="2"/>
    </i>
  </colItems>
  <dataFields count="3">
    <dataField name="Sum of Year" fld="1" baseField="0" baseItem="0"/>
    <dataField name="Sum of Tag. Of Card Dist. Qty" fld="16" baseField="0" baseItem="0"/>
    <dataField name="Sum of Total House(TAG)"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CDF7BE-D135-4027-BA53-2501237DBB21}" name="Month_wise_meter_installed"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5">
  <location ref="BD3:CA37" firstHeaderRow="0" firstDataRow="1" firstDataCol="1"/>
  <pivotFields count="52">
    <pivotField axis="axisRow" showAll="0">
      <items count="13">
        <item x="0"/>
        <item x="1"/>
        <item x="2"/>
        <item x="3"/>
        <item x="4"/>
        <item x="5"/>
        <item x="6"/>
        <item x="7"/>
        <item x="8"/>
        <item x="9"/>
        <item x="10"/>
        <item x="11"/>
        <item t="default"/>
      </items>
    </pivotField>
    <pivotField axis="axisRow" dataField="1"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s>
  <rowFields count="2">
    <field x="1"/>
    <field x="0"/>
  </rowFields>
  <rowItems count="34">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t="grand">
      <x/>
    </i>
  </rowItems>
  <colFields count="1">
    <field x="-2"/>
  </colFields>
  <colItems count="23">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colItems>
  <dataFields count="23">
    <dataField name="Sum of Year" fld="1" baseField="0" baseItem="0"/>
    <dataField name="Sum of Akbar Shah" fld="23" baseField="0" baseItem="0"/>
    <dataField name="Sum of Anowara" fld="24" baseField="0" baseItem="0"/>
    <dataField name="Sum of Bakolia" fld="25" baseField="0" baseItem="0"/>
    <dataField name="Sum of Bandar" fld="26" baseField="0" baseItem="0"/>
    <dataField name="Sum of Bayazid" fld="27" baseField="0" baseItem="0"/>
    <dataField name="Sum of Boalkhali" fld="28" baseField="0" baseItem="0"/>
    <dataField name="Sum of Chandgaon" fld="29" baseField="0" baseItem="0"/>
    <dataField name="Sum of Chawkbazar" fld="30" baseField="0" baseItem="0"/>
    <dataField name="Sum of Double Mooring" fld="31" baseField="0" baseItem="0"/>
    <dataField name="Sum of EPZ" fld="32" baseField="0" baseItem="0"/>
    <dataField name="Sum of Halishahar" fld="33" baseField="0" baseItem="0"/>
    <dataField name="Sum of Hathazari" fld="34" baseField="0" baseItem="0"/>
    <dataField name="Sum of Karnaphuli" fld="35" baseField="0" baseItem="0"/>
    <dataField name="Sum of Khulshi" fld="36" baseField="0" baseItem="0"/>
    <dataField name="Sum of Kotwali" fld="37" baseField="0" baseItem="0"/>
    <dataField name="Sum of Mirsharai" fld="38" baseField="0" baseItem="0"/>
    <dataField name="Sum of Pahartali" fld="39" baseField="0" baseItem="0"/>
    <dataField name="Sum of Panchlaish" fld="40" baseField="0" baseItem="0"/>
    <dataField name="Sum of Patenga" fld="41" baseField="0" baseItem="0"/>
    <dataField name="Sum of Patiya" fld="42" baseField="0" baseItem="0"/>
    <dataField name="Sum of Sadarghat" fld="43" baseField="0" baseItem="0"/>
    <dataField name="Sum of Sitakunda" fld="4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2DB8282-D382-451E-93EB-E0F77FC98DB0}" name="PivotTable7"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B3:AE37" firstHeaderRow="0" firstDataRow="1" firstDataCol="1"/>
  <pivotFields count="52">
    <pivotField axis="axisRow" showAll="0">
      <items count="13">
        <item x="0"/>
        <item x="1"/>
        <item x="2"/>
        <item x="3"/>
        <item x="4"/>
        <item x="5"/>
        <item x="6"/>
        <item x="7"/>
        <item x="8"/>
        <item x="9"/>
        <item x="10"/>
        <item x="11"/>
        <item t="default"/>
      </items>
    </pivotField>
    <pivotField axis="axisRow" dataField="1"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0"/>
  </rowFields>
  <rowItems count="34">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t="grand">
      <x/>
    </i>
  </rowItems>
  <colFields count="1">
    <field x="-2"/>
  </colFields>
  <colItems count="3">
    <i>
      <x/>
    </i>
    <i i="1">
      <x v="1"/>
    </i>
    <i i="2">
      <x v="2"/>
    </i>
  </colItems>
  <dataFields count="3">
    <dataField name="Sum of Year" fld="1" baseField="0" baseItem="0"/>
    <dataField name="Sum of No. of IC Card Distributed" fld="14" baseField="0" baseItem="0"/>
    <dataField name="Sum of Total House(IC)"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D1187D7-6617-477E-BC57-A2A606FAE808}"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29">
  <location ref="A3:C16" firstHeaderRow="0" firstDataRow="1" firstDataCol="1"/>
  <pivotFields count="52">
    <pivotField axis="axisRow" showAll="0">
      <items count="13">
        <item x="0"/>
        <item x="1"/>
        <item x="2"/>
        <item x="3"/>
        <item x="4"/>
        <item x="5"/>
        <item x="6"/>
        <item x="7"/>
        <item x="8"/>
        <item x="9"/>
        <item x="10"/>
        <item x="11"/>
        <item t="default"/>
      </items>
    </pivotField>
    <pivotField showAll="0" defaultSubtotal="0">
      <items count="3">
        <item x="1"/>
        <item x="0"/>
        <item x="2"/>
      </items>
    </pivotField>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Cumulative House" fld="2" baseField="0" baseItem="0"/>
    <dataField name="Sum of Cumulative Meter" fld="3" baseField="0" baseItem="0"/>
  </dataFields>
  <chartFormats count="26">
    <chartFormat chart="22" format="12" series="1">
      <pivotArea type="data" outline="0" fieldPosition="0">
        <references count="1">
          <reference field="4294967294" count="1" selected="0">
            <x v="0"/>
          </reference>
        </references>
      </pivotArea>
    </chartFormat>
    <chartFormat chart="22" format="13" series="1">
      <pivotArea type="data" outline="0" fieldPosition="0">
        <references count="1">
          <reference field="4294967294" count="1" selected="0">
            <x v="1"/>
          </reference>
        </references>
      </pivotArea>
    </chartFormat>
    <chartFormat chart="22" format="15">
      <pivotArea type="data" outline="0" fieldPosition="0">
        <references count="2">
          <reference field="4294967294" count="1" selected="0">
            <x v="1"/>
          </reference>
          <reference field="0" count="1" selected="0">
            <x v="11"/>
          </reference>
        </references>
      </pivotArea>
    </chartFormat>
    <chartFormat chart="22" format="16">
      <pivotArea type="data" outline="0" fieldPosition="0">
        <references count="2">
          <reference field="4294967294" count="1" selected="0">
            <x v="0"/>
          </reference>
          <reference field="0" count="1" selected="0">
            <x v="11"/>
          </reference>
        </references>
      </pivotArea>
    </chartFormat>
    <chartFormat chart="22" format="17">
      <pivotArea type="data" outline="0" fieldPosition="0">
        <references count="2">
          <reference field="4294967294" count="1" selected="0">
            <x v="1"/>
          </reference>
          <reference field="0" count="1" selected="0">
            <x v="10"/>
          </reference>
        </references>
      </pivotArea>
    </chartFormat>
    <chartFormat chart="22" format="18">
      <pivotArea type="data" outline="0" fieldPosition="0">
        <references count="2">
          <reference field="4294967294" count="1" selected="0">
            <x v="1"/>
          </reference>
          <reference field="0" count="1" selected="0">
            <x v="9"/>
          </reference>
        </references>
      </pivotArea>
    </chartFormat>
    <chartFormat chart="22" format="19">
      <pivotArea type="data" outline="0" fieldPosition="0">
        <references count="2">
          <reference field="4294967294" count="1" selected="0">
            <x v="0"/>
          </reference>
          <reference field="0" count="1" selected="0">
            <x v="10"/>
          </reference>
        </references>
      </pivotArea>
    </chartFormat>
    <chartFormat chart="22" format="20">
      <pivotArea type="data" outline="0" fieldPosition="0">
        <references count="2">
          <reference field="4294967294" count="1" selected="0">
            <x v="0"/>
          </reference>
          <reference field="0" count="1" selected="0">
            <x v="9"/>
          </reference>
        </references>
      </pivotArea>
    </chartFormat>
    <chartFormat chart="22" format="21">
      <pivotArea type="data" outline="0" fieldPosition="0">
        <references count="2">
          <reference field="4294967294" count="1" selected="0">
            <x v="0"/>
          </reference>
          <reference field="0" count="1" selected="0">
            <x v="8"/>
          </reference>
        </references>
      </pivotArea>
    </chartFormat>
    <chartFormat chart="22" format="22">
      <pivotArea type="data" outline="0" fieldPosition="0">
        <references count="2">
          <reference field="4294967294" count="1" selected="0">
            <x v="0"/>
          </reference>
          <reference field="0" count="1" selected="0">
            <x v="7"/>
          </reference>
        </references>
      </pivotArea>
    </chartFormat>
    <chartFormat chart="22" format="23">
      <pivotArea type="data" outline="0" fieldPosition="0">
        <references count="2">
          <reference field="4294967294" count="1" selected="0">
            <x v="0"/>
          </reference>
          <reference field="0" count="1" selected="0">
            <x v="6"/>
          </reference>
        </references>
      </pivotArea>
    </chartFormat>
    <chartFormat chart="22" format="24">
      <pivotArea type="data" outline="0" fieldPosition="0">
        <references count="2">
          <reference field="4294967294" count="1" selected="0">
            <x v="1"/>
          </reference>
          <reference field="0" count="1" selected="0">
            <x v="6"/>
          </reference>
        </references>
      </pivotArea>
    </chartFormat>
    <chartFormat chart="22" format="25">
      <pivotArea type="data" outline="0" fieldPosition="0">
        <references count="2">
          <reference field="4294967294" count="1" selected="0">
            <x v="1"/>
          </reference>
          <reference field="0" count="1" selected="0">
            <x v="7"/>
          </reference>
        </references>
      </pivotArea>
    </chartFormat>
    <chartFormat chart="22" format="26">
      <pivotArea type="data" outline="0" fieldPosition="0">
        <references count="2">
          <reference field="4294967294" count="1" selected="0">
            <x v="1"/>
          </reference>
          <reference field="0" count="1" selected="0">
            <x v="8"/>
          </reference>
        </references>
      </pivotArea>
    </chartFormat>
    <chartFormat chart="22" format="27">
      <pivotArea type="data" outline="0" fieldPosition="0">
        <references count="2">
          <reference field="4294967294" count="1" selected="0">
            <x v="1"/>
          </reference>
          <reference field="0" count="1" selected="0">
            <x v="5"/>
          </reference>
        </references>
      </pivotArea>
    </chartFormat>
    <chartFormat chart="22" format="28">
      <pivotArea type="data" outline="0" fieldPosition="0">
        <references count="2">
          <reference field="4294967294" count="1" selected="0">
            <x v="1"/>
          </reference>
          <reference field="0" count="1" selected="0">
            <x v="4"/>
          </reference>
        </references>
      </pivotArea>
    </chartFormat>
    <chartFormat chart="22" format="29">
      <pivotArea type="data" outline="0" fieldPosition="0">
        <references count="2">
          <reference field="4294967294" count="1" selected="0">
            <x v="1"/>
          </reference>
          <reference field="0" count="1" selected="0">
            <x v="3"/>
          </reference>
        </references>
      </pivotArea>
    </chartFormat>
    <chartFormat chart="22" format="30">
      <pivotArea type="data" outline="0" fieldPosition="0">
        <references count="2">
          <reference field="4294967294" count="1" selected="0">
            <x v="1"/>
          </reference>
          <reference field="0" count="1" selected="0">
            <x v="2"/>
          </reference>
        </references>
      </pivotArea>
    </chartFormat>
    <chartFormat chart="22" format="31">
      <pivotArea type="data" outline="0" fieldPosition="0">
        <references count="2">
          <reference field="4294967294" count="1" selected="0">
            <x v="1"/>
          </reference>
          <reference field="0" count="1" selected="0">
            <x v="1"/>
          </reference>
        </references>
      </pivotArea>
    </chartFormat>
    <chartFormat chart="22" format="32">
      <pivotArea type="data" outline="0" fieldPosition="0">
        <references count="2">
          <reference field="4294967294" count="1" selected="0">
            <x v="1"/>
          </reference>
          <reference field="0" count="1" selected="0">
            <x v="0"/>
          </reference>
        </references>
      </pivotArea>
    </chartFormat>
    <chartFormat chart="22" format="33">
      <pivotArea type="data" outline="0" fieldPosition="0">
        <references count="2">
          <reference field="4294967294" count="1" selected="0">
            <x v="0"/>
          </reference>
          <reference field="0" count="1" selected="0">
            <x v="0"/>
          </reference>
        </references>
      </pivotArea>
    </chartFormat>
    <chartFormat chart="22" format="34">
      <pivotArea type="data" outline="0" fieldPosition="0">
        <references count="2">
          <reference field="4294967294" count="1" selected="0">
            <x v="0"/>
          </reference>
          <reference field="0" count="1" selected="0">
            <x v="1"/>
          </reference>
        </references>
      </pivotArea>
    </chartFormat>
    <chartFormat chart="22" format="35">
      <pivotArea type="data" outline="0" fieldPosition="0">
        <references count="2">
          <reference field="4294967294" count="1" selected="0">
            <x v="0"/>
          </reference>
          <reference field="0" count="1" selected="0">
            <x v="2"/>
          </reference>
        </references>
      </pivotArea>
    </chartFormat>
    <chartFormat chart="22" format="36">
      <pivotArea type="data" outline="0" fieldPosition="0">
        <references count="2">
          <reference field="4294967294" count="1" selected="0">
            <x v="0"/>
          </reference>
          <reference field="0" count="1" selected="0">
            <x v="3"/>
          </reference>
        </references>
      </pivotArea>
    </chartFormat>
    <chartFormat chart="22" format="37">
      <pivotArea type="data" outline="0" fieldPosition="0">
        <references count="2">
          <reference field="4294967294" count="1" selected="0">
            <x v="0"/>
          </reference>
          <reference field="0" count="1" selected="0">
            <x v="4"/>
          </reference>
        </references>
      </pivotArea>
    </chartFormat>
    <chartFormat chart="22" format="38">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AF9823A-F9DD-43DE-BCFA-145EA4698364}" name="PivotTable6"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T3:Y37" firstHeaderRow="0" firstDataRow="1" firstDataCol="1"/>
  <pivotFields count="52">
    <pivotField axis="axisRow" showAll="0">
      <items count="13">
        <item x="0"/>
        <item x="1"/>
        <item x="2"/>
        <item x="3"/>
        <item x="4"/>
        <item x="5"/>
        <item x="6"/>
        <item x="7"/>
        <item x="8"/>
        <item x="9"/>
        <item x="10"/>
        <item x="11"/>
        <item t="default"/>
      </items>
    </pivotField>
    <pivotField axis="axisRow" dataField="1" showAll="0">
      <items count="4">
        <item x="1"/>
        <item x="0"/>
        <item x="2"/>
        <item t="default"/>
      </items>
    </pivotField>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0"/>
  </rowFields>
  <rowItems count="34">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t="grand">
      <x/>
    </i>
  </rowItems>
  <colFields count="1">
    <field x="-2"/>
  </colFields>
  <colItems count="5">
    <i>
      <x/>
    </i>
    <i i="1">
      <x v="1"/>
    </i>
    <i i="2">
      <x v="2"/>
    </i>
    <i i="3">
      <x v="3"/>
    </i>
    <i i="4">
      <x v="4"/>
    </i>
  </colItems>
  <dataFields count="5">
    <dataField name="Sum of Year" fld="1" baseField="0" baseItem="0"/>
    <dataField name="Sum of With Shed" fld="10" baseField="0" baseItem="0"/>
    <dataField name="Sum of With Out Shed" fld="11" baseField="0" baseItem="0"/>
    <dataField name="Sum of Total House" fld="12" baseField="0" baseItem="0"/>
    <dataField name="Sum of Total Meter"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9E19838-85EE-4887-BE01-5FEADDB6453F}" name="PivotTable5"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M3:P46" firstHeaderRow="0" firstDataRow="1" firstDataCol="1"/>
  <pivotFields count="52">
    <pivotField axis="axisRow" showAll="0">
      <items count="13">
        <item x="0"/>
        <item x="1"/>
        <item x="2"/>
        <item x="3"/>
        <item x="4"/>
        <item x="5"/>
        <item x="6"/>
        <item x="7"/>
        <item x="8"/>
        <item x="9"/>
        <item x="10"/>
        <item x="11"/>
        <item t="default"/>
      </items>
    </pivotField>
    <pivotField axis="axisRow" showAll="0">
      <items count="4">
        <item x="1"/>
        <item x="0"/>
        <item x="2"/>
        <item t="default"/>
      </items>
    </pivotField>
    <pivotField showAll="0"/>
    <pivotField showAll="0"/>
    <pivotField showAll="0"/>
    <pivotField showAll="0"/>
    <pivotField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0"/>
    <field x="1"/>
  </rowFields>
  <rowItems count="43">
    <i>
      <x/>
    </i>
    <i r="1">
      <x/>
    </i>
    <i r="1">
      <x v="1"/>
    </i>
    <i r="1">
      <x v="2"/>
    </i>
    <i>
      <x v="1"/>
    </i>
    <i r="1">
      <x/>
    </i>
    <i r="1">
      <x v="1"/>
    </i>
    <i r="1">
      <x v="2"/>
    </i>
    <i>
      <x v="2"/>
    </i>
    <i r="1">
      <x/>
    </i>
    <i r="1">
      <x v="1"/>
    </i>
    <i r="1">
      <x v="2"/>
    </i>
    <i>
      <x v="3"/>
    </i>
    <i r="1">
      <x/>
    </i>
    <i r="1">
      <x v="1"/>
    </i>
    <i r="1">
      <x v="2"/>
    </i>
    <i>
      <x v="4"/>
    </i>
    <i r="1">
      <x/>
    </i>
    <i r="1">
      <x v="1"/>
    </i>
    <i r="1">
      <x v="2"/>
    </i>
    <i>
      <x v="5"/>
    </i>
    <i r="1">
      <x/>
    </i>
    <i r="1">
      <x v="1"/>
    </i>
    <i r="1">
      <x v="2"/>
    </i>
    <i>
      <x v="6"/>
    </i>
    <i r="1">
      <x/>
    </i>
    <i r="1">
      <x v="1"/>
    </i>
    <i>
      <x v="7"/>
    </i>
    <i r="1">
      <x/>
    </i>
    <i r="1">
      <x v="1"/>
    </i>
    <i>
      <x v="8"/>
    </i>
    <i r="1">
      <x/>
    </i>
    <i r="1">
      <x v="1"/>
    </i>
    <i>
      <x v="9"/>
    </i>
    <i r="1">
      <x/>
    </i>
    <i r="1">
      <x v="1"/>
    </i>
    <i>
      <x v="10"/>
    </i>
    <i r="1">
      <x/>
    </i>
    <i r="1">
      <x v="1"/>
    </i>
    <i>
      <x v="11"/>
    </i>
    <i r="1">
      <x/>
    </i>
    <i r="1">
      <x v="1"/>
    </i>
    <i t="grand">
      <x/>
    </i>
  </rowItems>
  <colFields count="1">
    <field x="-2"/>
  </colFields>
  <colItems count="3">
    <i>
      <x/>
    </i>
    <i i="1">
      <x v="1"/>
    </i>
    <i i="2">
      <x v="2"/>
    </i>
  </colItems>
  <dataFields count="3">
    <dataField name="Sum of No. of Modification Done (House)" fld="7" baseField="0" baseItem="0"/>
    <dataField name="Sum of Riser Qty." fld="8" baseField="0" baseItem="0"/>
    <dataField name="Sum of Total Regulator"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AFA22F0-0997-4B0C-BE2D-74A33EE6B537}" name="PivotTable1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
  <location ref="AW3:BA37" firstHeaderRow="0" firstDataRow="1" firstDataCol="1"/>
  <pivotFields count="52">
    <pivotField axis="axisRow" showAll="0">
      <items count="13">
        <item x="0"/>
        <item x="1"/>
        <item x="2"/>
        <item x="3"/>
        <item x="4"/>
        <item x="5"/>
        <item x="6"/>
        <item x="7"/>
        <item x="8"/>
        <item x="9"/>
        <item x="10"/>
        <item x="11"/>
        <item t="default"/>
      </items>
    </pivotField>
    <pivotField axis="axisRow" dataField="1"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0"/>
  </rowFields>
  <rowItems count="34">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t="grand">
      <x/>
    </i>
  </rowItems>
  <colFields count="1">
    <field x="-2"/>
  </colFields>
  <colItems count="4">
    <i>
      <x/>
    </i>
    <i i="1">
      <x v="1"/>
    </i>
    <i i="2">
      <x v="2"/>
    </i>
    <i i="3">
      <x v="3"/>
    </i>
  </colItems>
  <dataFields count="4">
    <dataField name="Sum of Year" fld="1" baseField="0" baseItem="0"/>
    <dataField name="Sum of Total No. of Complain Solved_x000a_(On Site)" fld="20" baseField="0" baseItem="0"/>
    <dataField name="Sum of Total No. of Call Received (Complain)" fld="21" baseField="0" baseItem="0"/>
    <dataField name="Sum of Total No. of Complain Solved_x000a_(Over Phone)" fld="2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A4B94E6-A712-43B2-A6D7-68FB3719974F}" name="PivotTable1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C3:CE37" firstHeaderRow="0" firstDataRow="1" firstDataCol="1"/>
  <pivotFields count="52">
    <pivotField axis="axisRow" showAll="0">
      <items count="13">
        <item x="0"/>
        <item x="1"/>
        <item x="2"/>
        <item x="3"/>
        <item x="4"/>
        <item x="5"/>
        <item x="6"/>
        <item x="7"/>
        <item x="8"/>
        <item x="9"/>
        <item x="10"/>
        <item x="11"/>
        <item t="default"/>
      </items>
    </pivotField>
    <pivotField axis="axisRow"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s>
  <rowFields count="2">
    <field x="1"/>
    <field x="0"/>
  </rowFields>
  <rowItems count="34">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t="grand">
      <x/>
    </i>
  </rowItems>
  <colFields count="1">
    <field x="-2"/>
  </colFields>
  <colItems count="2">
    <i>
      <x/>
    </i>
    <i i="1">
      <x v="1"/>
    </i>
  </colItems>
  <dataFields count="2">
    <dataField name="Sum of Total Burner Survey " fld="45" baseField="0" baseItem="0"/>
    <dataField name="Sum of Total Wiring Complete" fld="4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7F59B60-B741-42B8-B863-DD8FBF25F71E}" name="PivotTable9"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P3:AS37" firstHeaderRow="0" firstDataRow="1" firstDataCol="1"/>
  <pivotFields count="52">
    <pivotField axis="axisRow" showAll="0">
      <items count="13">
        <item x="0"/>
        <item x="1"/>
        <item x="2"/>
        <item x="3"/>
        <item x="4"/>
        <item x="5"/>
        <item x="6"/>
        <item x="7"/>
        <item x="8"/>
        <item x="9"/>
        <item x="10"/>
        <item x="11"/>
        <item t="default"/>
      </items>
    </pivotField>
    <pivotField axis="axisRow" dataField="1"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0"/>
  </rowFields>
  <rowItems count="34">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t="grand">
      <x/>
    </i>
  </rowItems>
  <colFields count="1">
    <field x="-2"/>
  </colFields>
  <colItems count="3">
    <i>
      <x/>
    </i>
    <i i="1">
      <x v="1"/>
    </i>
    <i i="2">
      <x v="2"/>
    </i>
  </colItems>
  <dataFields count="3">
    <dataField name="Sum of Year" fld="1" baseField="0" baseItem="0"/>
    <dataField name="Sum of Total House (Lad-Seal)" fld="18" baseField="0" baseItem="0"/>
    <dataField name="Sum of Total Lad-Seal"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7EEED14-20C0-4842-A679-C7216EFD6203}"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G3:K37" firstHeaderRow="0" firstDataRow="1" firstDataCol="1"/>
  <pivotFields count="52">
    <pivotField axis="axisRow" showAll="0">
      <items count="13">
        <item x="0"/>
        <item x="1"/>
        <item x="2"/>
        <item x="3"/>
        <item x="4"/>
        <item x="5"/>
        <item x="6"/>
        <item x="7"/>
        <item x="8"/>
        <item x="9"/>
        <item x="10"/>
        <item x="11"/>
        <item t="default"/>
      </items>
    </pivotField>
    <pivotField axis="axisRow" dataField="1" showAll="0">
      <items count="4">
        <item x="1"/>
        <item x="0"/>
        <item x="2"/>
        <item t="default"/>
      </items>
    </pivotField>
    <pivotField showAll="0"/>
    <pivotField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0"/>
  </rowFields>
  <rowItems count="34">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t="grand">
      <x/>
    </i>
  </rowItems>
  <colFields count="1">
    <field x="-2"/>
  </colFields>
  <colItems count="4">
    <i>
      <x/>
    </i>
    <i i="1">
      <x v="1"/>
    </i>
    <i i="2">
      <x v="2"/>
    </i>
    <i i="3">
      <x v="3"/>
    </i>
  </colItems>
  <dataFields count="4">
    <dataField name="Sum of Year" fld="1" baseField="0" baseItem="0"/>
    <dataField name="Sum of A Type" fld="4" baseField="0" baseItem="0"/>
    <dataField name="Sum of B Type" fld="5" baseField="0" baseItem="0"/>
    <dataField name="Sum of C Typ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22</v>
    <v>8</v>
    <v>0</v>
    <v>1</v>
  </rv>
</rvData>
</file>

<file path=xl/richData/rdrichvaluestructure.xml><?xml version="1.0" encoding="utf-8"?>
<rvStructures xmlns="http://schemas.microsoft.com/office/spreadsheetml/2017/richdata" count="1">
  <s t="_error">
    <k n="colOffset" t="i"/>
    <k n="errorType" t="i"/>
    <k n="rwOffset"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2" xr10:uid="{28622901-0664-4C28-8F2A-2353E4D27655}" sourceName="Month">
  <pivotTables>
    <pivotTable tabId="4" name="PivotTable3"/>
    <pivotTable tabId="4" name="Month_wise_meter_installed"/>
    <pivotTable tabId="4" name="PivotTable11"/>
    <pivotTable tabId="4" name="PivotTable12"/>
    <pivotTable tabId="4" name="PivotTable4"/>
    <pivotTable tabId="4" name="PivotTable6"/>
    <pivotTable tabId="4" name="PivotTable7"/>
    <pivotTable tabId="4" name="PivotTable8"/>
    <pivotTable tabId="4" name="PivotTable9"/>
    <pivotTable tabId="4" name="PivotTable1"/>
  </pivotTables>
  <data>
    <tabular pivotCacheId="2097336120">
      <items count="12">
        <i x="0" s="1"/>
        <i x="1" s="1"/>
        <i x="2"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B65CABF1-FE63-4332-AA4F-89B7E4E649E9}" sourceName="Year">
  <pivotTables>
    <pivotTable tabId="4" name="PivotTable3"/>
    <pivotTable tabId="4" name="PivotTable4"/>
    <pivotTable tabId="4" name="PivotTable5"/>
    <pivotTable tabId="4" name="PivotTable6"/>
    <pivotTable tabId="4" name="Month_wise_meter_installed"/>
    <pivotTable tabId="4" name="PivotTable12"/>
    <pivotTable tabId="4" name="PivotTable7"/>
    <pivotTable tabId="4" name="PivotTable8"/>
    <pivotTable tabId="4" name="PivotTable9"/>
    <pivotTable tabId="4" name="PivotTable11"/>
    <pivotTable tabId="4" name="PivotTable1"/>
  </pivotTables>
  <data>
    <tabular pivotCacheId="2097336120">
      <items count="3">
        <i x="1" s="1"/>
        <i x="0" s="1"/>
        <i x="2"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2" xr10:uid="{6A0303EF-D7F9-4A77-ABCE-59CC57862F0D}" cache="Slicer_Month2" caption="Month" columnCount="3" style="Slicer Style 2" rowHeight="360000"/>
  <slicer name="Year 1" xr10:uid="{6E6786CE-0726-4738-8E4C-BFD96AE901BA}" cache="Slicer_Year1" caption="Year" columnCount="2" style="SlicerStyleLight5"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9EEB1B-FF91-49FF-89EA-E15A927E8F40}" name="Table2" displayName="Table2" ref="A1:AZ32" totalsRowCount="1" headerRowDxfId="106" dataDxfId="105" tableBorderDxfId="104">
  <autoFilter ref="A1:AZ31" xr:uid="{839EEB1B-FF91-49FF-89EA-E15A927E8F40}"/>
  <tableColumns count="52">
    <tableColumn id="1" xr3:uid="{726546E9-D877-4B0B-9294-39D1108B2610}" name="Month" dataDxfId="103" totalsRowDxfId="102"/>
    <tableColumn id="45" xr3:uid="{A4C8672B-9ED3-4EF3-A3B3-C659C266FDAE}" name="Year" dataDxfId="101" totalsRowDxfId="100"/>
    <tableColumn id="2" xr3:uid="{1D3BC09D-4E2D-4FC2-B925-7B85CA139353}" name="Cumulative House" dataDxfId="99" totalsRowDxfId="98"/>
    <tableColumn id="3" xr3:uid="{DDE40D1E-602A-4032-8241-88433C716DEC}" name="Cumulative Meter" dataDxfId="97" totalsRowDxfId="96"/>
    <tableColumn id="4" xr3:uid="{6BC8F1C0-24F7-4C0A-BFD7-A022193F9F11}" name="A Type" dataDxfId="95" totalsRowDxfId="94"/>
    <tableColumn id="5" xr3:uid="{AAC306DB-6254-4187-BE71-8322AB8E338E}" name="B Type" dataDxfId="93" totalsRowDxfId="92"/>
    <tableColumn id="6" xr3:uid="{5BB8632F-1CAB-43A1-AF10-B1DEF52C0FCD}" name="C Type" dataDxfId="91" totalsRowDxfId="90"/>
    <tableColumn id="7" xr3:uid="{6C7602CD-6080-4AE4-9563-8F298828998F}" name="No. of Modification Done (House)" dataDxfId="89" totalsRowDxfId="88"/>
    <tableColumn id="8" xr3:uid="{FFAA194C-8CFA-4EC5-9D50-64ADAA4C0188}" name="Riser Qty." dataDxfId="87" totalsRowDxfId="86"/>
    <tableColumn id="9" xr3:uid="{AE56220F-0E52-4651-9577-F12CA0ED4A93}" name="Total Regulator" dataDxfId="85" totalsRowDxfId="84"/>
    <tableColumn id="10" xr3:uid="{499E89A6-C3B9-47AA-B37E-24043CE2C1AF}" name="With Shed" dataDxfId="83" totalsRowDxfId="82"/>
    <tableColumn id="11" xr3:uid="{E233FB67-D357-4963-98B7-F6545D32A65C}" name="With Out Shed" dataDxfId="81" totalsRowDxfId="80"/>
    <tableColumn id="12" xr3:uid="{28691B12-3A9C-40CE-84FD-304E9109A2A3}" name="Total House" dataDxfId="79" totalsRowDxfId="78"/>
    <tableColumn id="13" xr3:uid="{5C064BC1-E62B-4D31-978C-5B80D9A2ACD2}" name="Total Meter" dataDxfId="77" totalsRowDxfId="76"/>
    <tableColumn id="14" xr3:uid="{68D5AE84-0371-477D-ADCC-E02869CE0063}" name="No. of IC Card Distributed" dataDxfId="75" totalsRowDxfId="74"/>
    <tableColumn id="15" xr3:uid="{F755B26F-2127-474C-B938-891DD7AC801A}" name="Total House(IC)" dataDxfId="73" totalsRowDxfId="72"/>
    <tableColumn id="16" xr3:uid="{F7A9D114-703A-462E-AFAE-78A55B76AF12}" name="Tag. Of Card Dist. Qty" dataDxfId="71" totalsRowDxfId="70"/>
    <tableColumn id="17" xr3:uid="{D6753592-EA2D-44A7-AA23-DB5B52EF09AE}" name="Total House(TAG)" dataDxfId="69" totalsRowDxfId="68"/>
    <tableColumn id="18" xr3:uid="{70241FED-13EA-4048-8ADA-906E6E80AAFE}" name="Total House (Lad-Seal)" dataDxfId="67" totalsRowDxfId="66"/>
    <tableColumn id="19" xr3:uid="{0D2A1B7F-8FA0-4540-8977-BCA401C429B5}" name="Total Lad-Seal" dataDxfId="65" totalsRowDxfId="64"/>
    <tableColumn id="20" xr3:uid="{48AF8C52-EC8D-484E-A6F2-7AB721F0A956}" name="Total No. of Complain Solved_x000a_(On Site)" dataDxfId="63" totalsRowDxfId="62"/>
    <tableColumn id="21" xr3:uid="{4425B201-4ED6-4587-8CCE-8CFD45CF66CD}" name="Total No. of Call Received (Complain)" dataDxfId="61" totalsRowDxfId="60"/>
    <tableColumn id="22" xr3:uid="{08A6B9CC-9714-4CD4-8162-319A4C398F42}" name="Total No. of Complain Solved_x000a_(Over Phone)" dataDxfId="59" totalsRowDxfId="58"/>
    <tableColumn id="23" xr3:uid="{F3600C0E-AC36-4C65-A156-C99327FAFD78}" name="Akbar Shah" dataDxfId="57" totalsRowDxfId="56"/>
    <tableColumn id="24" xr3:uid="{A0F51DE5-8B2F-40DA-BBDA-BF30CEEBAA1E}" name="Anowara" dataDxfId="55" totalsRowDxfId="54"/>
    <tableColumn id="25" xr3:uid="{778C5791-6CEB-418E-85B7-412566802450}" name="Bakolia" dataDxfId="53" totalsRowDxfId="52"/>
    <tableColumn id="26" xr3:uid="{8D7CAA88-4131-47B6-93BF-146F0FBB5DE4}" name="Bandar" dataDxfId="51" totalsRowDxfId="50"/>
    <tableColumn id="27" xr3:uid="{7B6A89AE-7BD5-46E7-AB26-C637D756EBD7}" name="Bayazid" dataDxfId="49" totalsRowDxfId="48"/>
    <tableColumn id="28" xr3:uid="{267DD753-7A60-41B1-8C63-4ACD56AEA4F1}" name="Boalkhali" dataDxfId="47" totalsRowDxfId="46"/>
    <tableColumn id="29" xr3:uid="{3F4B948C-2905-48C4-85B5-41752CB55D5E}" name="Chandgaon" dataDxfId="45" totalsRowDxfId="44"/>
    <tableColumn id="30" xr3:uid="{EF79F860-CD90-4231-B604-4A979B4A685D}" name="Chawkbazar" dataDxfId="43" totalsRowDxfId="42"/>
    <tableColumn id="31" xr3:uid="{47CCCF17-7B50-4272-8E66-0B547ECA0F85}" name="Double Mooring" dataDxfId="41" totalsRowDxfId="40"/>
    <tableColumn id="32" xr3:uid="{3DC3B9F9-C639-41FF-ABDF-DD45168C04D1}" name="EPZ" dataDxfId="39" totalsRowDxfId="38"/>
    <tableColumn id="33" xr3:uid="{38EE5513-9C93-4213-90D6-4C09BBFFAB65}" name="Halishahar" dataDxfId="37" totalsRowDxfId="36"/>
    <tableColumn id="34" xr3:uid="{510E211B-2D0E-423E-B4EC-0214C4402C7A}" name="Hathazari" dataDxfId="35" totalsRowDxfId="34"/>
    <tableColumn id="35" xr3:uid="{AED3CB5E-D015-4A38-9187-4EF50D5253ED}" name="Karnaphuli" dataDxfId="33" totalsRowDxfId="32"/>
    <tableColumn id="36" xr3:uid="{34C310F1-980E-4E3B-8DE7-12797766EF4F}" name="Khulshi" dataDxfId="31" totalsRowDxfId="30"/>
    <tableColumn id="37" xr3:uid="{851B890C-E3CA-463A-B4B5-19BF4428CD80}" name="Kotwali" dataDxfId="29" totalsRowDxfId="28"/>
    <tableColumn id="38" xr3:uid="{89210DEB-7BB3-462E-AEC6-64F0420006F2}" name="Mirsharai" dataDxfId="27" totalsRowDxfId="26"/>
    <tableColumn id="39" xr3:uid="{0D3E1229-43A4-421A-AC63-C4EB561D8D4A}" name="Pahartali" dataDxfId="25" totalsRowDxfId="24"/>
    <tableColumn id="40" xr3:uid="{17413031-103B-4EF4-A9EA-734F169950A9}" name="Panchlaish" dataDxfId="23" totalsRowDxfId="22"/>
    <tableColumn id="41" xr3:uid="{E638545F-666D-47A8-8C4C-8BB3BD2EA9A3}" name="Patenga" dataDxfId="21" totalsRowDxfId="20"/>
    <tableColumn id="42" xr3:uid="{821CB450-7A79-4369-B971-A3E76227ECCE}" name="Patiya" dataDxfId="19" totalsRowDxfId="18"/>
    <tableColumn id="43" xr3:uid="{FA7CB334-F4D0-4485-88E7-C579B5A0386A}" name="Sadarghat" dataDxfId="17" totalsRowDxfId="16"/>
    <tableColumn id="44" xr3:uid="{459C3A9D-2385-498C-988D-4B11384F04A7}" name="Sitakunda" dataDxfId="15" totalsRowDxfId="14"/>
    <tableColumn id="46" xr3:uid="{BE8161BF-A694-4F8F-A231-53F158E90610}" name="Total Burner Survey " dataDxfId="13" totalsRowDxfId="12"/>
    <tableColumn id="47" xr3:uid="{B38444B4-7F3E-456D-BB24-8765F5679120}" name="Total Wiring Complete" dataDxfId="11" totalsRowDxfId="10"/>
    <tableColumn id="48" xr3:uid="{918F156C-B33D-41C4-91EA-7FCDE45AC448}" name="Left Meter" dataDxfId="9" totalsRowDxfId="8">
      <calculatedColumnFormula>Table2[[#This Row],[Total Burner Survey ]]-AU2</calculatedColumnFormula>
    </tableColumn>
    <tableColumn id="49" xr3:uid="{8FB741AE-4BF7-4149-809F-68A4B39DBD5A}" name="Number of working days" dataDxfId="7" totalsRowDxfId="6"/>
    <tableColumn id="50" xr3:uid="{30522872-731B-4B0B-A3A3-9D28C3C6D687}" name="Cumulative Installed (Based on Daily Average)" dataDxfId="5" totalsRowDxfId="4">
      <calculatedColumnFormula>ROUND(Table2[[#This Row],[Number of working days]]*ANALYSIS!$DV$6,2)</calculatedColumnFormula>
    </tableColumn>
    <tableColumn id="51" xr3:uid="{EE0C1636-5C17-4C08-A764-8CAFC8157A37}" name="Running Installed" dataDxfId="3" totalsRowDxfId="2">
      <calculatedColumnFormula>Table2[[#This Row],[Cumulative Meter]]</calculatedColumnFormula>
    </tableColumn>
    <tableColumn id="52" xr3:uid="{4EA1337D-2740-47AC-9A4E-FBE5BCB5B146}" name="Target Line (Ideal Cumulative)" dataDxfId="1" totalsRowDxfId="0">
      <calculatedColumnFormula>ROUND(Table2[[#This Row],[Number of working days]]*ANALYSIS!$DV$13,2)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205455B-EC73-443E-81F4-1BB3EEA519FD}">
  <we:reference id="wa200004894" version="1.0.0.0" store="en-US" storeType="OMEX"/>
  <we:alternateReferences>
    <we:reference id="wa200004894" version="1.0.0.0" store="WA20000489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76CD9-327F-4E74-B192-201EE92D5674}">
  <sheetPr codeName="Sheet1"/>
  <dimension ref="A1:Y49"/>
  <sheetViews>
    <sheetView zoomScaleNormal="100" workbookViewId="0">
      <pane ySplit="3" topLeftCell="A34" activePane="bottomLeft" state="frozen"/>
      <selection activeCell="E15" sqref="E15"/>
      <selection pane="bottomLeft" activeCell="F45" sqref="F45"/>
    </sheetView>
  </sheetViews>
  <sheetFormatPr defaultRowHeight="14.4" x14ac:dyDescent="0.3"/>
  <cols>
    <col min="1" max="1" width="11.6640625" style="50" customWidth="1"/>
    <col min="2" max="3" width="7.44140625" style="50" customWidth="1"/>
    <col min="4" max="4" width="11.88671875" style="50" customWidth="1"/>
    <col min="5" max="5" width="11.33203125" style="50" customWidth="1"/>
    <col min="6" max="6" width="9" style="50" customWidth="1"/>
    <col min="7" max="7" width="9.5546875" style="50" customWidth="1"/>
    <col min="8" max="8" width="10.44140625" style="50" customWidth="1"/>
    <col min="9" max="9" width="12.88671875" style="50" customWidth="1"/>
    <col min="10" max="10" width="8.6640625" style="50" customWidth="1"/>
    <col min="11" max="11" width="10" style="50" customWidth="1"/>
    <col min="12" max="14" width="8.6640625" style="50" customWidth="1"/>
    <col min="15" max="15" width="10.33203125" style="50" customWidth="1"/>
    <col min="16" max="17" width="11.44140625" style="50" customWidth="1"/>
    <col min="18" max="18" width="8.6640625" style="50" customWidth="1"/>
    <col min="19" max="19" width="10.109375" style="50" customWidth="1"/>
    <col min="20" max="20" width="9.109375" style="50"/>
    <col min="21" max="21" width="10.44140625" style="50" customWidth="1"/>
    <col min="22" max="22" width="14.6640625" style="50" customWidth="1"/>
    <col min="23" max="23" width="9.109375" style="50"/>
    <col min="24" max="24" width="9.88671875" style="50" customWidth="1"/>
  </cols>
  <sheetData>
    <row r="1" spans="1:25" s="1" customFormat="1" ht="41.25" customHeight="1" x14ac:dyDescent="0.3">
      <c r="A1" s="96" t="s">
        <v>0</v>
      </c>
      <c r="B1" s="97"/>
      <c r="C1" s="97"/>
      <c r="D1" s="97"/>
      <c r="E1" s="98"/>
      <c r="F1" s="96" t="s">
        <v>5</v>
      </c>
      <c r="G1" s="97"/>
      <c r="H1" s="98"/>
      <c r="I1" s="122" t="s">
        <v>2</v>
      </c>
      <c r="J1" s="123"/>
      <c r="K1" s="124"/>
      <c r="L1" s="103" t="s">
        <v>9</v>
      </c>
      <c r="M1" s="104"/>
      <c r="N1" s="104"/>
      <c r="O1" s="105"/>
      <c r="P1" s="96" t="s">
        <v>14</v>
      </c>
      <c r="Q1" s="98"/>
      <c r="R1" s="99" t="s">
        <v>16</v>
      </c>
      <c r="S1" s="100"/>
      <c r="T1" s="117" t="s">
        <v>107</v>
      </c>
      <c r="U1" s="117"/>
      <c r="V1" s="114" t="s">
        <v>65</v>
      </c>
      <c r="W1" s="115"/>
      <c r="X1" s="116"/>
    </row>
    <row r="2" spans="1:25" ht="25.5" customHeight="1" x14ac:dyDescent="0.3">
      <c r="A2" s="120" t="s">
        <v>84</v>
      </c>
      <c r="B2" s="96"/>
      <c r="C2" s="97"/>
      <c r="D2" s="97"/>
      <c r="E2" s="98"/>
      <c r="F2" s="94" t="s">
        <v>6</v>
      </c>
      <c r="G2" s="94" t="s">
        <v>7</v>
      </c>
      <c r="H2" s="94" t="s">
        <v>8</v>
      </c>
      <c r="I2" s="118" t="s">
        <v>3</v>
      </c>
      <c r="J2" s="118" t="s">
        <v>4</v>
      </c>
      <c r="K2" s="118" t="s">
        <v>24</v>
      </c>
      <c r="L2" s="106" t="s">
        <v>10</v>
      </c>
      <c r="M2" s="106" t="s">
        <v>11</v>
      </c>
      <c r="N2" s="106" t="s">
        <v>12</v>
      </c>
      <c r="O2" s="106" t="s">
        <v>13</v>
      </c>
      <c r="P2" s="94" t="s">
        <v>15</v>
      </c>
      <c r="Q2" s="94" t="s">
        <v>12</v>
      </c>
      <c r="R2" s="101" t="s">
        <v>17</v>
      </c>
      <c r="S2" s="101" t="s">
        <v>12</v>
      </c>
      <c r="T2" s="118" t="s">
        <v>12</v>
      </c>
      <c r="U2" s="118" t="s">
        <v>106</v>
      </c>
      <c r="V2" s="110" t="s">
        <v>62</v>
      </c>
      <c r="W2" s="112" t="s">
        <v>63</v>
      </c>
      <c r="X2" s="112" t="s">
        <v>64</v>
      </c>
    </row>
    <row r="3" spans="1:25" ht="44.25" customHeight="1" x14ac:dyDescent="0.3">
      <c r="A3" s="121"/>
      <c r="B3" s="9" t="s">
        <v>20</v>
      </c>
      <c r="C3" s="9" t="s">
        <v>21</v>
      </c>
      <c r="D3" s="9" t="s">
        <v>22</v>
      </c>
      <c r="E3" s="9" t="s">
        <v>23</v>
      </c>
      <c r="F3" s="95"/>
      <c r="G3" s="95"/>
      <c r="H3" s="95"/>
      <c r="I3" s="119"/>
      <c r="J3" s="119"/>
      <c r="K3" s="119"/>
      <c r="L3" s="107"/>
      <c r="M3" s="107"/>
      <c r="N3" s="107"/>
      <c r="O3" s="107"/>
      <c r="P3" s="95"/>
      <c r="Q3" s="95"/>
      <c r="R3" s="102"/>
      <c r="S3" s="102"/>
      <c r="T3" s="119"/>
      <c r="U3" s="119"/>
      <c r="V3" s="111"/>
      <c r="W3" s="113"/>
      <c r="X3" s="113"/>
    </row>
    <row r="4" spans="1:25" ht="24.9" customHeight="1" x14ac:dyDescent="0.3">
      <c r="A4" s="10" t="s">
        <v>25</v>
      </c>
      <c r="B4" s="6"/>
      <c r="C4" s="6"/>
      <c r="D4" s="8">
        <v>187</v>
      </c>
      <c r="E4" s="6">
        <v>1638</v>
      </c>
      <c r="F4" s="6">
        <v>56</v>
      </c>
      <c r="G4" s="6">
        <v>1582</v>
      </c>
      <c r="H4" s="6">
        <v>0</v>
      </c>
      <c r="I4" s="6">
        <v>0</v>
      </c>
      <c r="J4" s="6">
        <v>0</v>
      </c>
      <c r="K4" s="6">
        <v>0</v>
      </c>
      <c r="L4" s="6">
        <v>0</v>
      </c>
      <c r="M4" s="6">
        <v>0</v>
      </c>
      <c r="N4" s="6">
        <v>0</v>
      </c>
      <c r="O4" s="6">
        <v>0</v>
      </c>
      <c r="P4" s="6">
        <v>0</v>
      </c>
      <c r="Q4" s="6">
        <v>0</v>
      </c>
      <c r="R4" s="6">
        <v>0</v>
      </c>
      <c r="S4" s="6">
        <v>0</v>
      </c>
      <c r="T4" s="6">
        <v>0</v>
      </c>
      <c r="U4" s="6">
        <v>0</v>
      </c>
      <c r="V4" s="6">
        <v>0</v>
      </c>
      <c r="W4" s="6">
        <v>0</v>
      </c>
      <c r="X4" s="6">
        <v>0</v>
      </c>
    </row>
    <row r="5" spans="1:25" ht="24.9" customHeight="1" x14ac:dyDescent="0.3">
      <c r="A5" s="10" t="s">
        <v>26</v>
      </c>
      <c r="B5" s="6"/>
      <c r="C5" s="6"/>
      <c r="D5" s="8">
        <v>714</v>
      </c>
      <c r="E5" s="6">
        <v>4331</v>
      </c>
      <c r="F5" s="6">
        <v>454</v>
      </c>
      <c r="G5" s="6">
        <v>3877</v>
      </c>
      <c r="H5" s="6">
        <v>0</v>
      </c>
      <c r="I5" s="6">
        <v>1</v>
      </c>
      <c r="J5" s="6">
        <v>10</v>
      </c>
      <c r="K5" s="6">
        <v>0</v>
      </c>
      <c r="L5" s="6">
        <v>0</v>
      </c>
      <c r="M5" s="6">
        <v>0</v>
      </c>
      <c r="N5" s="6">
        <v>0</v>
      </c>
      <c r="O5" s="6">
        <v>0</v>
      </c>
      <c r="P5" s="6">
        <v>10</v>
      </c>
      <c r="Q5" s="6">
        <v>1</v>
      </c>
      <c r="R5" s="6">
        <v>0</v>
      </c>
      <c r="S5" s="6">
        <v>0</v>
      </c>
      <c r="T5" s="6">
        <v>0</v>
      </c>
      <c r="U5" s="6">
        <v>0</v>
      </c>
      <c r="V5" s="6">
        <v>0</v>
      </c>
      <c r="W5" s="6">
        <v>0</v>
      </c>
      <c r="X5" s="6">
        <v>0</v>
      </c>
    </row>
    <row r="6" spans="1:25" ht="24.9" customHeight="1" x14ac:dyDescent="0.3">
      <c r="A6" s="10" t="s">
        <v>27</v>
      </c>
      <c r="B6" s="6"/>
      <c r="C6" s="6"/>
      <c r="D6" s="8">
        <v>481</v>
      </c>
      <c r="E6" s="6">
        <v>4364</v>
      </c>
      <c r="F6" s="6">
        <v>17</v>
      </c>
      <c r="G6" s="6">
        <v>4347</v>
      </c>
      <c r="H6" s="6">
        <v>0</v>
      </c>
      <c r="I6" s="6">
        <v>0</v>
      </c>
      <c r="J6" s="6">
        <v>0</v>
      </c>
      <c r="K6" s="6">
        <v>0</v>
      </c>
      <c r="L6" s="6">
        <v>0</v>
      </c>
      <c r="M6" s="6">
        <v>0</v>
      </c>
      <c r="N6" s="6">
        <v>0</v>
      </c>
      <c r="O6" s="6">
        <v>0</v>
      </c>
      <c r="P6" s="6">
        <v>0</v>
      </c>
      <c r="Q6" s="6">
        <v>0</v>
      </c>
      <c r="R6" s="6">
        <v>0</v>
      </c>
      <c r="S6" s="6">
        <v>0</v>
      </c>
      <c r="T6" s="6">
        <v>0</v>
      </c>
      <c r="U6" s="6">
        <v>0</v>
      </c>
      <c r="V6" s="6">
        <v>34</v>
      </c>
      <c r="W6" s="6">
        <v>1160</v>
      </c>
      <c r="X6" s="6">
        <v>1126</v>
      </c>
    </row>
    <row r="7" spans="1:25" ht="24.9" customHeight="1" x14ac:dyDescent="0.3">
      <c r="A7" s="10" t="s">
        <v>28</v>
      </c>
      <c r="B7" s="6"/>
      <c r="C7" s="6"/>
      <c r="D7" s="8">
        <v>380</v>
      </c>
      <c r="E7" s="6">
        <v>3508</v>
      </c>
      <c r="F7" s="6">
        <v>62</v>
      </c>
      <c r="G7" s="6">
        <v>3446</v>
      </c>
      <c r="H7" s="6">
        <v>0</v>
      </c>
      <c r="I7" s="6">
        <v>0</v>
      </c>
      <c r="J7" s="6">
        <v>0</v>
      </c>
      <c r="K7" s="6">
        <v>0</v>
      </c>
      <c r="L7" s="6">
        <v>0</v>
      </c>
      <c r="M7" s="6">
        <v>0</v>
      </c>
      <c r="N7" s="6">
        <v>0</v>
      </c>
      <c r="O7" s="6">
        <v>0</v>
      </c>
      <c r="P7" s="6">
        <v>0</v>
      </c>
      <c r="Q7" s="6">
        <v>0</v>
      </c>
      <c r="R7" s="6">
        <v>0</v>
      </c>
      <c r="S7" s="6">
        <v>0</v>
      </c>
      <c r="T7" s="6">
        <v>0</v>
      </c>
      <c r="U7" s="6">
        <v>0</v>
      </c>
      <c r="V7" s="6">
        <v>84</v>
      </c>
      <c r="W7" s="6">
        <v>1166</v>
      </c>
      <c r="X7" s="6">
        <v>1082</v>
      </c>
    </row>
    <row r="8" spans="1:25" ht="24.9" customHeight="1" x14ac:dyDescent="0.3">
      <c r="A8" s="10" t="s">
        <v>29</v>
      </c>
      <c r="B8" s="6"/>
      <c r="C8" s="6"/>
      <c r="D8" s="8">
        <v>971</v>
      </c>
      <c r="E8" s="6">
        <v>7472</v>
      </c>
      <c r="F8" s="6">
        <v>164</v>
      </c>
      <c r="G8" s="6">
        <v>7308</v>
      </c>
      <c r="H8" s="6">
        <v>0</v>
      </c>
      <c r="I8" s="6">
        <v>0</v>
      </c>
      <c r="J8" s="6">
        <v>0</v>
      </c>
      <c r="K8" s="6">
        <v>0</v>
      </c>
      <c r="L8" s="6">
        <v>0</v>
      </c>
      <c r="M8" s="6">
        <v>0</v>
      </c>
      <c r="N8" s="6">
        <v>0</v>
      </c>
      <c r="O8" s="6">
        <v>0</v>
      </c>
      <c r="P8" s="6">
        <v>0</v>
      </c>
      <c r="Q8" s="6">
        <v>0</v>
      </c>
      <c r="R8" s="6">
        <v>0</v>
      </c>
      <c r="S8" s="6">
        <v>0</v>
      </c>
      <c r="T8" s="6">
        <v>0</v>
      </c>
      <c r="U8" s="6">
        <v>0</v>
      </c>
      <c r="V8" s="6">
        <v>102</v>
      </c>
      <c r="W8" s="6">
        <v>1673</v>
      </c>
      <c r="X8" s="6">
        <v>1571</v>
      </c>
    </row>
    <row r="9" spans="1:25" ht="24.9" customHeight="1" x14ac:dyDescent="0.3">
      <c r="A9" s="10" t="s">
        <v>30</v>
      </c>
      <c r="B9" s="6"/>
      <c r="C9" s="6"/>
      <c r="D9" s="8">
        <v>860</v>
      </c>
      <c r="E9" s="6">
        <v>5903</v>
      </c>
      <c r="F9" s="6">
        <v>166</v>
      </c>
      <c r="G9" s="6">
        <v>5737</v>
      </c>
      <c r="H9" s="6">
        <v>0</v>
      </c>
      <c r="I9" s="6">
        <v>0</v>
      </c>
      <c r="J9" s="6">
        <v>0</v>
      </c>
      <c r="K9" s="6">
        <v>0</v>
      </c>
      <c r="L9" s="6">
        <v>37</v>
      </c>
      <c r="M9" s="6">
        <v>0</v>
      </c>
      <c r="N9" s="6">
        <v>1</v>
      </c>
      <c r="O9" s="6">
        <v>37</v>
      </c>
      <c r="P9" s="6">
        <v>2435</v>
      </c>
      <c r="Q9" s="6">
        <v>394</v>
      </c>
      <c r="R9" s="6">
        <v>2539</v>
      </c>
      <c r="S9" s="6">
        <v>395</v>
      </c>
      <c r="T9" s="6">
        <v>394</v>
      </c>
      <c r="U9" s="6">
        <v>2436</v>
      </c>
      <c r="V9" s="6">
        <v>165</v>
      </c>
      <c r="W9" s="6">
        <v>1724</v>
      </c>
      <c r="X9" s="6">
        <v>1559</v>
      </c>
    </row>
    <row r="10" spans="1:25" ht="24.9" customHeight="1" x14ac:dyDescent="0.3">
      <c r="A10" s="10" t="s">
        <v>31</v>
      </c>
      <c r="B10" s="6"/>
      <c r="C10" s="6"/>
      <c r="D10" s="8">
        <v>821</v>
      </c>
      <c r="E10" s="6">
        <v>4837</v>
      </c>
      <c r="F10" s="6">
        <v>124</v>
      </c>
      <c r="G10" s="6">
        <v>4713</v>
      </c>
      <c r="H10" s="6">
        <v>0</v>
      </c>
      <c r="I10" s="6">
        <v>0</v>
      </c>
      <c r="J10" s="6">
        <v>0</v>
      </c>
      <c r="K10" s="6">
        <v>0</v>
      </c>
      <c r="L10" s="6">
        <v>529</v>
      </c>
      <c r="M10" s="6">
        <v>690</v>
      </c>
      <c r="N10" s="6">
        <v>175</v>
      </c>
      <c r="O10" s="6">
        <v>1219</v>
      </c>
      <c r="P10" s="6">
        <v>3042</v>
      </c>
      <c r="Q10" s="6">
        <v>359</v>
      </c>
      <c r="R10" s="6">
        <v>2505</v>
      </c>
      <c r="S10" s="6">
        <v>311</v>
      </c>
      <c r="T10" s="6">
        <v>352</v>
      </c>
      <c r="U10" s="6">
        <v>3019</v>
      </c>
      <c r="V10" s="6">
        <v>134</v>
      </c>
      <c r="W10" s="6">
        <v>1493</v>
      </c>
      <c r="X10" s="6">
        <v>1359</v>
      </c>
    </row>
    <row r="11" spans="1:25" ht="24.9" customHeight="1" x14ac:dyDescent="0.3">
      <c r="A11" s="10" t="s">
        <v>32</v>
      </c>
      <c r="B11" s="6"/>
      <c r="C11" s="6"/>
      <c r="D11" s="8">
        <v>814</v>
      </c>
      <c r="E11" s="6">
        <v>4740</v>
      </c>
      <c r="F11" s="6">
        <v>189</v>
      </c>
      <c r="G11" s="6">
        <v>4551</v>
      </c>
      <c r="H11" s="6">
        <v>0</v>
      </c>
      <c r="I11" s="6">
        <v>0</v>
      </c>
      <c r="J11" s="6">
        <v>0</v>
      </c>
      <c r="K11" s="6">
        <v>0</v>
      </c>
      <c r="L11" s="6">
        <v>474</v>
      </c>
      <c r="M11" s="6">
        <v>1066</v>
      </c>
      <c r="N11" s="6">
        <v>205</v>
      </c>
      <c r="O11" s="6">
        <v>1540</v>
      </c>
      <c r="P11" s="6">
        <v>4636</v>
      </c>
      <c r="Q11" s="6">
        <v>546</v>
      </c>
      <c r="R11" s="6">
        <v>4456</v>
      </c>
      <c r="S11" s="6">
        <v>531</v>
      </c>
      <c r="T11" s="6">
        <v>28</v>
      </c>
      <c r="U11" s="6">
        <v>269</v>
      </c>
      <c r="V11" s="6">
        <v>123</v>
      </c>
      <c r="W11" s="6">
        <v>1422</v>
      </c>
      <c r="X11" s="6">
        <v>1299</v>
      </c>
    </row>
    <row r="12" spans="1:25" ht="24.9" customHeight="1" x14ac:dyDescent="0.3">
      <c r="A12" s="10" t="s">
        <v>33</v>
      </c>
      <c r="B12" s="6"/>
      <c r="C12" s="6"/>
      <c r="D12" s="8">
        <v>1103</v>
      </c>
      <c r="E12" s="8">
        <v>4147</v>
      </c>
      <c r="F12" s="6">
        <v>799</v>
      </c>
      <c r="G12" s="6">
        <v>3348</v>
      </c>
      <c r="H12" s="6">
        <v>0</v>
      </c>
      <c r="I12" s="6">
        <v>0</v>
      </c>
      <c r="J12" s="6">
        <v>0</v>
      </c>
      <c r="K12" s="6">
        <v>0</v>
      </c>
      <c r="L12" s="6">
        <v>950</v>
      </c>
      <c r="M12" s="6">
        <v>1180</v>
      </c>
      <c r="N12" s="6">
        <v>238</v>
      </c>
      <c r="O12" s="6">
        <v>2130</v>
      </c>
      <c r="P12" s="6">
        <v>9962</v>
      </c>
      <c r="Q12" s="6">
        <v>1122</v>
      </c>
      <c r="R12" s="6">
        <v>7732</v>
      </c>
      <c r="S12" s="6">
        <v>875</v>
      </c>
      <c r="T12" s="6">
        <v>0</v>
      </c>
      <c r="U12" s="6">
        <v>0</v>
      </c>
      <c r="V12" s="6">
        <v>241</v>
      </c>
      <c r="W12" s="6">
        <v>1794</v>
      </c>
      <c r="X12" s="6">
        <v>1553</v>
      </c>
      <c r="Y12" t="s">
        <v>121</v>
      </c>
    </row>
    <row r="13" spans="1:25" ht="24.9" customHeight="1" x14ac:dyDescent="0.3">
      <c r="A13" s="10" t="s">
        <v>34</v>
      </c>
      <c r="B13" s="6"/>
      <c r="C13" s="6"/>
      <c r="D13" s="8">
        <v>886</v>
      </c>
      <c r="E13" s="6">
        <v>4557</v>
      </c>
      <c r="F13" s="6">
        <v>531</v>
      </c>
      <c r="G13" s="6">
        <v>4026</v>
      </c>
      <c r="H13" s="6">
        <v>0</v>
      </c>
      <c r="I13" s="6">
        <v>0</v>
      </c>
      <c r="J13" s="6">
        <v>0</v>
      </c>
      <c r="K13" s="6">
        <v>0</v>
      </c>
      <c r="L13" s="6">
        <v>46</v>
      </c>
      <c r="M13" s="6">
        <v>101</v>
      </c>
      <c r="N13" s="6">
        <v>15</v>
      </c>
      <c r="O13" s="6">
        <v>147</v>
      </c>
      <c r="P13" s="6">
        <v>12532</v>
      </c>
      <c r="Q13" s="6">
        <v>2173</v>
      </c>
      <c r="R13" s="6">
        <v>11634</v>
      </c>
      <c r="S13" s="6">
        <v>1969</v>
      </c>
      <c r="T13" s="6">
        <v>0</v>
      </c>
      <c r="U13" s="6">
        <v>0</v>
      </c>
      <c r="V13" s="6">
        <v>388</v>
      </c>
      <c r="W13" s="6">
        <v>2189</v>
      </c>
      <c r="X13" s="6">
        <v>1801</v>
      </c>
    </row>
    <row r="14" spans="1:25" ht="24.9" customHeight="1" x14ac:dyDescent="0.3">
      <c r="A14" s="10" t="s">
        <v>35</v>
      </c>
      <c r="B14" s="6"/>
      <c r="C14" s="6"/>
      <c r="D14" s="8">
        <v>1086</v>
      </c>
      <c r="E14" s="6">
        <v>5838</v>
      </c>
      <c r="F14" s="6">
        <v>537</v>
      </c>
      <c r="G14" s="6">
        <v>5301</v>
      </c>
      <c r="H14" s="6">
        <v>0</v>
      </c>
      <c r="I14" s="6">
        <v>2</v>
      </c>
      <c r="J14" s="6">
        <v>4</v>
      </c>
      <c r="K14" s="6">
        <v>0</v>
      </c>
      <c r="L14" s="6">
        <v>1718</v>
      </c>
      <c r="M14" s="6">
        <v>2874</v>
      </c>
      <c r="N14" s="6">
        <v>423</v>
      </c>
      <c r="O14" s="6">
        <v>4592</v>
      </c>
      <c r="P14" s="6">
        <v>7895</v>
      </c>
      <c r="Q14" s="6">
        <v>1488</v>
      </c>
      <c r="R14" s="6">
        <v>4976</v>
      </c>
      <c r="S14" s="6">
        <v>726</v>
      </c>
      <c r="T14" s="6">
        <v>0</v>
      </c>
      <c r="U14" s="6">
        <v>0</v>
      </c>
      <c r="V14" s="2">
        <v>289</v>
      </c>
      <c r="W14" s="2">
        <v>2045</v>
      </c>
      <c r="X14" s="2">
        <v>1756</v>
      </c>
    </row>
    <row r="15" spans="1:25" ht="24.9" customHeight="1" x14ac:dyDescent="0.3">
      <c r="A15" s="10" t="s">
        <v>36</v>
      </c>
      <c r="B15" s="6"/>
      <c r="C15" s="6"/>
      <c r="D15" s="8"/>
      <c r="E15" s="6"/>
      <c r="F15" s="6">
        <v>660</v>
      </c>
      <c r="G15" s="6">
        <v>4585</v>
      </c>
      <c r="H15" s="6"/>
      <c r="I15" s="6"/>
      <c r="J15" s="6"/>
      <c r="K15" s="6"/>
      <c r="L15" s="6"/>
      <c r="M15" s="6"/>
      <c r="N15" s="6"/>
      <c r="O15" s="6"/>
      <c r="P15" s="6"/>
      <c r="Q15" s="6" t="s">
        <v>84</v>
      </c>
      <c r="R15" s="6"/>
      <c r="S15" s="6"/>
      <c r="T15" s="2"/>
      <c r="U15" s="2"/>
      <c r="V15" s="2"/>
      <c r="W15" s="2"/>
      <c r="X15" s="2"/>
    </row>
    <row r="16" spans="1:25" ht="24.9" customHeight="1" x14ac:dyDescent="0.3">
      <c r="A16" s="11" t="s">
        <v>18</v>
      </c>
      <c r="B16" s="5"/>
      <c r="C16" s="5"/>
      <c r="D16" s="5">
        <f t="shared" ref="D16:X16" si="0">SUBTOTAL(9,D4:D15)</f>
        <v>8303</v>
      </c>
      <c r="E16" s="5">
        <f t="shared" si="0"/>
        <v>51335</v>
      </c>
      <c r="F16" s="5">
        <f t="shared" si="0"/>
        <v>3759</v>
      </c>
      <c r="G16" s="5">
        <f t="shared" si="0"/>
        <v>52821</v>
      </c>
      <c r="H16" s="5">
        <f t="shared" si="0"/>
        <v>0</v>
      </c>
      <c r="I16" s="5">
        <f t="shared" si="0"/>
        <v>3</v>
      </c>
      <c r="J16" s="5">
        <f t="shared" si="0"/>
        <v>14</v>
      </c>
      <c r="K16" s="5">
        <f t="shared" si="0"/>
        <v>0</v>
      </c>
      <c r="L16" s="5">
        <f t="shared" si="0"/>
        <v>3754</v>
      </c>
      <c r="M16" s="5">
        <f t="shared" si="0"/>
        <v>5911</v>
      </c>
      <c r="N16" s="5">
        <f t="shared" si="0"/>
        <v>1057</v>
      </c>
      <c r="O16" s="5">
        <f t="shared" si="0"/>
        <v>9665</v>
      </c>
      <c r="P16" s="5">
        <f t="shared" si="0"/>
        <v>40512</v>
      </c>
      <c r="Q16" s="5">
        <f t="shared" si="0"/>
        <v>6083</v>
      </c>
      <c r="R16" s="5">
        <f t="shared" si="0"/>
        <v>33842</v>
      </c>
      <c r="S16" s="5">
        <f t="shared" si="0"/>
        <v>4807</v>
      </c>
      <c r="T16" s="5">
        <f t="shared" si="0"/>
        <v>774</v>
      </c>
      <c r="U16" s="5">
        <f t="shared" si="0"/>
        <v>5724</v>
      </c>
      <c r="V16" s="52">
        <f t="shared" si="0"/>
        <v>1560</v>
      </c>
      <c r="W16" s="52">
        <f t="shared" si="0"/>
        <v>14666</v>
      </c>
      <c r="X16" s="52">
        <f t="shared" si="0"/>
        <v>13106</v>
      </c>
    </row>
    <row r="17" spans="1:24" ht="24.9" customHeight="1" x14ac:dyDescent="0.3">
      <c r="A17" s="12">
        <v>45627</v>
      </c>
      <c r="B17" s="6">
        <v>88</v>
      </c>
      <c r="C17" s="6">
        <v>266</v>
      </c>
      <c r="D17" s="6">
        <f>IF(ISBLANK(B17)," ", B17+D16)</f>
        <v>8391</v>
      </c>
      <c r="E17" s="6">
        <f>IF(ISBLANK(C17)," ", C17+E16)</f>
        <v>51601</v>
      </c>
      <c r="F17" s="6"/>
      <c r="G17" s="6"/>
      <c r="H17" s="6"/>
      <c r="I17" s="6">
        <v>0</v>
      </c>
      <c r="J17" s="6">
        <v>0</v>
      </c>
      <c r="K17" s="6">
        <v>0</v>
      </c>
      <c r="L17" s="6">
        <v>56</v>
      </c>
      <c r="M17" s="6">
        <v>117</v>
      </c>
      <c r="N17" s="6">
        <v>22</v>
      </c>
      <c r="O17" s="6">
        <v>173</v>
      </c>
      <c r="P17" s="6">
        <v>312</v>
      </c>
      <c r="Q17" s="6">
        <v>82</v>
      </c>
      <c r="R17" s="6">
        <v>149</v>
      </c>
      <c r="S17" s="6">
        <v>42</v>
      </c>
      <c r="T17" s="2">
        <v>0</v>
      </c>
      <c r="U17" s="2">
        <v>0</v>
      </c>
      <c r="V17" s="2">
        <v>17</v>
      </c>
      <c r="W17" s="2">
        <v>82</v>
      </c>
      <c r="X17" s="2">
        <v>65</v>
      </c>
    </row>
    <row r="18" spans="1:24" ht="24.9" customHeight="1" x14ac:dyDescent="0.3">
      <c r="A18" s="12">
        <v>45628</v>
      </c>
      <c r="B18" s="6">
        <v>93</v>
      </c>
      <c r="C18" s="6">
        <v>216</v>
      </c>
      <c r="D18" s="6">
        <f>IF(ISBLANK(B18)," ", B18+D17)</f>
        <v>8484</v>
      </c>
      <c r="E18" s="6">
        <f>IF(ISBLANK(C18)," ", C18+E17)</f>
        <v>51817</v>
      </c>
      <c r="F18" s="6"/>
      <c r="G18" s="6"/>
      <c r="H18" s="6"/>
      <c r="I18" s="6">
        <v>0</v>
      </c>
      <c r="J18" s="6">
        <v>0</v>
      </c>
      <c r="K18" s="6">
        <v>0</v>
      </c>
      <c r="L18" s="6">
        <v>72</v>
      </c>
      <c r="M18" s="6">
        <v>102</v>
      </c>
      <c r="N18" s="6">
        <v>16</v>
      </c>
      <c r="O18" s="6">
        <v>174</v>
      </c>
      <c r="P18" s="6">
        <v>367</v>
      </c>
      <c r="Q18" s="6">
        <v>59</v>
      </c>
      <c r="R18" s="6">
        <v>98</v>
      </c>
      <c r="S18" s="6">
        <v>27</v>
      </c>
      <c r="T18" s="2">
        <v>0</v>
      </c>
      <c r="U18" s="2">
        <v>0</v>
      </c>
      <c r="V18" s="2">
        <v>17</v>
      </c>
      <c r="W18" s="2">
        <v>79</v>
      </c>
      <c r="X18" s="2">
        <v>62</v>
      </c>
    </row>
    <row r="19" spans="1:24" ht="24.9" customHeight="1" x14ac:dyDescent="0.3">
      <c r="A19" s="12">
        <v>45629</v>
      </c>
      <c r="B19" s="6">
        <v>81</v>
      </c>
      <c r="C19" s="6">
        <v>276</v>
      </c>
      <c r="D19" s="6">
        <f t="shared" ref="D19:D47" si="1">IF(ISBLANK(B19)," ", B19+D18)</f>
        <v>8565</v>
      </c>
      <c r="E19" s="6">
        <f t="shared" ref="E19:E47" si="2">IF(ISBLANK(C19)," ", C19+E18)</f>
        <v>52093</v>
      </c>
      <c r="F19" s="6"/>
      <c r="G19" s="6"/>
      <c r="H19" s="6"/>
      <c r="I19" s="6">
        <v>0</v>
      </c>
      <c r="J19" s="6">
        <v>0</v>
      </c>
      <c r="K19" s="6">
        <v>0</v>
      </c>
      <c r="L19" s="6">
        <v>106</v>
      </c>
      <c r="M19" s="6">
        <v>110</v>
      </c>
      <c r="N19" s="6">
        <v>13</v>
      </c>
      <c r="O19" s="6">
        <v>216</v>
      </c>
      <c r="P19" s="6">
        <v>403</v>
      </c>
      <c r="Q19" s="6">
        <v>110</v>
      </c>
      <c r="R19" s="6">
        <v>0</v>
      </c>
      <c r="S19" s="2">
        <v>0</v>
      </c>
      <c r="T19" s="2">
        <v>0</v>
      </c>
      <c r="U19" s="2">
        <v>0</v>
      </c>
      <c r="V19" s="2">
        <v>20</v>
      </c>
      <c r="W19" s="2">
        <v>85</v>
      </c>
      <c r="X19" s="2">
        <v>65</v>
      </c>
    </row>
    <row r="20" spans="1:24" ht="24.9" customHeight="1" x14ac:dyDescent="0.3">
      <c r="A20" s="12">
        <v>45630</v>
      </c>
      <c r="B20" s="6">
        <v>85</v>
      </c>
      <c r="C20" s="6">
        <v>303</v>
      </c>
      <c r="D20" s="6">
        <f t="shared" si="1"/>
        <v>8650</v>
      </c>
      <c r="E20" s="6">
        <f t="shared" si="2"/>
        <v>52396</v>
      </c>
      <c r="F20" s="6"/>
      <c r="G20" s="6"/>
      <c r="H20" s="6"/>
      <c r="I20" s="6">
        <v>0</v>
      </c>
      <c r="J20" s="6">
        <v>0</v>
      </c>
      <c r="K20" s="6">
        <v>0</v>
      </c>
      <c r="L20" s="6">
        <v>71</v>
      </c>
      <c r="M20" s="6">
        <v>129</v>
      </c>
      <c r="N20" s="6">
        <v>22</v>
      </c>
      <c r="O20" s="6">
        <v>200</v>
      </c>
      <c r="P20" s="6">
        <v>321</v>
      </c>
      <c r="Q20" s="6">
        <v>92</v>
      </c>
      <c r="R20" s="6">
        <v>0</v>
      </c>
      <c r="S20" s="6">
        <v>0</v>
      </c>
      <c r="T20" s="2">
        <v>0</v>
      </c>
      <c r="U20" s="2">
        <v>0</v>
      </c>
      <c r="V20" s="2">
        <v>7</v>
      </c>
      <c r="W20" s="2">
        <v>51</v>
      </c>
      <c r="X20" s="2">
        <v>44</v>
      </c>
    </row>
    <row r="21" spans="1:24" ht="24.9" customHeight="1" x14ac:dyDescent="0.3">
      <c r="A21" s="12">
        <v>45631</v>
      </c>
      <c r="B21" s="6">
        <v>60</v>
      </c>
      <c r="C21" s="6">
        <v>337</v>
      </c>
      <c r="D21" s="6">
        <f t="shared" si="1"/>
        <v>8710</v>
      </c>
      <c r="E21" s="6">
        <f t="shared" si="2"/>
        <v>52733</v>
      </c>
      <c r="F21" s="6"/>
      <c r="G21" s="6"/>
      <c r="H21" s="6"/>
      <c r="I21" s="6">
        <v>0</v>
      </c>
      <c r="J21" s="6">
        <v>0</v>
      </c>
      <c r="K21" s="6">
        <v>0</v>
      </c>
      <c r="L21" s="6">
        <v>95</v>
      </c>
      <c r="M21" s="6">
        <v>98</v>
      </c>
      <c r="N21" s="6">
        <v>23</v>
      </c>
      <c r="O21" s="6">
        <v>193</v>
      </c>
      <c r="P21" s="6">
        <v>328</v>
      </c>
      <c r="Q21" s="6">
        <v>70</v>
      </c>
      <c r="R21" s="6">
        <v>0</v>
      </c>
      <c r="S21" s="6">
        <v>0</v>
      </c>
      <c r="T21" s="2">
        <v>0</v>
      </c>
      <c r="U21" s="2">
        <v>0</v>
      </c>
      <c r="V21" s="2">
        <v>15</v>
      </c>
      <c r="W21" s="2">
        <v>78</v>
      </c>
      <c r="X21" s="2">
        <v>63</v>
      </c>
    </row>
    <row r="22" spans="1:24" ht="24.9" customHeight="1" x14ac:dyDescent="0.3">
      <c r="A22" s="12">
        <v>45632</v>
      </c>
      <c r="B22" s="6">
        <v>0</v>
      </c>
      <c r="C22" s="6">
        <v>0</v>
      </c>
      <c r="D22" s="6">
        <f t="shared" si="1"/>
        <v>8710</v>
      </c>
      <c r="E22" s="6">
        <f t="shared" si="2"/>
        <v>52733</v>
      </c>
      <c r="F22" s="6"/>
      <c r="G22" s="6"/>
      <c r="H22" s="6"/>
      <c r="I22" s="6">
        <v>0</v>
      </c>
      <c r="J22" s="6">
        <v>0</v>
      </c>
      <c r="K22" s="6">
        <v>0</v>
      </c>
      <c r="L22" s="6">
        <v>0</v>
      </c>
      <c r="M22" s="6">
        <v>0</v>
      </c>
      <c r="N22" s="6">
        <v>0</v>
      </c>
      <c r="O22" s="6">
        <v>0</v>
      </c>
      <c r="P22" s="6">
        <v>0</v>
      </c>
      <c r="Q22" s="6">
        <v>0</v>
      </c>
      <c r="R22" s="6">
        <v>0</v>
      </c>
      <c r="S22" s="6">
        <v>0</v>
      </c>
      <c r="T22" s="6">
        <v>0</v>
      </c>
      <c r="U22" s="6">
        <v>0</v>
      </c>
      <c r="V22" s="2">
        <v>5</v>
      </c>
      <c r="W22" s="2">
        <v>65</v>
      </c>
      <c r="X22" s="2">
        <v>60</v>
      </c>
    </row>
    <row r="23" spans="1:24" ht="24.9" customHeight="1" x14ac:dyDescent="0.3">
      <c r="A23" s="12">
        <v>45633</v>
      </c>
      <c r="B23" s="6">
        <v>65</v>
      </c>
      <c r="C23" s="6">
        <v>314</v>
      </c>
      <c r="D23" s="6">
        <f t="shared" si="1"/>
        <v>8775</v>
      </c>
      <c r="E23" s="6">
        <f t="shared" si="2"/>
        <v>53047</v>
      </c>
      <c r="F23" s="6"/>
      <c r="G23" s="6"/>
      <c r="H23" s="6"/>
      <c r="I23" s="6">
        <v>0</v>
      </c>
      <c r="J23" s="6">
        <v>0</v>
      </c>
      <c r="K23" s="6">
        <v>0</v>
      </c>
      <c r="L23" s="6">
        <v>37</v>
      </c>
      <c r="M23" s="6">
        <v>201</v>
      </c>
      <c r="N23" s="6">
        <v>24</v>
      </c>
      <c r="O23" s="6">
        <v>238</v>
      </c>
      <c r="P23" s="6">
        <v>409</v>
      </c>
      <c r="Q23" s="6">
        <v>72</v>
      </c>
      <c r="R23" s="6">
        <v>0</v>
      </c>
      <c r="S23" s="6">
        <v>0</v>
      </c>
      <c r="T23" s="6">
        <v>0</v>
      </c>
      <c r="U23" s="6">
        <v>0</v>
      </c>
      <c r="V23" s="2">
        <v>17</v>
      </c>
      <c r="W23" s="2">
        <v>72</v>
      </c>
      <c r="X23" s="2">
        <v>55</v>
      </c>
    </row>
    <row r="24" spans="1:24" ht="24.9" customHeight="1" x14ac:dyDescent="0.3">
      <c r="A24" s="12">
        <v>45634</v>
      </c>
      <c r="B24" s="6">
        <v>58</v>
      </c>
      <c r="C24" s="6">
        <v>239</v>
      </c>
      <c r="D24" s="6">
        <f>IF(ISBLANK(B24)," ", B24+D23)</f>
        <v>8833</v>
      </c>
      <c r="E24" s="6">
        <f>IF(ISBLANK(C24)," ", C24+E23)</f>
        <v>53286</v>
      </c>
      <c r="F24" s="6"/>
      <c r="G24" s="6"/>
      <c r="H24" s="6"/>
      <c r="I24" s="6">
        <v>0</v>
      </c>
      <c r="J24" s="6">
        <v>0</v>
      </c>
      <c r="K24" s="6">
        <v>0</v>
      </c>
      <c r="L24" s="6">
        <v>24</v>
      </c>
      <c r="M24" s="6">
        <v>170</v>
      </c>
      <c r="N24" s="6">
        <v>21</v>
      </c>
      <c r="O24" s="6">
        <v>194</v>
      </c>
      <c r="P24" s="6">
        <v>385</v>
      </c>
      <c r="Q24" s="6">
        <v>55</v>
      </c>
      <c r="R24" s="6">
        <v>0</v>
      </c>
      <c r="S24" s="6">
        <v>0</v>
      </c>
      <c r="T24" s="6">
        <v>0</v>
      </c>
      <c r="U24" s="6">
        <v>0</v>
      </c>
      <c r="V24" s="2">
        <v>15</v>
      </c>
      <c r="W24" s="2">
        <v>81</v>
      </c>
      <c r="X24" s="2">
        <v>66</v>
      </c>
    </row>
    <row r="25" spans="1:24" ht="24.9" customHeight="1" x14ac:dyDescent="0.3">
      <c r="A25" s="12">
        <v>45635</v>
      </c>
      <c r="B25" s="6">
        <v>83</v>
      </c>
      <c r="C25" s="6">
        <v>279</v>
      </c>
      <c r="D25" s="6">
        <f>IF(ISBLANK(B25)," ", B25+D24)</f>
        <v>8916</v>
      </c>
      <c r="E25" s="6">
        <f>IF(ISBLANK(C25)," ", C25+E24)</f>
        <v>53565</v>
      </c>
      <c r="F25" s="6"/>
      <c r="G25" s="6"/>
      <c r="H25" s="6"/>
      <c r="I25" s="6">
        <v>0</v>
      </c>
      <c r="J25" s="6">
        <v>0</v>
      </c>
      <c r="K25" s="6">
        <v>0</v>
      </c>
      <c r="L25" s="6">
        <v>49</v>
      </c>
      <c r="M25" s="6">
        <v>205</v>
      </c>
      <c r="N25" s="6">
        <v>21</v>
      </c>
      <c r="O25" s="6">
        <v>254</v>
      </c>
      <c r="P25" s="6">
        <v>293</v>
      </c>
      <c r="Q25" s="6">
        <v>102</v>
      </c>
      <c r="R25" s="6">
        <v>0</v>
      </c>
      <c r="S25" s="6">
        <v>0</v>
      </c>
      <c r="T25" s="6">
        <v>0</v>
      </c>
      <c r="U25" s="6">
        <v>0</v>
      </c>
      <c r="V25" s="2">
        <v>14</v>
      </c>
      <c r="W25" s="2">
        <v>79</v>
      </c>
      <c r="X25" s="2">
        <v>65</v>
      </c>
    </row>
    <row r="26" spans="1:24" ht="24.9" customHeight="1" x14ac:dyDescent="0.3">
      <c r="A26" s="12">
        <v>45636</v>
      </c>
      <c r="B26" s="6">
        <v>58</v>
      </c>
      <c r="C26" s="6">
        <v>250</v>
      </c>
      <c r="D26" s="6">
        <f t="shared" si="1"/>
        <v>8974</v>
      </c>
      <c r="E26" s="6">
        <f t="shared" si="2"/>
        <v>53815</v>
      </c>
      <c r="F26" s="6"/>
      <c r="G26" s="6"/>
      <c r="H26" s="6"/>
      <c r="I26" s="6">
        <v>0</v>
      </c>
      <c r="J26" s="6">
        <v>0</v>
      </c>
      <c r="K26" s="6">
        <v>0</v>
      </c>
      <c r="L26" s="6">
        <v>79</v>
      </c>
      <c r="M26" s="6">
        <v>149</v>
      </c>
      <c r="N26" s="6">
        <v>28</v>
      </c>
      <c r="O26" s="6">
        <v>228</v>
      </c>
      <c r="P26" s="6">
        <v>294</v>
      </c>
      <c r="Q26" s="6">
        <v>68</v>
      </c>
      <c r="R26" s="48">
        <v>0</v>
      </c>
      <c r="S26" s="48">
        <v>0</v>
      </c>
      <c r="T26" s="2">
        <v>0</v>
      </c>
      <c r="U26" s="2">
        <v>0</v>
      </c>
      <c r="V26" s="2">
        <v>14</v>
      </c>
      <c r="W26" s="2">
        <v>78</v>
      </c>
      <c r="X26" s="2">
        <v>64</v>
      </c>
    </row>
    <row r="27" spans="1:24" ht="24.9" customHeight="1" x14ac:dyDescent="0.3">
      <c r="A27" s="12">
        <v>45637</v>
      </c>
      <c r="B27" s="6">
        <v>62</v>
      </c>
      <c r="C27" s="6">
        <v>328</v>
      </c>
      <c r="D27" s="6">
        <f t="shared" si="1"/>
        <v>9036</v>
      </c>
      <c r="E27" s="6">
        <f t="shared" si="2"/>
        <v>54143</v>
      </c>
      <c r="F27" s="6"/>
      <c r="G27" s="6"/>
      <c r="H27" s="6"/>
      <c r="I27" s="6">
        <v>0</v>
      </c>
      <c r="J27" s="6">
        <v>0</v>
      </c>
      <c r="K27" s="6">
        <v>0</v>
      </c>
      <c r="L27" s="6">
        <v>92</v>
      </c>
      <c r="M27" s="6">
        <v>147</v>
      </c>
      <c r="N27" s="6">
        <v>30</v>
      </c>
      <c r="O27" s="6">
        <v>239</v>
      </c>
      <c r="P27" s="6">
        <v>222</v>
      </c>
      <c r="Q27" s="6">
        <v>37</v>
      </c>
      <c r="R27" s="48">
        <v>0</v>
      </c>
      <c r="S27" s="48">
        <v>0</v>
      </c>
      <c r="T27" s="2">
        <v>0</v>
      </c>
      <c r="U27" s="2">
        <v>0</v>
      </c>
      <c r="V27" s="2">
        <v>7</v>
      </c>
      <c r="W27" s="2">
        <v>67</v>
      </c>
      <c r="X27" s="2">
        <v>60</v>
      </c>
    </row>
    <row r="28" spans="1:24" ht="24.9" customHeight="1" x14ac:dyDescent="0.3">
      <c r="A28" s="12">
        <v>45638</v>
      </c>
      <c r="B28" s="6">
        <v>66</v>
      </c>
      <c r="C28" s="6">
        <v>347</v>
      </c>
      <c r="D28" s="6">
        <f t="shared" si="1"/>
        <v>9102</v>
      </c>
      <c r="E28" s="6">
        <f t="shared" si="2"/>
        <v>54490</v>
      </c>
      <c r="F28" s="6"/>
      <c r="G28" s="6"/>
      <c r="H28" s="6"/>
      <c r="I28" s="6">
        <v>0</v>
      </c>
      <c r="J28" s="6">
        <v>0</v>
      </c>
      <c r="K28" s="6">
        <v>0</v>
      </c>
      <c r="L28" s="6">
        <v>66</v>
      </c>
      <c r="M28" s="6">
        <v>175</v>
      </c>
      <c r="N28" s="6">
        <v>26</v>
      </c>
      <c r="O28" s="6">
        <v>241</v>
      </c>
      <c r="P28" s="6">
        <v>250</v>
      </c>
      <c r="Q28" s="6">
        <v>23</v>
      </c>
      <c r="R28" s="48">
        <v>0</v>
      </c>
      <c r="S28" s="48">
        <v>0</v>
      </c>
      <c r="T28" s="2">
        <v>0</v>
      </c>
      <c r="U28" s="2">
        <v>0</v>
      </c>
      <c r="V28" s="2">
        <v>12</v>
      </c>
      <c r="W28" s="2">
        <v>82</v>
      </c>
      <c r="X28" s="2">
        <v>70</v>
      </c>
    </row>
    <row r="29" spans="1:24" ht="24.9" customHeight="1" x14ac:dyDescent="0.3">
      <c r="A29" s="12">
        <v>45639</v>
      </c>
      <c r="B29" s="6">
        <v>0</v>
      </c>
      <c r="C29" s="6">
        <v>0</v>
      </c>
      <c r="D29" s="6">
        <f t="shared" si="1"/>
        <v>9102</v>
      </c>
      <c r="E29" s="6">
        <f t="shared" si="2"/>
        <v>54490</v>
      </c>
      <c r="F29" s="6"/>
      <c r="G29" s="6"/>
      <c r="H29" s="6"/>
      <c r="I29" s="6">
        <v>0</v>
      </c>
      <c r="J29" s="6">
        <v>0</v>
      </c>
      <c r="K29" s="6">
        <v>0</v>
      </c>
      <c r="L29" s="6">
        <v>0</v>
      </c>
      <c r="M29" s="6">
        <v>0</v>
      </c>
      <c r="N29" s="6">
        <v>0</v>
      </c>
      <c r="O29" s="6">
        <v>0</v>
      </c>
      <c r="P29" s="6">
        <v>0</v>
      </c>
      <c r="Q29" s="6">
        <v>0</v>
      </c>
      <c r="R29" s="6">
        <v>0</v>
      </c>
      <c r="S29" s="6">
        <v>0</v>
      </c>
      <c r="T29" s="6">
        <v>0</v>
      </c>
      <c r="U29" s="6">
        <v>0</v>
      </c>
      <c r="V29" s="2">
        <v>7</v>
      </c>
      <c r="W29" s="2">
        <v>57</v>
      </c>
      <c r="X29" s="2">
        <v>50</v>
      </c>
    </row>
    <row r="30" spans="1:24" ht="24.9" customHeight="1" x14ac:dyDescent="0.3">
      <c r="A30" s="12">
        <v>45640</v>
      </c>
      <c r="B30" s="6">
        <v>44</v>
      </c>
      <c r="C30" s="6">
        <v>278</v>
      </c>
      <c r="D30" s="6">
        <f t="shared" si="1"/>
        <v>9146</v>
      </c>
      <c r="E30" s="6">
        <f t="shared" si="2"/>
        <v>54768</v>
      </c>
      <c r="F30" s="6"/>
      <c r="G30" s="6"/>
      <c r="H30" s="6"/>
      <c r="I30" s="6">
        <v>0</v>
      </c>
      <c r="J30" s="6">
        <v>0</v>
      </c>
      <c r="K30" s="6">
        <v>0</v>
      </c>
      <c r="L30" s="6">
        <v>76</v>
      </c>
      <c r="M30" s="6">
        <v>182</v>
      </c>
      <c r="N30" s="6">
        <v>25</v>
      </c>
      <c r="O30" s="6">
        <v>258</v>
      </c>
      <c r="P30" s="6">
        <v>243</v>
      </c>
      <c r="Q30" s="6">
        <v>82</v>
      </c>
      <c r="R30" s="6">
        <v>151</v>
      </c>
      <c r="S30" s="6">
        <v>68</v>
      </c>
      <c r="T30" s="6">
        <v>0</v>
      </c>
      <c r="U30" s="6">
        <v>0</v>
      </c>
      <c r="V30" s="2">
        <v>11</v>
      </c>
      <c r="W30" s="2">
        <v>83</v>
      </c>
      <c r="X30" s="2">
        <v>72</v>
      </c>
    </row>
    <row r="31" spans="1:24" s="49" customFormat="1" ht="24.9" customHeight="1" x14ac:dyDescent="0.3">
      <c r="A31" s="12">
        <v>45641</v>
      </c>
      <c r="B31" s="48">
        <v>58</v>
      </c>
      <c r="C31" s="48">
        <v>300</v>
      </c>
      <c r="D31" s="6">
        <f t="shared" si="1"/>
        <v>9204</v>
      </c>
      <c r="E31" s="6">
        <f t="shared" si="2"/>
        <v>55068</v>
      </c>
      <c r="F31" s="48"/>
      <c r="G31" s="48"/>
      <c r="H31" s="48"/>
      <c r="I31" s="6">
        <v>0</v>
      </c>
      <c r="J31" s="6">
        <v>0</v>
      </c>
      <c r="K31" s="6">
        <v>0</v>
      </c>
      <c r="L31" s="6">
        <v>36</v>
      </c>
      <c r="M31" s="6">
        <v>95</v>
      </c>
      <c r="N31" s="6">
        <v>12</v>
      </c>
      <c r="O31" s="6">
        <v>131</v>
      </c>
      <c r="P31" s="48">
        <v>171</v>
      </c>
      <c r="Q31" s="48">
        <v>75</v>
      </c>
      <c r="R31" s="6">
        <v>93</v>
      </c>
      <c r="S31" s="2">
        <v>61</v>
      </c>
      <c r="T31" s="6">
        <v>0</v>
      </c>
      <c r="U31" s="6">
        <v>0</v>
      </c>
      <c r="V31" s="53">
        <v>10</v>
      </c>
      <c r="W31" s="53">
        <v>76</v>
      </c>
      <c r="X31" s="53">
        <v>66</v>
      </c>
    </row>
    <row r="32" spans="1:24" ht="24.9" customHeight="1" x14ac:dyDescent="0.3">
      <c r="A32" s="12">
        <v>45642</v>
      </c>
      <c r="B32" s="6">
        <v>0</v>
      </c>
      <c r="C32" s="6">
        <v>0</v>
      </c>
      <c r="D32" s="6">
        <f t="shared" si="1"/>
        <v>9204</v>
      </c>
      <c r="E32" s="6">
        <f t="shared" si="2"/>
        <v>55068</v>
      </c>
      <c r="F32" s="6"/>
      <c r="G32" s="6"/>
      <c r="H32" s="6"/>
      <c r="I32" s="6">
        <v>0</v>
      </c>
      <c r="J32" s="6">
        <v>0</v>
      </c>
      <c r="K32" s="6">
        <v>0</v>
      </c>
      <c r="L32" s="6">
        <v>0</v>
      </c>
      <c r="M32" s="6">
        <v>0</v>
      </c>
      <c r="N32" s="6">
        <v>0</v>
      </c>
      <c r="O32" s="6">
        <v>0</v>
      </c>
      <c r="P32" s="6">
        <v>0</v>
      </c>
      <c r="Q32" s="6">
        <v>0</v>
      </c>
      <c r="R32" s="6">
        <v>0</v>
      </c>
      <c r="S32" s="6">
        <v>0</v>
      </c>
      <c r="T32" s="6">
        <v>0</v>
      </c>
      <c r="U32" s="6">
        <v>0</v>
      </c>
      <c r="V32" s="2">
        <v>9</v>
      </c>
      <c r="W32" s="2">
        <v>73</v>
      </c>
      <c r="X32" s="2">
        <v>64</v>
      </c>
    </row>
    <row r="33" spans="1:24" ht="24.9" customHeight="1" x14ac:dyDescent="0.3">
      <c r="A33" s="12">
        <v>45643</v>
      </c>
      <c r="B33" s="6">
        <v>60</v>
      </c>
      <c r="C33" s="6">
        <v>300</v>
      </c>
      <c r="D33" s="6">
        <f t="shared" si="1"/>
        <v>9264</v>
      </c>
      <c r="E33" s="6">
        <f t="shared" si="2"/>
        <v>55368</v>
      </c>
      <c r="F33" s="6"/>
      <c r="G33" s="6"/>
      <c r="H33" s="6"/>
      <c r="I33" s="6">
        <v>0</v>
      </c>
      <c r="J33" s="6">
        <v>0</v>
      </c>
      <c r="K33" s="6">
        <v>0</v>
      </c>
      <c r="L33" s="6">
        <v>67</v>
      </c>
      <c r="M33" s="6">
        <v>123</v>
      </c>
      <c r="N33" s="6">
        <v>27</v>
      </c>
      <c r="O33" s="6">
        <v>190</v>
      </c>
      <c r="P33" s="6">
        <v>216</v>
      </c>
      <c r="Q33" s="6">
        <v>89</v>
      </c>
      <c r="R33" s="6">
        <v>161</v>
      </c>
      <c r="S33" s="2">
        <v>81</v>
      </c>
      <c r="T33" s="2">
        <v>0</v>
      </c>
      <c r="U33" s="2">
        <v>0</v>
      </c>
      <c r="V33" s="2">
        <v>13</v>
      </c>
      <c r="W33" s="2">
        <v>87</v>
      </c>
      <c r="X33" s="2">
        <v>74</v>
      </c>
    </row>
    <row r="34" spans="1:24" ht="24.9" customHeight="1" x14ac:dyDescent="0.3">
      <c r="A34" s="12">
        <v>45644</v>
      </c>
      <c r="B34" s="6">
        <v>76</v>
      </c>
      <c r="C34" s="6">
        <v>299</v>
      </c>
      <c r="D34" s="6">
        <f t="shared" si="1"/>
        <v>9340</v>
      </c>
      <c r="E34" s="6">
        <f t="shared" si="2"/>
        <v>55667</v>
      </c>
      <c r="F34" s="6"/>
      <c r="G34" s="6"/>
      <c r="H34" s="6"/>
      <c r="I34" s="6">
        <v>0</v>
      </c>
      <c r="J34" s="6">
        <v>0</v>
      </c>
      <c r="K34" s="6">
        <v>0</v>
      </c>
      <c r="L34" s="6">
        <v>239</v>
      </c>
      <c r="M34" s="6">
        <v>177</v>
      </c>
      <c r="N34" s="6">
        <v>32</v>
      </c>
      <c r="O34" s="6">
        <v>416</v>
      </c>
      <c r="P34" s="6">
        <v>157</v>
      </c>
      <c r="Q34" s="6">
        <v>65</v>
      </c>
      <c r="R34" s="6">
        <v>150</v>
      </c>
      <c r="S34" s="2">
        <v>61</v>
      </c>
      <c r="T34" s="2">
        <v>0</v>
      </c>
      <c r="U34" s="2">
        <v>0</v>
      </c>
      <c r="V34" s="2">
        <v>7</v>
      </c>
      <c r="W34" s="2">
        <v>82</v>
      </c>
      <c r="X34" s="2">
        <v>75</v>
      </c>
    </row>
    <row r="35" spans="1:24" ht="24.9" customHeight="1" x14ac:dyDescent="0.3">
      <c r="A35" s="12">
        <v>45645</v>
      </c>
      <c r="B35" s="6">
        <v>74</v>
      </c>
      <c r="C35" s="6">
        <v>292</v>
      </c>
      <c r="D35" s="6">
        <f t="shared" si="1"/>
        <v>9414</v>
      </c>
      <c r="E35" s="6">
        <f t="shared" si="2"/>
        <v>55959</v>
      </c>
      <c r="F35" s="6"/>
      <c r="G35" s="6"/>
      <c r="H35" s="6"/>
      <c r="I35" s="6">
        <v>0</v>
      </c>
      <c r="J35" s="6">
        <v>0</v>
      </c>
      <c r="K35" s="6">
        <v>0</v>
      </c>
      <c r="L35" s="6">
        <v>94</v>
      </c>
      <c r="M35" s="6">
        <v>253</v>
      </c>
      <c r="N35" s="6">
        <v>35</v>
      </c>
      <c r="O35" s="6">
        <v>347</v>
      </c>
      <c r="P35" s="6">
        <v>119</v>
      </c>
      <c r="Q35" s="6">
        <v>67</v>
      </c>
      <c r="R35" s="6">
        <v>67</v>
      </c>
      <c r="S35" s="2">
        <v>49</v>
      </c>
      <c r="T35" s="2">
        <v>0</v>
      </c>
      <c r="U35" s="2">
        <v>0</v>
      </c>
      <c r="V35" s="2">
        <v>15</v>
      </c>
      <c r="W35" s="2">
        <v>88</v>
      </c>
      <c r="X35" s="2">
        <v>73</v>
      </c>
    </row>
    <row r="36" spans="1:24" ht="24.9" customHeight="1" x14ac:dyDescent="0.3">
      <c r="A36" s="12">
        <v>45646</v>
      </c>
      <c r="B36" s="6">
        <v>0</v>
      </c>
      <c r="C36" s="6">
        <v>0</v>
      </c>
      <c r="D36" s="6">
        <f t="shared" si="1"/>
        <v>9414</v>
      </c>
      <c r="E36" s="6">
        <f t="shared" si="2"/>
        <v>55959</v>
      </c>
      <c r="F36" s="6"/>
      <c r="G36" s="6"/>
      <c r="H36" s="6"/>
      <c r="I36" s="6">
        <v>0</v>
      </c>
      <c r="J36" s="6">
        <v>0</v>
      </c>
      <c r="K36" s="6">
        <v>0</v>
      </c>
      <c r="L36" s="6">
        <v>0</v>
      </c>
      <c r="M36" s="6">
        <v>0</v>
      </c>
      <c r="N36" s="6">
        <v>0</v>
      </c>
      <c r="O36" s="6">
        <v>0</v>
      </c>
      <c r="P36" s="6">
        <v>0</v>
      </c>
      <c r="Q36" s="6">
        <v>0</v>
      </c>
      <c r="R36" s="6">
        <v>0</v>
      </c>
      <c r="S36" s="2">
        <v>0</v>
      </c>
      <c r="T36" s="2">
        <v>0</v>
      </c>
      <c r="U36" s="2">
        <v>0</v>
      </c>
      <c r="V36" s="2">
        <v>5</v>
      </c>
      <c r="W36" s="2">
        <v>80</v>
      </c>
      <c r="X36" s="2">
        <v>75</v>
      </c>
    </row>
    <row r="37" spans="1:24" ht="24.9" customHeight="1" x14ac:dyDescent="0.3">
      <c r="A37" s="12">
        <v>45647</v>
      </c>
      <c r="B37" s="6">
        <v>68</v>
      </c>
      <c r="C37" s="6">
        <v>322</v>
      </c>
      <c r="D37" s="6">
        <f t="shared" si="1"/>
        <v>9482</v>
      </c>
      <c r="E37" s="6">
        <f t="shared" si="2"/>
        <v>56281</v>
      </c>
      <c r="F37" s="6"/>
      <c r="G37" s="6"/>
      <c r="H37" s="6"/>
      <c r="I37" s="6">
        <v>0</v>
      </c>
      <c r="J37" s="6">
        <v>0</v>
      </c>
      <c r="K37" s="6">
        <v>0</v>
      </c>
      <c r="L37" s="6">
        <v>156</v>
      </c>
      <c r="M37" s="6">
        <v>168</v>
      </c>
      <c r="N37" s="6">
        <v>40</v>
      </c>
      <c r="O37" s="6">
        <v>324</v>
      </c>
      <c r="P37" s="6">
        <v>140</v>
      </c>
      <c r="Q37" s="6">
        <v>55</v>
      </c>
      <c r="R37" s="6">
        <v>63</v>
      </c>
      <c r="S37" s="2">
        <v>35</v>
      </c>
      <c r="T37" s="2">
        <v>0</v>
      </c>
      <c r="U37" s="2">
        <v>0</v>
      </c>
      <c r="V37" s="2">
        <v>14</v>
      </c>
      <c r="W37" s="2">
        <v>87</v>
      </c>
      <c r="X37" s="2">
        <v>73</v>
      </c>
    </row>
    <row r="38" spans="1:24" ht="24.9" customHeight="1" x14ac:dyDescent="0.3">
      <c r="A38" s="12">
        <v>45648</v>
      </c>
      <c r="B38" s="6">
        <v>86</v>
      </c>
      <c r="C38" s="6">
        <v>299</v>
      </c>
      <c r="D38" s="6">
        <f t="shared" si="1"/>
        <v>9568</v>
      </c>
      <c r="E38" s="6">
        <f t="shared" si="2"/>
        <v>56580</v>
      </c>
      <c r="F38" s="6"/>
      <c r="G38" s="6"/>
      <c r="H38" s="6"/>
      <c r="I38" s="6">
        <v>0</v>
      </c>
      <c r="J38" s="6">
        <v>0</v>
      </c>
      <c r="K38" s="6">
        <v>0</v>
      </c>
      <c r="L38" s="6">
        <v>76</v>
      </c>
      <c r="M38" s="6">
        <v>279</v>
      </c>
      <c r="N38" s="6">
        <v>49</v>
      </c>
      <c r="O38" s="6">
        <v>355</v>
      </c>
      <c r="P38" s="6">
        <v>3</v>
      </c>
      <c r="Q38" s="6">
        <v>1</v>
      </c>
      <c r="R38" s="6">
        <v>554</v>
      </c>
      <c r="S38" s="2">
        <v>58</v>
      </c>
      <c r="T38" s="2">
        <v>0</v>
      </c>
      <c r="U38" s="2">
        <v>0</v>
      </c>
      <c r="V38" s="2">
        <v>7</v>
      </c>
      <c r="W38" s="2">
        <v>79</v>
      </c>
      <c r="X38" s="2">
        <v>72</v>
      </c>
    </row>
    <row r="39" spans="1:24" ht="24.9" customHeight="1" x14ac:dyDescent="0.3">
      <c r="A39" s="12">
        <v>45649</v>
      </c>
      <c r="B39" s="6">
        <v>102</v>
      </c>
      <c r="C39" s="6">
        <v>325</v>
      </c>
      <c r="D39" s="6">
        <f t="shared" si="1"/>
        <v>9670</v>
      </c>
      <c r="E39" s="6">
        <f t="shared" si="2"/>
        <v>56905</v>
      </c>
      <c r="F39" s="6"/>
      <c r="G39" s="6"/>
      <c r="H39" s="6"/>
      <c r="I39" s="6">
        <v>0</v>
      </c>
      <c r="J39" s="6">
        <v>0</v>
      </c>
      <c r="K39" s="6">
        <v>0</v>
      </c>
      <c r="L39" s="6">
        <v>117</v>
      </c>
      <c r="M39" s="6">
        <v>267</v>
      </c>
      <c r="N39" s="6">
        <v>46</v>
      </c>
      <c r="O39" s="6">
        <v>384</v>
      </c>
      <c r="P39" s="6">
        <v>0</v>
      </c>
      <c r="Q39" s="6">
        <v>0</v>
      </c>
      <c r="R39" s="6">
        <v>402</v>
      </c>
      <c r="S39" s="2">
        <v>43</v>
      </c>
      <c r="T39" s="2">
        <v>0</v>
      </c>
      <c r="U39" s="2">
        <v>0</v>
      </c>
      <c r="V39" s="2">
        <v>16</v>
      </c>
      <c r="W39" s="2">
        <v>89</v>
      </c>
      <c r="X39" s="2">
        <v>73</v>
      </c>
    </row>
    <row r="40" spans="1:24" ht="24.9" customHeight="1" x14ac:dyDescent="0.3">
      <c r="A40" s="12">
        <v>45650</v>
      </c>
      <c r="B40" s="6"/>
      <c r="C40" s="6"/>
      <c r="D40" s="6" t="str">
        <f t="shared" si="1"/>
        <v xml:space="preserve"> </v>
      </c>
      <c r="E40" s="6" t="str">
        <f t="shared" si="2"/>
        <v xml:space="preserve"> </v>
      </c>
      <c r="F40" s="6"/>
      <c r="G40" s="6"/>
      <c r="H40" s="6"/>
      <c r="I40" s="6"/>
      <c r="J40" s="6"/>
      <c r="K40" s="6"/>
      <c r="L40" s="6"/>
      <c r="M40" s="6"/>
      <c r="N40" s="6"/>
      <c r="O40" s="6"/>
      <c r="P40" s="6"/>
      <c r="Q40" s="6"/>
      <c r="R40" s="6"/>
      <c r="S40" s="2"/>
      <c r="T40" s="2"/>
      <c r="U40" s="2"/>
      <c r="V40" s="2"/>
      <c r="W40" s="2"/>
      <c r="X40" s="2"/>
    </row>
    <row r="41" spans="1:24" ht="24.9" customHeight="1" x14ac:dyDescent="0.3">
      <c r="A41" s="12">
        <v>45651</v>
      </c>
      <c r="B41" s="6"/>
      <c r="C41" s="6"/>
      <c r="D41" s="6" t="str">
        <f t="shared" si="1"/>
        <v xml:space="preserve"> </v>
      </c>
      <c r="E41" s="6" t="str">
        <f t="shared" si="2"/>
        <v xml:space="preserve"> </v>
      </c>
      <c r="F41" s="6"/>
      <c r="G41" s="6"/>
      <c r="H41" s="6"/>
      <c r="I41" s="6"/>
      <c r="J41" s="6"/>
      <c r="K41" s="6"/>
      <c r="L41" s="6"/>
      <c r="M41" s="6"/>
      <c r="N41" s="6"/>
      <c r="O41" s="6"/>
      <c r="P41" s="6"/>
      <c r="Q41" s="6"/>
      <c r="R41" s="6"/>
      <c r="S41" s="2"/>
      <c r="T41" s="2"/>
      <c r="U41" s="2"/>
      <c r="V41" s="2"/>
      <c r="W41" s="2"/>
      <c r="X41" s="2"/>
    </row>
    <row r="42" spans="1:24" ht="24.9" customHeight="1" x14ac:dyDescent="0.3">
      <c r="A42" s="12">
        <v>45652</v>
      </c>
      <c r="B42" s="6"/>
      <c r="C42" s="6"/>
      <c r="D42" s="6" t="str">
        <f t="shared" si="1"/>
        <v xml:space="preserve"> </v>
      </c>
      <c r="E42" s="6" t="str">
        <f t="shared" si="2"/>
        <v xml:space="preserve"> </v>
      </c>
      <c r="F42" s="6"/>
      <c r="G42" s="6"/>
      <c r="H42" s="6"/>
      <c r="I42" s="6"/>
      <c r="J42" s="6"/>
      <c r="K42" s="6"/>
      <c r="L42" s="6"/>
      <c r="M42" s="6"/>
      <c r="N42" s="6"/>
      <c r="O42" s="6"/>
      <c r="P42" s="6"/>
      <c r="Q42" s="6"/>
      <c r="R42" s="6"/>
      <c r="S42" s="2"/>
      <c r="T42" s="2"/>
      <c r="U42" s="2"/>
      <c r="V42" s="2"/>
      <c r="W42" s="2"/>
      <c r="X42" s="2"/>
    </row>
    <row r="43" spans="1:24" ht="24.9" customHeight="1" x14ac:dyDescent="0.3">
      <c r="A43" s="12">
        <v>45653</v>
      </c>
      <c r="B43" s="6"/>
      <c r="C43" s="6"/>
      <c r="D43" s="6" t="str">
        <f t="shared" si="1"/>
        <v xml:space="preserve"> </v>
      </c>
      <c r="E43" s="6" t="str">
        <f t="shared" si="2"/>
        <v xml:space="preserve"> </v>
      </c>
      <c r="F43" s="6"/>
      <c r="G43" s="6"/>
      <c r="H43" s="6"/>
      <c r="I43" s="6"/>
      <c r="J43" s="6"/>
      <c r="K43" s="6"/>
      <c r="L43" s="6"/>
      <c r="M43" s="6"/>
      <c r="N43" s="6"/>
      <c r="O43" s="6"/>
      <c r="P43" s="6"/>
      <c r="Q43" s="6"/>
      <c r="R43" s="6"/>
      <c r="S43" s="2"/>
      <c r="T43" s="2"/>
      <c r="U43" s="2"/>
      <c r="V43" s="2"/>
      <c r="W43" s="2"/>
      <c r="X43" s="2"/>
    </row>
    <row r="44" spans="1:24" ht="24.9" customHeight="1" x14ac:dyDescent="0.3">
      <c r="A44" s="12">
        <v>45654</v>
      </c>
      <c r="B44" s="6"/>
      <c r="C44" s="6"/>
      <c r="D44" s="6" t="str">
        <f t="shared" si="1"/>
        <v xml:space="preserve"> </v>
      </c>
      <c r="E44" s="6" t="str">
        <f t="shared" si="2"/>
        <v xml:space="preserve"> </v>
      </c>
      <c r="F44" s="6"/>
      <c r="G44" s="6"/>
      <c r="H44" s="6"/>
      <c r="I44" s="6"/>
      <c r="J44" s="6"/>
      <c r="K44" s="6"/>
      <c r="L44" s="6"/>
      <c r="M44" s="6"/>
      <c r="N44" s="6"/>
      <c r="O44" s="6"/>
      <c r="P44" s="6"/>
      <c r="Q44" s="6"/>
      <c r="R44" s="48"/>
      <c r="S44" s="53"/>
      <c r="T44" s="2"/>
      <c r="U44" s="2"/>
      <c r="V44" s="2"/>
      <c r="W44" s="2"/>
      <c r="X44" s="2"/>
    </row>
    <row r="45" spans="1:24" ht="24.9" customHeight="1" x14ac:dyDescent="0.3">
      <c r="A45" s="12">
        <v>45655</v>
      </c>
      <c r="B45" s="6"/>
      <c r="C45" s="6"/>
      <c r="D45" s="6" t="str">
        <f t="shared" si="1"/>
        <v xml:space="preserve"> </v>
      </c>
      <c r="E45" s="6" t="str">
        <f t="shared" si="2"/>
        <v xml:space="preserve"> </v>
      </c>
      <c r="F45" s="6"/>
      <c r="G45" s="6"/>
      <c r="H45" s="6"/>
      <c r="I45" s="6"/>
      <c r="J45" s="6"/>
      <c r="K45" s="6"/>
      <c r="L45" s="6"/>
      <c r="M45" s="6"/>
      <c r="N45" s="6"/>
      <c r="O45" s="6"/>
      <c r="P45" s="6"/>
      <c r="Q45" s="6"/>
      <c r="R45" s="6"/>
      <c r="S45" s="2"/>
      <c r="T45" s="2"/>
      <c r="U45" s="2"/>
      <c r="V45" s="2"/>
      <c r="W45" s="2"/>
      <c r="X45" s="2"/>
    </row>
    <row r="46" spans="1:24" ht="24.9" customHeight="1" x14ac:dyDescent="0.3">
      <c r="A46" s="12">
        <v>45656</v>
      </c>
      <c r="B46" s="6"/>
      <c r="C46" s="6"/>
      <c r="D46" s="6" t="str">
        <f t="shared" si="1"/>
        <v xml:space="preserve"> </v>
      </c>
      <c r="E46" s="6" t="str">
        <f t="shared" si="2"/>
        <v xml:space="preserve"> </v>
      </c>
      <c r="F46" s="6"/>
      <c r="G46" s="6"/>
      <c r="H46" s="6"/>
      <c r="I46" s="6"/>
      <c r="J46" s="6"/>
      <c r="K46" s="6"/>
      <c r="L46" s="6"/>
      <c r="M46" s="6"/>
      <c r="N46" s="6"/>
      <c r="O46" s="6"/>
      <c r="P46" s="6"/>
      <c r="Q46" s="6"/>
      <c r="R46" s="6"/>
      <c r="S46" s="2"/>
      <c r="T46" s="2"/>
      <c r="U46" s="2"/>
      <c r="V46" s="2"/>
      <c r="W46" s="2"/>
      <c r="X46" s="2"/>
    </row>
    <row r="47" spans="1:24" ht="24.9" customHeight="1" x14ac:dyDescent="0.3">
      <c r="A47" s="12">
        <v>45657</v>
      </c>
      <c r="B47" s="6"/>
      <c r="C47" s="6"/>
      <c r="D47" s="6" t="str">
        <f t="shared" si="1"/>
        <v xml:space="preserve"> </v>
      </c>
      <c r="E47" s="6" t="str">
        <f t="shared" si="2"/>
        <v xml:space="preserve"> </v>
      </c>
      <c r="F47" s="6"/>
      <c r="G47" s="6"/>
      <c r="H47" s="6"/>
      <c r="I47" s="6"/>
      <c r="J47" s="6"/>
      <c r="K47" s="6"/>
      <c r="L47" s="6"/>
      <c r="M47" s="6"/>
      <c r="N47" s="6"/>
      <c r="O47" s="6"/>
      <c r="P47" s="6"/>
      <c r="Q47" s="6"/>
      <c r="R47" s="6"/>
      <c r="S47" s="2"/>
      <c r="T47" s="2"/>
      <c r="U47" s="2"/>
      <c r="V47" s="2"/>
      <c r="W47" s="2"/>
      <c r="X47" s="2"/>
    </row>
    <row r="48" spans="1:24" s="3" customFormat="1" ht="24.9" customHeight="1" x14ac:dyDescent="0.3">
      <c r="A48" s="7"/>
      <c r="B48" s="7">
        <f>SUBTOTAL(9,B17:B47)</f>
        <v>1367</v>
      </c>
      <c r="C48" s="7">
        <f>SUBTOTAL(9,C17:C47)</f>
        <v>5570</v>
      </c>
      <c r="D48" s="7"/>
      <c r="E48" s="7"/>
      <c r="F48" s="7"/>
      <c r="G48" s="7"/>
      <c r="H48" s="7"/>
      <c r="I48" s="7">
        <f t="shared" ref="I48:X48" si="3">SUBTOTAL(9,I17:I47)</f>
        <v>0</v>
      </c>
      <c r="J48" s="7">
        <f t="shared" si="3"/>
        <v>0</v>
      </c>
      <c r="K48" s="7">
        <f t="shared" si="3"/>
        <v>0</v>
      </c>
      <c r="L48" s="7">
        <f t="shared" si="3"/>
        <v>1608</v>
      </c>
      <c r="M48" s="7">
        <f t="shared" si="3"/>
        <v>3147</v>
      </c>
      <c r="N48" s="7">
        <f t="shared" si="3"/>
        <v>512</v>
      </c>
      <c r="O48" s="7">
        <f t="shared" si="3"/>
        <v>4755</v>
      </c>
      <c r="P48" s="7">
        <f t="shared" si="3"/>
        <v>4633</v>
      </c>
      <c r="Q48" s="7">
        <f t="shared" si="3"/>
        <v>1204</v>
      </c>
      <c r="R48" s="7">
        <f t="shared" si="3"/>
        <v>1888</v>
      </c>
      <c r="S48" s="7">
        <f t="shared" si="3"/>
        <v>525</v>
      </c>
      <c r="T48" s="7">
        <f t="shared" si="3"/>
        <v>0</v>
      </c>
      <c r="U48" s="7">
        <f t="shared" si="3"/>
        <v>0</v>
      </c>
      <c r="V48" s="7">
        <f t="shared" si="3"/>
        <v>274</v>
      </c>
      <c r="W48" s="7">
        <f t="shared" si="3"/>
        <v>1780</v>
      </c>
      <c r="X48" s="7">
        <f t="shared" si="3"/>
        <v>1506</v>
      </c>
    </row>
    <row r="49" spans="1:24" s="3" customFormat="1" ht="24.9" customHeight="1" x14ac:dyDescent="0.3">
      <c r="A49" s="4" t="s">
        <v>19</v>
      </c>
      <c r="B49" s="108"/>
      <c r="C49" s="109"/>
      <c r="D49" s="4">
        <f>B48+D16</f>
        <v>9670</v>
      </c>
      <c r="E49" s="4">
        <f>C48+E16</f>
        <v>56905</v>
      </c>
      <c r="F49" s="4">
        <f>F16</f>
        <v>3759</v>
      </c>
      <c r="G49" s="4">
        <f>G16</f>
        <v>52821</v>
      </c>
      <c r="H49" s="4">
        <f>H16</f>
        <v>0</v>
      </c>
      <c r="I49" s="4">
        <f t="shared" ref="I49:Q49" si="4">I48+I16</f>
        <v>3</v>
      </c>
      <c r="J49" s="4">
        <f t="shared" si="4"/>
        <v>14</v>
      </c>
      <c r="K49" s="4">
        <f t="shared" si="4"/>
        <v>0</v>
      </c>
      <c r="L49" s="4">
        <f t="shared" si="4"/>
        <v>5362</v>
      </c>
      <c r="M49" s="4">
        <f t="shared" si="4"/>
        <v>9058</v>
      </c>
      <c r="N49" s="4">
        <f t="shared" si="4"/>
        <v>1569</v>
      </c>
      <c r="O49" s="4">
        <f t="shared" si="4"/>
        <v>14420</v>
      </c>
      <c r="P49" s="4">
        <f t="shared" si="4"/>
        <v>45145</v>
      </c>
      <c r="Q49" s="4">
        <f t="shared" si="4"/>
        <v>7287</v>
      </c>
      <c r="R49" s="4">
        <f t="shared" ref="R49:X49" si="5">R48+R16</f>
        <v>35730</v>
      </c>
      <c r="S49" s="4">
        <f t="shared" si="5"/>
        <v>5332</v>
      </c>
      <c r="T49" s="4">
        <f t="shared" si="5"/>
        <v>774</v>
      </c>
      <c r="U49" s="4">
        <f t="shared" si="5"/>
        <v>5724</v>
      </c>
      <c r="V49" s="4">
        <f t="shared" si="5"/>
        <v>1834</v>
      </c>
      <c r="W49" s="4">
        <f t="shared" si="5"/>
        <v>16446</v>
      </c>
      <c r="X49" s="4">
        <f t="shared" si="5"/>
        <v>14612</v>
      </c>
    </row>
  </sheetData>
  <sheetProtection algorithmName="SHA-512" hashValue="JspHhUD/lI+hkqAFdbMG9XAHU2QDpWD+vC9yxHu1kipAqDpL3wo0zIFpI9+IvkiCGVrjhrHROCNpOSwdA1nTNw==" saltValue="DHeEOxA3trwFMIxzOPkLYw==" spinCount="100000" sheet="1" objects="1" scenarios="1"/>
  <mergeCells count="30">
    <mergeCell ref="B49:C49"/>
    <mergeCell ref="V2:V3"/>
    <mergeCell ref="W2:W3"/>
    <mergeCell ref="X2:X3"/>
    <mergeCell ref="V1:X1"/>
    <mergeCell ref="T1:U1"/>
    <mergeCell ref="T2:T3"/>
    <mergeCell ref="U2:U3"/>
    <mergeCell ref="K2:K3"/>
    <mergeCell ref="J2:J3"/>
    <mergeCell ref="L2:L3"/>
    <mergeCell ref="A1:E1"/>
    <mergeCell ref="B2:E2"/>
    <mergeCell ref="A2:A3"/>
    <mergeCell ref="I1:K1"/>
    <mergeCell ref="I2:I3"/>
    <mergeCell ref="G2:G3"/>
    <mergeCell ref="F2:F3"/>
    <mergeCell ref="H2:H3"/>
    <mergeCell ref="F1:H1"/>
    <mergeCell ref="R1:S1"/>
    <mergeCell ref="R2:R3"/>
    <mergeCell ref="S2:S3"/>
    <mergeCell ref="L1:O1"/>
    <mergeCell ref="M2:M3"/>
    <mergeCell ref="N2:N3"/>
    <mergeCell ref="P1:Q1"/>
    <mergeCell ref="Q2:Q3"/>
    <mergeCell ref="O2:O3"/>
    <mergeCell ref="P2:P3"/>
  </mergeCells>
  <phoneticPr fontId="2" type="noConversion"/>
  <pageMargins left="0.15748031496062992" right="0.11811023622047245" top="0.23622047244094491" bottom="0.23622047244094491" header="0.19685039370078741" footer="0.27559055118110237"/>
  <pageSetup scale="5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17ACF-264E-4FE1-956A-1BB17085B6D0}">
  <sheetPr codeName="Sheet2"/>
  <dimension ref="A1:BB46"/>
  <sheetViews>
    <sheetView workbookViewId="0">
      <selection activeCell="L20" sqref="L20"/>
    </sheetView>
  </sheetViews>
  <sheetFormatPr defaultRowHeight="14.4" x14ac:dyDescent="0.3"/>
  <cols>
    <col min="3" max="3" width="13.88671875" customWidth="1"/>
    <col min="4" max="4" width="12.5546875" customWidth="1"/>
    <col min="5" max="7" width="9.109375" customWidth="1"/>
    <col min="8" max="8" width="13.44140625" customWidth="1"/>
    <col min="9" max="9" width="8.6640625" customWidth="1"/>
    <col min="10" max="10" width="9.5546875" customWidth="1"/>
    <col min="11" max="11" width="8" customWidth="1"/>
    <col min="12" max="12" width="10.109375" customWidth="1"/>
    <col min="13" max="13" width="8.6640625" customWidth="1"/>
    <col min="14" max="14" width="8.109375" customWidth="1"/>
    <col min="15" max="15" width="10.5546875" customWidth="1"/>
    <col min="16" max="16" width="12" customWidth="1"/>
    <col min="17" max="17" width="10.109375" customWidth="1"/>
    <col min="18" max="18" width="8.109375" customWidth="1"/>
    <col min="19" max="19" width="11.109375" customWidth="1"/>
    <col min="20" max="20" width="8.5546875" customWidth="1"/>
    <col min="22" max="22" width="9.33203125" customWidth="1"/>
    <col min="23" max="23" width="9.88671875" customWidth="1"/>
    <col min="24" max="24" width="7.88671875" customWidth="1"/>
    <col min="25" max="25" width="8.88671875" customWidth="1"/>
    <col min="26" max="26" width="8.6640625" customWidth="1"/>
    <col min="27" max="27" width="8" customWidth="1"/>
    <col min="28" max="28" width="8.88671875" customWidth="1"/>
    <col min="29" max="29" width="7.88671875" customWidth="1"/>
    <col min="30" max="30" width="6.5546875" customWidth="1"/>
    <col min="31" max="31" width="8.44140625" customWidth="1"/>
    <col min="32" max="32" width="10.5546875" customWidth="1"/>
    <col min="33" max="33" width="7.6640625" customWidth="1"/>
    <col min="34" max="34" width="8.88671875" customWidth="1"/>
    <col min="35" max="35" width="6.33203125" customWidth="1"/>
    <col min="36" max="36" width="8.33203125" customWidth="1"/>
    <col min="37" max="37" width="7.6640625" customWidth="1"/>
    <col min="39" max="39" width="8.88671875" customWidth="1"/>
    <col min="40" max="40" width="8.5546875" customWidth="1"/>
    <col min="41" max="41" width="10.109375" customWidth="1"/>
    <col min="42" max="42" width="7.33203125" customWidth="1"/>
    <col min="43" max="43" width="7.44140625" customWidth="1"/>
    <col min="44" max="44" width="7.5546875" customWidth="1"/>
    <col min="45" max="52" width="9.44140625" customWidth="1"/>
    <col min="53" max="53" width="15.33203125" customWidth="1"/>
    <col min="54" max="54" width="19" customWidth="1"/>
  </cols>
  <sheetData>
    <row r="1" spans="1:54" ht="78.75" customHeight="1" x14ac:dyDescent="0.3">
      <c r="A1" s="60" t="s">
        <v>152</v>
      </c>
      <c r="B1" s="60" t="s">
        <v>175</v>
      </c>
      <c r="C1" s="59" t="s">
        <v>22</v>
      </c>
      <c r="D1" s="59" t="s">
        <v>23</v>
      </c>
      <c r="E1" s="60" t="s">
        <v>6</v>
      </c>
      <c r="F1" s="60" t="s">
        <v>7</v>
      </c>
      <c r="G1" s="60" t="s">
        <v>8</v>
      </c>
      <c r="H1" s="61" t="s">
        <v>3</v>
      </c>
      <c r="I1" s="61" t="s">
        <v>4</v>
      </c>
      <c r="J1" s="61" t="s">
        <v>24</v>
      </c>
      <c r="K1" s="62" t="s">
        <v>10</v>
      </c>
      <c r="L1" s="62" t="s">
        <v>11</v>
      </c>
      <c r="M1" s="62" t="s">
        <v>12</v>
      </c>
      <c r="N1" s="62" t="s">
        <v>13</v>
      </c>
      <c r="O1" s="63" t="s">
        <v>15</v>
      </c>
      <c r="P1" s="63" t="s">
        <v>51</v>
      </c>
      <c r="Q1" s="64" t="s">
        <v>17</v>
      </c>
      <c r="R1" s="64" t="s">
        <v>52</v>
      </c>
      <c r="S1" s="61" t="s">
        <v>125</v>
      </c>
      <c r="T1" s="61" t="s">
        <v>106</v>
      </c>
      <c r="U1" s="65" t="s">
        <v>62</v>
      </c>
      <c r="V1" s="66" t="s">
        <v>63</v>
      </c>
      <c r="W1" s="66" t="s">
        <v>64</v>
      </c>
      <c r="X1" s="67" t="s">
        <v>154</v>
      </c>
      <c r="Y1" s="67" t="s">
        <v>155</v>
      </c>
      <c r="Z1" s="67" t="s">
        <v>156</v>
      </c>
      <c r="AA1" s="67" t="s">
        <v>157</v>
      </c>
      <c r="AB1" s="67" t="s">
        <v>158</v>
      </c>
      <c r="AC1" s="67" t="s">
        <v>159</v>
      </c>
      <c r="AD1" s="67" t="s">
        <v>160</v>
      </c>
      <c r="AE1" s="67" t="s">
        <v>161</v>
      </c>
      <c r="AF1" s="67" t="s">
        <v>162</v>
      </c>
      <c r="AG1" s="67" t="s">
        <v>138</v>
      </c>
      <c r="AH1" s="67" t="s">
        <v>163</v>
      </c>
      <c r="AI1" s="67" t="s">
        <v>164</v>
      </c>
      <c r="AJ1" s="67" t="s">
        <v>165</v>
      </c>
      <c r="AK1" s="67" t="s">
        <v>166</v>
      </c>
      <c r="AL1" s="67" t="s">
        <v>167</v>
      </c>
      <c r="AM1" s="67" t="s">
        <v>168</v>
      </c>
      <c r="AN1" s="67" t="s">
        <v>169</v>
      </c>
      <c r="AO1" s="67" t="s">
        <v>170</v>
      </c>
      <c r="AP1" s="67" t="s">
        <v>171</v>
      </c>
      <c r="AQ1" s="67" t="s">
        <v>172</v>
      </c>
      <c r="AR1" s="67" t="s">
        <v>173</v>
      </c>
      <c r="AS1" s="71" t="s">
        <v>174</v>
      </c>
      <c r="AT1" s="86" t="s">
        <v>201</v>
      </c>
      <c r="AU1" s="86" t="s">
        <v>202</v>
      </c>
      <c r="AV1" s="86" t="s">
        <v>70</v>
      </c>
      <c r="AW1" s="88" t="s">
        <v>211</v>
      </c>
      <c r="AX1" s="88" t="s">
        <v>205</v>
      </c>
      <c r="AY1" s="88" t="s">
        <v>212</v>
      </c>
      <c r="AZ1" s="88" t="s">
        <v>206</v>
      </c>
      <c r="BA1" s="41" t="s">
        <v>101</v>
      </c>
      <c r="BB1" s="51">
        <v>235.875</v>
      </c>
    </row>
    <row r="2" spans="1:54" x14ac:dyDescent="0.3">
      <c r="A2" s="81" t="str">
        <f>'Total Progress Report'!A4</f>
        <v>JAN</v>
      </c>
      <c r="B2" s="58">
        <v>2024</v>
      </c>
      <c r="C2" s="58">
        <f>IF(ISBLANK('Total Progress Report'!D4)," ",'Total Progress Report'!D4)</f>
        <v>187</v>
      </c>
      <c r="D2" s="58">
        <f>IF(ISBLANK('Total Progress Report'!E4)," ",'Total Progress Report'!E4)</f>
        <v>1638</v>
      </c>
      <c r="E2" s="58">
        <f>IF(ISBLANK('Total Progress Report'!F4)," ",'Total Progress Report'!F4)</f>
        <v>56</v>
      </c>
      <c r="F2" s="58">
        <f>IF(ISBLANK('Total Progress Report'!G4)," ",'Total Progress Report'!G4)</f>
        <v>1582</v>
      </c>
      <c r="G2" s="58">
        <f>IF(ISBLANK('Total Progress Report'!H4)," ",'Total Progress Report'!H4)</f>
        <v>0</v>
      </c>
      <c r="H2" s="58">
        <f>IF(ISBLANK('Total Progress Report'!I4)," ",'Total Progress Report'!I4)</f>
        <v>0</v>
      </c>
      <c r="I2" s="58">
        <f>IF(ISBLANK('Total Progress Report'!J4)," ",'Total Progress Report'!J4)</f>
        <v>0</v>
      </c>
      <c r="J2" s="58">
        <f>IF(ISBLANK('Total Progress Report'!K4)," ",'Total Progress Report'!K4)</f>
        <v>0</v>
      </c>
      <c r="K2" s="58">
        <f>IF(ISBLANK('Total Progress Report'!L4)," ",'Total Progress Report'!L4)</f>
        <v>0</v>
      </c>
      <c r="L2" s="58">
        <f>IF(ISBLANK('Total Progress Report'!M4)," ",'Total Progress Report'!M4)</f>
        <v>0</v>
      </c>
      <c r="M2" s="58">
        <f>IF(ISBLANK('Total Progress Report'!N4)," ",'Total Progress Report'!N4)</f>
        <v>0</v>
      </c>
      <c r="N2" s="58">
        <f>IF(ISBLANK('Total Progress Report'!O4)," ",'Total Progress Report'!O4)</f>
        <v>0</v>
      </c>
      <c r="O2" s="58">
        <f>IF(ISBLANK('Total Progress Report'!P4)," ",'Total Progress Report'!P4)</f>
        <v>0</v>
      </c>
      <c r="P2" s="58">
        <f>IF(ISBLANK('Total Progress Report'!Q4)," ",'Total Progress Report'!Q4)</f>
        <v>0</v>
      </c>
      <c r="Q2" s="58">
        <f>IF(ISBLANK('Total Progress Report'!R4)," ",'Total Progress Report'!R4)</f>
        <v>0</v>
      </c>
      <c r="R2" s="58">
        <f>IF(ISBLANK('Total Progress Report'!S4)," ",'Total Progress Report'!S4)</f>
        <v>0</v>
      </c>
      <c r="S2" s="58">
        <f>IF(ISBLANK('Total Progress Report'!T4)," ",'Total Progress Report'!T4)</f>
        <v>0</v>
      </c>
      <c r="T2" s="58">
        <f>IF(ISBLANK('Total Progress Report'!U4)," ",'Total Progress Report'!U4)</f>
        <v>0</v>
      </c>
      <c r="U2" s="82">
        <f>IF(ISBLANK('Total Progress Report'!V4)," ",'Total Progress Report'!V4)</f>
        <v>0</v>
      </c>
      <c r="V2" s="82">
        <f>IF(ISBLANK('Total Progress Report'!W4)," ",'Total Progress Report'!W4)</f>
        <v>0</v>
      </c>
      <c r="W2" s="82">
        <f>IF(ISBLANK('Total Progress Report'!X4)," ",'Total Progress Report'!X4)</f>
        <v>0</v>
      </c>
      <c r="X2" s="58">
        <v>56</v>
      </c>
      <c r="Y2" s="58">
        <v>0</v>
      </c>
      <c r="Z2" s="58">
        <v>13</v>
      </c>
      <c r="AA2" s="58">
        <v>87</v>
      </c>
      <c r="AB2" s="58">
        <v>12</v>
      </c>
      <c r="AC2" s="58">
        <v>0</v>
      </c>
      <c r="AD2" s="58">
        <v>0</v>
      </c>
      <c r="AE2" s="58">
        <v>4</v>
      </c>
      <c r="AF2" s="58">
        <v>161</v>
      </c>
      <c r="AG2" s="58">
        <v>0</v>
      </c>
      <c r="AH2" s="58">
        <v>1050</v>
      </c>
      <c r="AI2" s="58">
        <v>0</v>
      </c>
      <c r="AJ2" s="58">
        <v>0</v>
      </c>
      <c r="AK2" s="58">
        <v>2</v>
      </c>
      <c r="AL2" s="58">
        <v>0</v>
      </c>
      <c r="AM2" s="58">
        <v>0</v>
      </c>
      <c r="AN2" s="58">
        <v>254</v>
      </c>
      <c r="AO2" s="58">
        <v>0</v>
      </c>
      <c r="AP2" s="58">
        <v>0</v>
      </c>
      <c r="AQ2" s="58">
        <v>0</v>
      </c>
      <c r="AR2" s="58">
        <v>0</v>
      </c>
      <c r="AS2" s="72">
        <v>0</v>
      </c>
      <c r="AT2" s="72">
        <v>12920</v>
      </c>
      <c r="AU2" s="72">
        <f>Table2[[#This Row],[Cumulative Meter]]</f>
        <v>1638</v>
      </c>
      <c r="AV2" s="72">
        <f>Table2[[#This Row],[Total Burner Survey ]]-AU2</f>
        <v>11282</v>
      </c>
      <c r="AW2" s="87">
        <v>13</v>
      </c>
      <c r="AX2" s="87">
        <f>ROUND(Table2[[#This Row],[Number of working days]]*ANALYSIS!$DV$6,2)</f>
        <v>3134.56</v>
      </c>
      <c r="AY2" s="87">
        <f>Table2[[#This Row],[Cumulative Meter]]</f>
        <v>1638</v>
      </c>
      <c r="AZ2" s="87">
        <f>ROUND(Table2[[#This Row],[Number of working days]]*ANALYSIS!$DV$13,2)</f>
        <v>3430.08</v>
      </c>
    </row>
    <row r="3" spans="1:54" x14ac:dyDescent="0.3">
      <c r="A3" s="81" t="str">
        <f>'Total Progress Report'!A5</f>
        <v>FEB</v>
      </c>
      <c r="B3" s="58">
        <v>2024</v>
      </c>
      <c r="C3" s="58">
        <f>IF(ISBLANK('Total Progress Report'!D5)," ",'Total Progress Report'!D5)</f>
        <v>714</v>
      </c>
      <c r="D3" s="58">
        <f>IF(ISBLANK('Total Progress Report'!E5)," ",'Total Progress Report'!E5)</f>
        <v>4331</v>
      </c>
      <c r="E3" s="58">
        <f>IF(ISBLANK('Total Progress Report'!F5)," ",'Total Progress Report'!F5)</f>
        <v>454</v>
      </c>
      <c r="F3" s="58">
        <f>IF(ISBLANK('Total Progress Report'!G5)," ",'Total Progress Report'!G5)</f>
        <v>3877</v>
      </c>
      <c r="G3" s="58">
        <f>IF(ISBLANK('Total Progress Report'!H5)," ",'Total Progress Report'!H5)</f>
        <v>0</v>
      </c>
      <c r="H3" s="58">
        <f>IF(ISBLANK('Total Progress Report'!I5)," ",'Total Progress Report'!I5)</f>
        <v>1</v>
      </c>
      <c r="I3" s="58">
        <f>IF(ISBLANK('Total Progress Report'!J5)," ",'Total Progress Report'!J5)</f>
        <v>10</v>
      </c>
      <c r="J3" s="58">
        <f>IF(ISBLANK('Total Progress Report'!K5)," ",'Total Progress Report'!K5)</f>
        <v>0</v>
      </c>
      <c r="K3" s="58">
        <f>IF(ISBLANK('Total Progress Report'!L5)," ",'Total Progress Report'!L5)</f>
        <v>0</v>
      </c>
      <c r="L3" s="58">
        <f>IF(ISBLANK('Total Progress Report'!M5)," ",'Total Progress Report'!M5)</f>
        <v>0</v>
      </c>
      <c r="M3" s="58">
        <f>IF(ISBLANK('Total Progress Report'!N5)," ",'Total Progress Report'!N5)</f>
        <v>0</v>
      </c>
      <c r="N3" s="58">
        <f>IF(ISBLANK('Total Progress Report'!O5)," ",'Total Progress Report'!O5)</f>
        <v>0</v>
      </c>
      <c r="O3" s="58">
        <f>IF(ISBLANK('Total Progress Report'!P5)," ",'Total Progress Report'!P5)</f>
        <v>10</v>
      </c>
      <c r="P3" s="58">
        <f>IF(ISBLANK('Total Progress Report'!Q5)," ",'Total Progress Report'!Q5)</f>
        <v>1</v>
      </c>
      <c r="Q3" s="58">
        <f>IF(ISBLANK('Total Progress Report'!R5)," ",'Total Progress Report'!R5)</f>
        <v>0</v>
      </c>
      <c r="R3" s="58">
        <f>IF(ISBLANK('Total Progress Report'!S5)," ",'Total Progress Report'!S5)</f>
        <v>0</v>
      </c>
      <c r="S3" s="58">
        <f>IF(ISBLANK('Total Progress Report'!T5)," ",'Total Progress Report'!T5)</f>
        <v>0</v>
      </c>
      <c r="T3" s="58">
        <f>IF(ISBLANK('Total Progress Report'!U5)," ",'Total Progress Report'!U5)</f>
        <v>0</v>
      </c>
      <c r="U3" s="82">
        <f>IF(ISBLANK('Total Progress Report'!V5)," ",'Total Progress Report'!V5)</f>
        <v>0</v>
      </c>
      <c r="V3" s="82">
        <f>IF(ISBLANK('Total Progress Report'!W5)," ",'Total Progress Report'!W5)</f>
        <v>0</v>
      </c>
      <c r="W3" s="82">
        <f>IF(ISBLANK('Total Progress Report'!X5)," ",'Total Progress Report'!X5)</f>
        <v>0</v>
      </c>
      <c r="X3" s="58">
        <v>440</v>
      </c>
      <c r="Y3" s="58">
        <v>0</v>
      </c>
      <c r="Z3" s="58">
        <v>7</v>
      </c>
      <c r="AA3" s="58">
        <v>155</v>
      </c>
      <c r="AB3" s="58">
        <v>524</v>
      </c>
      <c r="AC3" s="58">
        <v>0</v>
      </c>
      <c r="AD3" s="58">
        <v>0</v>
      </c>
      <c r="AE3" s="58">
        <v>48</v>
      </c>
      <c r="AF3" s="58">
        <v>257</v>
      </c>
      <c r="AG3" s="58">
        <v>73</v>
      </c>
      <c r="AH3" s="58">
        <v>1447</v>
      </c>
      <c r="AI3" s="58">
        <v>0</v>
      </c>
      <c r="AJ3" s="58">
        <v>12</v>
      </c>
      <c r="AK3" s="58">
        <v>4</v>
      </c>
      <c r="AL3" s="58">
        <v>865</v>
      </c>
      <c r="AM3" s="58">
        <v>0</v>
      </c>
      <c r="AN3" s="58">
        <v>303</v>
      </c>
      <c r="AO3" s="58">
        <v>24</v>
      </c>
      <c r="AP3" s="58">
        <v>15</v>
      </c>
      <c r="AQ3" s="58">
        <v>0</v>
      </c>
      <c r="AR3" s="58">
        <v>157</v>
      </c>
      <c r="AS3" s="72">
        <v>0</v>
      </c>
      <c r="AT3" s="72">
        <v>14321</v>
      </c>
      <c r="AU3" s="72">
        <f>Table2[[#This Row],[Cumulative Meter]]</f>
        <v>4331</v>
      </c>
      <c r="AV3" s="72">
        <f>Table2[[#This Row],[Total Burner Survey ]]-AU3</f>
        <v>9990</v>
      </c>
      <c r="AW3" s="72">
        <v>21</v>
      </c>
      <c r="AX3" s="87">
        <f>ROUND(Table2[[#This Row],[Number of working days]]*ANALYSIS!$DV$6,2)</f>
        <v>5063.5200000000004</v>
      </c>
      <c r="AY3" s="87">
        <f>Table2[[#This Row],[Cumulative Meter]]</f>
        <v>4331</v>
      </c>
      <c r="AZ3" s="87">
        <f>ROUND(Table2[[#This Row],[Number of working days]]*ANALYSIS!$DV$13,2)</f>
        <v>5540.9</v>
      </c>
    </row>
    <row r="4" spans="1:54" x14ac:dyDescent="0.3">
      <c r="A4" s="81" t="str">
        <f>'Total Progress Report'!A6</f>
        <v>MAR</v>
      </c>
      <c r="B4" s="58">
        <v>2024</v>
      </c>
      <c r="C4" s="58">
        <f>IF(ISBLANK('Total Progress Report'!D6)," ",'Total Progress Report'!D6)</f>
        <v>481</v>
      </c>
      <c r="D4" s="58">
        <f>IF(ISBLANK('Total Progress Report'!E6)," ",'Total Progress Report'!E6)</f>
        <v>4364</v>
      </c>
      <c r="E4" s="58">
        <f>IF(ISBLANK('Total Progress Report'!F6)," ",'Total Progress Report'!F6)</f>
        <v>17</v>
      </c>
      <c r="F4" s="58">
        <f>IF(ISBLANK('Total Progress Report'!G6)," ",'Total Progress Report'!G6)</f>
        <v>4347</v>
      </c>
      <c r="G4" s="58">
        <f>IF(ISBLANK('Total Progress Report'!H6)," ",'Total Progress Report'!H6)</f>
        <v>0</v>
      </c>
      <c r="H4" s="58">
        <f>IF(ISBLANK('Total Progress Report'!I6)," ",'Total Progress Report'!I6)</f>
        <v>0</v>
      </c>
      <c r="I4" s="58">
        <f>IF(ISBLANK('Total Progress Report'!J6)," ",'Total Progress Report'!J6)</f>
        <v>0</v>
      </c>
      <c r="J4" s="58">
        <f>IF(ISBLANK('Total Progress Report'!K6)," ",'Total Progress Report'!K6)</f>
        <v>0</v>
      </c>
      <c r="K4" s="58">
        <f>IF(ISBLANK('Total Progress Report'!L6)," ",'Total Progress Report'!L6)</f>
        <v>0</v>
      </c>
      <c r="L4" s="58">
        <f>IF(ISBLANK('Total Progress Report'!M6)," ",'Total Progress Report'!M6)</f>
        <v>0</v>
      </c>
      <c r="M4" s="58">
        <f>IF(ISBLANK('Total Progress Report'!N6)," ",'Total Progress Report'!N6)</f>
        <v>0</v>
      </c>
      <c r="N4" s="58">
        <f>IF(ISBLANK('Total Progress Report'!O6)," ",'Total Progress Report'!O6)</f>
        <v>0</v>
      </c>
      <c r="O4" s="58">
        <f>IF(ISBLANK('Total Progress Report'!P6)," ",'Total Progress Report'!P6)</f>
        <v>0</v>
      </c>
      <c r="P4" s="58">
        <f>IF(ISBLANK('Total Progress Report'!Q6)," ",'Total Progress Report'!Q6)</f>
        <v>0</v>
      </c>
      <c r="Q4" s="58">
        <f>IF(ISBLANK('Total Progress Report'!R6)," ",'Total Progress Report'!R6)</f>
        <v>0</v>
      </c>
      <c r="R4" s="58">
        <f>IF(ISBLANK('Total Progress Report'!S6)," ",'Total Progress Report'!S6)</f>
        <v>0</v>
      </c>
      <c r="S4" s="58">
        <f>IF(ISBLANK('Total Progress Report'!T6)," ",'Total Progress Report'!T6)</f>
        <v>0</v>
      </c>
      <c r="T4" s="58">
        <f>IF(ISBLANK('Total Progress Report'!U6)," ",'Total Progress Report'!U6)</f>
        <v>0</v>
      </c>
      <c r="U4" s="58">
        <f>IF(ISBLANK('Total Progress Report'!V6)," ",'Total Progress Report'!V6)</f>
        <v>34</v>
      </c>
      <c r="V4" s="58">
        <f>IF(ISBLANK('Total Progress Report'!W6)," ",'Total Progress Report'!W6)</f>
        <v>1160</v>
      </c>
      <c r="W4" s="58">
        <f>IF(ISBLANK('Total Progress Report'!X6)," ",'Total Progress Report'!X6)</f>
        <v>1126</v>
      </c>
      <c r="X4" s="58">
        <v>212</v>
      </c>
      <c r="Y4" s="58">
        <v>0</v>
      </c>
      <c r="Z4" s="58">
        <v>671</v>
      </c>
      <c r="AA4" s="58">
        <v>73</v>
      </c>
      <c r="AB4" s="58">
        <v>512</v>
      </c>
      <c r="AC4" s="58">
        <v>0</v>
      </c>
      <c r="AD4" s="58">
        <v>83</v>
      </c>
      <c r="AE4" s="58">
        <v>10</v>
      </c>
      <c r="AF4" s="58">
        <v>340</v>
      </c>
      <c r="AG4" s="58">
        <v>0</v>
      </c>
      <c r="AH4" s="58">
        <v>606</v>
      </c>
      <c r="AI4" s="58">
        <v>0</v>
      </c>
      <c r="AJ4" s="58">
        <v>0</v>
      </c>
      <c r="AK4" s="58">
        <v>588</v>
      </c>
      <c r="AL4" s="58">
        <v>426</v>
      </c>
      <c r="AM4" s="58">
        <v>0</v>
      </c>
      <c r="AN4" s="58">
        <v>487</v>
      </c>
      <c r="AO4" s="58">
        <v>318</v>
      </c>
      <c r="AP4" s="58">
        <v>0</v>
      </c>
      <c r="AQ4" s="58">
        <v>0</v>
      </c>
      <c r="AR4" s="58">
        <v>39</v>
      </c>
      <c r="AS4" s="72">
        <v>0</v>
      </c>
      <c r="AT4" s="72">
        <v>14072</v>
      </c>
      <c r="AU4" s="72">
        <f>Table2[[#This Row],[Cumulative Meter]]</f>
        <v>4364</v>
      </c>
      <c r="AV4" s="72">
        <f>Table2[[#This Row],[Total Burner Survey ]]-AU4</f>
        <v>9708</v>
      </c>
      <c r="AW4" s="72">
        <v>20</v>
      </c>
      <c r="AX4" s="87">
        <f>ROUND(Table2[[#This Row],[Number of working days]]*ANALYSIS!$DV$6,2)</f>
        <v>4822.3999999999996</v>
      </c>
      <c r="AY4" s="87">
        <f>Table2[[#This Row],[Cumulative Meter]]</f>
        <v>4364</v>
      </c>
      <c r="AZ4" s="87">
        <f>ROUND(Table2[[#This Row],[Number of working days]]*ANALYSIS!$DV$13,2)</f>
        <v>5277.04</v>
      </c>
    </row>
    <row r="5" spans="1:54" x14ac:dyDescent="0.3">
      <c r="A5" s="81" t="str">
        <f>'Total Progress Report'!A7</f>
        <v>APR</v>
      </c>
      <c r="B5" s="58">
        <v>2024</v>
      </c>
      <c r="C5" s="58">
        <f>IF(ISBLANK('Total Progress Report'!D7)," ",'Total Progress Report'!D7)</f>
        <v>380</v>
      </c>
      <c r="D5" s="58">
        <f>IF(ISBLANK('Total Progress Report'!E7)," ",'Total Progress Report'!E7)</f>
        <v>3508</v>
      </c>
      <c r="E5" s="58">
        <f>IF(ISBLANK('Total Progress Report'!F7)," ",'Total Progress Report'!F7)</f>
        <v>62</v>
      </c>
      <c r="F5" s="58">
        <f>IF(ISBLANK('Total Progress Report'!G7)," ",'Total Progress Report'!G7)</f>
        <v>3446</v>
      </c>
      <c r="G5" s="58">
        <f>IF(ISBLANK('Total Progress Report'!H7)," ",'Total Progress Report'!H7)</f>
        <v>0</v>
      </c>
      <c r="H5" s="58">
        <f>IF(ISBLANK('Total Progress Report'!I7)," ",'Total Progress Report'!I7)</f>
        <v>0</v>
      </c>
      <c r="I5" s="58">
        <f>IF(ISBLANK('Total Progress Report'!J7)," ",'Total Progress Report'!J7)</f>
        <v>0</v>
      </c>
      <c r="J5" s="58">
        <f>IF(ISBLANK('Total Progress Report'!K7)," ",'Total Progress Report'!K7)</f>
        <v>0</v>
      </c>
      <c r="K5" s="58">
        <f>IF(ISBLANK('Total Progress Report'!L7)," ",'Total Progress Report'!L7)</f>
        <v>0</v>
      </c>
      <c r="L5" s="58">
        <f>IF(ISBLANK('Total Progress Report'!M7)," ",'Total Progress Report'!M7)</f>
        <v>0</v>
      </c>
      <c r="M5" s="58">
        <f>IF(ISBLANK('Total Progress Report'!N7)," ",'Total Progress Report'!N7)</f>
        <v>0</v>
      </c>
      <c r="N5" s="58">
        <f>IF(ISBLANK('Total Progress Report'!O7)," ",'Total Progress Report'!O7)</f>
        <v>0</v>
      </c>
      <c r="O5" s="58">
        <f>IF(ISBLANK('Total Progress Report'!P7)," ",'Total Progress Report'!P7)</f>
        <v>0</v>
      </c>
      <c r="P5" s="58">
        <f>IF(ISBLANK('Total Progress Report'!Q7)," ",'Total Progress Report'!Q7)</f>
        <v>0</v>
      </c>
      <c r="Q5" s="58">
        <f>IF(ISBLANK('Total Progress Report'!R7)," ",'Total Progress Report'!R7)</f>
        <v>0</v>
      </c>
      <c r="R5" s="58">
        <f>IF(ISBLANK('Total Progress Report'!S7)," ",'Total Progress Report'!S7)</f>
        <v>0</v>
      </c>
      <c r="S5" s="58">
        <f>IF(ISBLANK('Total Progress Report'!T7)," ",'Total Progress Report'!T7)</f>
        <v>0</v>
      </c>
      <c r="T5" s="58">
        <f>IF(ISBLANK('Total Progress Report'!U7)," ",'Total Progress Report'!U7)</f>
        <v>0</v>
      </c>
      <c r="U5" s="58">
        <f>IF(ISBLANK('Total Progress Report'!V7)," ",'Total Progress Report'!V7)</f>
        <v>84</v>
      </c>
      <c r="V5" s="58">
        <f>IF(ISBLANK('Total Progress Report'!W7)," ",'Total Progress Report'!W7)</f>
        <v>1166</v>
      </c>
      <c r="W5" s="58">
        <f>IF(ISBLANK('Total Progress Report'!X7)," ",'Total Progress Report'!X7)</f>
        <v>1082</v>
      </c>
      <c r="X5" s="58">
        <v>6</v>
      </c>
      <c r="Y5" s="58">
        <v>0</v>
      </c>
      <c r="Z5" s="58">
        <v>219</v>
      </c>
      <c r="AA5" s="58">
        <v>20</v>
      </c>
      <c r="AB5" s="58">
        <v>120</v>
      </c>
      <c r="AC5" s="58">
        <v>0</v>
      </c>
      <c r="AD5" s="58">
        <v>890</v>
      </c>
      <c r="AE5" s="58">
        <v>161</v>
      </c>
      <c r="AF5" s="58">
        <v>121</v>
      </c>
      <c r="AG5" s="58">
        <v>0</v>
      </c>
      <c r="AH5" s="58">
        <v>214</v>
      </c>
      <c r="AI5" s="58">
        <v>0</v>
      </c>
      <c r="AJ5" s="58">
        <v>0</v>
      </c>
      <c r="AK5" s="58">
        <v>87</v>
      </c>
      <c r="AL5" s="58">
        <v>1</v>
      </c>
      <c r="AM5" s="58">
        <v>0</v>
      </c>
      <c r="AN5" s="58">
        <v>105</v>
      </c>
      <c r="AO5" s="58">
        <v>1490</v>
      </c>
      <c r="AP5" s="58">
        <v>0</v>
      </c>
      <c r="AQ5" s="58">
        <v>0</v>
      </c>
      <c r="AR5" s="58">
        <v>10</v>
      </c>
      <c r="AS5" s="72">
        <v>0</v>
      </c>
      <c r="AT5" s="72">
        <v>13959</v>
      </c>
      <c r="AU5" s="72">
        <f>Table2[[#This Row],[Cumulative Meter]]</f>
        <v>3508</v>
      </c>
      <c r="AV5" s="72">
        <f>Table2[[#This Row],[Total Burner Survey ]]-AU5</f>
        <v>10451</v>
      </c>
      <c r="AW5" s="72">
        <v>12</v>
      </c>
      <c r="AX5" s="87">
        <f>ROUND(Table2[[#This Row],[Number of working days]]*ANALYSIS!$DV$6,2)</f>
        <v>2893.44</v>
      </c>
      <c r="AY5" s="87">
        <f>Table2[[#This Row],[Cumulative Meter]]</f>
        <v>3508</v>
      </c>
      <c r="AZ5" s="87">
        <f>ROUND(Table2[[#This Row],[Number of working days]]*ANALYSIS!$DV$13,2)</f>
        <v>3166.23</v>
      </c>
    </row>
    <row r="6" spans="1:54" x14ac:dyDescent="0.3">
      <c r="A6" s="81" t="str">
        <f>'Total Progress Report'!A8</f>
        <v>MAY</v>
      </c>
      <c r="B6" s="58">
        <v>2024</v>
      </c>
      <c r="C6" s="58">
        <f>IF(ISBLANK('Total Progress Report'!D8)," ",'Total Progress Report'!D8)</f>
        <v>971</v>
      </c>
      <c r="D6" s="58">
        <f>IF(ISBLANK('Total Progress Report'!E8)," ",'Total Progress Report'!E8)</f>
        <v>7472</v>
      </c>
      <c r="E6" s="58">
        <f>IF(ISBLANK('Total Progress Report'!F8)," ",'Total Progress Report'!F8)</f>
        <v>164</v>
      </c>
      <c r="F6" s="58">
        <f>IF(ISBLANK('Total Progress Report'!G8)," ",'Total Progress Report'!G8)</f>
        <v>7308</v>
      </c>
      <c r="G6" s="58">
        <f>IF(ISBLANK('Total Progress Report'!H8)," ",'Total Progress Report'!H8)</f>
        <v>0</v>
      </c>
      <c r="H6" s="58">
        <f>IF(ISBLANK('Total Progress Report'!I8)," ",'Total Progress Report'!I8)</f>
        <v>0</v>
      </c>
      <c r="I6" s="58">
        <f>IF(ISBLANK('Total Progress Report'!J8)," ",'Total Progress Report'!J8)</f>
        <v>0</v>
      </c>
      <c r="J6" s="58">
        <f>IF(ISBLANK('Total Progress Report'!K8)," ",'Total Progress Report'!K8)</f>
        <v>0</v>
      </c>
      <c r="K6" s="58">
        <f>IF(ISBLANK('Total Progress Report'!L8)," ",'Total Progress Report'!L8)</f>
        <v>0</v>
      </c>
      <c r="L6" s="58">
        <f>IF(ISBLANK('Total Progress Report'!M8)," ",'Total Progress Report'!M8)</f>
        <v>0</v>
      </c>
      <c r="M6" s="58">
        <f>IF(ISBLANK('Total Progress Report'!N8)," ",'Total Progress Report'!N8)</f>
        <v>0</v>
      </c>
      <c r="N6" s="58">
        <f>IF(ISBLANK('Total Progress Report'!O8)," ",'Total Progress Report'!O8)</f>
        <v>0</v>
      </c>
      <c r="O6" s="58">
        <f>IF(ISBLANK('Total Progress Report'!P8)," ",'Total Progress Report'!P8)</f>
        <v>0</v>
      </c>
      <c r="P6" s="58">
        <f>IF(ISBLANK('Total Progress Report'!Q8)," ",'Total Progress Report'!Q8)</f>
        <v>0</v>
      </c>
      <c r="Q6" s="58">
        <f>IF(ISBLANK('Total Progress Report'!R8)," ",'Total Progress Report'!R8)</f>
        <v>0</v>
      </c>
      <c r="R6" s="58">
        <f>IF(ISBLANK('Total Progress Report'!S8)," ",'Total Progress Report'!S8)</f>
        <v>0</v>
      </c>
      <c r="S6" s="58">
        <f>IF(ISBLANK('Total Progress Report'!T8)," ",'Total Progress Report'!T8)</f>
        <v>0</v>
      </c>
      <c r="T6" s="58">
        <f>IF(ISBLANK('Total Progress Report'!U8)," ",'Total Progress Report'!U8)</f>
        <v>0</v>
      </c>
      <c r="U6" s="58">
        <f>IF(ISBLANK('Total Progress Report'!V8)," ",'Total Progress Report'!V8)</f>
        <v>102</v>
      </c>
      <c r="V6" s="58">
        <f>IF(ISBLANK('Total Progress Report'!W8)," ",'Total Progress Report'!W8)</f>
        <v>1673</v>
      </c>
      <c r="W6" s="58">
        <f>IF(ISBLANK('Total Progress Report'!X8)," ",'Total Progress Report'!X8)</f>
        <v>1571</v>
      </c>
      <c r="X6" s="58">
        <v>422</v>
      </c>
      <c r="Y6" s="58">
        <v>18</v>
      </c>
      <c r="Z6" s="58">
        <v>976</v>
      </c>
      <c r="AA6" s="58">
        <v>0</v>
      </c>
      <c r="AB6" s="58">
        <v>422</v>
      </c>
      <c r="AC6" s="58">
        <v>0</v>
      </c>
      <c r="AD6" s="58">
        <v>1444</v>
      </c>
      <c r="AE6" s="58">
        <v>322</v>
      </c>
      <c r="AF6" s="58">
        <v>366</v>
      </c>
      <c r="AG6" s="58">
        <v>0</v>
      </c>
      <c r="AH6" s="58">
        <v>795</v>
      </c>
      <c r="AI6" s="58">
        <v>25</v>
      </c>
      <c r="AJ6" s="58">
        <v>54</v>
      </c>
      <c r="AK6" s="58">
        <v>145</v>
      </c>
      <c r="AL6" s="58">
        <v>877</v>
      </c>
      <c r="AM6" s="58">
        <v>0</v>
      </c>
      <c r="AN6" s="58">
        <v>780</v>
      </c>
      <c r="AO6" s="58">
        <v>485</v>
      </c>
      <c r="AP6" s="58">
        <v>0</v>
      </c>
      <c r="AQ6" s="58">
        <v>62</v>
      </c>
      <c r="AR6" s="58">
        <v>234</v>
      </c>
      <c r="AS6" s="72">
        <v>45</v>
      </c>
      <c r="AT6" s="72">
        <v>10145</v>
      </c>
      <c r="AU6" s="72">
        <f>Table2[[#This Row],[Cumulative Meter]]</f>
        <v>7472</v>
      </c>
      <c r="AV6" s="72">
        <f>Table2[[#This Row],[Total Burner Survey ]]-AU6</f>
        <v>2673</v>
      </c>
      <c r="AW6" s="72">
        <v>22</v>
      </c>
      <c r="AX6" s="87">
        <f>ROUND(Table2[[#This Row],[Number of working days]]*ANALYSIS!$DV$6,2)</f>
        <v>5304.64</v>
      </c>
      <c r="AY6" s="87">
        <f>Table2[[#This Row],[Cumulative Meter]]</f>
        <v>7472</v>
      </c>
      <c r="AZ6" s="87">
        <f>ROUND(Table2[[#This Row],[Number of working days]]*ANALYSIS!$DV$13,2)</f>
        <v>5804.75</v>
      </c>
    </row>
    <row r="7" spans="1:54" x14ac:dyDescent="0.3">
      <c r="A7" s="81" t="str">
        <f>'Total Progress Report'!A9</f>
        <v>JUN</v>
      </c>
      <c r="B7" s="58">
        <v>2024</v>
      </c>
      <c r="C7" s="58">
        <f>IF(ISBLANK('Total Progress Report'!D9)," ",'Total Progress Report'!D9)</f>
        <v>860</v>
      </c>
      <c r="D7" s="58">
        <f>IF(ISBLANK('Total Progress Report'!E9)," ",'Total Progress Report'!E9)</f>
        <v>5903</v>
      </c>
      <c r="E7" s="58">
        <f>IF(ISBLANK('Total Progress Report'!F9)," ",'Total Progress Report'!F9)</f>
        <v>166</v>
      </c>
      <c r="F7" s="58">
        <f>IF(ISBLANK('Total Progress Report'!G9)," ",'Total Progress Report'!G9)</f>
        <v>5737</v>
      </c>
      <c r="G7" s="58">
        <f>IF(ISBLANK('Total Progress Report'!H9)," ",'Total Progress Report'!H9)</f>
        <v>0</v>
      </c>
      <c r="H7" s="58">
        <f>IF(ISBLANK('Total Progress Report'!I9)," ",'Total Progress Report'!I9)</f>
        <v>0</v>
      </c>
      <c r="I7" s="58">
        <f>IF(ISBLANK('Total Progress Report'!J9)," ",'Total Progress Report'!J9)</f>
        <v>0</v>
      </c>
      <c r="J7" s="58">
        <f>IF(ISBLANK('Total Progress Report'!K9)," ",'Total Progress Report'!K9)</f>
        <v>0</v>
      </c>
      <c r="K7" s="58">
        <f>IF(ISBLANK('Total Progress Report'!L9)," ",'Total Progress Report'!L9)</f>
        <v>37</v>
      </c>
      <c r="L7" s="58">
        <f>IF(ISBLANK('Total Progress Report'!M9)," ",'Total Progress Report'!M9)</f>
        <v>0</v>
      </c>
      <c r="M7" s="58">
        <f>IF(ISBLANK('Total Progress Report'!N9)," ",'Total Progress Report'!N9)</f>
        <v>1</v>
      </c>
      <c r="N7" s="58">
        <f>IF(ISBLANK('Total Progress Report'!O9)," ",'Total Progress Report'!O9)</f>
        <v>37</v>
      </c>
      <c r="O7" s="58">
        <f>IF(ISBLANK('Total Progress Report'!P9)," ",'Total Progress Report'!P9)</f>
        <v>2435</v>
      </c>
      <c r="P7" s="58">
        <f>IF(ISBLANK('Total Progress Report'!Q9)," ",'Total Progress Report'!Q9)</f>
        <v>394</v>
      </c>
      <c r="Q7" s="58">
        <f>IF(ISBLANK('Total Progress Report'!R9)," ",'Total Progress Report'!R9)</f>
        <v>2539</v>
      </c>
      <c r="R7" s="58">
        <f>IF(ISBLANK('Total Progress Report'!S9)," ",'Total Progress Report'!S9)</f>
        <v>395</v>
      </c>
      <c r="S7" s="58">
        <f>IF(ISBLANK('Total Progress Report'!T9)," ",'Total Progress Report'!T9)</f>
        <v>394</v>
      </c>
      <c r="T7" s="58">
        <f>IF(ISBLANK('Total Progress Report'!U9)," ",'Total Progress Report'!U9)</f>
        <v>2436</v>
      </c>
      <c r="U7" s="58">
        <f>IF(ISBLANK('Total Progress Report'!V9)," ",'Total Progress Report'!V9)</f>
        <v>165</v>
      </c>
      <c r="V7" s="58">
        <f>IF(ISBLANK('Total Progress Report'!W9)," ",'Total Progress Report'!W9)</f>
        <v>1724</v>
      </c>
      <c r="W7" s="58">
        <f>IF(ISBLANK('Total Progress Report'!X9)," ",'Total Progress Report'!X9)</f>
        <v>1559</v>
      </c>
      <c r="X7" s="58">
        <v>407</v>
      </c>
      <c r="Y7" s="58">
        <v>0</v>
      </c>
      <c r="Z7" s="58">
        <v>140</v>
      </c>
      <c r="AA7" s="58">
        <v>466</v>
      </c>
      <c r="AB7" s="58">
        <v>456</v>
      </c>
      <c r="AC7" s="58">
        <v>0</v>
      </c>
      <c r="AD7" s="58">
        <v>209</v>
      </c>
      <c r="AE7" s="58">
        <v>95</v>
      </c>
      <c r="AF7" s="58">
        <v>785</v>
      </c>
      <c r="AG7" s="58">
        <v>178</v>
      </c>
      <c r="AH7" s="58">
        <v>1193</v>
      </c>
      <c r="AI7" s="58">
        <v>210</v>
      </c>
      <c r="AJ7" s="58">
        <v>0</v>
      </c>
      <c r="AK7" s="58">
        <v>512</v>
      </c>
      <c r="AL7" s="58">
        <v>290</v>
      </c>
      <c r="AM7" s="58">
        <v>0</v>
      </c>
      <c r="AN7" s="58">
        <v>524</v>
      </c>
      <c r="AO7" s="58">
        <v>436</v>
      </c>
      <c r="AP7" s="58">
        <v>0</v>
      </c>
      <c r="AQ7" s="58">
        <v>0</v>
      </c>
      <c r="AR7" s="58">
        <v>2</v>
      </c>
      <c r="AS7" s="72">
        <v>0</v>
      </c>
      <c r="AT7" s="72">
        <v>6946</v>
      </c>
      <c r="AU7" s="72">
        <f>Table2[[#This Row],[Cumulative Meter]]</f>
        <v>5903</v>
      </c>
      <c r="AV7" s="72">
        <f>Table2[[#This Row],[Total Burner Survey ]]-AU7</f>
        <v>1043</v>
      </c>
      <c r="AW7" s="72">
        <v>19</v>
      </c>
      <c r="AX7" s="87">
        <f>ROUND(Table2[[#This Row],[Number of working days]]*ANALYSIS!$DV$6,2)</f>
        <v>4581.28</v>
      </c>
      <c r="AY7" s="87">
        <f>Table2[[#This Row],[Cumulative Meter]]</f>
        <v>5903</v>
      </c>
      <c r="AZ7" s="87">
        <f>ROUND(Table2[[#This Row],[Number of working days]]*ANALYSIS!$DV$13,2)</f>
        <v>5013.1899999999996</v>
      </c>
    </row>
    <row r="8" spans="1:54" x14ac:dyDescent="0.3">
      <c r="A8" s="81" t="str">
        <f>'Total Progress Report'!A10</f>
        <v>JUL</v>
      </c>
      <c r="B8" s="58">
        <v>2024</v>
      </c>
      <c r="C8" s="58">
        <f>IF(ISBLANK('Total Progress Report'!D10)," ",'Total Progress Report'!D10)</f>
        <v>821</v>
      </c>
      <c r="D8" s="58">
        <f>IF(ISBLANK('Total Progress Report'!E10)," ",'Total Progress Report'!E10)</f>
        <v>4837</v>
      </c>
      <c r="E8" s="58">
        <f>IF(ISBLANK('Total Progress Report'!F10)," ",'Total Progress Report'!F10)</f>
        <v>124</v>
      </c>
      <c r="F8" s="58">
        <f>IF(ISBLANK('Total Progress Report'!G10)," ",'Total Progress Report'!G10)</f>
        <v>4713</v>
      </c>
      <c r="G8" s="58">
        <f>IF(ISBLANK('Total Progress Report'!H10)," ",'Total Progress Report'!H10)</f>
        <v>0</v>
      </c>
      <c r="H8" s="58">
        <f>IF(ISBLANK('Total Progress Report'!I10)," ",'Total Progress Report'!I10)</f>
        <v>0</v>
      </c>
      <c r="I8" s="58">
        <f>IF(ISBLANK('Total Progress Report'!J10)," ",'Total Progress Report'!J10)</f>
        <v>0</v>
      </c>
      <c r="J8" s="58">
        <f>IF(ISBLANK('Total Progress Report'!K10)," ",'Total Progress Report'!K10)</f>
        <v>0</v>
      </c>
      <c r="K8" s="58">
        <f>IF(ISBLANK('Total Progress Report'!L10)," ",'Total Progress Report'!L10)</f>
        <v>529</v>
      </c>
      <c r="L8" s="58">
        <f>IF(ISBLANK('Total Progress Report'!M10)," ",'Total Progress Report'!M10)</f>
        <v>690</v>
      </c>
      <c r="M8" s="58">
        <f>IF(ISBLANK('Total Progress Report'!N10)," ",'Total Progress Report'!N10)</f>
        <v>175</v>
      </c>
      <c r="N8" s="58">
        <f>IF(ISBLANK('Total Progress Report'!O10)," ",'Total Progress Report'!O10)</f>
        <v>1219</v>
      </c>
      <c r="O8" s="58">
        <f>IF(ISBLANK('Total Progress Report'!P10)," ",'Total Progress Report'!P10)</f>
        <v>3042</v>
      </c>
      <c r="P8" s="58">
        <f>IF(ISBLANK('Total Progress Report'!Q10)," ",'Total Progress Report'!Q10)</f>
        <v>359</v>
      </c>
      <c r="Q8" s="58">
        <f>IF(ISBLANK('Total Progress Report'!R10)," ",'Total Progress Report'!R10)</f>
        <v>2505</v>
      </c>
      <c r="R8" s="58">
        <f>IF(ISBLANK('Total Progress Report'!S10)," ",'Total Progress Report'!S10)</f>
        <v>311</v>
      </c>
      <c r="S8" s="58">
        <f>IF(ISBLANK('Total Progress Report'!T10)," ",'Total Progress Report'!T10)</f>
        <v>352</v>
      </c>
      <c r="T8" s="58">
        <f>IF(ISBLANK('Total Progress Report'!U10)," ",'Total Progress Report'!U10)</f>
        <v>3019</v>
      </c>
      <c r="U8" s="58">
        <f>IF(ISBLANK('Total Progress Report'!V10)," ",'Total Progress Report'!V10)</f>
        <v>134</v>
      </c>
      <c r="V8" s="58">
        <f>IF(ISBLANK('Total Progress Report'!W10)," ",'Total Progress Report'!W10)</f>
        <v>1493</v>
      </c>
      <c r="W8" s="58">
        <f>IF(ISBLANK('Total Progress Report'!X10)," ",'Total Progress Report'!X10)</f>
        <v>1359</v>
      </c>
      <c r="X8" s="58">
        <v>204</v>
      </c>
      <c r="Y8" s="58">
        <v>0</v>
      </c>
      <c r="Z8" s="58">
        <v>485</v>
      </c>
      <c r="AA8" s="58">
        <v>0</v>
      </c>
      <c r="AB8" s="58">
        <v>640</v>
      </c>
      <c r="AC8" s="58">
        <v>0</v>
      </c>
      <c r="AD8" s="58">
        <v>417</v>
      </c>
      <c r="AE8" s="58">
        <v>169</v>
      </c>
      <c r="AF8" s="58">
        <v>63</v>
      </c>
      <c r="AG8" s="58">
        <v>0</v>
      </c>
      <c r="AH8" s="58">
        <v>490</v>
      </c>
      <c r="AI8" s="58">
        <v>0</v>
      </c>
      <c r="AJ8" s="58">
        <v>0</v>
      </c>
      <c r="AK8" s="58">
        <v>175</v>
      </c>
      <c r="AL8" s="58">
        <v>504</v>
      </c>
      <c r="AM8" s="58">
        <v>0</v>
      </c>
      <c r="AN8" s="58">
        <v>480</v>
      </c>
      <c r="AO8" s="58">
        <v>742</v>
      </c>
      <c r="AP8" s="58">
        <v>0</v>
      </c>
      <c r="AQ8" s="58">
        <v>0</v>
      </c>
      <c r="AR8" s="58">
        <v>472</v>
      </c>
      <c r="AS8" s="72">
        <v>0</v>
      </c>
      <c r="AT8" s="72">
        <v>8339</v>
      </c>
      <c r="AU8" s="72">
        <f>Table2[[#This Row],[Cumulative Meter]]</f>
        <v>4837</v>
      </c>
      <c r="AV8" s="72">
        <f>Table2[[#This Row],[Total Burner Survey ]]-AU8</f>
        <v>3502</v>
      </c>
      <c r="AW8" s="72">
        <v>18</v>
      </c>
      <c r="AX8" s="87">
        <f>ROUND(Table2[[#This Row],[Number of working days]]*ANALYSIS!$DV$6,2)</f>
        <v>4340.16</v>
      </c>
      <c r="AY8" s="87">
        <f>Table2[[#This Row],[Cumulative Meter]]</f>
        <v>4837</v>
      </c>
      <c r="AZ8" s="87">
        <f>ROUND(Table2[[#This Row],[Number of working days]]*ANALYSIS!$DV$13,2)</f>
        <v>4749.34</v>
      </c>
    </row>
    <row r="9" spans="1:54" x14ac:dyDescent="0.3">
      <c r="A9" s="81" t="str">
        <f>'Total Progress Report'!A11</f>
        <v>AUG</v>
      </c>
      <c r="B9" s="58">
        <v>2024</v>
      </c>
      <c r="C9" s="58">
        <f>IF(ISBLANK('Total Progress Report'!D11)," ",'Total Progress Report'!D11)</f>
        <v>814</v>
      </c>
      <c r="D9" s="58">
        <f>IF(ISBLANK('Total Progress Report'!E11)," ",'Total Progress Report'!E11)</f>
        <v>4740</v>
      </c>
      <c r="E9" s="58">
        <f>IF(ISBLANK('Total Progress Report'!F11)," ",'Total Progress Report'!F11)</f>
        <v>189</v>
      </c>
      <c r="F9" s="58">
        <f>IF(ISBLANK('Total Progress Report'!G11)," ",'Total Progress Report'!G11)</f>
        <v>4551</v>
      </c>
      <c r="G9" s="58">
        <f>IF(ISBLANK('Total Progress Report'!H11)," ",'Total Progress Report'!H11)</f>
        <v>0</v>
      </c>
      <c r="H9" s="58">
        <f>IF(ISBLANK('Total Progress Report'!I11)," ",'Total Progress Report'!I11)</f>
        <v>0</v>
      </c>
      <c r="I9" s="58">
        <f>IF(ISBLANK('Total Progress Report'!J11)," ",'Total Progress Report'!J11)</f>
        <v>0</v>
      </c>
      <c r="J9" s="58">
        <f>IF(ISBLANK('Total Progress Report'!K11)," ",'Total Progress Report'!K11)</f>
        <v>0</v>
      </c>
      <c r="K9" s="58">
        <f>IF(ISBLANK('Total Progress Report'!L11)," ",'Total Progress Report'!L11)</f>
        <v>474</v>
      </c>
      <c r="L9" s="58">
        <f>IF(ISBLANK('Total Progress Report'!M11)," ",'Total Progress Report'!M11)</f>
        <v>1066</v>
      </c>
      <c r="M9" s="58">
        <f>IF(ISBLANK('Total Progress Report'!N11)," ",'Total Progress Report'!N11)</f>
        <v>205</v>
      </c>
      <c r="N9" s="58">
        <f>IF(ISBLANK('Total Progress Report'!O11)," ",'Total Progress Report'!O11)</f>
        <v>1540</v>
      </c>
      <c r="O9" s="58">
        <f>IF(ISBLANK('Total Progress Report'!P11)," ",'Total Progress Report'!P11)</f>
        <v>4636</v>
      </c>
      <c r="P9" s="58">
        <f>IF(ISBLANK('Total Progress Report'!Q11)," ",'Total Progress Report'!Q11)</f>
        <v>546</v>
      </c>
      <c r="Q9" s="58">
        <f>IF(ISBLANK('Total Progress Report'!R11)," ",'Total Progress Report'!R11)</f>
        <v>4456</v>
      </c>
      <c r="R9" s="58">
        <f>IF(ISBLANK('Total Progress Report'!S11)," ",'Total Progress Report'!S11)</f>
        <v>531</v>
      </c>
      <c r="S9" s="58">
        <f>IF(ISBLANK('Total Progress Report'!T11)," ",'Total Progress Report'!T11)</f>
        <v>28</v>
      </c>
      <c r="T9" s="58">
        <f>IF(ISBLANK('Total Progress Report'!U11)," ",'Total Progress Report'!U11)</f>
        <v>269</v>
      </c>
      <c r="U9" s="58">
        <f>IF(ISBLANK('Total Progress Report'!V11)," ",'Total Progress Report'!V11)</f>
        <v>123</v>
      </c>
      <c r="V9" s="58">
        <f>IF(ISBLANK('Total Progress Report'!W11)," ",'Total Progress Report'!W11)</f>
        <v>1422</v>
      </c>
      <c r="W9" s="58">
        <f>IF(ISBLANK('Total Progress Report'!X11)," ",'Total Progress Report'!X11)</f>
        <v>1299</v>
      </c>
      <c r="X9" s="58">
        <v>357</v>
      </c>
      <c r="Y9" s="58">
        <v>0</v>
      </c>
      <c r="Z9" s="58">
        <v>416</v>
      </c>
      <c r="AA9" s="58">
        <v>93</v>
      </c>
      <c r="AB9" s="58">
        <v>536</v>
      </c>
      <c r="AC9" s="58">
        <v>0</v>
      </c>
      <c r="AD9" s="58">
        <v>541</v>
      </c>
      <c r="AE9" s="58">
        <v>203</v>
      </c>
      <c r="AF9" s="58">
        <v>466</v>
      </c>
      <c r="AG9" s="58">
        <v>22</v>
      </c>
      <c r="AH9" s="58">
        <v>358</v>
      </c>
      <c r="AI9" s="58">
        <v>58</v>
      </c>
      <c r="AJ9" s="58">
        <v>106</v>
      </c>
      <c r="AK9" s="58">
        <v>220</v>
      </c>
      <c r="AL9" s="58">
        <v>337</v>
      </c>
      <c r="AM9" s="58">
        <v>61</v>
      </c>
      <c r="AN9" s="58">
        <v>352</v>
      </c>
      <c r="AO9" s="58">
        <v>279</v>
      </c>
      <c r="AP9" s="58">
        <v>94</v>
      </c>
      <c r="AQ9" s="58">
        <v>32</v>
      </c>
      <c r="AR9" s="58">
        <v>80</v>
      </c>
      <c r="AS9" s="72">
        <v>129</v>
      </c>
      <c r="AT9" s="72">
        <v>6664</v>
      </c>
      <c r="AU9" s="72">
        <f>Table2[[#This Row],[Cumulative Meter]]</f>
        <v>4740</v>
      </c>
      <c r="AV9" s="72">
        <f>Table2[[#This Row],[Total Burner Survey ]]-AU9</f>
        <v>1924</v>
      </c>
      <c r="AW9" s="72">
        <v>19</v>
      </c>
      <c r="AX9" s="87">
        <f>ROUND(Table2[[#This Row],[Number of working days]]*ANALYSIS!$DV$6,2)</f>
        <v>4581.28</v>
      </c>
      <c r="AY9" s="87">
        <f>Table2[[#This Row],[Cumulative Meter]]</f>
        <v>4740</v>
      </c>
      <c r="AZ9" s="87">
        <f>ROUND(Table2[[#This Row],[Number of working days]]*ANALYSIS!$DV$13,2)</f>
        <v>5013.1899999999996</v>
      </c>
    </row>
    <row r="10" spans="1:54" x14ac:dyDescent="0.3">
      <c r="A10" s="81" t="str">
        <f>'Total Progress Report'!A12</f>
        <v>SEP</v>
      </c>
      <c r="B10" s="58">
        <v>2024</v>
      </c>
      <c r="C10" s="58">
        <f>IF(ISBLANK('Total Progress Report'!D12)," ",'Total Progress Report'!D12)</f>
        <v>1103</v>
      </c>
      <c r="D10" s="58">
        <f>IF(ISBLANK('Total Progress Report'!E12)," ",'Total Progress Report'!E12)</f>
        <v>4147</v>
      </c>
      <c r="E10" s="58">
        <f>IF(ISBLANK('Total Progress Report'!F12)," ",'Total Progress Report'!F12)</f>
        <v>799</v>
      </c>
      <c r="F10" s="58">
        <f>IF(ISBLANK('Total Progress Report'!G12)," ",'Total Progress Report'!G12)</f>
        <v>3348</v>
      </c>
      <c r="G10" s="58">
        <v>0</v>
      </c>
      <c r="H10" s="58">
        <f>IF(ISBLANK('Total Progress Report'!I12)," ",'Total Progress Report'!I12)</f>
        <v>0</v>
      </c>
      <c r="I10" s="58">
        <f>IF(ISBLANK('Total Progress Report'!J12)," ",'Total Progress Report'!J12)</f>
        <v>0</v>
      </c>
      <c r="J10" s="58">
        <f>IF(ISBLANK('Total Progress Report'!K12)," ",'Total Progress Report'!K12)</f>
        <v>0</v>
      </c>
      <c r="K10" s="58">
        <f>IF(ISBLANK('Total Progress Report'!L12)," ",'Total Progress Report'!L12)</f>
        <v>950</v>
      </c>
      <c r="L10" s="58">
        <f>IF(ISBLANK('Total Progress Report'!M12)," ",'Total Progress Report'!M12)</f>
        <v>1180</v>
      </c>
      <c r="M10" s="58">
        <f>IF(ISBLANK('Total Progress Report'!N12)," ",'Total Progress Report'!N12)</f>
        <v>238</v>
      </c>
      <c r="N10" s="58">
        <f>IF(ISBLANK('Total Progress Report'!O12)," ",'Total Progress Report'!O12)</f>
        <v>2130</v>
      </c>
      <c r="O10" s="58">
        <f>IF(ISBLANK('Total Progress Report'!P12)," ",'Total Progress Report'!P12)</f>
        <v>9962</v>
      </c>
      <c r="P10" s="58">
        <f>IF(ISBLANK('Total Progress Report'!Q12)," ",'Total Progress Report'!Q12)</f>
        <v>1122</v>
      </c>
      <c r="Q10" s="58">
        <f>IF(ISBLANK('Total Progress Report'!R12)," ",'Total Progress Report'!R12)</f>
        <v>7732</v>
      </c>
      <c r="R10" s="58">
        <f>IF(ISBLANK('Total Progress Report'!S12)," ",'Total Progress Report'!S12)</f>
        <v>875</v>
      </c>
      <c r="S10" s="58">
        <f>IF(ISBLANK('Total Progress Report'!T12)," ",'Total Progress Report'!T12)</f>
        <v>0</v>
      </c>
      <c r="T10" s="58">
        <f>IF(ISBLANK('Total Progress Report'!U12)," ",'Total Progress Report'!U12)</f>
        <v>0</v>
      </c>
      <c r="U10" s="58">
        <f>IF(ISBLANK('Total Progress Report'!V12)," ",'Total Progress Report'!V12)</f>
        <v>241</v>
      </c>
      <c r="V10" s="58">
        <f>IF(ISBLANK('Total Progress Report'!W12)," ",'Total Progress Report'!W12)</f>
        <v>1794</v>
      </c>
      <c r="W10" s="58">
        <f>IF(ISBLANK('Total Progress Report'!X12)," ",'Total Progress Report'!X12)</f>
        <v>1553</v>
      </c>
      <c r="X10" s="58">
        <v>240</v>
      </c>
      <c r="Y10" s="58">
        <v>0</v>
      </c>
      <c r="Z10" s="58">
        <v>260</v>
      </c>
      <c r="AA10" s="58">
        <v>56</v>
      </c>
      <c r="AB10" s="58">
        <v>289</v>
      </c>
      <c r="AC10" s="58">
        <v>18</v>
      </c>
      <c r="AD10" s="58">
        <v>376</v>
      </c>
      <c r="AE10" s="58">
        <v>110</v>
      </c>
      <c r="AF10" s="58">
        <v>409</v>
      </c>
      <c r="AG10" s="58">
        <v>37</v>
      </c>
      <c r="AH10" s="58">
        <v>326</v>
      </c>
      <c r="AI10" s="58">
        <v>499</v>
      </c>
      <c r="AJ10" s="58">
        <v>61</v>
      </c>
      <c r="AK10" s="58">
        <v>76</v>
      </c>
      <c r="AL10" s="58">
        <v>368</v>
      </c>
      <c r="AM10" s="58">
        <v>5</v>
      </c>
      <c r="AN10" s="58">
        <v>315</v>
      </c>
      <c r="AO10" s="58">
        <v>312</v>
      </c>
      <c r="AP10" s="58">
        <v>85</v>
      </c>
      <c r="AQ10" s="58">
        <v>52</v>
      </c>
      <c r="AR10" s="58">
        <v>210</v>
      </c>
      <c r="AS10" s="72">
        <v>43</v>
      </c>
      <c r="AT10" s="72">
        <v>5649</v>
      </c>
      <c r="AU10" s="72">
        <f>Table2[[#This Row],[Cumulative Meter]]</f>
        <v>4147</v>
      </c>
      <c r="AV10" s="72">
        <f>Table2[[#This Row],[Total Burner Survey ]]-AU10</f>
        <v>1502</v>
      </c>
      <c r="AW10" s="72">
        <v>25</v>
      </c>
      <c r="AX10" s="87">
        <f>ROUND(Table2[[#This Row],[Number of working days]]*ANALYSIS!$DV$6,2)</f>
        <v>6028</v>
      </c>
      <c r="AY10" s="87">
        <f>Table2[[#This Row],[Cumulative Meter]]</f>
        <v>4147</v>
      </c>
      <c r="AZ10" s="87">
        <f>ROUND(Table2[[#This Row],[Number of working days]]*ANALYSIS!$DV$13,2)</f>
        <v>6596.31</v>
      </c>
    </row>
    <row r="11" spans="1:54" x14ac:dyDescent="0.3">
      <c r="A11" s="81" t="str">
        <f>'Total Progress Report'!A13</f>
        <v>OCT</v>
      </c>
      <c r="B11" s="58">
        <v>2024</v>
      </c>
      <c r="C11" s="58">
        <f>IF(ISBLANK('Total Progress Report'!D13)," ",'Total Progress Report'!D13)</f>
        <v>886</v>
      </c>
      <c r="D11" s="58">
        <f>IF(ISBLANK('Total Progress Report'!E13)," ",'Total Progress Report'!E13)</f>
        <v>4557</v>
      </c>
      <c r="E11" s="58">
        <f>IF(ISBLANK('Total Progress Report'!F13)," ",'Total Progress Report'!F13)</f>
        <v>531</v>
      </c>
      <c r="F11" s="58">
        <f>IF(ISBLANK('Total Progress Report'!G13)," ",'Total Progress Report'!G13)</f>
        <v>4026</v>
      </c>
      <c r="G11" s="58">
        <f>IF(ISBLANK('Total Progress Report'!H13)," ",'Total Progress Report'!H13)</f>
        <v>0</v>
      </c>
      <c r="H11" s="58">
        <f>IF(ISBLANK('Total Progress Report'!I13)," ",'Total Progress Report'!I13)</f>
        <v>0</v>
      </c>
      <c r="I11" s="58">
        <f>IF(ISBLANK('Total Progress Report'!J13)," ",'Total Progress Report'!J13)</f>
        <v>0</v>
      </c>
      <c r="J11" s="58">
        <f>IF(ISBLANK('Total Progress Report'!K13)," ",'Total Progress Report'!K13)</f>
        <v>0</v>
      </c>
      <c r="K11" s="58">
        <f>IF(ISBLANK('Total Progress Report'!L13)," ",'Total Progress Report'!L13)</f>
        <v>46</v>
      </c>
      <c r="L11" s="58">
        <f>IF(ISBLANK('Total Progress Report'!M13)," ",'Total Progress Report'!M13)</f>
        <v>101</v>
      </c>
      <c r="M11" s="58">
        <f>IF(ISBLANK('Total Progress Report'!N13)," ",'Total Progress Report'!N13)</f>
        <v>15</v>
      </c>
      <c r="N11" s="58">
        <f>IF(ISBLANK('Total Progress Report'!O13)," ",'Total Progress Report'!O13)</f>
        <v>147</v>
      </c>
      <c r="O11" s="58">
        <f>IF(ISBLANK('Total Progress Report'!P13)," ",'Total Progress Report'!P13)</f>
        <v>12532</v>
      </c>
      <c r="P11" s="58">
        <f>IF(ISBLANK('Total Progress Report'!Q13)," ",'Total Progress Report'!Q13)</f>
        <v>2173</v>
      </c>
      <c r="Q11" s="58">
        <f>IF(ISBLANK('Total Progress Report'!R13)," ",'Total Progress Report'!R13)</f>
        <v>11634</v>
      </c>
      <c r="R11" s="58">
        <f>IF(ISBLANK('Total Progress Report'!S13)," ",'Total Progress Report'!S13)</f>
        <v>1969</v>
      </c>
      <c r="S11" s="58">
        <f>IF(ISBLANK('Total Progress Report'!T13)," ",'Total Progress Report'!T13)</f>
        <v>0</v>
      </c>
      <c r="T11" s="58">
        <f>IF(ISBLANK('Total Progress Report'!U13)," ",'Total Progress Report'!U13)</f>
        <v>0</v>
      </c>
      <c r="U11" s="58">
        <f>IF(ISBLANK('Total Progress Report'!V13)," ",'Total Progress Report'!V13)</f>
        <v>388</v>
      </c>
      <c r="V11" s="58">
        <f>IF(ISBLANK('Total Progress Report'!W13)," ",'Total Progress Report'!W13)</f>
        <v>2189</v>
      </c>
      <c r="W11" s="58">
        <f>IF(ISBLANK('Total Progress Report'!X13)," ",'Total Progress Report'!X13)</f>
        <v>1801</v>
      </c>
      <c r="X11" s="58">
        <v>203</v>
      </c>
      <c r="Y11" s="58">
        <v>15</v>
      </c>
      <c r="Z11" s="58">
        <v>312</v>
      </c>
      <c r="AA11" s="58">
        <v>89</v>
      </c>
      <c r="AB11" s="58">
        <v>407</v>
      </c>
      <c r="AC11" s="58">
        <v>0</v>
      </c>
      <c r="AD11" s="58">
        <v>316</v>
      </c>
      <c r="AE11" s="58">
        <v>62</v>
      </c>
      <c r="AF11" s="58">
        <v>1085</v>
      </c>
      <c r="AG11" s="58">
        <v>22</v>
      </c>
      <c r="AH11" s="58">
        <v>550</v>
      </c>
      <c r="AI11" s="58">
        <v>165</v>
      </c>
      <c r="AJ11" s="58">
        <v>2</v>
      </c>
      <c r="AK11" s="58">
        <v>107</v>
      </c>
      <c r="AL11" s="58">
        <v>282</v>
      </c>
      <c r="AM11" s="58">
        <v>22</v>
      </c>
      <c r="AN11" s="58">
        <v>390</v>
      </c>
      <c r="AO11" s="58">
        <v>304</v>
      </c>
      <c r="AP11" s="58">
        <v>20</v>
      </c>
      <c r="AQ11" s="58">
        <v>27</v>
      </c>
      <c r="AR11" s="58">
        <v>146</v>
      </c>
      <c r="AS11" s="72">
        <v>32</v>
      </c>
      <c r="AT11" s="72">
        <v>1170</v>
      </c>
      <c r="AU11" s="72">
        <f>Table2[[#This Row],[Cumulative Meter]]</f>
        <v>4557</v>
      </c>
      <c r="AV11" s="72">
        <f>Table2[[#This Row],[Total Burner Survey ]]-AU11</f>
        <v>-3387</v>
      </c>
      <c r="AW11" s="72">
        <v>24</v>
      </c>
      <c r="AX11" s="87">
        <f>ROUND(Table2[[#This Row],[Number of working days]]*ANALYSIS!$DV$6,2)</f>
        <v>5786.88</v>
      </c>
      <c r="AY11" s="87">
        <f>Table2[[#This Row],[Cumulative Meter]]</f>
        <v>4557</v>
      </c>
      <c r="AZ11" s="87">
        <f>ROUND(Table2[[#This Row],[Number of working days]]*ANALYSIS!$DV$13,2)</f>
        <v>6332.45</v>
      </c>
    </row>
    <row r="12" spans="1:54" x14ac:dyDescent="0.3">
      <c r="A12" s="81" t="str">
        <f>'Total Progress Report'!A14</f>
        <v>NOV</v>
      </c>
      <c r="B12" s="58">
        <v>2024</v>
      </c>
      <c r="C12" s="58">
        <f>IF(ISBLANK('Total Progress Report'!D14)," ",'Total Progress Report'!D14)</f>
        <v>1086</v>
      </c>
      <c r="D12" s="58">
        <f>IF(ISBLANK('Total Progress Report'!E14)," ",'Total Progress Report'!E14)</f>
        <v>5838</v>
      </c>
      <c r="E12" s="58">
        <f>IF(ISBLANK('Total Progress Report'!F14)," ",'Total Progress Report'!F14)</f>
        <v>537</v>
      </c>
      <c r="F12" s="58">
        <f>IF(ISBLANK('Total Progress Report'!G14)," ",'Total Progress Report'!G14)</f>
        <v>5301</v>
      </c>
      <c r="G12" s="58">
        <v>0</v>
      </c>
      <c r="H12" s="58">
        <f>IF(ISBLANK('Total Progress Report'!I14)," ",'Total Progress Report'!I14)</f>
        <v>2</v>
      </c>
      <c r="I12" s="58">
        <f>IF(ISBLANK('Total Progress Report'!J14)," ",'Total Progress Report'!J14)</f>
        <v>4</v>
      </c>
      <c r="J12" s="58">
        <f>IF(ISBLANK('Total Progress Report'!K14)," ",'Total Progress Report'!K14)</f>
        <v>0</v>
      </c>
      <c r="K12" s="58">
        <f>IF(ISBLANK('Total Progress Report'!L14)," ",'Total Progress Report'!L14)</f>
        <v>1718</v>
      </c>
      <c r="L12" s="58">
        <f>IF(ISBLANK('Total Progress Report'!M14)," ",'Total Progress Report'!M14)</f>
        <v>2874</v>
      </c>
      <c r="M12" s="58">
        <f>IF(ISBLANK('Total Progress Report'!N14)," ",'Total Progress Report'!N14)</f>
        <v>423</v>
      </c>
      <c r="N12" s="58">
        <f>IF(ISBLANK('Total Progress Report'!O14)," ",'Total Progress Report'!O14)</f>
        <v>4592</v>
      </c>
      <c r="O12" s="58">
        <f>IF(ISBLANK('Total Progress Report'!P14)," ",'Total Progress Report'!P14)</f>
        <v>7895</v>
      </c>
      <c r="P12" s="58">
        <f>IF(ISBLANK('Total Progress Report'!Q14)," ",'Total Progress Report'!Q14)</f>
        <v>1488</v>
      </c>
      <c r="Q12" s="58">
        <f>IF(ISBLANK('Total Progress Report'!R14)," ",'Total Progress Report'!R14)</f>
        <v>4976</v>
      </c>
      <c r="R12" s="58">
        <f>IF(ISBLANK('Total Progress Report'!S14)," ",'Total Progress Report'!S14)</f>
        <v>726</v>
      </c>
      <c r="S12" s="58">
        <f>'Total Progress Report'!T48</f>
        <v>0</v>
      </c>
      <c r="T12" s="58">
        <f>'Total Progress Report'!U48</f>
        <v>0</v>
      </c>
      <c r="U12" s="58">
        <f>IF(ISBLANK('Total Progress Report'!V14)," ",'Total Progress Report'!V14)</f>
        <v>289</v>
      </c>
      <c r="V12" s="58">
        <f>IF(ISBLANK('Total Progress Report'!W14)," ",'Total Progress Report'!W14)</f>
        <v>2045</v>
      </c>
      <c r="W12" s="58">
        <f>IF(ISBLANK('Total Progress Report'!X14)," ",'Total Progress Report'!X14)</f>
        <v>1756</v>
      </c>
      <c r="X12" s="58">
        <v>256</v>
      </c>
      <c r="Y12" s="58">
        <v>0</v>
      </c>
      <c r="Z12" s="58">
        <v>168</v>
      </c>
      <c r="AA12" s="58">
        <v>64</v>
      </c>
      <c r="AB12" s="58">
        <v>146</v>
      </c>
      <c r="AC12" s="58">
        <v>264</v>
      </c>
      <c r="AD12" s="58">
        <v>261</v>
      </c>
      <c r="AE12" s="58">
        <v>74</v>
      </c>
      <c r="AF12" s="58">
        <v>1003</v>
      </c>
      <c r="AG12" s="58">
        <v>54</v>
      </c>
      <c r="AH12" s="58">
        <v>268</v>
      </c>
      <c r="AI12" s="58">
        <v>143</v>
      </c>
      <c r="AJ12" s="58">
        <v>0</v>
      </c>
      <c r="AK12" s="58">
        <v>1463</v>
      </c>
      <c r="AL12" s="58">
        <v>607</v>
      </c>
      <c r="AM12" s="58">
        <v>0</v>
      </c>
      <c r="AN12" s="58">
        <v>188</v>
      </c>
      <c r="AO12" s="58">
        <v>335</v>
      </c>
      <c r="AP12" s="58">
        <v>0</v>
      </c>
      <c r="AQ12" s="58">
        <v>0</v>
      </c>
      <c r="AR12" s="58">
        <v>452</v>
      </c>
      <c r="AS12" s="72">
        <v>23</v>
      </c>
      <c r="AT12" s="72">
        <v>6255</v>
      </c>
      <c r="AU12" s="72">
        <v>3124</v>
      </c>
      <c r="AV12" s="72">
        <f>Table2[[#This Row],[Total Burner Survey ]]-AU12</f>
        <v>3131</v>
      </c>
      <c r="AW12" s="72">
        <v>25</v>
      </c>
      <c r="AX12" s="87">
        <f>ROUND(Table2[[#This Row],[Number of working days]]*ANALYSIS!$DV$6,2)</f>
        <v>6028</v>
      </c>
      <c r="AY12" s="87">
        <f>Table2[[#This Row],[Cumulative Meter]]</f>
        <v>5838</v>
      </c>
      <c r="AZ12" s="87">
        <f>ROUND(Table2[[#This Row],[Number of working days]]*ANALYSIS!$DV$13,2)</f>
        <v>6596.31</v>
      </c>
    </row>
    <row r="13" spans="1:54" x14ac:dyDescent="0.3">
      <c r="A13" s="81" t="str">
        <f>'Total Progress Report'!A15</f>
        <v>DEC</v>
      </c>
      <c r="B13" s="58">
        <v>2024</v>
      </c>
      <c r="C13" s="58">
        <f>'Total Progress Report'!B48</f>
        <v>1367</v>
      </c>
      <c r="D13" s="58">
        <f>'Total Progress Report'!C48</f>
        <v>5570</v>
      </c>
      <c r="E13" s="58">
        <f>IF(ISBLANK('Total Progress Report'!F15)," ",'Total Progress Report'!F15)</f>
        <v>660</v>
      </c>
      <c r="F13" s="58">
        <f>IF(ISBLANK('Total Progress Report'!G15)," ",'Total Progress Report'!G15)</f>
        <v>4585</v>
      </c>
      <c r="G13" s="58">
        <v>0</v>
      </c>
      <c r="H13" s="58" t="str">
        <f>IF(ISBLANK('Total Progress Report'!I15)," ",'Total Progress Report'!I15)</f>
        <v xml:space="preserve"> </v>
      </c>
      <c r="I13" s="58" t="str">
        <f>IF(ISBLANK('Total Progress Report'!J15)," ",'Total Progress Report'!J15)</f>
        <v xml:space="preserve"> </v>
      </c>
      <c r="J13" s="58" t="str">
        <f>IF(ISBLANK('Total Progress Report'!K15)," ",'Total Progress Report'!K15)</f>
        <v xml:space="preserve"> </v>
      </c>
      <c r="K13" s="58">
        <f>'Total Progress Report'!L48</f>
        <v>1608</v>
      </c>
      <c r="L13" s="58">
        <f>'Total Progress Report'!M48</f>
        <v>3147</v>
      </c>
      <c r="M13" s="58">
        <f>'Total Progress Report'!N48</f>
        <v>512</v>
      </c>
      <c r="N13" s="58">
        <f>'Total Progress Report'!O48</f>
        <v>4755</v>
      </c>
      <c r="O13" s="58">
        <f>'Total Progress Report'!P48</f>
        <v>4633</v>
      </c>
      <c r="P13" s="58">
        <f>'Total Progress Report'!Q48</f>
        <v>1204</v>
      </c>
      <c r="Q13" s="58">
        <f>'Total Progress Report'!R48</f>
        <v>1888</v>
      </c>
      <c r="R13" s="58">
        <f>'Total Progress Report'!S48</f>
        <v>525</v>
      </c>
      <c r="S13" s="58">
        <f>'Total Progress Report'!T48</f>
        <v>0</v>
      </c>
      <c r="T13" s="58">
        <f>'Total Progress Report'!U48</f>
        <v>0</v>
      </c>
      <c r="U13" s="58">
        <f>'Total Progress Report'!V48</f>
        <v>274</v>
      </c>
      <c r="V13" s="58">
        <f>'Total Progress Report'!W48</f>
        <v>1780</v>
      </c>
      <c r="W13" s="58">
        <f>'Total Progress Report'!X48</f>
        <v>1506</v>
      </c>
      <c r="X13" s="58">
        <v>476</v>
      </c>
      <c r="Y13" s="58">
        <v>24</v>
      </c>
      <c r="Z13" s="58">
        <v>117</v>
      </c>
      <c r="AA13" s="58">
        <v>588</v>
      </c>
      <c r="AB13" s="58">
        <v>249</v>
      </c>
      <c r="AC13" s="58">
        <v>843</v>
      </c>
      <c r="AD13" s="58">
        <v>171</v>
      </c>
      <c r="AE13" s="58">
        <v>92</v>
      </c>
      <c r="AF13" s="58">
        <v>347</v>
      </c>
      <c r="AG13" s="58">
        <v>65</v>
      </c>
      <c r="AH13" s="58">
        <v>137</v>
      </c>
      <c r="AI13" s="58">
        <v>190</v>
      </c>
      <c r="AJ13" s="58">
        <v>27</v>
      </c>
      <c r="AK13" s="58">
        <v>412</v>
      </c>
      <c r="AL13" s="58">
        <v>193</v>
      </c>
      <c r="AM13" s="58">
        <v>3</v>
      </c>
      <c r="AN13" s="58">
        <v>477</v>
      </c>
      <c r="AO13" s="58">
        <v>313</v>
      </c>
      <c r="AP13" s="58">
        <v>12</v>
      </c>
      <c r="AQ13" s="58">
        <v>93</v>
      </c>
      <c r="AR13" s="58">
        <v>53</v>
      </c>
      <c r="AS13" s="72">
        <v>31</v>
      </c>
      <c r="AT13" s="72">
        <v>1109</v>
      </c>
      <c r="AU13" s="72">
        <v>313</v>
      </c>
      <c r="AV13" s="72">
        <f>Table2[[#This Row],[Total Burner Survey ]]-AU13</f>
        <v>796</v>
      </c>
      <c r="AW13" s="72">
        <v>18</v>
      </c>
      <c r="AX13" s="87">
        <f>ROUND(Table2[[#This Row],[Number of working days]]*ANALYSIS!$DV$6,2)</f>
        <v>4340.16</v>
      </c>
      <c r="AY13" s="87">
        <f>Table2[[#This Row],[Cumulative Meter]]</f>
        <v>5570</v>
      </c>
      <c r="AZ13" s="87">
        <f>ROUND(Table2[[#This Row],[Number of working days]]*ANALYSIS!$DV$13,2)</f>
        <v>4749.34</v>
      </c>
    </row>
    <row r="14" spans="1:54" x14ac:dyDescent="0.3">
      <c r="A14" s="77" t="s">
        <v>25</v>
      </c>
      <c r="B14" s="78">
        <v>2023</v>
      </c>
      <c r="C14" s="78">
        <v>0</v>
      </c>
      <c r="D14" s="78">
        <v>0</v>
      </c>
      <c r="E14" s="78">
        <v>0</v>
      </c>
      <c r="F14" s="78">
        <v>0</v>
      </c>
      <c r="G14" s="78">
        <v>0</v>
      </c>
      <c r="H14" s="78">
        <v>0</v>
      </c>
      <c r="I14" s="78">
        <v>0</v>
      </c>
      <c r="J14" s="78">
        <v>0</v>
      </c>
      <c r="K14" s="78">
        <v>0</v>
      </c>
      <c r="L14" s="78">
        <v>0</v>
      </c>
      <c r="M14" s="78">
        <v>0</v>
      </c>
      <c r="N14" s="78">
        <v>0</v>
      </c>
      <c r="O14" s="78">
        <v>0</v>
      </c>
      <c r="P14" s="78">
        <v>0</v>
      </c>
      <c r="Q14" s="78">
        <v>0</v>
      </c>
      <c r="R14" s="78">
        <v>0</v>
      </c>
      <c r="S14" s="78">
        <v>0</v>
      </c>
      <c r="T14" s="78">
        <v>0</v>
      </c>
      <c r="U14" s="78">
        <v>0</v>
      </c>
      <c r="V14" s="78">
        <v>0</v>
      </c>
      <c r="W14" s="78">
        <v>0</v>
      </c>
      <c r="X14" s="78">
        <v>0</v>
      </c>
      <c r="Y14" s="78">
        <v>0</v>
      </c>
      <c r="Z14" s="78">
        <v>0</v>
      </c>
      <c r="AA14" s="78">
        <v>0</v>
      </c>
      <c r="AB14" s="78">
        <v>0</v>
      </c>
      <c r="AC14" s="78">
        <v>0</v>
      </c>
      <c r="AD14" s="78">
        <v>0</v>
      </c>
      <c r="AE14" s="78">
        <v>0</v>
      </c>
      <c r="AF14" s="78">
        <v>0</v>
      </c>
      <c r="AG14" s="78">
        <v>0</v>
      </c>
      <c r="AH14" s="78">
        <v>0</v>
      </c>
      <c r="AI14" s="78">
        <v>0</v>
      </c>
      <c r="AJ14" s="78">
        <v>0</v>
      </c>
      <c r="AK14" s="78">
        <v>0</v>
      </c>
      <c r="AL14" s="78">
        <v>0</v>
      </c>
      <c r="AM14" s="78">
        <v>0</v>
      </c>
      <c r="AN14" s="78">
        <v>0</v>
      </c>
      <c r="AO14" s="78">
        <v>0</v>
      </c>
      <c r="AP14" s="78">
        <v>0</v>
      </c>
      <c r="AQ14" s="78">
        <v>0</v>
      </c>
      <c r="AR14" s="78">
        <v>0</v>
      </c>
      <c r="AS14" s="79">
        <v>0</v>
      </c>
      <c r="AT14" s="79">
        <v>0</v>
      </c>
      <c r="AU14" s="79">
        <v>0</v>
      </c>
      <c r="AV14" s="79">
        <f>Table2[[#This Row],[Total Burner Survey ]]-AU14</f>
        <v>0</v>
      </c>
      <c r="AW14" s="79">
        <v>0</v>
      </c>
      <c r="AX14" s="79">
        <f>ROUND(Table2[[#This Row],[Number of working days]]*ANALYSIS!$DV$6,2)</f>
        <v>0</v>
      </c>
      <c r="AY14" s="79">
        <f>Table2[[#This Row],[Cumulative Meter]]</f>
        <v>0</v>
      </c>
      <c r="AZ14" s="79">
        <f>ROUND(Table2[[#This Row],[Number of working days]]*ANALYSIS!$DV$13,2)</f>
        <v>0</v>
      </c>
    </row>
    <row r="15" spans="1:54" x14ac:dyDescent="0.3">
      <c r="A15" s="77" t="s">
        <v>26</v>
      </c>
      <c r="B15" s="78">
        <v>2023</v>
      </c>
      <c r="C15" s="78">
        <v>0</v>
      </c>
      <c r="D15" s="78">
        <v>0</v>
      </c>
      <c r="E15" s="78">
        <v>0</v>
      </c>
      <c r="F15" s="78">
        <v>0</v>
      </c>
      <c r="G15" s="78">
        <v>0</v>
      </c>
      <c r="H15" s="78">
        <v>0</v>
      </c>
      <c r="I15" s="78">
        <v>0</v>
      </c>
      <c r="J15" s="78">
        <v>0</v>
      </c>
      <c r="K15" s="78">
        <v>0</v>
      </c>
      <c r="L15" s="78">
        <v>0</v>
      </c>
      <c r="M15" s="78">
        <v>0</v>
      </c>
      <c r="N15" s="78">
        <v>0</v>
      </c>
      <c r="O15" s="78">
        <v>0</v>
      </c>
      <c r="P15" s="78">
        <v>0</v>
      </c>
      <c r="Q15" s="78">
        <v>0</v>
      </c>
      <c r="R15" s="78">
        <v>0</v>
      </c>
      <c r="S15" s="78">
        <v>0</v>
      </c>
      <c r="T15" s="78">
        <v>0</v>
      </c>
      <c r="U15" s="78">
        <v>0</v>
      </c>
      <c r="V15" s="78">
        <v>0</v>
      </c>
      <c r="W15" s="78">
        <v>0</v>
      </c>
      <c r="X15" s="78">
        <v>0</v>
      </c>
      <c r="Y15" s="78">
        <v>0</v>
      </c>
      <c r="Z15" s="78">
        <v>0</v>
      </c>
      <c r="AA15" s="78">
        <v>0</v>
      </c>
      <c r="AB15" s="78">
        <v>0</v>
      </c>
      <c r="AC15" s="78">
        <v>0</v>
      </c>
      <c r="AD15" s="78">
        <v>0</v>
      </c>
      <c r="AE15" s="78">
        <v>0</v>
      </c>
      <c r="AF15" s="78">
        <v>0</v>
      </c>
      <c r="AG15" s="78">
        <v>0</v>
      </c>
      <c r="AH15" s="78">
        <v>0</v>
      </c>
      <c r="AI15" s="78">
        <v>0</v>
      </c>
      <c r="AJ15" s="78">
        <v>0</v>
      </c>
      <c r="AK15" s="78">
        <v>0</v>
      </c>
      <c r="AL15" s="78">
        <v>0</v>
      </c>
      <c r="AM15" s="78">
        <v>0</v>
      </c>
      <c r="AN15" s="78">
        <v>0</v>
      </c>
      <c r="AO15" s="78">
        <v>0</v>
      </c>
      <c r="AP15" s="78">
        <v>0</v>
      </c>
      <c r="AQ15" s="78">
        <v>0</v>
      </c>
      <c r="AR15" s="78">
        <v>0</v>
      </c>
      <c r="AS15" s="79">
        <v>0</v>
      </c>
      <c r="AT15" s="79">
        <v>0</v>
      </c>
      <c r="AU15" s="79">
        <v>0</v>
      </c>
      <c r="AV15" s="79">
        <f>Table2[[#This Row],[Total Burner Survey ]]-AU15</f>
        <v>0</v>
      </c>
      <c r="AW15" s="79">
        <v>0</v>
      </c>
      <c r="AX15" s="79">
        <f>ROUND(Table2[[#This Row],[Number of working days]]*ANALYSIS!$DV$6,2)</f>
        <v>0</v>
      </c>
      <c r="AY15" s="79">
        <f>Table2[[#This Row],[Cumulative Meter]]</f>
        <v>0</v>
      </c>
      <c r="AZ15" s="79">
        <f>ROUND(Table2[[#This Row],[Number of working days]]*ANALYSIS!$DV$13,2)</f>
        <v>0</v>
      </c>
    </row>
    <row r="16" spans="1:54" x14ac:dyDescent="0.3">
      <c r="A16" s="77" t="s">
        <v>27</v>
      </c>
      <c r="B16" s="78">
        <v>2023</v>
      </c>
      <c r="C16" s="78">
        <v>0</v>
      </c>
      <c r="D16" s="78">
        <v>0</v>
      </c>
      <c r="E16" s="78">
        <v>0</v>
      </c>
      <c r="F16" s="78">
        <v>0</v>
      </c>
      <c r="G16" s="78">
        <v>0</v>
      </c>
      <c r="H16" s="78">
        <v>0</v>
      </c>
      <c r="I16" s="78">
        <v>0</v>
      </c>
      <c r="J16" s="78">
        <v>0</v>
      </c>
      <c r="K16" s="78">
        <v>0</v>
      </c>
      <c r="L16" s="78">
        <v>0</v>
      </c>
      <c r="M16" s="78">
        <v>0</v>
      </c>
      <c r="N16" s="78">
        <v>0</v>
      </c>
      <c r="O16" s="78">
        <v>0</v>
      </c>
      <c r="P16" s="78">
        <v>0</v>
      </c>
      <c r="Q16" s="78">
        <v>0</v>
      </c>
      <c r="R16" s="78">
        <v>0</v>
      </c>
      <c r="S16" s="78">
        <v>0</v>
      </c>
      <c r="T16" s="78">
        <v>0</v>
      </c>
      <c r="U16" s="78">
        <v>0</v>
      </c>
      <c r="V16" s="78">
        <v>0</v>
      </c>
      <c r="W16" s="78">
        <v>0</v>
      </c>
      <c r="X16" s="78">
        <v>0</v>
      </c>
      <c r="Y16" s="78">
        <v>0</v>
      </c>
      <c r="Z16" s="78">
        <v>0</v>
      </c>
      <c r="AA16" s="78">
        <v>0</v>
      </c>
      <c r="AB16" s="78">
        <v>0</v>
      </c>
      <c r="AC16" s="78">
        <v>0</v>
      </c>
      <c r="AD16" s="78">
        <v>0</v>
      </c>
      <c r="AE16" s="78">
        <v>0</v>
      </c>
      <c r="AF16" s="78">
        <v>0</v>
      </c>
      <c r="AG16" s="78">
        <v>0</v>
      </c>
      <c r="AH16" s="78">
        <v>0</v>
      </c>
      <c r="AI16" s="78">
        <v>0</v>
      </c>
      <c r="AJ16" s="78">
        <v>0</v>
      </c>
      <c r="AK16" s="78">
        <v>0</v>
      </c>
      <c r="AL16" s="78">
        <v>0</v>
      </c>
      <c r="AM16" s="78">
        <v>0</v>
      </c>
      <c r="AN16" s="78">
        <v>0</v>
      </c>
      <c r="AO16" s="78">
        <v>0</v>
      </c>
      <c r="AP16" s="78">
        <v>0</v>
      </c>
      <c r="AQ16" s="78">
        <v>0</v>
      </c>
      <c r="AR16" s="78">
        <v>0</v>
      </c>
      <c r="AS16" s="79">
        <v>0</v>
      </c>
      <c r="AT16" s="79">
        <v>0</v>
      </c>
      <c r="AU16" s="79">
        <v>0</v>
      </c>
      <c r="AV16" s="79">
        <f>Table2[[#This Row],[Total Burner Survey ]]-AU16</f>
        <v>0</v>
      </c>
      <c r="AW16" s="79">
        <v>0</v>
      </c>
      <c r="AX16" s="79">
        <f>ROUND(Table2[[#This Row],[Number of working days]]*ANALYSIS!$DV$6,2)</f>
        <v>0</v>
      </c>
      <c r="AY16" s="79">
        <f>Table2[[#This Row],[Cumulative Meter]]</f>
        <v>0</v>
      </c>
      <c r="AZ16" s="79">
        <f>ROUND(Table2[[#This Row],[Number of working days]]*ANALYSIS!$DV$13,2)</f>
        <v>0</v>
      </c>
    </row>
    <row r="17" spans="1:52" x14ac:dyDescent="0.3">
      <c r="A17" s="77" t="s">
        <v>28</v>
      </c>
      <c r="B17" s="78">
        <v>2023</v>
      </c>
      <c r="C17" s="78">
        <v>0</v>
      </c>
      <c r="D17" s="78">
        <v>0</v>
      </c>
      <c r="E17" s="78">
        <v>0</v>
      </c>
      <c r="F17" s="78">
        <v>0</v>
      </c>
      <c r="G17" s="78">
        <v>0</v>
      </c>
      <c r="H17" s="78">
        <v>0</v>
      </c>
      <c r="I17" s="78">
        <v>0</v>
      </c>
      <c r="J17" s="78">
        <v>0</v>
      </c>
      <c r="K17" s="78">
        <v>0</v>
      </c>
      <c r="L17" s="78">
        <v>0</v>
      </c>
      <c r="M17" s="78">
        <v>0</v>
      </c>
      <c r="N17" s="78">
        <v>0</v>
      </c>
      <c r="O17" s="78">
        <v>0</v>
      </c>
      <c r="P17" s="78">
        <v>0</v>
      </c>
      <c r="Q17" s="78">
        <v>0</v>
      </c>
      <c r="R17" s="78">
        <v>0</v>
      </c>
      <c r="S17" s="78">
        <v>0</v>
      </c>
      <c r="T17" s="78">
        <v>0</v>
      </c>
      <c r="U17" s="78">
        <v>0</v>
      </c>
      <c r="V17" s="78">
        <v>0</v>
      </c>
      <c r="W17" s="78">
        <v>0</v>
      </c>
      <c r="X17" s="78">
        <v>0</v>
      </c>
      <c r="Y17" s="78">
        <v>0</v>
      </c>
      <c r="Z17" s="78">
        <v>0</v>
      </c>
      <c r="AA17" s="78">
        <v>0</v>
      </c>
      <c r="AB17" s="78">
        <v>0</v>
      </c>
      <c r="AC17" s="78">
        <v>0</v>
      </c>
      <c r="AD17" s="78">
        <v>0</v>
      </c>
      <c r="AE17" s="78">
        <v>0</v>
      </c>
      <c r="AF17" s="78">
        <v>0</v>
      </c>
      <c r="AG17" s="78">
        <v>0</v>
      </c>
      <c r="AH17" s="78">
        <v>0</v>
      </c>
      <c r="AI17" s="78">
        <v>0</v>
      </c>
      <c r="AJ17" s="78">
        <v>0</v>
      </c>
      <c r="AK17" s="78">
        <v>0</v>
      </c>
      <c r="AL17" s="78">
        <v>0</v>
      </c>
      <c r="AM17" s="78">
        <v>0</v>
      </c>
      <c r="AN17" s="78">
        <v>0</v>
      </c>
      <c r="AO17" s="78">
        <v>0</v>
      </c>
      <c r="AP17" s="78">
        <v>0</v>
      </c>
      <c r="AQ17" s="78">
        <v>0</v>
      </c>
      <c r="AR17" s="78">
        <v>0</v>
      </c>
      <c r="AS17" s="79">
        <v>0</v>
      </c>
      <c r="AT17" s="79">
        <v>0</v>
      </c>
      <c r="AU17" s="79">
        <v>0</v>
      </c>
      <c r="AV17" s="79">
        <f>Table2[[#This Row],[Total Burner Survey ]]-AU17</f>
        <v>0</v>
      </c>
      <c r="AW17" s="79">
        <v>0</v>
      </c>
      <c r="AX17" s="79">
        <f>ROUND(Table2[[#This Row],[Number of working days]]*ANALYSIS!$DV$6,2)</f>
        <v>0</v>
      </c>
      <c r="AY17" s="79">
        <f>Table2[[#This Row],[Cumulative Meter]]</f>
        <v>0</v>
      </c>
      <c r="AZ17" s="79">
        <f>ROUND(Table2[[#This Row],[Number of working days]]*ANALYSIS!$DV$13,2)</f>
        <v>0</v>
      </c>
    </row>
    <row r="18" spans="1:52" x14ac:dyDescent="0.3">
      <c r="A18" s="77" t="s">
        <v>29</v>
      </c>
      <c r="B18" s="78">
        <v>2023</v>
      </c>
      <c r="C18" s="78">
        <v>0</v>
      </c>
      <c r="D18" s="78">
        <v>0</v>
      </c>
      <c r="E18" s="78">
        <v>0</v>
      </c>
      <c r="F18" s="78">
        <v>0</v>
      </c>
      <c r="G18" s="78">
        <v>0</v>
      </c>
      <c r="H18" s="78">
        <v>0</v>
      </c>
      <c r="I18" s="78">
        <v>0</v>
      </c>
      <c r="J18" s="78">
        <v>0</v>
      </c>
      <c r="K18" s="78">
        <v>0</v>
      </c>
      <c r="L18" s="78">
        <v>0</v>
      </c>
      <c r="M18" s="78">
        <v>0</v>
      </c>
      <c r="N18" s="78">
        <v>0</v>
      </c>
      <c r="O18" s="78">
        <v>0</v>
      </c>
      <c r="P18" s="78">
        <v>0</v>
      </c>
      <c r="Q18" s="78">
        <v>0</v>
      </c>
      <c r="R18" s="78">
        <v>0</v>
      </c>
      <c r="S18" s="78">
        <v>0</v>
      </c>
      <c r="T18" s="78">
        <v>0</v>
      </c>
      <c r="U18" s="78">
        <v>0</v>
      </c>
      <c r="V18" s="78">
        <v>0</v>
      </c>
      <c r="W18" s="78">
        <v>0</v>
      </c>
      <c r="X18" s="78">
        <v>0</v>
      </c>
      <c r="Y18" s="78">
        <v>0</v>
      </c>
      <c r="Z18" s="78">
        <v>0</v>
      </c>
      <c r="AA18" s="78">
        <v>0</v>
      </c>
      <c r="AB18" s="78">
        <v>0</v>
      </c>
      <c r="AC18" s="78">
        <v>0</v>
      </c>
      <c r="AD18" s="78">
        <v>0</v>
      </c>
      <c r="AE18" s="78">
        <v>0</v>
      </c>
      <c r="AF18" s="78">
        <v>0</v>
      </c>
      <c r="AG18" s="78">
        <v>0</v>
      </c>
      <c r="AH18" s="78">
        <v>0</v>
      </c>
      <c r="AI18" s="78">
        <v>0</v>
      </c>
      <c r="AJ18" s="78">
        <v>0</v>
      </c>
      <c r="AK18" s="78">
        <v>0</v>
      </c>
      <c r="AL18" s="78">
        <v>0</v>
      </c>
      <c r="AM18" s="78">
        <v>0</v>
      </c>
      <c r="AN18" s="78">
        <v>0</v>
      </c>
      <c r="AO18" s="78">
        <v>0</v>
      </c>
      <c r="AP18" s="78">
        <v>0</v>
      </c>
      <c r="AQ18" s="78">
        <v>0</v>
      </c>
      <c r="AR18" s="78">
        <v>0</v>
      </c>
      <c r="AS18" s="79">
        <v>0</v>
      </c>
      <c r="AT18" s="79">
        <v>0</v>
      </c>
      <c r="AU18" s="79">
        <v>0</v>
      </c>
      <c r="AV18" s="79">
        <f>Table2[[#This Row],[Total Burner Survey ]]-AU18</f>
        <v>0</v>
      </c>
      <c r="AW18" s="79">
        <v>0</v>
      </c>
      <c r="AX18" s="79">
        <f>ROUND(Table2[[#This Row],[Number of working days]]*ANALYSIS!$DV$6,2)</f>
        <v>0</v>
      </c>
      <c r="AY18" s="79">
        <f>Table2[[#This Row],[Cumulative Meter]]</f>
        <v>0</v>
      </c>
      <c r="AZ18" s="79">
        <f>ROUND(Table2[[#This Row],[Number of working days]]*ANALYSIS!$DV$13,2)</f>
        <v>0</v>
      </c>
    </row>
    <row r="19" spans="1:52" x14ac:dyDescent="0.3">
      <c r="A19" s="77" t="s">
        <v>30</v>
      </c>
      <c r="B19" s="78">
        <v>2023</v>
      </c>
      <c r="C19" s="78">
        <v>0</v>
      </c>
      <c r="D19" s="78">
        <v>0</v>
      </c>
      <c r="E19" s="78">
        <v>0</v>
      </c>
      <c r="F19" s="78">
        <v>0</v>
      </c>
      <c r="G19" s="78">
        <v>0</v>
      </c>
      <c r="H19" s="78">
        <v>0</v>
      </c>
      <c r="I19" s="78">
        <v>0</v>
      </c>
      <c r="J19" s="78">
        <v>0</v>
      </c>
      <c r="K19" s="78">
        <v>0</v>
      </c>
      <c r="L19" s="78">
        <v>0</v>
      </c>
      <c r="M19" s="78">
        <v>0</v>
      </c>
      <c r="N19" s="78">
        <v>0</v>
      </c>
      <c r="O19" s="78">
        <v>0</v>
      </c>
      <c r="P19" s="78">
        <v>0</v>
      </c>
      <c r="Q19" s="78">
        <v>0</v>
      </c>
      <c r="R19" s="78">
        <v>0</v>
      </c>
      <c r="S19" s="78">
        <v>0</v>
      </c>
      <c r="T19" s="78">
        <v>0</v>
      </c>
      <c r="U19" s="78">
        <v>0</v>
      </c>
      <c r="V19" s="78">
        <v>0</v>
      </c>
      <c r="W19" s="78">
        <v>0</v>
      </c>
      <c r="X19" s="78">
        <v>0</v>
      </c>
      <c r="Y19" s="78">
        <v>0</v>
      </c>
      <c r="Z19" s="78">
        <v>0</v>
      </c>
      <c r="AA19" s="78">
        <v>0</v>
      </c>
      <c r="AB19" s="78">
        <v>0</v>
      </c>
      <c r="AC19" s="78">
        <v>0</v>
      </c>
      <c r="AD19" s="78">
        <v>0</v>
      </c>
      <c r="AE19" s="78">
        <v>0</v>
      </c>
      <c r="AF19" s="78">
        <v>0</v>
      </c>
      <c r="AG19" s="78">
        <v>0</v>
      </c>
      <c r="AH19" s="78">
        <v>0</v>
      </c>
      <c r="AI19" s="78">
        <v>0</v>
      </c>
      <c r="AJ19" s="78">
        <v>0</v>
      </c>
      <c r="AK19" s="78">
        <v>0</v>
      </c>
      <c r="AL19" s="78">
        <v>0</v>
      </c>
      <c r="AM19" s="78">
        <v>0</v>
      </c>
      <c r="AN19" s="78">
        <v>0</v>
      </c>
      <c r="AO19" s="78">
        <v>0</v>
      </c>
      <c r="AP19" s="78">
        <v>0</v>
      </c>
      <c r="AQ19" s="78">
        <v>0</v>
      </c>
      <c r="AR19" s="78">
        <v>0</v>
      </c>
      <c r="AS19" s="79">
        <v>0</v>
      </c>
      <c r="AT19" s="79">
        <v>0</v>
      </c>
      <c r="AU19" s="79">
        <v>0</v>
      </c>
      <c r="AV19" s="79">
        <f>Table2[[#This Row],[Total Burner Survey ]]-AU19</f>
        <v>0</v>
      </c>
      <c r="AW19" s="79">
        <v>0</v>
      </c>
      <c r="AX19" s="79">
        <f>ROUND(Table2[[#This Row],[Number of working days]]*ANALYSIS!$DV$6,2)</f>
        <v>0</v>
      </c>
      <c r="AY19" s="79">
        <f>Table2[[#This Row],[Cumulative Meter]]</f>
        <v>0</v>
      </c>
      <c r="AZ19" s="79">
        <f>ROUND(Table2[[#This Row],[Number of working days]]*ANALYSIS!$DV$13,2)</f>
        <v>0</v>
      </c>
    </row>
    <row r="20" spans="1:52" x14ac:dyDescent="0.3">
      <c r="A20" s="77" t="s">
        <v>31</v>
      </c>
      <c r="B20" s="78">
        <v>2023</v>
      </c>
      <c r="C20" s="78">
        <v>0</v>
      </c>
      <c r="D20" s="78">
        <v>0</v>
      </c>
      <c r="E20" s="78">
        <v>0</v>
      </c>
      <c r="F20" s="78">
        <v>0</v>
      </c>
      <c r="G20" s="78">
        <v>0</v>
      </c>
      <c r="H20" s="78">
        <v>0</v>
      </c>
      <c r="I20" s="78">
        <v>0</v>
      </c>
      <c r="J20" s="78">
        <v>0</v>
      </c>
      <c r="K20" s="78">
        <v>0</v>
      </c>
      <c r="L20" s="78">
        <v>0</v>
      </c>
      <c r="M20" s="78">
        <v>0</v>
      </c>
      <c r="N20" s="78">
        <v>0</v>
      </c>
      <c r="O20" s="78">
        <v>0</v>
      </c>
      <c r="P20" s="78">
        <v>0</v>
      </c>
      <c r="Q20" s="78">
        <v>0</v>
      </c>
      <c r="R20" s="78">
        <v>0</v>
      </c>
      <c r="S20" s="78">
        <v>0</v>
      </c>
      <c r="T20" s="78">
        <v>0</v>
      </c>
      <c r="U20" s="78">
        <v>0</v>
      </c>
      <c r="V20" s="78">
        <v>0</v>
      </c>
      <c r="W20" s="78">
        <v>0</v>
      </c>
      <c r="X20" s="78">
        <v>0</v>
      </c>
      <c r="Y20" s="78">
        <v>0</v>
      </c>
      <c r="Z20" s="78">
        <v>0</v>
      </c>
      <c r="AA20" s="78">
        <v>0</v>
      </c>
      <c r="AB20" s="78">
        <v>0</v>
      </c>
      <c r="AC20" s="78">
        <v>0</v>
      </c>
      <c r="AD20" s="78">
        <v>0</v>
      </c>
      <c r="AE20" s="78">
        <v>0</v>
      </c>
      <c r="AF20" s="78">
        <v>0</v>
      </c>
      <c r="AG20" s="78">
        <v>0</v>
      </c>
      <c r="AH20" s="78">
        <v>0</v>
      </c>
      <c r="AI20" s="78">
        <v>0</v>
      </c>
      <c r="AJ20" s="78">
        <v>0</v>
      </c>
      <c r="AK20" s="78">
        <v>0</v>
      </c>
      <c r="AL20" s="78">
        <v>0</v>
      </c>
      <c r="AM20" s="78">
        <v>0</v>
      </c>
      <c r="AN20" s="78">
        <v>0</v>
      </c>
      <c r="AO20" s="78">
        <v>0</v>
      </c>
      <c r="AP20" s="78">
        <v>0</v>
      </c>
      <c r="AQ20" s="78">
        <v>0</v>
      </c>
      <c r="AR20" s="78">
        <v>0</v>
      </c>
      <c r="AS20" s="79">
        <v>0</v>
      </c>
      <c r="AT20" s="79">
        <v>0</v>
      </c>
      <c r="AU20" s="79">
        <v>0</v>
      </c>
      <c r="AV20" s="79">
        <f>Table2[[#This Row],[Total Burner Survey ]]-AU20</f>
        <v>0</v>
      </c>
      <c r="AW20" s="79">
        <v>0</v>
      </c>
      <c r="AX20" s="79">
        <f>ROUND(Table2[[#This Row],[Number of working days]]*ANALYSIS!$DV$6,2)</f>
        <v>0</v>
      </c>
      <c r="AY20" s="79">
        <f>Table2[[#This Row],[Cumulative Meter]]</f>
        <v>0</v>
      </c>
      <c r="AZ20" s="79">
        <f>ROUND(Table2[[#This Row],[Number of working days]]*ANALYSIS!$DV$13,2)</f>
        <v>0</v>
      </c>
    </row>
    <row r="21" spans="1:52" x14ac:dyDescent="0.3">
      <c r="A21" s="77" t="s">
        <v>32</v>
      </c>
      <c r="B21" s="78">
        <v>2023</v>
      </c>
      <c r="C21" s="78">
        <v>0</v>
      </c>
      <c r="D21" s="78">
        <v>0</v>
      </c>
      <c r="E21" s="78">
        <v>0</v>
      </c>
      <c r="F21" s="78">
        <v>0</v>
      </c>
      <c r="G21" s="78">
        <v>0</v>
      </c>
      <c r="H21" s="78">
        <v>0</v>
      </c>
      <c r="I21" s="78">
        <v>0</v>
      </c>
      <c r="J21" s="78">
        <v>0</v>
      </c>
      <c r="K21" s="78">
        <v>0</v>
      </c>
      <c r="L21" s="78">
        <v>0</v>
      </c>
      <c r="M21" s="78">
        <v>0</v>
      </c>
      <c r="N21" s="78">
        <v>0</v>
      </c>
      <c r="O21" s="78">
        <v>0</v>
      </c>
      <c r="P21" s="78">
        <v>0</v>
      </c>
      <c r="Q21" s="78">
        <v>0</v>
      </c>
      <c r="R21" s="78">
        <v>0</v>
      </c>
      <c r="S21" s="78">
        <v>0</v>
      </c>
      <c r="T21" s="78">
        <v>0</v>
      </c>
      <c r="U21" s="78">
        <v>0</v>
      </c>
      <c r="V21" s="78">
        <v>0</v>
      </c>
      <c r="W21" s="78">
        <v>0</v>
      </c>
      <c r="X21" s="78">
        <v>0</v>
      </c>
      <c r="Y21" s="78">
        <v>0</v>
      </c>
      <c r="Z21" s="78">
        <v>0</v>
      </c>
      <c r="AA21" s="78">
        <v>0</v>
      </c>
      <c r="AB21" s="78">
        <v>0</v>
      </c>
      <c r="AC21" s="78">
        <v>0</v>
      </c>
      <c r="AD21" s="78">
        <v>0</v>
      </c>
      <c r="AE21" s="78">
        <v>0</v>
      </c>
      <c r="AF21" s="78">
        <v>0</v>
      </c>
      <c r="AG21" s="78">
        <v>0</v>
      </c>
      <c r="AH21" s="78">
        <v>0</v>
      </c>
      <c r="AI21" s="78">
        <v>0</v>
      </c>
      <c r="AJ21" s="78">
        <v>0</v>
      </c>
      <c r="AK21" s="78">
        <v>0</v>
      </c>
      <c r="AL21" s="78">
        <v>0</v>
      </c>
      <c r="AM21" s="78">
        <v>0</v>
      </c>
      <c r="AN21" s="78">
        <v>0</v>
      </c>
      <c r="AO21" s="78">
        <v>0</v>
      </c>
      <c r="AP21" s="78">
        <v>0</v>
      </c>
      <c r="AQ21" s="78">
        <v>0</v>
      </c>
      <c r="AR21" s="78">
        <v>0</v>
      </c>
      <c r="AS21" s="79">
        <v>0</v>
      </c>
      <c r="AT21" s="79">
        <v>0</v>
      </c>
      <c r="AU21" s="79">
        <v>0</v>
      </c>
      <c r="AV21" s="79">
        <f>Table2[[#This Row],[Total Burner Survey ]]-AU21</f>
        <v>0</v>
      </c>
      <c r="AW21" s="79">
        <v>0</v>
      </c>
      <c r="AX21" s="79">
        <f>ROUND(Table2[[#This Row],[Number of working days]]*ANALYSIS!$DV$6,2)</f>
        <v>0</v>
      </c>
      <c r="AY21" s="79">
        <f>Table2[[#This Row],[Cumulative Meter]]</f>
        <v>0</v>
      </c>
      <c r="AZ21" s="79">
        <f>ROUND(Table2[[#This Row],[Number of working days]]*ANALYSIS!$DV$13,2)</f>
        <v>0</v>
      </c>
    </row>
    <row r="22" spans="1:52" x14ac:dyDescent="0.3">
      <c r="A22" s="77" t="s">
        <v>33</v>
      </c>
      <c r="B22" s="78">
        <v>2023</v>
      </c>
      <c r="C22" s="78">
        <v>0</v>
      </c>
      <c r="D22" s="78">
        <v>0</v>
      </c>
      <c r="E22" s="78">
        <v>0</v>
      </c>
      <c r="F22" s="78">
        <v>0</v>
      </c>
      <c r="G22" s="78">
        <v>0</v>
      </c>
      <c r="H22" s="78">
        <v>0</v>
      </c>
      <c r="I22" s="78">
        <v>0</v>
      </c>
      <c r="J22" s="78">
        <v>0</v>
      </c>
      <c r="K22" s="78">
        <v>0</v>
      </c>
      <c r="L22" s="78">
        <v>0</v>
      </c>
      <c r="M22" s="78">
        <v>0</v>
      </c>
      <c r="N22" s="78">
        <v>0</v>
      </c>
      <c r="O22" s="78">
        <v>0</v>
      </c>
      <c r="P22" s="78">
        <v>0</v>
      </c>
      <c r="Q22" s="78">
        <v>0</v>
      </c>
      <c r="R22" s="78">
        <v>0</v>
      </c>
      <c r="S22" s="78">
        <v>0</v>
      </c>
      <c r="T22" s="78">
        <v>0</v>
      </c>
      <c r="U22" s="78">
        <v>0</v>
      </c>
      <c r="V22" s="78">
        <v>0</v>
      </c>
      <c r="W22" s="78">
        <v>0</v>
      </c>
      <c r="X22" s="78">
        <v>0</v>
      </c>
      <c r="Y22" s="78">
        <v>0</v>
      </c>
      <c r="Z22" s="78">
        <v>0</v>
      </c>
      <c r="AA22" s="78">
        <v>0</v>
      </c>
      <c r="AB22" s="78">
        <v>0</v>
      </c>
      <c r="AC22" s="78">
        <v>0</v>
      </c>
      <c r="AD22" s="78">
        <v>0</v>
      </c>
      <c r="AE22" s="78">
        <v>0</v>
      </c>
      <c r="AF22" s="78">
        <v>0</v>
      </c>
      <c r="AG22" s="78">
        <v>0</v>
      </c>
      <c r="AH22" s="78">
        <v>0</v>
      </c>
      <c r="AI22" s="78">
        <v>0</v>
      </c>
      <c r="AJ22" s="78">
        <v>0</v>
      </c>
      <c r="AK22" s="78">
        <v>0</v>
      </c>
      <c r="AL22" s="78">
        <v>0</v>
      </c>
      <c r="AM22" s="78">
        <v>0</v>
      </c>
      <c r="AN22" s="78">
        <v>0</v>
      </c>
      <c r="AO22" s="78">
        <v>0</v>
      </c>
      <c r="AP22" s="78">
        <v>0</v>
      </c>
      <c r="AQ22" s="78">
        <v>0</v>
      </c>
      <c r="AR22" s="78">
        <v>0</v>
      </c>
      <c r="AS22" s="79">
        <v>0</v>
      </c>
      <c r="AT22" s="79">
        <v>0</v>
      </c>
      <c r="AU22" s="79">
        <v>0</v>
      </c>
      <c r="AV22" s="79">
        <f>Table2[[#This Row],[Total Burner Survey ]]-AU22</f>
        <v>0</v>
      </c>
      <c r="AW22" s="79">
        <v>0</v>
      </c>
      <c r="AX22" s="79">
        <f>ROUND(Table2[[#This Row],[Number of working days]]*ANALYSIS!$DV$6,2)</f>
        <v>0</v>
      </c>
      <c r="AY22" s="79">
        <f>Table2[[#This Row],[Cumulative Meter]]</f>
        <v>0</v>
      </c>
      <c r="AZ22" s="79">
        <f>ROUND(Table2[[#This Row],[Number of working days]]*ANALYSIS!$DV$13,2)</f>
        <v>0</v>
      </c>
    </row>
    <row r="23" spans="1:52" x14ac:dyDescent="0.3">
      <c r="A23" s="77" t="s">
        <v>34</v>
      </c>
      <c r="B23" s="78">
        <v>2023</v>
      </c>
      <c r="C23" s="78">
        <v>0</v>
      </c>
      <c r="D23" s="78">
        <v>0</v>
      </c>
      <c r="E23" s="78">
        <v>0</v>
      </c>
      <c r="F23" s="78">
        <v>0</v>
      </c>
      <c r="G23" s="78">
        <v>0</v>
      </c>
      <c r="H23" s="78">
        <v>0</v>
      </c>
      <c r="I23" s="78">
        <v>0</v>
      </c>
      <c r="J23" s="78">
        <v>0</v>
      </c>
      <c r="K23" s="78">
        <v>0</v>
      </c>
      <c r="L23" s="78">
        <v>0</v>
      </c>
      <c r="M23" s="78">
        <v>0</v>
      </c>
      <c r="N23" s="78">
        <v>0</v>
      </c>
      <c r="O23" s="78">
        <v>0</v>
      </c>
      <c r="P23" s="78">
        <v>0</v>
      </c>
      <c r="Q23" s="78">
        <v>0</v>
      </c>
      <c r="R23" s="78">
        <v>0</v>
      </c>
      <c r="S23" s="78">
        <v>0</v>
      </c>
      <c r="T23" s="78">
        <v>0</v>
      </c>
      <c r="U23" s="78">
        <v>0</v>
      </c>
      <c r="V23" s="78">
        <v>0</v>
      </c>
      <c r="W23" s="78">
        <v>0</v>
      </c>
      <c r="X23" s="78">
        <v>0</v>
      </c>
      <c r="Y23" s="78">
        <v>0</v>
      </c>
      <c r="Z23" s="78">
        <v>0</v>
      </c>
      <c r="AA23" s="78">
        <v>0</v>
      </c>
      <c r="AB23" s="78">
        <v>0</v>
      </c>
      <c r="AC23" s="78">
        <v>0</v>
      </c>
      <c r="AD23" s="78">
        <v>0</v>
      </c>
      <c r="AE23" s="78">
        <v>0</v>
      </c>
      <c r="AF23" s="78">
        <v>0</v>
      </c>
      <c r="AG23" s="78">
        <v>0</v>
      </c>
      <c r="AH23" s="78">
        <v>0</v>
      </c>
      <c r="AI23" s="78">
        <v>0</v>
      </c>
      <c r="AJ23" s="78">
        <v>0</v>
      </c>
      <c r="AK23" s="78">
        <v>0</v>
      </c>
      <c r="AL23" s="78">
        <v>0</v>
      </c>
      <c r="AM23" s="78">
        <v>0</v>
      </c>
      <c r="AN23" s="78">
        <v>0</v>
      </c>
      <c r="AO23" s="78">
        <v>0</v>
      </c>
      <c r="AP23" s="78">
        <v>0</v>
      </c>
      <c r="AQ23" s="78">
        <v>0</v>
      </c>
      <c r="AR23" s="78">
        <v>0</v>
      </c>
      <c r="AS23" s="79">
        <v>0</v>
      </c>
      <c r="AT23" s="79">
        <v>11420</v>
      </c>
      <c r="AU23" s="79">
        <v>0</v>
      </c>
      <c r="AV23" s="79">
        <f>Table2[[#This Row],[Total Burner Survey ]]-AU23</f>
        <v>11420</v>
      </c>
      <c r="AW23" s="79">
        <v>0</v>
      </c>
      <c r="AX23" s="79">
        <f>ROUND(Table2[[#This Row],[Number of working days]]*ANALYSIS!$DV$6,2)</f>
        <v>0</v>
      </c>
      <c r="AY23" s="79">
        <f>Table2[[#This Row],[Cumulative Meter]]</f>
        <v>0</v>
      </c>
      <c r="AZ23" s="79">
        <f>ROUND(Table2[[#This Row],[Number of working days]]*ANALYSIS!$DV$13,2)</f>
        <v>0</v>
      </c>
    </row>
    <row r="24" spans="1:52" x14ac:dyDescent="0.3">
      <c r="A24" s="77" t="s">
        <v>35</v>
      </c>
      <c r="B24" s="78">
        <v>2023</v>
      </c>
      <c r="C24" s="78">
        <v>0</v>
      </c>
      <c r="D24" s="78">
        <v>0</v>
      </c>
      <c r="E24" s="78">
        <v>0</v>
      </c>
      <c r="F24" s="78">
        <v>0</v>
      </c>
      <c r="G24" s="78">
        <v>0</v>
      </c>
      <c r="H24" s="78">
        <v>0</v>
      </c>
      <c r="I24" s="78">
        <v>0</v>
      </c>
      <c r="J24" s="78">
        <v>0</v>
      </c>
      <c r="K24" s="78">
        <v>0</v>
      </c>
      <c r="L24" s="78">
        <v>0</v>
      </c>
      <c r="M24" s="78">
        <v>0</v>
      </c>
      <c r="N24" s="78">
        <v>0</v>
      </c>
      <c r="O24" s="78">
        <v>0</v>
      </c>
      <c r="P24" s="78">
        <v>0</v>
      </c>
      <c r="Q24" s="78">
        <v>0</v>
      </c>
      <c r="R24" s="78">
        <v>0</v>
      </c>
      <c r="S24" s="78">
        <v>0</v>
      </c>
      <c r="T24" s="78">
        <v>0</v>
      </c>
      <c r="U24" s="78">
        <v>0</v>
      </c>
      <c r="V24" s="78">
        <v>0</v>
      </c>
      <c r="W24" s="78">
        <v>0</v>
      </c>
      <c r="X24" s="78">
        <v>0</v>
      </c>
      <c r="Y24" s="78">
        <v>0</v>
      </c>
      <c r="Z24" s="78">
        <v>0</v>
      </c>
      <c r="AA24" s="78">
        <v>0</v>
      </c>
      <c r="AB24" s="78">
        <v>0</v>
      </c>
      <c r="AC24" s="78">
        <v>0</v>
      </c>
      <c r="AD24" s="78">
        <v>0</v>
      </c>
      <c r="AE24" s="78">
        <v>0</v>
      </c>
      <c r="AF24" s="78">
        <v>0</v>
      </c>
      <c r="AG24" s="78">
        <v>0</v>
      </c>
      <c r="AH24" s="78">
        <v>0</v>
      </c>
      <c r="AI24" s="78">
        <v>0</v>
      </c>
      <c r="AJ24" s="78">
        <v>0</v>
      </c>
      <c r="AK24" s="78">
        <v>0</v>
      </c>
      <c r="AL24" s="78">
        <v>0</v>
      </c>
      <c r="AM24" s="78">
        <v>0</v>
      </c>
      <c r="AN24" s="78">
        <v>0</v>
      </c>
      <c r="AO24" s="78">
        <v>0</v>
      </c>
      <c r="AP24" s="78">
        <v>0</v>
      </c>
      <c r="AQ24" s="78">
        <v>0</v>
      </c>
      <c r="AR24" s="78">
        <v>0</v>
      </c>
      <c r="AS24" s="79">
        <v>0</v>
      </c>
      <c r="AT24" s="79">
        <v>12848</v>
      </c>
      <c r="AU24" s="79">
        <v>0</v>
      </c>
      <c r="AV24" s="79">
        <f>Table2[[#This Row],[Total Burner Survey ]]-AU24</f>
        <v>12848</v>
      </c>
      <c r="AW24" s="79">
        <v>0</v>
      </c>
      <c r="AX24" s="79">
        <f>ROUND(Table2[[#This Row],[Number of working days]]*ANALYSIS!$DV$6,2)</f>
        <v>0</v>
      </c>
      <c r="AY24" s="79">
        <f>Table2[[#This Row],[Cumulative Meter]]</f>
        <v>0</v>
      </c>
      <c r="AZ24" s="79">
        <f>ROUND(Table2[[#This Row],[Number of working days]]*ANALYSIS!$DV$13,2)</f>
        <v>0</v>
      </c>
    </row>
    <row r="25" spans="1:52" x14ac:dyDescent="0.3">
      <c r="A25" s="80" t="s">
        <v>36</v>
      </c>
      <c r="B25" s="78">
        <v>2023</v>
      </c>
      <c r="C25" s="78">
        <v>0</v>
      </c>
      <c r="D25" s="78">
        <v>0</v>
      </c>
      <c r="E25" s="78">
        <v>0</v>
      </c>
      <c r="F25" s="78">
        <v>0</v>
      </c>
      <c r="G25" s="78">
        <v>0</v>
      </c>
      <c r="H25" s="78">
        <v>0</v>
      </c>
      <c r="I25" s="78">
        <v>0</v>
      </c>
      <c r="J25" s="78">
        <v>0</v>
      </c>
      <c r="K25" s="78">
        <v>0</v>
      </c>
      <c r="L25" s="78">
        <v>0</v>
      </c>
      <c r="M25" s="78">
        <v>0</v>
      </c>
      <c r="N25" s="78">
        <v>0</v>
      </c>
      <c r="O25" s="78">
        <v>0</v>
      </c>
      <c r="P25" s="78">
        <v>0</v>
      </c>
      <c r="Q25" s="78">
        <v>0</v>
      </c>
      <c r="R25" s="78">
        <v>0</v>
      </c>
      <c r="S25" s="78">
        <v>0</v>
      </c>
      <c r="T25" s="78">
        <v>0</v>
      </c>
      <c r="U25" s="78">
        <v>0</v>
      </c>
      <c r="V25" s="78">
        <v>0</v>
      </c>
      <c r="W25" s="78">
        <v>0</v>
      </c>
      <c r="X25" s="78">
        <v>0</v>
      </c>
      <c r="Y25" s="78">
        <v>0</v>
      </c>
      <c r="Z25" s="78">
        <v>0</v>
      </c>
      <c r="AA25" s="78">
        <v>0</v>
      </c>
      <c r="AB25" s="78">
        <v>0</v>
      </c>
      <c r="AC25" s="78">
        <v>0</v>
      </c>
      <c r="AD25" s="78">
        <v>0</v>
      </c>
      <c r="AE25" s="78">
        <v>0</v>
      </c>
      <c r="AF25" s="78">
        <v>0</v>
      </c>
      <c r="AG25" s="78">
        <v>0</v>
      </c>
      <c r="AH25" s="78">
        <v>0</v>
      </c>
      <c r="AI25" s="78">
        <v>0</v>
      </c>
      <c r="AJ25" s="78">
        <v>0</v>
      </c>
      <c r="AK25" s="78">
        <v>0</v>
      </c>
      <c r="AL25" s="78">
        <v>0</v>
      </c>
      <c r="AM25" s="78">
        <v>0</v>
      </c>
      <c r="AN25" s="78">
        <v>0</v>
      </c>
      <c r="AO25" s="78">
        <v>0</v>
      </c>
      <c r="AP25" s="78">
        <v>0</v>
      </c>
      <c r="AQ25" s="78">
        <v>0</v>
      </c>
      <c r="AR25" s="78">
        <v>0</v>
      </c>
      <c r="AS25" s="78">
        <v>0</v>
      </c>
      <c r="AT25" s="79">
        <v>12072</v>
      </c>
      <c r="AU25" s="79">
        <v>0</v>
      </c>
      <c r="AV25" s="79">
        <f>Table2[[#This Row],[Total Burner Survey ]]-AU25</f>
        <v>12072</v>
      </c>
      <c r="AW25" s="79">
        <v>0</v>
      </c>
      <c r="AX25" s="79">
        <f>ROUND(Table2[[#This Row],[Number of working days]]*ANALYSIS!$DV$6,2)</f>
        <v>0</v>
      </c>
      <c r="AY25" s="79">
        <f>Table2[[#This Row],[Cumulative Meter]]</f>
        <v>0</v>
      </c>
      <c r="AZ25" s="79">
        <f>ROUND(Table2[[#This Row],[Number of working days]]*ANALYSIS!$DV$13,2)</f>
        <v>0</v>
      </c>
    </row>
    <row r="26" spans="1:52" x14ac:dyDescent="0.3">
      <c r="A26" s="83" t="s">
        <v>25</v>
      </c>
      <c r="B26" s="84">
        <v>2025</v>
      </c>
      <c r="C26" s="84">
        <v>0</v>
      </c>
      <c r="D26" s="84">
        <v>0</v>
      </c>
      <c r="E26" s="84">
        <v>0</v>
      </c>
      <c r="F26" s="84">
        <v>0</v>
      </c>
      <c r="G26" s="84">
        <v>0</v>
      </c>
      <c r="H26" s="84">
        <v>0</v>
      </c>
      <c r="I26" s="84">
        <v>0</v>
      </c>
      <c r="J26" s="84">
        <v>0</v>
      </c>
      <c r="K26" s="84">
        <v>0</v>
      </c>
      <c r="L26" s="84">
        <v>0</v>
      </c>
      <c r="M26" s="84">
        <v>0</v>
      </c>
      <c r="N26" s="84">
        <v>0</v>
      </c>
      <c r="O26" s="84">
        <v>0</v>
      </c>
      <c r="P26" s="84">
        <v>0</v>
      </c>
      <c r="Q26" s="84">
        <v>0</v>
      </c>
      <c r="R26" s="84">
        <v>0</v>
      </c>
      <c r="S26" s="84">
        <v>0</v>
      </c>
      <c r="T26" s="84">
        <v>0</v>
      </c>
      <c r="U26" s="84">
        <v>0</v>
      </c>
      <c r="V26" s="84">
        <v>0</v>
      </c>
      <c r="W26" s="84">
        <v>0</v>
      </c>
      <c r="X26" s="84">
        <v>0</v>
      </c>
      <c r="Y26" s="84">
        <v>0</v>
      </c>
      <c r="Z26" s="84">
        <v>0</v>
      </c>
      <c r="AA26" s="84">
        <v>0</v>
      </c>
      <c r="AB26" s="84">
        <v>0</v>
      </c>
      <c r="AC26" s="84">
        <v>0</v>
      </c>
      <c r="AD26" s="84">
        <v>0</v>
      </c>
      <c r="AE26" s="84">
        <v>0</v>
      </c>
      <c r="AF26" s="84">
        <v>0</v>
      </c>
      <c r="AG26" s="84">
        <v>0</v>
      </c>
      <c r="AH26" s="84">
        <v>0</v>
      </c>
      <c r="AI26" s="84">
        <v>0</v>
      </c>
      <c r="AJ26" s="84">
        <v>0</v>
      </c>
      <c r="AK26" s="84">
        <v>0</v>
      </c>
      <c r="AL26" s="84">
        <v>0</v>
      </c>
      <c r="AM26" s="84">
        <v>0</v>
      </c>
      <c r="AN26" s="84">
        <v>0</v>
      </c>
      <c r="AO26" s="84">
        <v>0</v>
      </c>
      <c r="AP26" s="84">
        <v>0</v>
      </c>
      <c r="AQ26" s="84">
        <v>0</v>
      </c>
      <c r="AR26" s="84">
        <v>0</v>
      </c>
      <c r="AS26" s="84">
        <v>0</v>
      </c>
      <c r="AT26" s="84">
        <v>0</v>
      </c>
      <c r="AU26" s="84">
        <v>0</v>
      </c>
      <c r="AV26" s="84">
        <v>0</v>
      </c>
      <c r="AW26" s="84">
        <v>0</v>
      </c>
      <c r="AX26" s="84">
        <f>ROUND(Table2[[#This Row],[Number of working days]]*ANALYSIS!$DV$6,2)</f>
        <v>0</v>
      </c>
      <c r="AY26" s="84">
        <f>Table2[[#This Row],[Cumulative Meter]]</f>
        <v>0</v>
      </c>
      <c r="AZ26" s="84">
        <f>ROUND(Table2[[#This Row],[Number of working days]]*ANALYSIS!$DV$13,2)</f>
        <v>0</v>
      </c>
    </row>
    <row r="27" spans="1:52" x14ac:dyDescent="0.3">
      <c r="A27" s="83" t="s">
        <v>26</v>
      </c>
      <c r="B27" s="84">
        <v>2025</v>
      </c>
      <c r="C27" s="84">
        <v>0</v>
      </c>
      <c r="D27" s="84">
        <v>0</v>
      </c>
      <c r="E27" s="84">
        <v>0</v>
      </c>
      <c r="F27" s="84">
        <v>0</v>
      </c>
      <c r="G27" s="84">
        <v>0</v>
      </c>
      <c r="H27" s="84">
        <v>0</v>
      </c>
      <c r="I27" s="84">
        <v>0</v>
      </c>
      <c r="J27" s="84">
        <v>0</v>
      </c>
      <c r="K27" s="84">
        <v>0</v>
      </c>
      <c r="L27" s="84">
        <v>0</v>
      </c>
      <c r="M27" s="84">
        <v>0</v>
      </c>
      <c r="N27" s="84">
        <v>0</v>
      </c>
      <c r="O27" s="84">
        <v>0</v>
      </c>
      <c r="P27" s="84">
        <v>0</v>
      </c>
      <c r="Q27" s="84">
        <v>0</v>
      </c>
      <c r="R27" s="84">
        <v>0</v>
      </c>
      <c r="S27" s="84">
        <v>0</v>
      </c>
      <c r="T27" s="84">
        <v>0</v>
      </c>
      <c r="U27" s="84">
        <v>0</v>
      </c>
      <c r="V27" s="84">
        <v>0</v>
      </c>
      <c r="W27" s="84">
        <v>0</v>
      </c>
      <c r="X27" s="84">
        <v>0</v>
      </c>
      <c r="Y27" s="84">
        <v>0</v>
      </c>
      <c r="Z27" s="84">
        <v>0</v>
      </c>
      <c r="AA27" s="84">
        <v>0</v>
      </c>
      <c r="AB27" s="84">
        <v>0</v>
      </c>
      <c r="AC27" s="84">
        <v>0</v>
      </c>
      <c r="AD27" s="84">
        <v>0</v>
      </c>
      <c r="AE27" s="84">
        <v>0</v>
      </c>
      <c r="AF27" s="84">
        <v>0</v>
      </c>
      <c r="AG27" s="84">
        <v>0</v>
      </c>
      <c r="AH27" s="84">
        <v>0</v>
      </c>
      <c r="AI27" s="84">
        <v>0</v>
      </c>
      <c r="AJ27" s="84">
        <v>0</v>
      </c>
      <c r="AK27" s="84">
        <v>0</v>
      </c>
      <c r="AL27" s="84">
        <v>0</v>
      </c>
      <c r="AM27" s="84">
        <v>0</v>
      </c>
      <c r="AN27" s="84">
        <v>0</v>
      </c>
      <c r="AO27" s="84">
        <v>0</v>
      </c>
      <c r="AP27" s="84">
        <v>0</v>
      </c>
      <c r="AQ27" s="84">
        <v>0</v>
      </c>
      <c r="AR27" s="84">
        <v>0</v>
      </c>
      <c r="AS27" s="84">
        <v>0</v>
      </c>
      <c r="AT27" s="84">
        <v>0</v>
      </c>
      <c r="AU27" s="84">
        <v>0</v>
      </c>
      <c r="AV27" s="84">
        <v>0</v>
      </c>
      <c r="AW27" s="84">
        <v>0</v>
      </c>
      <c r="AX27" s="84">
        <f>ROUND(Table2[[#This Row],[Number of working days]]*ANALYSIS!$DV$6,2)</f>
        <v>0</v>
      </c>
      <c r="AY27" s="84">
        <f>Table2[[#This Row],[Cumulative Meter]]</f>
        <v>0</v>
      </c>
      <c r="AZ27" s="84">
        <f>ROUND(Table2[[#This Row],[Number of working days]]*ANALYSIS!$DV$13,2)</f>
        <v>0</v>
      </c>
    </row>
    <row r="28" spans="1:52" x14ac:dyDescent="0.3">
      <c r="A28" s="83" t="s">
        <v>27</v>
      </c>
      <c r="B28" s="84">
        <v>2025</v>
      </c>
      <c r="C28" s="84">
        <v>0</v>
      </c>
      <c r="D28" s="84">
        <v>0</v>
      </c>
      <c r="E28" s="84">
        <v>0</v>
      </c>
      <c r="F28" s="84">
        <v>0</v>
      </c>
      <c r="G28" s="84">
        <v>0</v>
      </c>
      <c r="H28" s="84">
        <v>0</v>
      </c>
      <c r="I28" s="84">
        <v>0</v>
      </c>
      <c r="J28" s="84">
        <v>0</v>
      </c>
      <c r="K28" s="84">
        <v>0</v>
      </c>
      <c r="L28" s="84">
        <v>0</v>
      </c>
      <c r="M28" s="84">
        <v>0</v>
      </c>
      <c r="N28" s="84">
        <v>0</v>
      </c>
      <c r="O28" s="84">
        <v>0</v>
      </c>
      <c r="P28" s="84">
        <v>0</v>
      </c>
      <c r="Q28" s="84">
        <v>0</v>
      </c>
      <c r="R28" s="84">
        <v>0</v>
      </c>
      <c r="S28" s="84">
        <v>0</v>
      </c>
      <c r="T28" s="84">
        <v>0</v>
      </c>
      <c r="U28" s="84">
        <v>0</v>
      </c>
      <c r="V28" s="84">
        <v>0</v>
      </c>
      <c r="W28" s="84">
        <v>0</v>
      </c>
      <c r="X28" s="84"/>
      <c r="Y28" s="84">
        <v>0</v>
      </c>
      <c r="Z28" s="84">
        <v>0</v>
      </c>
      <c r="AA28" s="84">
        <v>0</v>
      </c>
      <c r="AB28" s="84">
        <v>0</v>
      </c>
      <c r="AC28" s="84">
        <v>0</v>
      </c>
      <c r="AD28" s="84">
        <v>0</v>
      </c>
      <c r="AE28" s="84">
        <v>0</v>
      </c>
      <c r="AF28" s="84">
        <v>0</v>
      </c>
      <c r="AG28" s="84">
        <v>0</v>
      </c>
      <c r="AH28" s="84">
        <v>0</v>
      </c>
      <c r="AI28" s="84">
        <v>0</v>
      </c>
      <c r="AJ28" s="84">
        <v>0</v>
      </c>
      <c r="AK28" s="84">
        <v>0</v>
      </c>
      <c r="AL28" s="84">
        <v>0</v>
      </c>
      <c r="AM28" s="84">
        <v>0</v>
      </c>
      <c r="AN28" s="84">
        <v>0</v>
      </c>
      <c r="AO28" s="84">
        <v>0</v>
      </c>
      <c r="AP28" s="84">
        <v>0</v>
      </c>
      <c r="AQ28" s="84">
        <v>0</v>
      </c>
      <c r="AR28" s="84">
        <v>0</v>
      </c>
      <c r="AS28" s="84">
        <v>0</v>
      </c>
      <c r="AT28" s="84">
        <v>0</v>
      </c>
      <c r="AU28" s="84">
        <v>0</v>
      </c>
      <c r="AV28" s="85">
        <f>Table2[[#This Row],[Total Burner Survey ]]-AU28</f>
        <v>0</v>
      </c>
      <c r="AW28" s="84">
        <v>0</v>
      </c>
      <c r="AX28" s="84">
        <f>ROUND(Table2[[#This Row],[Number of working days]]*ANALYSIS!$DV$6,2)</f>
        <v>0</v>
      </c>
      <c r="AY28" s="84">
        <f>Table2[[#This Row],[Cumulative Meter]]</f>
        <v>0</v>
      </c>
      <c r="AZ28" s="84">
        <f>ROUND(Table2[[#This Row],[Number of working days]]*ANALYSIS!$DV$13,2)</f>
        <v>0</v>
      </c>
    </row>
    <row r="29" spans="1:52" x14ac:dyDescent="0.3">
      <c r="A29" s="83" t="s">
        <v>28</v>
      </c>
      <c r="B29" s="84">
        <v>2025</v>
      </c>
      <c r="C29" s="84">
        <v>0</v>
      </c>
      <c r="D29" s="84">
        <v>0</v>
      </c>
      <c r="E29" s="84">
        <v>0</v>
      </c>
      <c r="F29" s="84">
        <v>0</v>
      </c>
      <c r="G29" s="84">
        <v>0</v>
      </c>
      <c r="H29" s="84">
        <v>0</v>
      </c>
      <c r="I29" s="84">
        <v>0</v>
      </c>
      <c r="J29" s="84">
        <v>0</v>
      </c>
      <c r="K29" s="84">
        <v>0</v>
      </c>
      <c r="L29" s="84">
        <v>0</v>
      </c>
      <c r="M29" s="84">
        <v>0</v>
      </c>
      <c r="N29" s="84">
        <v>0</v>
      </c>
      <c r="O29" s="84">
        <v>0</v>
      </c>
      <c r="P29" s="84">
        <v>0</v>
      </c>
      <c r="Q29" s="84">
        <v>0</v>
      </c>
      <c r="R29" s="84">
        <v>0</v>
      </c>
      <c r="S29" s="84">
        <v>0</v>
      </c>
      <c r="T29" s="84">
        <v>0</v>
      </c>
      <c r="U29" s="84">
        <v>0</v>
      </c>
      <c r="V29" s="84">
        <v>0</v>
      </c>
      <c r="W29" s="84">
        <v>0</v>
      </c>
      <c r="X29" s="84">
        <v>0</v>
      </c>
      <c r="Y29" s="84">
        <v>0</v>
      </c>
      <c r="Z29" s="84">
        <v>0</v>
      </c>
      <c r="AA29" s="84">
        <v>0</v>
      </c>
      <c r="AB29" s="84">
        <v>0</v>
      </c>
      <c r="AC29" s="84">
        <v>0</v>
      </c>
      <c r="AD29" s="84">
        <v>0</v>
      </c>
      <c r="AE29" s="84">
        <v>0</v>
      </c>
      <c r="AF29" s="84">
        <v>0</v>
      </c>
      <c r="AG29" s="84">
        <v>0</v>
      </c>
      <c r="AH29" s="84">
        <v>0</v>
      </c>
      <c r="AI29" s="84">
        <v>0</v>
      </c>
      <c r="AJ29" s="84">
        <v>0</v>
      </c>
      <c r="AK29" s="84">
        <v>0</v>
      </c>
      <c r="AL29" s="84">
        <v>0</v>
      </c>
      <c r="AM29" s="84">
        <v>0</v>
      </c>
      <c r="AN29" s="84">
        <v>0</v>
      </c>
      <c r="AO29" s="84">
        <v>0</v>
      </c>
      <c r="AP29" s="84">
        <v>0</v>
      </c>
      <c r="AQ29" s="84">
        <v>0</v>
      </c>
      <c r="AR29" s="84">
        <v>0</v>
      </c>
      <c r="AS29" s="84">
        <v>0</v>
      </c>
      <c r="AT29" s="84">
        <v>0</v>
      </c>
      <c r="AU29" s="84">
        <v>0</v>
      </c>
      <c r="AV29" s="92">
        <f>Table2[[#This Row],[Total Burner Survey ]]-AU29</f>
        <v>0</v>
      </c>
      <c r="AW29" s="84">
        <v>0</v>
      </c>
      <c r="AX29" s="91">
        <f>ROUND(Table2[[#This Row],[Number of working days]]*ANALYSIS!$DV$6,2)</f>
        <v>0</v>
      </c>
      <c r="AY29" s="91">
        <f>Table2[[#This Row],[Cumulative Meter]]</f>
        <v>0</v>
      </c>
      <c r="AZ29" s="91">
        <f>ROUND(Table2[[#This Row],[Number of working days]]*ANALYSIS!$DV$13,2)</f>
        <v>0</v>
      </c>
    </row>
    <row r="30" spans="1:52" x14ac:dyDescent="0.3">
      <c r="A30" s="83" t="s">
        <v>29</v>
      </c>
      <c r="B30" s="84">
        <v>2025</v>
      </c>
      <c r="C30" s="84">
        <v>0</v>
      </c>
      <c r="D30" s="84">
        <v>0</v>
      </c>
      <c r="E30" s="84">
        <v>0</v>
      </c>
      <c r="F30" s="84">
        <v>0</v>
      </c>
      <c r="G30" s="84">
        <v>0</v>
      </c>
      <c r="H30" s="84">
        <v>0</v>
      </c>
      <c r="I30" s="84">
        <v>0</v>
      </c>
      <c r="J30" s="84">
        <v>0</v>
      </c>
      <c r="K30" s="84">
        <v>0</v>
      </c>
      <c r="L30" s="84">
        <v>0</v>
      </c>
      <c r="M30" s="84">
        <v>0</v>
      </c>
      <c r="N30" s="84">
        <v>0</v>
      </c>
      <c r="O30" s="84">
        <v>0</v>
      </c>
      <c r="P30" s="84">
        <v>0</v>
      </c>
      <c r="Q30" s="84">
        <v>0</v>
      </c>
      <c r="R30" s="84">
        <v>0</v>
      </c>
      <c r="S30" s="84">
        <v>0</v>
      </c>
      <c r="T30" s="84">
        <v>0</v>
      </c>
      <c r="U30" s="84">
        <v>0</v>
      </c>
      <c r="V30" s="84">
        <v>0</v>
      </c>
      <c r="W30" s="84">
        <v>0</v>
      </c>
      <c r="X30" s="84">
        <v>0</v>
      </c>
      <c r="Y30" s="84">
        <v>0</v>
      </c>
      <c r="Z30" s="84">
        <v>0</v>
      </c>
      <c r="AA30" s="84">
        <v>0</v>
      </c>
      <c r="AB30" s="84">
        <v>0</v>
      </c>
      <c r="AC30" s="84">
        <v>0</v>
      </c>
      <c r="AD30" s="84">
        <v>0</v>
      </c>
      <c r="AE30" s="84">
        <v>0</v>
      </c>
      <c r="AF30" s="84">
        <v>0</v>
      </c>
      <c r="AG30" s="84">
        <v>0</v>
      </c>
      <c r="AH30" s="84">
        <v>0</v>
      </c>
      <c r="AI30" s="84">
        <v>0</v>
      </c>
      <c r="AJ30" s="84">
        <v>0</v>
      </c>
      <c r="AK30" s="84">
        <v>0</v>
      </c>
      <c r="AL30" s="84">
        <v>0</v>
      </c>
      <c r="AM30" s="84">
        <v>0</v>
      </c>
      <c r="AN30" s="84">
        <v>0</v>
      </c>
      <c r="AO30" s="84">
        <v>0</v>
      </c>
      <c r="AP30" s="84">
        <v>0</v>
      </c>
      <c r="AQ30" s="84">
        <v>0</v>
      </c>
      <c r="AR30" s="84">
        <v>0</v>
      </c>
      <c r="AS30" s="84">
        <v>0</v>
      </c>
      <c r="AT30" s="84">
        <v>0</v>
      </c>
      <c r="AU30" s="84">
        <v>0</v>
      </c>
      <c r="AV30" s="92">
        <f>Table2[[#This Row],[Total Burner Survey ]]-AU30</f>
        <v>0</v>
      </c>
      <c r="AW30" s="84">
        <v>0</v>
      </c>
      <c r="AX30" s="91">
        <f>ROUND(Table2[[#This Row],[Number of working days]]*ANALYSIS!$DV$6,2)</f>
        <v>0</v>
      </c>
      <c r="AY30" s="91">
        <f>Table2[[#This Row],[Cumulative Meter]]</f>
        <v>0</v>
      </c>
      <c r="AZ30" s="91">
        <f>ROUND(Table2[[#This Row],[Number of working days]]*ANALYSIS!$DV$13,2)</f>
        <v>0</v>
      </c>
    </row>
    <row r="31" spans="1:52" x14ac:dyDescent="0.3">
      <c r="A31" s="83" t="s">
        <v>30</v>
      </c>
      <c r="B31" s="84">
        <v>2025</v>
      </c>
      <c r="C31" s="84">
        <v>0</v>
      </c>
      <c r="D31" s="84">
        <v>0</v>
      </c>
      <c r="E31" s="84">
        <v>0</v>
      </c>
      <c r="F31" s="84">
        <v>0</v>
      </c>
      <c r="G31" s="84">
        <v>0</v>
      </c>
      <c r="H31" s="84">
        <v>0</v>
      </c>
      <c r="I31" s="84">
        <v>0</v>
      </c>
      <c r="J31" s="84">
        <v>0</v>
      </c>
      <c r="K31" s="84">
        <v>0</v>
      </c>
      <c r="L31" s="84">
        <v>0</v>
      </c>
      <c r="M31" s="84">
        <v>0</v>
      </c>
      <c r="N31" s="84">
        <v>0</v>
      </c>
      <c r="O31" s="84">
        <v>0</v>
      </c>
      <c r="P31" s="84">
        <v>0</v>
      </c>
      <c r="Q31" s="84">
        <v>0</v>
      </c>
      <c r="R31" s="84">
        <v>0</v>
      </c>
      <c r="S31" s="84">
        <v>0</v>
      </c>
      <c r="T31" s="84">
        <v>0</v>
      </c>
      <c r="U31" s="84">
        <v>0</v>
      </c>
      <c r="V31" s="84">
        <v>0</v>
      </c>
      <c r="W31" s="84">
        <v>0</v>
      </c>
      <c r="X31" s="84">
        <v>0</v>
      </c>
      <c r="Y31" s="84">
        <v>0</v>
      </c>
      <c r="Z31" s="84">
        <v>0</v>
      </c>
      <c r="AA31" s="84">
        <v>0</v>
      </c>
      <c r="AB31" s="84">
        <v>0</v>
      </c>
      <c r="AC31" s="84">
        <v>0</v>
      </c>
      <c r="AD31" s="84">
        <v>0</v>
      </c>
      <c r="AE31" s="84">
        <v>0</v>
      </c>
      <c r="AF31" s="84">
        <v>0</v>
      </c>
      <c r="AG31" s="84">
        <v>0</v>
      </c>
      <c r="AH31" s="84">
        <v>0</v>
      </c>
      <c r="AI31" s="84">
        <v>0</v>
      </c>
      <c r="AJ31" s="84">
        <v>0</v>
      </c>
      <c r="AK31" s="84">
        <v>0</v>
      </c>
      <c r="AL31" s="84">
        <v>0</v>
      </c>
      <c r="AM31" s="84">
        <v>0</v>
      </c>
      <c r="AN31" s="84">
        <v>0</v>
      </c>
      <c r="AO31" s="84">
        <v>0</v>
      </c>
      <c r="AP31" s="84">
        <v>0</v>
      </c>
      <c r="AQ31" s="84">
        <v>0</v>
      </c>
      <c r="AR31" s="84">
        <v>0</v>
      </c>
      <c r="AS31" s="84">
        <v>0</v>
      </c>
      <c r="AT31" s="84">
        <v>0</v>
      </c>
      <c r="AU31" s="84">
        <v>0</v>
      </c>
      <c r="AV31" s="92">
        <f>Table2[[#This Row],[Total Burner Survey ]]-AU31</f>
        <v>0</v>
      </c>
      <c r="AW31" s="84">
        <v>0</v>
      </c>
      <c r="AX31" s="91">
        <f>ROUND(Table2[[#This Row],[Number of working days]]*ANALYSIS!$DV$6,2)</f>
        <v>0</v>
      </c>
      <c r="AY31" s="91">
        <f>Table2[[#This Row],[Cumulative Meter]]</f>
        <v>0</v>
      </c>
      <c r="AZ31" s="91">
        <f>ROUND(Table2[[#This Row],[Number of working days]]*ANALYSIS!$DV$13,2)</f>
        <v>0</v>
      </c>
    </row>
    <row r="32" spans="1:52" x14ac:dyDescent="0.3">
      <c r="A32" s="70"/>
      <c r="B32" s="74"/>
      <c r="C32" s="74"/>
      <c r="D32" s="74"/>
      <c r="E32" s="74"/>
      <c r="F32" s="74"/>
      <c r="G32" s="74"/>
      <c r="H32" s="74"/>
      <c r="I32" s="74"/>
      <c r="J32" s="74"/>
      <c r="K32" s="74"/>
      <c r="L32" s="74"/>
      <c r="M32" s="74"/>
      <c r="N32" s="74"/>
      <c r="O32" s="74"/>
      <c r="P32" s="74"/>
      <c r="Q32" s="74"/>
      <c r="R32" s="74"/>
      <c r="S32" s="74"/>
      <c r="T32" s="74"/>
      <c r="U32" s="74"/>
      <c r="V32" s="74"/>
      <c r="W32" s="74"/>
      <c r="X32" s="75"/>
      <c r="Y32" s="75"/>
      <c r="Z32" s="75"/>
      <c r="AA32" s="75"/>
      <c r="AB32" s="75"/>
      <c r="AC32" s="75"/>
      <c r="AD32" s="75"/>
      <c r="AE32" s="75"/>
      <c r="AF32" s="75"/>
      <c r="AG32" s="75"/>
      <c r="AH32" s="75"/>
      <c r="AI32" s="75"/>
      <c r="AJ32" s="75"/>
      <c r="AK32" s="75"/>
      <c r="AL32" s="75"/>
      <c r="AM32" s="75"/>
      <c r="AN32" s="75"/>
      <c r="AO32" s="75"/>
      <c r="AP32" s="75"/>
      <c r="AQ32" s="75"/>
      <c r="AR32" s="75"/>
      <c r="AS32" s="76"/>
      <c r="AT32" s="76"/>
      <c r="AU32" s="76"/>
      <c r="AV32" s="76"/>
      <c r="AW32" s="76"/>
      <c r="AX32" s="76"/>
      <c r="AY32" s="76"/>
      <c r="AZ32" s="76"/>
    </row>
    <row r="43" spans="7:8" x14ac:dyDescent="0.3">
      <c r="G43" t="s">
        <v>229</v>
      </c>
      <c r="H43">
        <v>21</v>
      </c>
    </row>
    <row r="44" spans="7:8" x14ac:dyDescent="0.3">
      <c r="G44" t="s">
        <v>230</v>
      </c>
      <c r="H44">
        <v>24</v>
      </c>
    </row>
    <row r="45" spans="7:8" x14ac:dyDescent="0.3">
      <c r="G45" t="s">
        <v>231</v>
      </c>
      <c r="H45">
        <v>19</v>
      </c>
    </row>
    <row r="46" spans="7:8" x14ac:dyDescent="0.3">
      <c r="H46">
        <v>315</v>
      </c>
    </row>
  </sheetData>
  <sheetProtection algorithmName="SHA-512" hashValue="7/2rGIKEwTYwVI55CSJasu2jtwARA3NXpV0PPcFUezJNln334o13JxC/QKwCzfas/fUN4rXtmEAlorKZNAcVwQ==" saltValue="LSDhnl79IO5UTgQ+NrBZQA==" spinCount="100000" sheet="1" objects="1" scenarios="1"/>
  <phoneticPr fontId="2"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B82AC-769B-4A99-A3E0-2A9165FB12E8}">
  <sheetPr codeName="Sheet3"/>
  <dimension ref="A2:CM98"/>
  <sheetViews>
    <sheetView workbookViewId="0">
      <selection activeCell="G13" sqref="G13"/>
    </sheetView>
  </sheetViews>
  <sheetFormatPr defaultRowHeight="14.4" x14ac:dyDescent="0.3"/>
  <cols>
    <col min="1" max="1" width="13.109375" bestFit="1" customWidth="1"/>
    <col min="2" max="4" width="24.109375" bestFit="1" customWidth="1"/>
    <col min="5" max="5" width="22.5546875" customWidth="1"/>
    <col min="6" max="6" width="4" bestFit="1" customWidth="1"/>
    <col min="7" max="7" width="13.109375" bestFit="1" customWidth="1"/>
    <col min="8" max="8" width="11.5546875" bestFit="1" customWidth="1"/>
    <col min="9" max="9" width="13.6640625" bestFit="1" customWidth="1"/>
    <col min="10" max="11" width="13.5546875" bestFit="1" customWidth="1"/>
    <col min="12" max="12" width="26.6640625" bestFit="1" customWidth="1"/>
    <col min="13" max="13" width="13.109375" bestFit="1" customWidth="1"/>
    <col min="14" max="14" width="38.44140625" bestFit="1" customWidth="1"/>
    <col min="15" max="15" width="16.33203125" bestFit="1" customWidth="1"/>
    <col min="16" max="16" width="21.44140625" bestFit="1" customWidth="1"/>
    <col min="17" max="17" width="22.88671875" bestFit="1" customWidth="1"/>
    <col min="20" max="20" width="13.109375" bestFit="1" customWidth="1"/>
    <col min="21" max="21" width="11.5546875" bestFit="1" customWidth="1"/>
    <col min="22" max="22" width="17" bestFit="1" customWidth="1"/>
    <col min="23" max="23" width="20.88671875" bestFit="1" customWidth="1"/>
    <col min="24" max="24" width="18.33203125" bestFit="1" customWidth="1"/>
    <col min="25" max="25" width="18.33203125" customWidth="1"/>
    <col min="28" max="28" width="13.109375" bestFit="1" customWidth="1"/>
    <col min="29" max="29" width="11.5546875" bestFit="1" customWidth="1"/>
    <col min="30" max="30" width="30.6640625" bestFit="1" customWidth="1"/>
    <col min="31" max="31" width="21.5546875" bestFit="1" customWidth="1"/>
    <col min="32" max="32" width="13.5546875" bestFit="1" customWidth="1"/>
    <col min="35" max="35" width="13.109375" bestFit="1" customWidth="1"/>
    <col min="36" max="36" width="11.5546875" bestFit="1" customWidth="1"/>
    <col min="37" max="37" width="26.6640625" bestFit="1" customWidth="1"/>
    <col min="38" max="38" width="23.5546875" bestFit="1" customWidth="1"/>
    <col min="39" max="39" width="38.44140625" bestFit="1" customWidth="1"/>
    <col min="42" max="42" width="13.109375" bestFit="1" customWidth="1"/>
    <col min="43" max="43" width="11.5546875" bestFit="1" customWidth="1"/>
    <col min="44" max="44" width="27.88671875" bestFit="1" customWidth="1"/>
    <col min="45" max="45" width="20.109375" bestFit="1" customWidth="1"/>
    <col min="49" max="49" width="13.109375" bestFit="1" customWidth="1"/>
    <col min="50" max="50" width="11.5546875" bestFit="1" customWidth="1"/>
    <col min="51" max="51" width="43.33203125" bestFit="1" customWidth="1"/>
    <col min="52" max="52" width="41.44140625" bestFit="1" customWidth="1"/>
    <col min="53" max="53" width="47.44140625" bestFit="1" customWidth="1"/>
    <col min="54" max="55" width="15.6640625" bestFit="1" customWidth="1"/>
    <col min="56" max="56" width="13.109375" bestFit="1" customWidth="1"/>
    <col min="57" max="57" width="11.5546875" bestFit="1" customWidth="1"/>
    <col min="58" max="58" width="17.6640625" bestFit="1" customWidth="1"/>
    <col min="59" max="59" width="15.5546875" bestFit="1" customWidth="1"/>
    <col min="60" max="60" width="14.109375" bestFit="1" customWidth="1"/>
    <col min="61" max="61" width="13.88671875" bestFit="1" customWidth="1"/>
    <col min="62" max="62" width="14.44140625" bestFit="1" customWidth="1"/>
    <col min="63" max="63" width="15.88671875" bestFit="1" customWidth="1"/>
    <col min="64" max="64" width="17.6640625" bestFit="1" customWidth="1"/>
    <col min="65" max="65" width="18.44140625" bestFit="1" customWidth="1"/>
    <col min="66" max="66" width="22.44140625" bestFit="1" customWidth="1"/>
    <col min="67" max="67" width="10.6640625" bestFit="1" customWidth="1"/>
    <col min="68" max="68" width="17" bestFit="1" customWidth="1"/>
    <col min="69" max="69" width="16" bestFit="1" customWidth="1"/>
    <col min="70" max="70" width="17.44140625" bestFit="1" customWidth="1"/>
    <col min="71" max="71" width="14.33203125" bestFit="1" customWidth="1"/>
    <col min="72" max="72" width="14.44140625" bestFit="1" customWidth="1"/>
    <col min="73" max="73" width="16.109375" bestFit="1" customWidth="1"/>
    <col min="74" max="74" width="15.5546875" bestFit="1" customWidth="1"/>
    <col min="75" max="75" width="17.33203125" bestFit="1" customWidth="1"/>
    <col min="76" max="76" width="14.88671875" bestFit="1" customWidth="1"/>
    <col min="77" max="77" width="13.109375" bestFit="1" customWidth="1"/>
    <col min="78" max="79" width="16.44140625" bestFit="1" customWidth="1"/>
    <col min="80" max="80" width="15.6640625" bestFit="1" customWidth="1"/>
    <col min="81" max="81" width="13.109375" bestFit="1" customWidth="1"/>
    <col min="82" max="82" width="25.88671875" bestFit="1" customWidth="1"/>
    <col min="83" max="83" width="28.109375" bestFit="1" customWidth="1"/>
    <col min="84" max="85" width="17.33203125" bestFit="1" customWidth="1"/>
    <col min="86" max="86" width="13.109375" bestFit="1" customWidth="1"/>
    <col min="87" max="87" width="29.88671875" bestFit="1" customWidth="1"/>
    <col min="88" max="88" width="49.5546875" bestFit="1" customWidth="1"/>
    <col min="89" max="89" width="23.44140625" bestFit="1" customWidth="1"/>
    <col min="90" max="91" width="35" bestFit="1" customWidth="1"/>
  </cols>
  <sheetData>
    <row r="2" spans="1:91" x14ac:dyDescent="0.3">
      <c r="A2" s="125" t="s">
        <v>56</v>
      </c>
      <c r="B2" s="125"/>
      <c r="C2" s="125"/>
      <c r="D2" s="15"/>
      <c r="G2" s="125" t="s">
        <v>57</v>
      </c>
      <c r="H2" s="125"/>
      <c r="I2" s="125"/>
      <c r="J2" s="125"/>
      <c r="M2" s="125" t="s">
        <v>58</v>
      </c>
      <c r="N2" s="125"/>
      <c r="O2" s="125"/>
      <c r="P2" s="125"/>
      <c r="T2" s="125" t="s">
        <v>59</v>
      </c>
      <c r="U2" s="125"/>
      <c r="V2" s="125"/>
      <c r="W2" s="125"/>
      <c r="AB2" s="125" t="s">
        <v>60</v>
      </c>
      <c r="AC2" s="125"/>
      <c r="AD2" s="125"/>
      <c r="AE2" s="15"/>
      <c r="AI2" s="125" t="s">
        <v>61</v>
      </c>
      <c r="AJ2" s="125"/>
      <c r="AK2" s="125"/>
      <c r="AL2" s="15"/>
      <c r="AP2" s="125" t="s">
        <v>108</v>
      </c>
      <c r="AQ2" s="125"/>
      <c r="AR2" s="125"/>
      <c r="AS2" s="15"/>
      <c r="AW2" s="125" t="s">
        <v>82</v>
      </c>
      <c r="AX2" s="125"/>
      <c r="AY2" s="125"/>
    </row>
    <row r="3" spans="1:91" ht="28.5" customHeight="1" x14ac:dyDescent="0.3">
      <c r="A3" s="13" t="s">
        <v>37</v>
      </c>
      <c r="B3" t="s">
        <v>39</v>
      </c>
      <c r="C3" t="s">
        <v>40</v>
      </c>
      <c r="G3" s="13" t="s">
        <v>37</v>
      </c>
      <c r="H3" t="s">
        <v>176</v>
      </c>
      <c r="I3" t="s">
        <v>42</v>
      </c>
      <c r="J3" t="s">
        <v>41</v>
      </c>
      <c r="K3" t="s">
        <v>43</v>
      </c>
      <c r="M3" s="13" t="s">
        <v>37</v>
      </c>
      <c r="N3" t="s">
        <v>45</v>
      </c>
      <c r="O3" t="s">
        <v>44</v>
      </c>
      <c r="P3" t="s">
        <v>46</v>
      </c>
      <c r="T3" s="13" t="s">
        <v>37</v>
      </c>
      <c r="U3" t="s">
        <v>176</v>
      </c>
      <c r="V3" t="s">
        <v>47</v>
      </c>
      <c r="W3" t="s">
        <v>48</v>
      </c>
      <c r="X3" t="s">
        <v>49</v>
      </c>
      <c r="Y3" t="s">
        <v>116</v>
      </c>
      <c r="AB3" s="13" t="s">
        <v>37</v>
      </c>
      <c r="AC3" t="s">
        <v>176</v>
      </c>
      <c r="AD3" t="s">
        <v>50</v>
      </c>
      <c r="AE3" t="s">
        <v>53</v>
      </c>
      <c r="AI3" s="13" t="s">
        <v>37</v>
      </c>
      <c r="AJ3" t="s">
        <v>176</v>
      </c>
      <c r="AK3" t="s">
        <v>55</v>
      </c>
      <c r="AL3" t="s">
        <v>54</v>
      </c>
      <c r="AP3" s="13" t="s">
        <v>37</v>
      </c>
      <c r="AQ3" t="s">
        <v>176</v>
      </c>
      <c r="AR3" t="s">
        <v>126</v>
      </c>
      <c r="AS3" t="s">
        <v>109</v>
      </c>
      <c r="AW3" s="13" t="s">
        <v>37</v>
      </c>
      <c r="AX3" t="s">
        <v>176</v>
      </c>
      <c r="AY3" t="s">
        <v>177</v>
      </c>
      <c r="AZ3" t="s">
        <v>66</v>
      </c>
      <c r="BA3" t="s">
        <v>178</v>
      </c>
      <c r="BD3" s="13" t="s">
        <v>37</v>
      </c>
      <c r="BE3" t="s">
        <v>176</v>
      </c>
      <c r="BF3" t="s">
        <v>180</v>
      </c>
      <c r="BG3" t="s">
        <v>179</v>
      </c>
      <c r="BH3" t="s">
        <v>181</v>
      </c>
      <c r="BI3" t="s">
        <v>182</v>
      </c>
      <c r="BJ3" t="s">
        <v>183</v>
      </c>
      <c r="BK3" t="s">
        <v>184</v>
      </c>
      <c r="BL3" t="s">
        <v>185</v>
      </c>
      <c r="BM3" t="s">
        <v>186</v>
      </c>
      <c r="BN3" t="s">
        <v>187</v>
      </c>
      <c r="BO3" t="s">
        <v>151</v>
      </c>
      <c r="BP3" t="s">
        <v>188</v>
      </c>
      <c r="BQ3" t="s">
        <v>189</v>
      </c>
      <c r="BR3" t="s">
        <v>190</v>
      </c>
      <c r="BS3" t="s">
        <v>191</v>
      </c>
      <c r="BT3" t="s">
        <v>192</v>
      </c>
      <c r="BU3" t="s">
        <v>193</v>
      </c>
      <c r="BV3" t="s">
        <v>194</v>
      </c>
      <c r="BW3" t="s">
        <v>195</v>
      </c>
      <c r="BX3" t="s">
        <v>196</v>
      </c>
      <c r="BY3" t="s">
        <v>197</v>
      </c>
      <c r="BZ3" t="s">
        <v>198</v>
      </c>
      <c r="CA3" t="s">
        <v>199</v>
      </c>
      <c r="CC3" s="13" t="s">
        <v>37</v>
      </c>
      <c r="CD3" t="s">
        <v>203</v>
      </c>
      <c r="CE3" t="s">
        <v>204</v>
      </c>
      <c r="CH3" s="13" t="s">
        <v>37</v>
      </c>
      <c r="CI3" t="s">
        <v>221</v>
      </c>
      <c r="CJ3" t="s">
        <v>222</v>
      </c>
      <c r="CK3" t="s">
        <v>223</v>
      </c>
      <c r="CL3" t="s">
        <v>224</v>
      </c>
    </row>
    <row r="4" spans="1:91" x14ac:dyDescent="0.3">
      <c r="A4" s="14" t="s">
        <v>25</v>
      </c>
      <c r="B4" s="93">
        <v>187</v>
      </c>
      <c r="C4" s="93">
        <v>1638</v>
      </c>
      <c r="E4">
        <f>GETPIVOTDATA("Sum of Cumulative House",$A$3)</f>
        <v>9670</v>
      </c>
      <c r="G4" s="14">
        <v>2023</v>
      </c>
      <c r="H4" s="93">
        <v>24276</v>
      </c>
      <c r="I4" s="93">
        <v>0</v>
      </c>
      <c r="J4" s="93">
        <v>0</v>
      </c>
      <c r="K4" s="93">
        <v>0</v>
      </c>
      <c r="M4" s="14" t="s">
        <v>25</v>
      </c>
      <c r="N4" s="93">
        <v>0</v>
      </c>
      <c r="O4" s="93">
        <v>0</v>
      </c>
      <c r="P4" s="93">
        <v>0</v>
      </c>
      <c r="R4">
        <f>GETPIVOTDATA("Sum of Riser Qty.",$M$3)</f>
        <v>14</v>
      </c>
      <c r="T4" s="14">
        <v>2023</v>
      </c>
      <c r="U4" s="93">
        <v>24276</v>
      </c>
      <c r="V4" s="93">
        <v>0</v>
      </c>
      <c r="W4" s="93">
        <v>0</v>
      </c>
      <c r="X4" s="93">
        <v>0</v>
      </c>
      <c r="Y4" s="93">
        <v>0</v>
      </c>
      <c r="Z4" t="s">
        <v>117</v>
      </c>
      <c r="AA4">
        <f>GETPIVOTDATA("Sum of With Shed",$T$3)</f>
        <v>5362</v>
      </c>
      <c r="AB4" s="14">
        <v>2023</v>
      </c>
      <c r="AC4" s="93">
        <v>24276</v>
      </c>
      <c r="AD4" s="93">
        <v>0</v>
      </c>
      <c r="AE4" s="93">
        <v>0</v>
      </c>
      <c r="AI4" s="14">
        <v>2023</v>
      </c>
      <c r="AJ4" s="93">
        <v>24276</v>
      </c>
      <c r="AK4" s="93">
        <v>0</v>
      </c>
      <c r="AL4" s="93">
        <v>0</v>
      </c>
      <c r="AP4" s="14">
        <v>2023</v>
      </c>
      <c r="AQ4" s="93">
        <v>24276</v>
      </c>
      <c r="AR4" s="93">
        <v>0</v>
      </c>
      <c r="AS4" s="93">
        <v>0</v>
      </c>
      <c r="AW4" s="14">
        <v>2023</v>
      </c>
      <c r="AX4" s="93">
        <v>24276</v>
      </c>
      <c r="AY4" s="93">
        <v>0</v>
      </c>
      <c r="AZ4" s="93">
        <v>0</v>
      </c>
      <c r="BA4" s="93">
        <v>0</v>
      </c>
      <c r="BD4" s="14">
        <v>2023</v>
      </c>
      <c r="BE4" s="93">
        <v>24276</v>
      </c>
      <c r="BF4" s="93">
        <v>0</v>
      </c>
      <c r="BG4" s="93">
        <v>0</v>
      </c>
      <c r="BH4" s="93">
        <v>0</v>
      </c>
      <c r="BI4" s="93">
        <v>0</v>
      </c>
      <c r="BJ4" s="93">
        <v>0</v>
      </c>
      <c r="BK4" s="93">
        <v>0</v>
      </c>
      <c r="BL4" s="93">
        <v>0</v>
      </c>
      <c r="BM4" s="93">
        <v>0</v>
      </c>
      <c r="BN4" s="93">
        <v>0</v>
      </c>
      <c r="BO4" s="93">
        <v>0</v>
      </c>
      <c r="BP4" s="93">
        <v>0</v>
      </c>
      <c r="BQ4" s="93">
        <v>0</v>
      </c>
      <c r="BR4" s="93">
        <v>0</v>
      </c>
      <c r="BS4" s="93">
        <v>0</v>
      </c>
      <c r="BT4" s="93">
        <v>0</v>
      </c>
      <c r="BU4" s="93">
        <v>0</v>
      </c>
      <c r="BV4" s="93">
        <v>0</v>
      </c>
      <c r="BW4" s="93">
        <v>0</v>
      </c>
      <c r="BX4" s="93">
        <v>0</v>
      </c>
      <c r="BY4" s="93">
        <v>0</v>
      </c>
      <c r="BZ4" s="93">
        <v>0</v>
      </c>
      <c r="CA4" s="93">
        <v>0</v>
      </c>
      <c r="CC4" s="14">
        <v>2023</v>
      </c>
      <c r="CD4" s="93">
        <v>36340</v>
      </c>
      <c r="CE4" s="93">
        <v>0</v>
      </c>
      <c r="CH4" s="14">
        <v>2023</v>
      </c>
      <c r="CI4" s="93">
        <v>0</v>
      </c>
      <c r="CJ4" s="93">
        <v>0</v>
      </c>
      <c r="CK4" s="93">
        <v>0</v>
      </c>
      <c r="CL4" s="93">
        <v>0</v>
      </c>
    </row>
    <row r="5" spans="1:91" x14ac:dyDescent="0.3">
      <c r="A5" s="14" t="s">
        <v>26</v>
      </c>
      <c r="B5" s="93">
        <v>714</v>
      </c>
      <c r="C5" s="93">
        <v>4331</v>
      </c>
      <c r="G5" s="68" t="s">
        <v>25</v>
      </c>
      <c r="H5" s="93">
        <v>2023</v>
      </c>
      <c r="I5" s="93">
        <v>0</v>
      </c>
      <c r="J5" s="93">
        <v>0</v>
      </c>
      <c r="K5" s="93">
        <v>0</v>
      </c>
      <c r="M5" s="68">
        <v>2023</v>
      </c>
      <c r="N5" s="93">
        <v>0</v>
      </c>
      <c r="O5" s="93">
        <v>0</v>
      </c>
      <c r="P5" s="93">
        <v>0</v>
      </c>
      <c r="R5">
        <f>GETPIVOTDATA("Sum of No. of Modification Done (House)",$M$3)</f>
        <v>3</v>
      </c>
      <c r="T5" s="68" t="s">
        <v>25</v>
      </c>
      <c r="U5" s="93">
        <v>2023</v>
      </c>
      <c r="V5" s="93">
        <v>0</v>
      </c>
      <c r="W5" s="93">
        <v>0</v>
      </c>
      <c r="X5" s="93">
        <v>0</v>
      </c>
      <c r="Y5" s="93">
        <v>0</v>
      </c>
      <c r="Z5" t="s">
        <v>118</v>
      </c>
      <c r="AA5">
        <f>GETPIVOTDATA("Sum of With Out Shed",$T$3)</f>
        <v>9058</v>
      </c>
      <c r="AB5" s="68" t="s">
        <v>25</v>
      </c>
      <c r="AC5" s="93">
        <v>2023</v>
      </c>
      <c r="AD5" s="93">
        <v>0</v>
      </c>
      <c r="AE5" s="93">
        <v>0</v>
      </c>
      <c r="AI5" s="68" t="s">
        <v>25</v>
      </c>
      <c r="AJ5" s="93">
        <v>2023</v>
      </c>
      <c r="AK5" s="93">
        <v>0</v>
      </c>
      <c r="AL5" s="93">
        <v>0</v>
      </c>
      <c r="AP5" s="68" t="s">
        <v>25</v>
      </c>
      <c r="AQ5" s="93">
        <v>2023</v>
      </c>
      <c r="AR5" s="93">
        <v>0</v>
      </c>
      <c r="AS5" s="93">
        <v>0</v>
      </c>
      <c r="AW5" s="68" t="s">
        <v>25</v>
      </c>
      <c r="AX5" s="93">
        <v>2023</v>
      </c>
      <c r="AY5" s="93">
        <v>0</v>
      </c>
      <c r="AZ5" s="93">
        <v>0</v>
      </c>
      <c r="BA5" s="93">
        <v>0</v>
      </c>
      <c r="BD5" s="68" t="s">
        <v>25</v>
      </c>
      <c r="BE5" s="93">
        <v>2023</v>
      </c>
      <c r="BF5" s="93">
        <v>0</v>
      </c>
      <c r="BG5" s="93">
        <v>0</v>
      </c>
      <c r="BH5" s="93">
        <v>0</v>
      </c>
      <c r="BI5" s="93">
        <v>0</v>
      </c>
      <c r="BJ5" s="93">
        <v>0</v>
      </c>
      <c r="BK5" s="93">
        <v>0</v>
      </c>
      <c r="BL5" s="93">
        <v>0</v>
      </c>
      <c r="BM5" s="93">
        <v>0</v>
      </c>
      <c r="BN5" s="93">
        <v>0</v>
      </c>
      <c r="BO5" s="93">
        <v>0</v>
      </c>
      <c r="BP5" s="93">
        <v>0</v>
      </c>
      <c r="BQ5" s="93">
        <v>0</v>
      </c>
      <c r="BR5" s="93">
        <v>0</v>
      </c>
      <c r="BS5" s="93">
        <v>0</v>
      </c>
      <c r="BT5" s="93">
        <v>0</v>
      </c>
      <c r="BU5" s="93">
        <v>0</v>
      </c>
      <c r="BV5" s="93">
        <v>0</v>
      </c>
      <c r="BW5" s="93">
        <v>0</v>
      </c>
      <c r="BX5" s="93">
        <v>0</v>
      </c>
      <c r="BY5" s="93">
        <v>0</v>
      </c>
      <c r="BZ5" s="93">
        <v>0</v>
      </c>
      <c r="CA5" s="93">
        <v>0</v>
      </c>
      <c r="CC5" s="68" t="s">
        <v>25</v>
      </c>
      <c r="CD5" s="93">
        <v>0</v>
      </c>
      <c r="CE5" s="93">
        <v>0</v>
      </c>
      <c r="CH5" s="68" t="s">
        <v>25</v>
      </c>
      <c r="CI5" s="93">
        <v>0</v>
      </c>
      <c r="CJ5" s="93">
        <v>0</v>
      </c>
      <c r="CK5" s="93">
        <v>0</v>
      </c>
      <c r="CL5" s="93">
        <v>0</v>
      </c>
    </row>
    <row r="6" spans="1:91" x14ac:dyDescent="0.3">
      <c r="A6" s="14" t="s">
        <v>27</v>
      </c>
      <c r="B6" s="93">
        <v>481</v>
      </c>
      <c r="C6" s="93">
        <v>4364</v>
      </c>
      <c r="G6" s="68" t="s">
        <v>26</v>
      </c>
      <c r="H6" s="93">
        <v>2023</v>
      </c>
      <c r="I6" s="93">
        <v>0</v>
      </c>
      <c r="J6" s="93">
        <v>0</v>
      </c>
      <c r="K6" s="93">
        <v>0</v>
      </c>
      <c r="M6" s="68">
        <v>2024</v>
      </c>
      <c r="N6" s="93">
        <v>0</v>
      </c>
      <c r="O6" s="93">
        <v>0</v>
      </c>
      <c r="P6" s="93">
        <v>0</v>
      </c>
      <c r="R6">
        <f>GETPIVOTDATA("Sum of Total Regulator",$M$3)</f>
        <v>0</v>
      </c>
      <c r="T6" s="68" t="s">
        <v>26</v>
      </c>
      <c r="U6" s="93">
        <v>2023</v>
      </c>
      <c r="V6" s="93">
        <v>0</v>
      </c>
      <c r="W6" s="93">
        <v>0</v>
      </c>
      <c r="X6" s="93">
        <v>0</v>
      </c>
      <c r="Y6" s="93">
        <v>0</v>
      </c>
      <c r="Z6" t="s">
        <v>119</v>
      </c>
      <c r="AA6">
        <f>GETPIVOTDATA("Sum of Total House",$T$3)</f>
        <v>1569</v>
      </c>
      <c r="AB6" s="68" t="s">
        <v>26</v>
      </c>
      <c r="AC6" s="93">
        <v>2023</v>
      </c>
      <c r="AD6" s="93">
        <v>0</v>
      </c>
      <c r="AE6" s="93">
        <v>0</v>
      </c>
      <c r="AI6" s="68" t="s">
        <v>26</v>
      </c>
      <c r="AJ6" s="93">
        <v>2023</v>
      </c>
      <c r="AK6" s="93">
        <v>0</v>
      </c>
      <c r="AL6" s="93">
        <v>0</v>
      </c>
      <c r="AP6" s="68" t="s">
        <v>26</v>
      </c>
      <c r="AQ6" s="93">
        <v>2023</v>
      </c>
      <c r="AR6" s="93">
        <v>0</v>
      </c>
      <c r="AS6" s="93">
        <v>0</v>
      </c>
      <c r="AW6" s="68" t="s">
        <v>26</v>
      </c>
      <c r="AX6" s="93">
        <v>2023</v>
      </c>
      <c r="AY6" s="93">
        <v>0</v>
      </c>
      <c r="AZ6" s="93">
        <v>0</v>
      </c>
      <c r="BA6" s="93">
        <v>0</v>
      </c>
      <c r="BB6">
        <f>GETPIVOTDATA("Sum of Total No. of Call Received (Complain)",$AW$3)</f>
        <v>16446</v>
      </c>
      <c r="BD6" s="68" t="s">
        <v>26</v>
      </c>
      <c r="BE6" s="93">
        <v>2023</v>
      </c>
      <c r="BF6" s="93">
        <v>0</v>
      </c>
      <c r="BG6" s="93">
        <v>0</v>
      </c>
      <c r="BH6" s="93">
        <v>0</v>
      </c>
      <c r="BI6" s="93">
        <v>0</v>
      </c>
      <c r="BJ6" s="93">
        <v>0</v>
      </c>
      <c r="BK6" s="93">
        <v>0</v>
      </c>
      <c r="BL6" s="93">
        <v>0</v>
      </c>
      <c r="BM6" s="93">
        <v>0</v>
      </c>
      <c r="BN6" s="93">
        <v>0</v>
      </c>
      <c r="BO6" s="93">
        <v>0</v>
      </c>
      <c r="BP6" s="93">
        <v>0</v>
      </c>
      <c r="BQ6" s="93">
        <v>0</v>
      </c>
      <c r="BR6" s="93">
        <v>0</v>
      </c>
      <c r="BS6" s="93">
        <v>0</v>
      </c>
      <c r="BT6" s="93">
        <v>0</v>
      </c>
      <c r="BU6" s="93">
        <v>0</v>
      </c>
      <c r="BV6" s="93">
        <v>0</v>
      </c>
      <c r="BW6" s="93">
        <v>0</v>
      </c>
      <c r="BX6" s="93">
        <v>0</v>
      </c>
      <c r="BY6" s="93">
        <v>0</v>
      </c>
      <c r="BZ6" s="93">
        <v>0</v>
      </c>
      <c r="CA6" s="93">
        <v>0</v>
      </c>
      <c r="CC6" s="68" t="s">
        <v>26</v>
      </c>
      <c r="CD6" s="93">
        <v>0</v>
      </c>
      <c r="CE6" s="93">
        <v>0</v>
      </c>
      <c r="CH6" s="68" t="s">
        <v>26</v>
      </c>
      <c r="CI6" s="93">
        <v>0</v>
      </c>
      <c r="CJ6" s="93">
        <v>0</v>
      </c>
      <c r="CK6" s="93">
        <v>0</v>
      </c>
      <c r="CL6" s="93">
        <v>0</v>
      </c>
    </row>
    <row r="7" spans="1:91" x14ac:dyDescent="0.3">
      <c r="A7" s="14" t="s">
        <v>28</v>
      </c>
      <c r="B7" s="93">
        <v>380</v>
      </c>
      <c r="C7" s="93">
        <v>3508</v>
      </c>
      <c r="E7">
        <f>GETPIVOTDATA("Sum of Cumulative Meter",$A$3)</f>
        <v>56905</v>
      </c>
      <c r="G7" s="68" t="s">
        <v>27</v>
      </c>
      <c r="H7" s="93">
        <v>2023</v>
      </c>
      <c r="I7" s="93">
        <v>0</v>
      </c>
      <c r="J7" s="93">
        <v>0</v>
      </c>
      <c r="K7" s="93">
        <v>0</v>
      </c>
      <c r="M7" s="68">
        <v>2025</v>
      </c>
      <c r="N7" s="93">
        <v>0</v>
      </c>
      <c r="O7" s="93">
        <v>0</v>
      </c>
      <c r="P7" s="93">
        <v>0</v>
      </c>
      <c r="T7" s="68" t="s">
        <v>27</v>
      </c>
      <c r="U7" s="93">
        <v>2023</v>
      </c>
      <c r="V7" s="93">
        <v>0</v>
      </c>
      <c r="W7" s="93">
        <v>0</v>
      </c>
      <c r="X7" s="93">
        <v>0</v>
      </c>
      <c r="Y7" s="93">
        <v>0</v>
      </c>
      <c r="Z7" t="s">
        <v>120</v>
      </c>
      <c r="AA7">
        <f>GETPIVOTDATA("Sum of Total Meter",$T$3)</f>
        <v>14420</v>
      </c>
      <c r="AB7" s="68" t="s">
        <v>27</v>
      </c>
      <c r="AC7" s="93">
        <v>2023</v>
      </c>
      <c r="AD7" s="93">
        <v>0</v>
      </c>
      <c r="AE7" s="93">
        <v>0</v>
      </c>
      <c r="AI7" s="68" t="s">
        <v>27</v>
      </c>
      <c r="AJ7" s="93">
        <v>2023</v>
      </c>
      <c r="AK7" s="93">
        <v>0</v>
      </c>
      <c r="AL7" s="93">
        <v>0</v>
      </c>
      <c r="AM7">
        <f>GETPIVOTDATA("Sum of Total House(TAG)",$AI$3)</f>
        <v>5332</v>
      </c>
      <c r="AP7" s="68" t="s">
        <v>27</v>
      </c>
      <c r="AQ7" s="93">
        <v>2023</v>
      </c>
      <c r="AR7" s="93">
        <v>0</v>
      </c>
      <c r="AS7" s="93">
        <v>0</v>
      </c>
      <c r="AW7" s="68" t="s">
        <v>27</v>
      </c>
      <c r="AX7" s="93">
        <v>2023</v>
      </c>
      <c r="AY7" s="93">
        <v>0</v>
      </c>
      <c r="AZ7" s="93">
        <v>0</v>
      </c>
      <c r="BA7" s="93">
        <v>0</v>
      </c>
      <c r="BD7" s="68" t="s">
        <v>27</v>
      </c>
      <c r="BE7" s="93">
        <v>2023</v>
      </c>
      <c r="BF7" s="93">
        <v>0</v>
      </c>
      <c r="BG7" s="93">
        <v>0</v>
      </c>
      <c r="BH7" s="93">
        <v>0</v>
      </c>
      <c r="BI7" s="93">
        <v>0</v>
      </c>
      <c r="BJ7" s="93">
        <v>0</v>
      </c>
      <c r="BK7" s="93">
        <v>0</v>
      </c>
      <c r="BL7" s="93">
        <v>0</v>
      </c>
      <c r="BM7" s="93">
        <v>0</v>
      </c>
      <c r="BN7" s="93">
        <v>0</v>
      </c>
      <c r="BO7" s="93">
        <v>0</v>
      </c>
      <c r="BP7" s="93">
        <v>0</v>
      </c>
      <c r="BQ7" s="93">
        <v>0</v>
      </c>
      <c r="BR7" s="93">
        <v>0</v>
      </c>
      <c r="BS7" s="93">
        <v>0</v>
      </c>
      <c r="BT7" s="93">
        <v>0</v>
      </c>
      <c r="BU7" s="93">
        <v>0</v>
      </c>
      <c r="BV7" s="93">
        <v>0</v>
      </c>
      <c r="BW7" s="93">
        <v>0</v>
      </c>
      <c r="BX7" s="93">
        <v>0</v>
      </c>
      <c r="BY7" s="93">
        <v>0</v>
      </c>
      <c r="BZ7" s="93">
        <v>0</v>
      </c>
      <c r="CA7" s="93">
        <v>0</v>
      </c>
      <c r="CC7" s="68" t="s">
        <v>27</v>
      </c>
      <c r="CD7" s="93">
        <v>0</v>
      </c>
      <c r="CE7" s="93">
        <v>0</v>
      </c>
      <c r="CH7" s="68" t="s">
        <v>27</v>
      </c>
      <c r="CI7" s="93">
        <v>0</v>
      </c>
      <c r="CJ7" s="93">
        <v>0</v>
      </c>
      <c r="CK7" s="93">
        <v>0</v>
      </c>
      <c r="CL7" s="93">
        <v>0</v>
      </c>
    </row>
    <row r="8" spans="1:91" x14ac:dyDescent="0.3">
      <c r="A8" s="14" t="s">
        <v>29</v>
      </c>
      <c r="B8" s="93">
        <v>971</v>
      </c>
      <c r="C8" s="93">
        <v>7472</v>
      </c>
      <c r="G8" s="68" t="s">
        <v>28</v>
      </c>
      <c r="H8" s="93">
        <v>2023</v>
      </c>
      <c r="I8" s="93">
        <v>0</v>
      </c>
      <c r="J8" s="93">
        <v>0</v>
      </c>
      <c r="K8" s="93">
        <v>0</v>
      </c>
      <c r="M8" s="14" t="s">
        <v>26</v>
      </c>
      <c r="N8" s="93">
        <v>1</v>
      </c>
      <c r="O8" s="93">
        <v>10</v>
      </c>
      <c r="P8" s="93">
        <v>0</v>
      </c>
      <c r="T8" s="68" t="s">
        <v>28</v>
      </c>
      <c r="U8" s="93">
        <v>2023</v>
      </c>
      <c r="V8" s="93">
        <v>0</v>
      </c>
      <c r="W8" s="93">
        <v>0</v>
      </c>
      <c r="X8" s="93">
        <v>0</v>
      </c>
      <c r="Y8" s="93">
        <v>0</v>
      </c>
      <c r="AB8" s="68" t="s">
        <v>28</v>
      </c>
      <c r="AC8" s="93">
        <v>2023</v>
      </c>
      <c r="AD8" s="93">
        <v>0</v>
      </c>
      <c r="AE8" s="93">
        <v>0</v>
      </c>
      <c r="AI8" s="68" t="s">
        <v>28</v>
      </c>
      <c r="AJ8" s="93">
        <v>2023</v>
      </c>
      <c r="AK8" s="93">
        <v>0</v>
      </c>
      <c r="AL8" s="93">
        <v>0</v>
      </c>
      <c r="AP8" s="68" t="s">
        <v>28</v>
      </c>
      <c r="AQ8" s="93">
        <v>2023</v>
      </c>
      <c r="AR8" s="93">
        <v>0</v>
      </c>
      <c r="AS8" s="93">
        <v>0</v>
      </c>
      <c r="AT8">
        <f>GETPIVOTDATA("Sum of Total House (Lad-Seal)",$AP$3)</f>
        <v>774</v>
      </c>
      <c r="AW8" s="68" t="s">
        <v>28</v>
      </c>
      <c r="AX8" s="93">
        <v>2023</v>
      </c>
      <c r="AY8" s="93">
        <v>0</v>
      </c>
      <c r="AZ8" s="93">
        <v>0</v>
      </c>
      <c r="BA8" s="93">
        <v>0</v>
      </c>
      <c r="BB8">
        <f>GETPIVOTDATA("Sum of Total No. of Complain Solved
(On Site)",$AW$3)</f>
        <v>1834</v>
      </c>
      <c r="BD8" s="68" t="s">
        <v>28</v>
      </c>
      <c r="BE8" s="93">
        <v>2023</v>
      </c>
      <c r="BF8" s="93">
        <v>0</v>
      </c>
      <c r="BG8" s="93">
        <v>0</v>
      </c>
      <c r="BH8" s="93">
        <v>0</v>
      </c>
      <c r="BI8" s="93">
        <v>0</v>
      </c>
      <c r="BJ8" s="93">
        <v>0</v>
      </c>
      <c r="BK8" s="93">
        <v>0</v>
      </c>
      <c r="BL8" s="93">
        <v>0</v>
      </c>
      <c r="BM8" s="93">
        <v>0</v>
      </c>
      <c r="BN8" s="93">
        <v>0</v>
      </c>
      <c r="BO8" s="93">
        <v>0</v>
      </c>
      <c r="BP8" s="93">
        <v>0</v>
      </c>
      <c r="BQ8" s="93">
        <v>0</v>
      </c>
      <c r="BR8" s="93">
        <v>0</v>
      </c>
      <c r="BS8" s="93">
        <v>0</v>
      </c>
      <c r="BT8" s="93">
        <v>0</v>
      </c>
      <c r="BU8" s="93">
        <v>0</v>
      </c>
      <c r="BV8" s="93">
        <v>0</v>
      </c>
      <c r="BW8" s="93">
        <v>0</v>
      </c>
      <c r="BX8" s="93">
        <v>0</v>
      </c>
      <c r="BY8" s="93">
        <v>0</v>
      </c>
      <c r="BZ8" s="93">
        <v>0</v>
      </c>
      <c r="CA8" s="93">
        <v>0</v>
      </c>
      <c r="CC8" s="68" t="s">
        <v>28</v>
      </c>
      <c r="CD8" s="93">
        <v>0</v>
      </c>
      <c r="CE8" s="93">
        <v>0</v>
      </c>
      <c r="CH8" s="68" t="s">
        <v>28</v>
      </c>
      <c r="CI8" s="93">
        <v>0</v>
      </c>
      <c r="CJ8" s="93">
        <v>0</v>
      </c>
      <c r="CK8" s="93">
        <v>0</v>
      </c>
      <c r="CL8" s="93">
        <v>0</v>
      </c>
    </row>
    <row r="9" spans="1:91" x14ac:dyDescent="0.3">
      <c r="A9" s="14" t="s">
        <v>30</v>
      </c>
      <c r="B9" s="93">
        <v>860</v>
      </c>
      <c r="C9" s="93">
        <v>5903</v>
      </c>
      <c r="G9" s="68" t="s">
        <v>29</v>
      </c>
      <c r="H9" s="93">
        <v>2023</v>
      </c>
      <c r="I9" s="93">
        <v>0</v>
      </c>
      <c r="J9" s="93">
        <v>0</v>
      </c>
      <c r="K9" s="93">
        <v>0</v>
      </c>
      <c r="M9" s="68">
        <v>2023</v>
      </c>
      <c r="N9" s="93">
        <v>0</v>
      </c>
      <c r="O9" s="93">
        <v>0</v>
      </c>
      <c r="P9" s="93">
        <v>0</v>
      </c>
      <c r="T9" s="68" t="s">
        <v>29</v>
      </c>
      <c r="U9" s="93">
        <v>2023</v>
      </c>
      <c r="V9" s="93">
        <v>0</v>
      </c>
      <c r="W9" s="93">
        <v>0</v>
      </c>
      <c r="X9" s="93">
        <v>0</v>
      </c>
      <c r="Y9" s="93">
        <v>0</v>
      </c>
      <c r="AB9" s="68" t="s">
        <v>29</v>
      </c>
      <c r="AC9" s="93">
        <v>2023</v>
      </c>
      <c r="AD9" s="93">
        <v>0</v>
      </c>
      <c r="AE9" s="93">
        <v>0</v>
      </c>
      <c r="AF9">
        <f>GETPIVOTDATA("Sum of Total House(IC)",$AB$3)</f>
        <v>7287</v>
      </c>
      <c r="AI9" s="68" t="s">
        <v>29</v>
      </c>
      <c r="AJ9" s="93">
        <v>2023</v>
      </c>
      <c r="AK9" s="93">
        <v>0</v>
      </c>
      <c r="AL9" s="93">
        <v>0</v>
      </c>
      <c r="AP9" s="68" t="s">
        <v>29</v>
      </c>
      <c r="AQ9" s="93">
        <v>2023</v>
      </c>
      <c r="AR9" s="93">
        <v>0</v>
      </c>
      <c r="AS9" s="93">
        <v>0</v>
      </c>
      <c r="AT9">
        <f>GETPIVOTDATA("Sum of Total Lad-Seal",$AP$3)</f>
        <v>5724</v>
      </c>
      <c r="AW9" s="68" t="s">
        <v>29</v>
      </c>
      <c r="AX9" s="93">
        <v>2023</v>
      </c>
      <c r="AY9" s="93">
        <v>0</v>
      </c>
      <c r="AZ9" s="93">
        <v>0</v>
      </c>
      <c r="BA9" s="93">
        <v>0</v>
      </c>
      <c r="BD9" s="68" t="s">
        <v>29</v>
      </c>
      <c r="BE9" s="93">
        <v>2023</v>
      </c>
      <c r="BF9" s="93">
        <v>0</v>
      </c>
      <c r="BG9" s="93">
        <v>0</v>
      </c>
      <c r="BH9" s="93">
        <v>0</v>
      </c>
      <c r="BI9" s="93">
        <v>0</v>
      </c>
      <c r="BJ9" s="93">
        <v>0</v>
      </c>
      <c r="BK9" s="93">
        <v>0</v>
      </c>
      <c r="BL9" s="93">
        <v>0</v>
      </c>
      <c r="BM9" s="93">
        <v>0</v>
      </c>
      <c r="BN9" s="93">
        <v>0</v>
      </c>
      <c r="BO9" s="93">
        <v>0</v>
      </c>
      <c r="BP9" s="93">
        <v>0</v>
      </c>
      <c r="BQ9" s="93">
        <v>0</v>
      </c>
      <c r="BR9" s="93">
        <v>0</v>
      </c>
      <c r="BS9" s="93">
        <v>0</v>
      </c>
      <c r="BT9" s="93">
        <v>0</v>
      </c>
      <c r="BU9" s="93">
        <v>0</v>
      </c>
      <c r="BV9" s="93">
        <v>0</v>
      </c>
      <c r="BW9" s="93">
        <v>0</v>
      </c>
      <c r="BX9" s="93">
        <v>0</v>
      </c>
      <c r="BY9" s="93">
        <v>0</v>
      </c>
      <c r="BZ9" s="93">
        <v>0</v>
      </c>
      <c r="CA9" s="93">
        <v>0</v>
      </c>
      <c r="CC9" s="68" t="s">
        <v>29</v>
      </c>
      <c r="CD9" s="93">
        <v>0</v>
      </c>
      <c r="CE9" s="93">
        <v>0</v>
      </c>
      <c r="CH9" s="68" t="s">
        <v>29</v>
      </c>
      <c r="CI9" s="93">
        <v>0</v>
      </c>
      <c r="CJ9" s="93">
        <v>0</v>
      </c>
      <c r="CK9" s="93">
        <v>0</v>
      </c>
      <c r="CL9" s="93">
        <v>0</v>
      </c>
    </row>
    <row r="10" spans="1:91" x14ac:dyDescent="0.3">
      <c r="A10" s="14" t="s">
        <v>31</v>
      </c>
      <c r="B10" s="93">
        <v>821</v>
      </c>
      <c r="C10" s="93">
        <v>4837</v>
      </c>
      <c r="G10" s="68" t="s">
        <v>30</v>
      </c>
      <c r="H10" s="93">
        <v>2023</v>
      </c>
      <c r="I10" s="93">
        <v>0</v>
      </c>
      <c r="J10" s="93">
        <v>0</v>
      </c>
      <c r="K10" s="93">
        <v>0</v>
      </c>
      <c r="M10" s="68">
        <v>2024</v>
      </c>
      <c r="N10" s="93">
        <v>1</v>
      </c>
      <c r="O10" s="93">
        <v>10</v>
      </c>
      <c r="P10" s="93">
        <v>0</v>
      </c>
      <c r="T10" s="68" t="s">
        <v>30</v>
      </c>
      <c r="U10" s="93">
        <v>2023</v>
      </c>
      <c r="V10" s="93">
        <v>0</v>
      </c>
      <c r="W10" s="93">
        <v>0</v>
      </c>
      <c r="X10" s="93">
        <v>0</v>
      </c>
      <c r="Y10" s="93">
        <v>0</v>
      </c>
      <c r="AB10" s="68" t="s">
        <v>30</v>
      </c>
      <c r="AC10" s="93">
        <v>2023</v>
      </c>
      <c r="AD10" s="93">
        <v>0</v>
      </c>
      <c r="AE10" s="93">
        <v>0</v>
      </c>
      <c r="AI10" s="68" t="s">
        <v>30</v>
      </c>
      <c r="AJ10" s="93">
        <v>2023</v>
      </c>
      <c r="AK10" s="93">
        <v>0</v>
      </c>
      <c r="AL10" s="93">
        <v>0</v>
      </c>
      <c r="AM10">
        <f>GETPIVOTDATA("Sum of Tag. Of Card Dist. Qty",$AI$3)</f>
        <v>35730</v>
      </c>
      <c r="AP10" s="68" t="s">
        <v>30</v>
      </c>
      <c r="AQ10" s="93">
        <v>2023</v>
      </c>
      <c r="AR10" s="93">
        <v>0</v>
      </c>
      <c r="AS10" s="93">
        <v>0</v>
      </c>
      <c r="AW10" s="68" t="s">
        <v>30</v>
      </c>
      <c r="AX10" s="93">
        <v>2023</v>
      </c>
      <c r="AY10" s="93">
        <v>0</v>
      </c>
      <c r="AZ10" s="93">
        <v>0</v>
      </c>
      <c r="BA10" s="93">
        <v>0</v>
      </c>
      <c r="BB10">
        <f>GETPIVOTDATA("Sum of Total No. of Complain Solved
(Over Phone)",$AW$3)</f>
        <v>14612</v>
      </c>
      <c r="BD10" s="68" t="s">
        <v>30</v>
      </c>
      <c r="BE10" s="93">
        <v>2023</v>
      </c>
      <c r="BF10" s="93">
        <v>0</v>
      </c>
      <c r="BG10" s="93">
        <v>0</v>
      </c>
      <c r="BH10" s="93">
        <v>0</v>
      </c>
      <c r="BI10" s="93">
        <v>0</v>
      </c>
      <c r="BJ10" s="93">
        <v>0</v>
      </c>
      <c r="BK10" s="93">
        <v>0</v>
      </c>
      <c r="BL10" s="93">
        <v>0</v>
      </c>
      <c r="BM10" s="93">
        <v>0</v>
      </c>
      <c r="BN10" s="93">
        <v>0</v>
      </c>
      <c r="BO10" s="93">
        <v>0</v>
      </c>
      <c r="BP10" s="93">
        <v>0</v>
      </c>
      <c r="BQ10" s="93">
        <v>0</v>
      </c>
      <c r="BR10" s="93">
        <v>0</v>
      </c>
      <c r="BS10" s="93">
        <v>0</v>
      </c>
      <c r="BT10" s="93">
        <v>0</v>
      </c>
      <c r="BU10" s="93">
        <v>0</v>
      </c>
      <c r="BV10" s="93">
        <v>0</v>
      </c>
      <c r="BW10" s="93">
        <v>0</v>
      </c>
      <c r="BX10" s="93">
        <v>0</v>
      </c>
      <c r="BY10" s="93">
        <v>0</v>
      </c>
      <c r="BZ10" s="93">
        <v>0</v>
      </c>
      <c r="CA10" s="93">
        <v>0</v>
      </c>
      <c r="CC10" s="68" t="s">
        <v>30</v>
      </c>
      <c r="CD10" s="93">
        <v>0</v>
      </c>
      <c r="CE10" s="93">
        <v>0</v>
      </c>
      <c r="CH10" s="68" t="s">
        <v>30</v>
      </c>
      <c r="CI10" s="93">
        <v>0</v>
      </c>
      <c r="CJ10" s="93">
        <v>0</v>
      </c>
      <c r="CK10" s="93">
        <v>0</v>
      </c>
      <c r="CL10" s="93">
        <v>0</v>
      </c>
    </row>
    <row r="11" spans="1:91" x14ac:dyDescent="0.3">
      <c r="A11" s="14" t="s">
        <v>32</v>
      </c>
      <c r="B11" s="93">
        <v>814</v>
      </c>
      <c r="C11" s="93">
        <v>4740</v>
      </c>
      <c r="G11" s="68" t="s">
        <v>31</v>
      </c>
      <c r="H11" s="93">
        <v>2023</v>
      </c>
      <c r="I11" s="93">
        <v>0</v>
      </c>
      <c r="J11" s="93">
        <v>0</v>
      </c>
      <c r="K11" s="93">
        <v>0</v>
      </c>
      <c r="M11" s="68">
        <v>2025</v>
      </c>
      <c r="N11" s="93">
        <v>0</v>
      </c>
      <c r="O11" s="93">
        <v>0</v>
      </c>
      <c r="P11" s="93">
        <v>0</v>
      </c>
      <c r="T11" s="68" t="s">
        <v>31</v>
      </c>
      <c r="U11" s="93">
        <v>2023</v>
      </c>
      <c r="V11" s="93">
        <v>0</v>
      </c>
      <c r="W11" s="93">
        <v>0</v>
      </c>
      <c r="X11" s="93">
        <v>0</v>
      </c>
      <c r="Y11" s="93">
        <v>0</v>
      </c>
      <c r="AB11" s="68" t="s">
        <v>31</v>
      </c>
      <c r="AC11" s="93">
        <v>2023</v>
      </c>
      <c r="AD11" s="93">
        <v>0</v>
      </c>
      <c r="AE11" s="93">
        <v>0</v>
      </c>
      <c r="AI11" s="68" t="s">
        <v>31</v>
      </c>
      <c r="AJ11" s="93">
        <v>2023</v>
      </c>
      <c r="AK11" s="93">
        <v>0</v>
      </c>
      <c r="AL11" s="93">
        <v>0</v>
      </c>
      <c r="AP11" s="68" t="s">
        <v>31</v>
      </c>
      <c r="AQ11" s="93">
        <v>2023</v>
      </c>
      <c r="AR11" s="93">
        <v>0</v>
      </c>
      <c r="AS11" s="93">
        <v>0</v>
      </c>
      <c r="AW11" s="68" t="s">
        <v>31</v>
      </c>
      <c r="AX11" s="93">
        <v>2023</v>
      </c>
      <c r="AY11" s="93">
        <v>0</v>
      </c>
      <c r="AZ11" s="93">
        <v>0</v>
      </c>
      <c r="BA11" s="93">
        <v>0</v>
      </c>
      <c r="BD11" s="68" t="s">
        <v>31</v>
      </c>
      <c r="BE11" s="93">
        <v>2023</v>
      </c>
      <c r="BF11" s="93">
        <v>0</v>
      </c>
      <c r="BG11" s="93">
        <v>0</v>
      </c>
      <c r="BH11" s="93">
        <v>0</v>
      </c>
      <c r="BI11" s="93">
        <v>0</v>
      </c>
      <c r="BJ11" s="93">
        <v>0</v>
      </c>
      <c r="BK11" s="93">
        <v>0</v>
      </c>
      <c r="BL11" s="93">
        <v>0</v>
      </c>
      <c r="BM11" s="93">
        <v>0</v>
      </c>
      <c r="BN11" s="93">
        <v>0</v>
      </c>
      <c r="BO11" s="93">
        <v>0</v>
      </c>
      <c r="BP11" s="93">
        <v>0</v>
      </c>
      <c r="BQ11" s="93">
        <v>0</v>
      </c>
      <c r="BR11" s="93">
        <v>0</v>
      </c>
      <c r="BS11" s="93">
        <v>0</v>
      </c>
      <c r="BT11" s="93">
        <v>0</v>
      </c>
      <c r="BU11" s="93">
        <v>0</v>
      </c>
      <c r="BV11" s="93">
        <v>0</v>
      </c>
      <c r="BW11" s="93">
        <v>0</v>
      </c>
      <c r="BX11" s="93">
        <v>0</v>
      </c>
      <c r="BY11" s="93">
        <v>0</v>
      </c>
      <c r="BZ11" s="93">
        <v>0</v>
      </c>
      <c r="CA11" s="93">
        <v>0</v>
      </c>
      <c r="CC11" s="68" t="s">
        <v>31</v>
      </c>
      <c r="CD11" s="93">
        <v>0</v>
      </c>
      <c r="CE11" s="93">
        <v>0</v>
      </c>
      <c r="CH11" s="68" t="s">
        <v>31</v>
      </c>
      <c r="CI11" s="93">
        <v>0</v>
      </c>
      <c r="CJ11" s="93">
        <v>0</v>
      </c>
      <c r="CK11" s="93">
        <v>0</v>
      </c>
      <c r="CL11" s="93">
        <v>0</v>
      </c>
      <c r="CM11">
        <f>GETPIVOTDATA("Sum of Number of working days",$CH$3)</f>
        <v>236</v>
      </c>
    </row>
    <row r="12" spans="1:91" x14ac:dyDescent="0.3">
      <c r="A12" s="14" t="s">
        <v>33</v>
      </c>
      <c r="B12" s="93">
        <v>1103</v>
      </c>
      <c r="C12" s="93">
        <v>4147</v>
      </c>
      <c r="G12" s="68" t="s">
        <v>32</v>
      </c>
      <c r="H12" s="93">
        <v>2023</v>
      </c>
      <c r="I12" s="93">
        <v>0</v>
      </c>
      <c r="J12" s="93">
        <v>0</v>
      </c>
      <c r="K12" s="93">
        <v>0</v>
      </c>
      <c r="M12" s="14" t="s">
        <v>27</v>
      </c>
      <c r="N12" s="93">
        <v>0</v>
      </c>
      <c r="O12" s="93">
        <v>0</v>
      </c>
      <c r="P12" s="93">
        <v>0</v>
      </c>
      <c r="T12" s="68" t="s">
        <v>32</v>
      </c>
      <c r="U12" s="93">
        <v>2023</v>
      </c>
      <c r="V12" s="93">
        <v>0</v>
      </c>
      <c r="W12" s="93">
        <v>0</v>
      </c>
      <c r="X12" s="93">
        <v>0</v>
      </c>
      <c r="Y12" s="93">
        <v>0</v>
      </c>
      <c r="AB12" s="68" t="s">
        <v>32</v>
      </c>
      <c r="AC12" s="93">
        <v>2023</v>
      </c>
      <c r="AD12" s="93">
        <v>0</v>
      </c>
      <c r="AE12" s="93">
        <v>0</v>
      </c>
      <c r="AF12">
        <f>GETPIVOTDATA("Sum of No. of IC Card Distributed",$AB$3)</f>
        <v>45145</v>
      </c>
      <c r="AI12" s="68" t="s">
        <v>32</v>
      </c>
      <c r="AJ12" s="93">
        <v>2023</v>
      </c>
      <c r="AK12" s="93">
        <v>0</v>
      </c>
      <c r="AL12" s="93">
        <v>0</v>
      </c>
      <c r="AP12" s="68" t="s">
        <v>32</v>
      </c>
      <c r="AQ12" s="93">
        <v>2023</v>
      </c>
      <c r="AR12" s="93">
        <v>0</v>
      </c>
      <c r="AS12" s="93">
        <v>0</v>
      </c>
      <c r="AW12" s="68" t="s">
        <v>32</v>
      </c>
      <c r="AX12" s="93">
        <v>2023</v>
      </c>
      <c r="AY12" s="93">
        <v>0</v>
      </c>
      <c r="AZ12" s="93">
        <v>0</v>
      </c>
      <c r="BA12" s="93">
        <v>0</v>
      </c>
      <c r="BD12" s="68" t="s">
        <v>32</v>
      </c>
      <c r="BE12" s="93">
        <v>2023</v>
      </c>
      <c r="BF12" s="93">
        <v>0</v>
      </c>
      <c r="BG12" s="93">
        <v>0</v>
      </c>
      <c r="BH12" s="93">
        <v>0</v>
      </c>
      <c r="BI12" s="93">
        <v>0</v>
      </c>
      <c r="BJ12" s="93">
        <v>0</v>
      </c>
      <c r="BK12" s="93">
        <v>0</v>
      </c>
      <c r="BL12" s="93">
        <v>0</v>
      </c>
      <c r="BM12" s="93">
        <v>0</v>
      </c>
      <c r="BN12" s="93">
        <v>0</v>
      </c>
      <c r="BO12" s="93">
        <v>0</v>
      </c>
      <c r="BP12" s="93">
        <v>0</v>
      </c>
      <c r="BQ12" s="93">
        <v>0</v>
      </c>
      <c r="BR12" s="93">
        <v>0</v>
      </c>
      <c r="BS12" s="93">
        <v>0</v>
      </c>
      <c r="BT12" s="93">
        <v>0</v>
      </c>
      <c r="BU12" s="93">
        <v>0</v>
      </c>
      <c r="BV12" s="93">
        <v>0</v>
      </c>
      <c r="BW12" s="93">
        <v>0</v>
      </c>
      <c r="BX12" s="93">
        <v>0</v>
      </c>
      <c r="BY12" s="93">
        <v>0</v>
      </c>
      <c r="BZ12" s="93">
        <v>0</v>
      </c>
      <c r="CA12" s="93">
        <v>0</v>
      </c>
      <c r="CC12" s="68" t="s">
        <v>32</v>
      </c>
      <c r="CD12" s="93">
        <v>0</v>
      </c>
      <c r="CE12" s="93">
        <v>0</v>
      </c>
      <c r="CH12" s="68" t="s">
        <v>32</v>
      </c>
      <c r="CI12" s="93">
        <v>0</v>
      </c>
      <c r="CJ12" s="93">
        <v>0</v>
      </c>
      <c r="CK12" s="93">
        <v>0</v>
      </c>
      <c r="CL12" s="93">
        <v>0</v>
      </c>
      <c r="CM12">
        <f>GETPIVOTDATA("Sum of Cumulative Installed (Based on Daily Average)",$CH$3)</f>
        <v>56904.319999999992</v>
      </c>
    </row>
    <row r="13" spans="1:91" x14ac:dyDescent="0.3">
      <c r="A13" s="14" t="s">
        <v>34</v>
      </c>
      <c r="B13" s="93">
        <v>886</v>
      </c>
      <c r="C13" s="93">
        <v>4557</v>
      </c>
      <c r="G13" s="68" t="s">
        <v>33</v>
      </c>
      <c r="H13" s="93">
        <v>2023</v>
      </c>
      <c r="I13" s="93">
        <v>0</v>
      </c>
      <c r="J13" s="93">
        <v>0</v>
      </c>
      <c r="K13" s="93">
        <v>0</v>
      </c>
      <c r="M13" s="68">
        <v>2023</v>
      </c>
      <c r="N13" s="93">
        <v>0</v>
      </c>
      <c r="O13" s="93">
        <v>0</v>
      </c>
      <c r="P13" s="93">
        <v>0</v>
      </c>
      <c r="T13" s="68" t="s">
        <v>33</v>
      </c>
      <c r="U13" s="93">
        <v>2023</v>
      </c>
      <c r="V13" s="93">
        <v>0</v>
      </c>
      <c r="W13" s="93">
        <v>0</v>
      </c>
      <c r="X13" s="93">
        <v>0</v>
      </c>
      <c r="Y13" s="93">
        <v>0</v>
      </c>
      <c r="AB13" s="68" t="s">
        <v>33</v>
      </c>
      <c r="AC13" s="93">
        <v>2023</v>
      </c>
      <c r="AD13" s="93">
        <v>0</v>
      </c>
      <c r="AE13" s="93">
        <v>0</v>
      </c>
      <c r="AI13" s="68" t="s">
        <v>33</v>
      </c>
      <c r="AJ13" s="93">
        <v>2023</v>
      </c>
      <c r="AK13" s="93">
        <v>0</v>
      </c>
      <c r="AL13" s="93">
        <v>0</v>
      </c>
      <c r="AP13" s="68" t="s">
        <v>33</v>
      </c>
      <c r="AQ13" s="93">
        <v>2023</v>
      </c>
      <c r="AR13" s="93">
        <v>0</v>
      </c>
      <c r="AS13" s="93">
        <v>0</v>
      </c>
      <c r="AW13" s="68" t="s">
        <v>33</v>
      </c>
      <c r="AX13" s="93">
        <v>2023</v>
      </c>
      <c r="AY13" s="93">
        <v>0</v>
      </c>
      <c r="AZ13" s="93">
        <v>0</v>
      </c>
      <c r="BA13" s="93">
        <v>0</v>
      </c>
      <c r="BD13" s="68" t="s">
        <v>33</v>
      </c>
      <c r="BE13" s="93">
        <v>2023</v>
      </c>
      <c r="BF13" s="93">
        <v>0</v>
      </c>
      <c r="BG13" s="93">
        <v>0</v>
      </c>
      <c r="BH13" s="93">
        <v>0</v>
      </c>
      <c r="BI13" s="93">
        <v>0</v>
      </c>
      <c r="BJ13" s="93">
        <v>0</v>
      </c>
      <c r="BK13" s="93">
        <v>0</v>
      </c>
      <c r="BL13" s="93">
        <v>0</v>
      </c>
      <c r="BM13" s="93">
        <v>0</v>
      </c>
      <c r="BN13" s="93">
        <v>0</v>
      </c>
      <c r="BO13" s="93">
        <v>0</v>
      </c>
      <c r="BP13" s="93">
        <v>0</v>
      </c>
      <c r="BQ13" s="93">
        <v>0</v>
      </c>
      <c r="BR13" s="93">
        <v>0</v>
      </c>
      <c r="BS13" s="93">
        <v>0</v>
      </c>
      <c r="BT13" s="93">
        <v>0</v>
      </c>
      <c r="BU13" s="93">
        <v>0</v>
      </c>
      <c r="BV13" s="93">
        <v>0</v>
      </c>
      <c r="BW13" s="93">
        <v>0</v>
      </c>
      <c r="BX13" s="93">
        <v>0</v>
      </c>
      <c r="BY13" s="93">
        <v>0</v>
      </c>
      <c r="BZ13" s="93">
        <v>0</v>
      </c>
      <c r="CA13" s="93">
        <v>0</v>
      </c>
      <c r="CC13" s="68" t="s">
        <v>33</v>
      </c>
      <c r="CD13" s="93">
        <v>0</v>
      </c>
      <c r="CE13" s="93">
        <v>0</v>
      </c>
      <c r="CH13" s="68" t="s">
        <v>33</v>
      </c>
      <c r="CI13" s="93">
        <v>0</v>
      </c>
      <c r="CJ13" s="93">
        <v>0</v>
      </c>
      <c r="CK13" s="93">
        <v>0</v>
      </c>
      <c r="CL13" s="93">
        <v>0</v>
      </c>
      <c r="CM13">
        <f>GETPIVOTDATA("Sum of Running Installed",$CH$3)</f>
        <v>56905</v>
      </c>
    </row>
    <row r="14" spans="1:91" x14ac:dyDescent="0.3">
      <c r="A14" s="14" t="s">
        <v>35</v>
      </c>
      <c r="B14" s="93">
        <v>1086</v>
      </c>
      <c r="C14" s="93">
        <v>5838</v>
      </c>
      <c r="G14" s="68" t="s">
        <v>34</v>
      </c>
      <c r="H14" s="93">
        <v>2023</v>
      </c>
      <c r="I14" s="93">
        <v>0</v>
      </c>
      <c r="J14" s="93">
        <v>0</v>
      </c>
      <c r="K14" s="93">
        <v>0</v>
      </c>
      <c r="M14" s="68">
        <v>2024</v>
      </c>
      <c r="N14" s="93">
        <v>0</v>
      </c>
      <c r="O14" s="93">
        <v>0</v>
      </c>
      <c r="P14" s="93">
        <v>0</v>
      </c>
      <c r="T14" s="68" t="s">
        <v>34</v>
      </c>
      <c r="U14" s="93">
        <v>2023</v>
      </c>
      <c r="V14" s="93">
        <v>0</v>
      </c>
      <c r="W14" s="93">
        <v>0</v>
      </c>
      <c r="X14" s="93">
        <v>0</v>
      </c>
      <c r="Y14" s="93">
        <v>0</v>
      </c>
      <c r="AB14" s="68" t="s">
        <v>34</v>
      </c>
      <c r="AC14" s="93">
        <v>2023</v>
      </c>
      <c r="AD14" s="93">
        <v>0</v>
      </c>
      <c r="AE14" s="93">
        <v>0</v>
      </c>
      <c r="AI14" s="68" t="s">
        <v>34</v>
      </c>
      <c r="AJ14" s="93">
        <v>2023</v>
      </c>
      <c r="AK14" s="93">
        <v>0</v>
      </c>
      <c r="AL14" s="93">
        <v>0</v>
      </c>
      <c r="AP14" s="68" t="s">
        <v>34</v>
      </c>
      <c r="AQ14" s="93">
        <v>2023</v>
      </c>
      <c r="AR14" s="93">
        <v>0</v>
      </c>
      <c r="AS14" s="93">
        <v>0</v>
      </c>
      <c r="AW14" s="68" t="s">
        <v>34</v>
      </c>
      <c r="AX14" s="93">
        <v>2023</v>
      </c>
      <c r="AY14" s="93">
        <v>0</v>
      </c>
      <c r="AZ14" s="93">
        <v>0</v>
      </c>
      <c r="BA14" s="93">
        <v>0</v>
      </c>
      <c r="BD14" s="68" t="s">
        <v>34</v>
      </c>
      <c r="BE14" s="93">
        <v>2023</v>
      </c>
      <c r="BF14" s="93">
        <v>0</v>
      </c>
      <c r="BG14" s="93">
        <v>0</v>
      </c>
      <c r="BH14" s="93">
        <v>0</v>
      </c>
      <c r="BI14" s="93">
        <v>0</v>
      </c>
      <c r="BJ14" s="93">
        <v>0</v>
      </c>
      <c r="BK14" s="93">
        <v>0</v>
      </c>
      <c r="BL14" s="93">
        <v>0</v>
      </c>
      <c r="BM14" s="93">
        <v>0</v>
      </c>
      <c r="BN14" s="93">
        <v>0</v>
      </c>
      <c r="BO14" s="93">
        <v>0</v>
      </c>
      <c r="BP14" s="93">
        <v>0</v>
      </c>
      <c r="BQ14" s="93">
        <v>0</v>
      </c>
      <c r="BR14" s="93">
        <v>0</v>
      </c>
      <c r="BS14" s="93">
        <v>0</v>
      </c>
      <c r="BT14" s="93">
        <v>0</v>
      </c>
      <c r="BU14" s="93">
        <v>0</v>
      </c>
      <c r="BV14" s="93">
        <v>0</v>
      </c>
      <c r="BW14" s="93">
        <v>0</v>
      </c>
      <c r="BX14" s="93">
        <v>0</v>
      </c>
      <c r="BY14" s="93">
        <v>0</v>
      </c>
      <c r="BZ14" s="93">
        <v>0</v>
      </c>
      <c r="CA14" s="93">
        <v>0</v>
      </c>
      <c r="CC14" s="68" t="s">
        <v>34</v>
      </c>
      <c r="CD14" s="93">
        <v>11420</v>
      </c>
      <c r="CE14" s="93">
        <v>0</v>
      </c>
      <c r="CH14" s="68" t="s">
        <v>34</v>
      </c>
      <c r="CI14" s="93">
        <v>0</v>
      </c>
      <c r="CJ14" s="93">
        <v>0</v>
      </c>
      <c r="CK14" s="93">
        <v>0</v>
      </c>
      <c r="CL14" s="93">
        <v>0</v>
      </c>
      <c r="CM14">
        <f>GETPIVOTDATA("Sum of Target Line (Ideal Cumulative)",$CH$3)</f>
        <v>62269.12999999999</v>
      </c>
    </row>
    <row r="15" spans="1:91" x14ac:dyDescent="0.3">
      <c r="A15" s="14" t="s">
        <v>36</v>
      </c>
      <c r="B15" s="93">
        <v>1367</v>
      </c>
      <c r="C15" s="93">
        <v>5570</v>
      </c>
      <c r="G15" s="68" t="s">
        <v>35</v>
      </c>
      <c r="H15" s="93">
        <v>2023</v>
      </c>
      <c r="I15" s="93">
        <v>0</v>
      </c>
      <c r="J15" s="93">
        <v>0</v>
      </c>
      <c r="K15" s="93">
        <v>0</v>
      </c>
      <c r="M15" s="68">
        <v>2025</v>
      </c>
      <c r="N15" s="93">
        <v>0</v>
      </c>
      <c r="O15" s="93">
        <v>0</v>
      </c>
      <c r="P15" s="93">
        <v>0</v>
      </c>
      <c r="T15" s="68" t="s">
        <v>35</v>
      </c>
      <c r="U15" s="93">
        <v>2023</v>
      </c>
      <c r="V15" s="93">
        <v>0</v>
      </c>
      <c r="W15" s="93">
        <v>0</v>
      </c>
      <c r="X15" s="93">
        <v>0</v>
      </c>
      <c r="Y15" s="93">
        <v>0</v>
      </c>
      <c r="AB15" s="68" t="s">
        <v>35</v>
      </c>
      <c r="AC15" s="93">
        <v>2023</v>
      </c>
      <c r="AD15" s="93">
        <v>0</v>
      </c>
      <c r="AE15" s="93">
        <v>0</v>
      </c>
      <c r="AI15" s="68" t="s">
        <v>35</v>
      </c>
      <c r="AJ15" s="93">
        <v>2023</v>
      </c>
      <c r="AK15" s="93">
        <v>0</v>
      </c>
      <c r="AL15" s="93">
        <v>0</v>
      </c>
      <c r="AP15" s="68" t="s">
        <v>35</v>
      </c>
      <c r="AQ15" s="93">
        <v>2023</v>
      </c>
      <c r="AR15" s="93">
        <v>0</v>
      </c>
      <c r="AS15" s="93">
        <v>0</v>
      </c>
      <c r="AW15" s="68" t="s">
        <v>35</v>
      </c>
      <c r="AX15" s="93">
        <v>2023</v>
      </c>
      <c r="AY15" s="93">
        <v>0</v>
      </c>
      <c r="AZ15" s="93">
        <v>0</v>
      </c>
      <c r="BA15" s="93">
        <v>0</v>
      </c>
      <c r="BD15" s="68" t="s">
        <v>35</v>
      </c>
      <c r="BE15" s="93">
        <v>2023</v>
      </c>
      <c r="BF15" s="93">
        <v>0</v>
      </c>
      <c r="BG15" s="93">
        <v>0</v>
      </c>
      <c r="BH15" s="93">
        <v>0</v>
      </c>
      <c r="BI15" s="93">
        <v>0</v>
      </c>
      <c r="BJ15" s="93">
        <v>0</v>
      </c>
      <c r="BK15" s="93">
        <v>0</v>
      </c>
      <c r="BL15" s="93">
        <v>0</v>
      </c>
      <c r="BM15" s="93">
        <v>0</v>
      </c>
      <c r="BN15" s="93">
        <v>0</v>
      </c>
      <c r="BO15" s="93">
        <v>0</v>
      </c>
      <c r="BP15" s="93">
        <v>0</v>
      </c>
      <c r="BQ15" s="93">
        <v>0</v>
      </c>
      <c r="BR15" s="93">
        <v>0</v>
      </c>
      <c r="BS15" s="93">
        <v>0</v>
      </c>
      <c r="BT15" s="93">
        <v>0</v>
      </c>
      <c r="BU15" s="93">
        <v>0</v>
      </c>
      <c r="BV15" s="93">
        <v>0</v>
      </c>
      <c r="BW15" s="93">
        <v>0</v>
      </c>
      <c r="BX15" s="93">
        <v>0</v>
      </c>
      <c r="BY15" s="93">
        <v>0</v>
      </c>
      <c r="BZ15" s="93">
        <v>0</v>
      </c>
      <c r="CA15" s="93">
        <v>0</v>
      </c>
      <c r="CC15" s="68" t="s">
        <v>35</v>
      </c>
      <c r="CD15" s="93">
        <v>12848</v>
      </c>
      <c r="CE15" s="93">
        <v>0</v>
      </c>
      <c r="CH15" s="68" t="s">
        <v>35</v>
      </c>
      <c r="CI15" s="93">
        <v>0</v>
      </c>
      <c r="CJ15" s="93">
        <v>0</v>
      </c>
      <c r="CK15" s="93">
        <v>0</v>
      </c>
      <c r="CL15" s="93">
        <v>0</v>
      </c>
    </row>
    <row r="16" spans="1:91" x14ac:dyDescent="0.3">
      <c r="A16" s="14" t="s">
        <v>38</v>
      </c>
      <c r="B16" s="93">
        <v>9670</v>
      </c>
      <c r="C16" s="93">
        <v>56905</v>
      </c>
      <c r="G16" s="68" t="s">
        <v>36</v>
      </c>
      <c r="H16" s="93">
        <v>2023</v>
      </c>
      <c r="I16" s="93">
        <v>0</v>
      </c>
      <c r="J16" s="93">
        <v>0</v>
      </c>
      <c r="K16" s="93">
        <v>0</v>
      </c>
      <c r="M16" s="14" t="s">
        <v>28</v>
      </c>
      <c r="N16" s="93">
        <v>0</v>
      </c>
      <c r="O16" s="93">
        <v>0</v>
      </c>
      <c r="P16" s="93">
        <v>0</v>
      </c>
      <c r="T16" s="68" t="s">
        <v>36</v>
      </c>
      <c r="U16" s="93">
        <v>2023</v>
      </c>
      <c r="V16" s="93">
        <v>0</v>
      </c>
      <c r="W16" s="93">
        <v>0</v>
      </c>
      <c r="X16" s="93">
        <v>0</v>
      </c>
      <c r="Y16" s="93">
        <v>0</v>
      </c>
      <c r="AB16" s="68" t="s">
        <v>36</v>
      </c>
      <c r="AC16" s="93">
        <v>2023</v>
      </c>
      <c r="AD16" s="93">
        <v>0</v>
      </c>
      <c r="AE16" s="93">
        <v>0</v>
      </c>
      <c r="AI16" s="68" t="s">
        <v>36</v>
      </c>
      <c r="AJ16" s="93">
        <v>2023</v>
      </c>
      <c r="AK16" s="93">
        <v>0</v>
      </c>
      <c r="AL16" s="93">
        <v>0</v>
      </c>
      <c r="AP16" s="68" t="s">
        <v>36</v>
      </c>
      <c r="AQ16" s="93">
        <v>2023</v>
      </c>
      <c r="AR16" s="93">
        <v>0</v>
      </c>
      <c r="AS16" s="93">
        <v>0</v>
      </c>
      <c r="AW16" s="68" t="s">
        <v>36</v>
      </c>
      <c r="AX16" s="93">
        <v>2023</v>
      </c>
      <c r="AY16" s="93">
        <v>0</v>
      </c>
      <c r="AZ16" s="93">
        <v>0</v>
      </c>
      <c r="BA16" s="93">
        <v>0</v>
      </c>
      <c r="BD16" s="68" t="s">
        <v>36</v>
      </c>
      <c r="BE16" s="93">
        <v>2023</v>
      </c>
      <c r="BF16" s="93">
        <v>0</v>
      </c>
      <c r="BG16" s="93">
        <v>0</v>
      </c>
      <c r="BH16" s="93">
        <v>0</v>
      </c>
      <c r="BI16" s="93">
        <v>0</v>
      </c>
      <c r="BJ16" s="93">
        <v>0</v>
      </c>
      <c r="BK16" s="93">
        <v>0</v>
      </c>
      <c r="BL16" s="93">
        <v>0</v>
      </c>
      <c r="BM16" s="93">
        <v>0</v>
      </c>
      <c r="BN16" s="93">
        <v>0</v>
      </c>
      <c r="BO16" s="93">
        <v>0</v>
      </c>
      <c r="BP16" s="93">
        <v>0</v>
      </c>
      <c r="BQ16" s="93">
        <v>0</v>
      </c>
      <c r="BR16" s="93">
        <v>0</v>
      </c>
      <c r="BS16" s="93">
        <v>0</v>
      </c>
      <c r="BT16" s="93">
        <v>0</v>
      </c>
      <c r="BU16" s="93">
        <v>0</v>
      </c>
      <c r="BV16" s="93">
        <v>0</v>
      </c>
      <c r="BW16" s="93">
        <v>0</v>
      </c>
      <c r="BX16" s="93">
        <v>0</v>
      </c>
      <c r="BY16" s="93">
        <v>0</v>
      </c>
      <c r="BZ16" s="93">
        <v>0</v>
      </c>
      <c r="CA16" s="93">
        <v>0</v>
      </c>
      <c r="CC16" s="68" t="s">
        <v>36</v>
      </c>
      <c r="CD16" s="93">
        <v>12072</v>
      </c>
      <c r="CE16" s="93">
        <v>0</v>
      </c>
      <c r="CH16" s="68" t="s">
        <v>36</v>
      </c>
      <c r="CI16" s="93">
        <v>0</v>
      </c>
      <c r="CJ16" s="93">
        <v>0</v>
      </c>
      <c r="CK16" s="93">
        <v>0</v>
      </c>
      <c r="CL16" s="93">
        <v>0</v>
      </c>
    </row>
    <row r="17" spans="7:90" x14ac:dyDescent="0.3">
      <c r="G17" s="14">
        <v>2024</v>
      </c>
      <c r="H17" s="93">
        <v>24288</v>
      </c>
      <c r="I17" s="93">
        <v>3759</v>
      </c>
      <c r="J17" s="93">
        <v>52821</v>
      </c>
      <c r="K17" s="93">
        <v>0</v>
      </c>
      <c r="M17" s="68">
        <v>2023</v>
      </c>
      <c r="N17" s="93">
        <v>0</v>
      </c>
      <c r="O17" s="93">
        <v>0</v>
      </c>
      <c r="P17" s="93">
        <v>0</v>
      </c>
      <c r="T17" s="14">
        <v>2024</v>
      </c>
      <c r="U17" s="93">
        <v>24288</v>
      </c>
      <c r="V17" s="93">
        <v>5362</v>
      </c>
      <c r="W17" s="93">
        <v>9058</v>
      </c>
      <c r="X17" s="93">
        <v>1569</v>
      </c>
      <c r="Y17" s="93">
        <v>14420</v>
      </c>
      <c r="AB17" s="14">
        <v>2024</v>
      </c>
      <c r="AC17" s="93">
        <v>24288</v>
      </c>
      <c r="AD17" s="93">
        <v>45145</v>
      </c>
      <c r="AE17" s="93">
        <v>7287</v>
      </c>
      <c r="AI17" s="14">
        <v>2024</v>
      </c>
      <c r="AJ17" s="93">
        <v>24288</v>
      </c>
      <c r="AK17" s="93">
        <v>35730</v>
      </c>
      <c r="AL17" s="93">
        <v>5332</v>
      </c>
      <c r="AP17" s="14">
        <v>2024</v>
      </c>
      <c r="AQ17" s="93">
        <v>24288</v>
      </c>
      <c r="AR17" s="93">
        <v>774</v>
      </c>
      <c r="AS17" s="93">
        <v>5724</v>
      </c>
      <c r="AW17" s="14">
        <v>2024</v>
      </c>
      <c r="AX17" s="93">
        <v>24288</v>
      </c>
      <c r="AY17" s="93">
        <v>1834</v>
      </c>
      <c r="AZ17" s="93">
        <v>16446</v>
      </c>
      <c r="BA17" s="93">
        <v>14612</v>
      </c>
      <c r="BD17" s="14">
        <v>2024</v>
      </c>
      <c r="BE17" s="93">
        <v>24288</v>
      </c>
      <c r="BF17" s="93">
        <v>3279</v>
      </c>
      <c r="BG17" s="93">
        <v>57</v>
      </c>
      <c r="BH17" s="93">
        <v>3784</v>
      </c>
      <c r="BI17" s="93">
        <v>1691</v>
      </c>
      <c r="BJ17" s="93">
        <v>4313</v>
      </c>
      <c r="BK17" s="93">
        <v>1125</v>
      </c>
      <c r="BL17" s="93">
        <v>4708</v>
      </c>
      <c r="BM17" s="93">
        <v>1350</v>
      </c>
      <c r="BN17" s="93">
        <v>5403</v>
      </c>
      <c r="BO17" s="93">
        <v>451</v>
      </c>
      <c r="BP17" s="93">
        <v>7434</v>
      </c>
      <c r="BQ17" s="93">
        <v>1290</v>
      </c>
      <c r="BR17" s="93">
        <v>262</v>
      </c>
      <c r="BS17" s="93">
        <v>3791</v>
      </c>
      <c r="BT17" s="93">
        <v>4750</v>
      </c>
      <c r="BU17" s="93">
        <v>91</v>
      </c>
      <c r="BV17" s="93">
        <v>4655</v>
      </c>
      <c r="BW17" s="93">
        <v>5038</v>
      </c>
      <c r="BX17" s="93">
        <v>226</v>
      </c>
      <c r="BY17" s="93">
        <v>266</v>
      </c>
      <c r="BZ17" s="93">
        <v>1855</v>
      </c>
      <c r="CA17" s="93">
        <v>303</v>
      </c>
      <c r="CC17" s="14">
        <v>2024</v>
      </c>
      <c r="CD17" s="93">
        <v>101549</v>
      </c>
      <c r="CE17" s="93">
        <v>48934</v>
      </c>
      <c r="CH17" s="14">
        <v>2024</v>
      </c>
      <c r="CI17" s="93">
        <v>236</v>
      </c>
      <c r="CJ17" s="93">
        <v>56904.319999999992</v>
      </c>
      <c r="CK17" s="93">
        <v>56905</v>
      </c>
      <c r="CL17" s="93">
        <v>62269.12999999999</v>
      </c>
    </row>
    <row r="18" spans="7:90" x14ac:dyDescent="0.3">
      <c r="G18" s="68" t="s">
        <v>25</v>
      </c>
      <c r="H18" s="93">
        <v>2024</v>
      </c>
      <c r="I18" s="93">
        <v>56</v>
      </c>
      <c r="J18" s="93">
        <v>1582</v>
      </c>
      <c r="K18" s="93">
        <v>0</v>
      </c>
      <c r="M18" s="68">
        <v>2024</v>
      </c>
      <c r="N18" s="93">
        <v>0</v>
      </c>
      <c r="O18" s="93">
        <v>0</v>
      </c>
      <c r="P18" s="93">
        <v>0</v>
      </c>
      <c r="T18" s="68" t="s">
        <v>25</v>
      </c>
      <c r="U18" s="93">
        <v>2024</v>
      </c>
      <c r="V18" s="93">
        <v>0</v>
      </c>
      <c r="W18" s="93">
        <v>0</v>
      </c>
      <c r="X18" s="93">
        <v>0</v>
      </c>
      <c r="Y18" s="93">
        <v>0</v>
      </c>
      <c r="AB18" s="68" t="s">
        <v>25</v>
      </c>
      <c r="AC18" s="93">
        <v>2024</v>
      </c>
      <c r="AD18" s="93">
        <v>0</v>
      </c>
      <c r="AE18" s="93">
        <v>0</v>
      </c>
      <c r="AI18" s="68" t="s">
        <v>25</v>
      </c>
      <c r="AJ18" s="93">
        <v>2024</v>
      </c>
      <c r="AK18" s="93">
        <v>0</v>
      </c>
      <c r="AL18" s="93">
        <v>0</v>
      </c>
      <c r="AP18" s="68" t="s">
        <v>25</v>
      </c>
      <c r="AQ18" s="93">
        <v>2024</v>
      </c>
      <c r="AR18" s="93">
        <v>0</v>
      </c>
      <c r="AS18" s="93">
        <v>0</v>
      </c>
      <c r="AW18" s="68" t="s">
        <v>25</v>
      </c>
      <c r="AX18" s="93">
        <v>2024</v>
      </c>
      <c r="AY18" s="93">
        <v>0</v>
      </c>
      <c r="AZ18" s="93">
        <v>0</v>
      </c>
      <c r="BA18" s="93">
        <v>0</v>
      </c>
      <c r="BD18" s="68" t="s">
        <v>25</v>
      </c>
      <c r="BE18" s="93">
        <v>2024</v>
      </c>
      <c r="BF18" s="93">
        <v>56</v>
      </c>
      <c r="BG18" s="93">
        <v>0</v>
      </c>
      <c r="BH18" s="93">
        <v>13</v>
      </c>
      <c r="BI18" s="93">
        <v>87</v>
      </c>
      <c r="BJ18" s="93">
        <v>12</v>
      </c>
      <c r="BK18" s="93">
        <v>0</v>
      </c>
      <c r="BL18" s="93">
        <v>0</v>
      </c>
      <c r="BM18" s="93">
        <v>4</v>
      </c>
      <c r="BN18" s="93">
        <v>161</v>
      </c>
      <c r="BO18" s="93">
        <v>0</v>
      </c>
      <c r="BP18" s="93">
        <v>1050</v>
      </c>
      <c r="BQ18" s="93">
        <v>0</v>
      </c>
      <c r="BR18" s="93">
        <v>0</v>
      </c>
      <c r="BS18" s="93">
        <v>2</v>
      </c>
      <c r="BT18" s="93">
        <v>0</v>
      </c>
      <c r="BU18" s="93">
        <v>0</v>
      </c>
      <c r="BV18" s="93">
        <v>254</v>
      </c>
      <c r="BW18" s="93">
        <v>0</v>
      </c>
      <c r="BX18" s="93">
        <v>0</v>
      </c>
      <c r="BY18" s="93">
        <v>0</v>
      </c>
      <c r="BZ18" s="93">
        <v>0</v>
      </c>
      <c r="CA18" s="93">
        <v>0</v>
      </c>
      <c r="CC18" s="68" t="s">
        <v>25</v>
      </c>
      <c r="CD18" s="93">
        <v>12920</v>
      </c>
      <c r="CE18" s="93">
        <v>1638</v>
      </c>
      <c r="CH18" s="68" t="s">
        <v>25</v>
      </c>
      <c r="CI18" s="93">
        <v>13</v>
      </c>
      <c r="CJ18" s="93">
        <v>3134.56</v>
      </c>
      <c r="CK18" s="93">
        <v>1638</v>
      </c>
      <c r="CL18" s="93">
        <v>3430.08</v>
      </c>
    </row>
    <row r="19" spans="7:90" x14ac:dyDescent="0.3">
      <c r="G19" s="68" t="s">
        <v>26</v>
      </c>
      <c r="H19" s="93">
        <v>2024</v>
      </c>
      <c r="I19" s="93">
        <v>454</v>
      </c>
      <c r="J19" s="93">
        <v>3877</v>
      </c>
      <c r="K19" s="93">
        <v>0</v>
      </c>
      <c r="M19" s="68">
        <v>2025</v>
      </c>
      <c r="N19" s="93">
        <v>0</v>
      </c>
      <c r="O19" s="93">
        <v>0</v>
      </c>
      <c r="P19" s="93">
        <v>0</v>
      </c>
      <c r="T19" s="68" t="s">
        <v>26</v>
      </c>
      <c r="U19" s="93">
        <v>2024</v>
      </c>
      <c r="V19" s="93">
        <v>0</v>
      </c>
      <c r="W19" s="93">
        <v>0</v>
      </c>
      <c r="X19" s="93">
        <v>0</v>
      </c>
      <c r="Y19" s="93">
        <v>0</v>
      </c>
      <c r="AB19" s="68" t="s">
        <v>26</v>
      </c>
      <c r="AC19" s="93">
        <v>2024</v>
      </c>
      <c r="AD19" s="93">
        <v>10</v>
      </c>
      <c r="AE19" s="93">
        <v>1</v>
      </c>
      <c r="AI19" s="68" t="s">
        <v>26</v>
      </c>
      <c r="AJ19" s="93">
        <v>2024</v>
      </c>
      <c r="AK19" s="93">
        <v>0</v>
      </c>
      <c r="AL19" s="93">
        <v>0</v>
      </c>
      <c r="AP19" s="68" t="s">
        <v>26</v>
      </c>
      <c r="AQ19" s="93">
        <v>2024</v>
      </c>
      <c r="AR19" s="93">
        <v>0</v>
      </c>
      <c r="AS19" s="93">
        <v>0</v>
      </c>
      <c r="AW19" s="68" t="s">
        <v>26</v>
      </c>
      <c r="AX19" s="93">
        <v>2024</v>
      </c>
      <c r="AY19" s="93">
        <v>0</v>
      </c>
      <c r="AZ19" s="93">
        <v>0</v>
      </c>
      <c r="BA19" s="93">
        <v>0</v>
      </c>
      <c r="BD19" s="68" t="s">
        <v>26</v>
      </c>
      <c r="BE19" s="93">
        <v>2024</v>
      </c>
      <c r="BF19" s="93">
        <v>440</v>
      </c>
      <c r="BG19" s="93">
        <v>0</v>
      </c>
      <c r="BH19" s="93">
        <v>7</v>
      </c>
      <c r="BI19" s="93">
        <v>155</v>
      </c>
      <c r="BJ19" s="93">
        <v>524</v>
      </c>
      <c r="BK19" s="93">
        <v>0</v>
      </c>
      <c r="BL19" s="93">
        <v>0</v>
      </c>
      <c r="BM19" s="93">
        <v>48</v>
      </c>
      <c r="BN19" s="93">
        <v>257</v>
      </c>
      <c r="BO19" s="93">
        <v>73</v>
      </c>
      <c r="BP19" s="93">
        <v>1447</v>
      </c>
      <c r="BQ19" s="93">
        <v>0</v>
      </c>
      <c r="BR19" s="93">
        <v>12</v>
      </c>
      <c r="BS19" s="93">
        <v>4</v>
      </c>
      <c r="BT19" s="93">
        <v>865</v>
      </c>
      <c r="BU19" s="93">
        <v>0</v>
      </c>
      <c r="BV19" s="93">
        <v>303</v>
      </c>
      <c r="BW19" s="93">
        <v>24</v>
      </c>
      <c r="BX19" s="93">
        <v>15</v>
      </c>
      <c r="BY19" s="93">
        <v>0</v>
      </c>
      <c r="BZ19" s="93">
        <v>157</v>
      </c>
      <c r="CA19" s="93">
        <v>0</v>
      </c>
      <c r="CC19" s="68" t="s">
        <v>26</v>
      </c>
      <c r="CD19" s="93">
        <v>14321</v>
      </c>
      <c r="CE19" s="93">
        <v>4331</v>
      </c>
      <c r="CH19" s="68" t="s">
        <v>26</v>
      </c>
      <c r="CI19" s="93">
        <v>21</v>
      </c>
      <c r="CJ19" s="93">
        <v>5063.5200000000004</v>
      </c>
      <c r="CK19" s="93">
        <v>4331</v>
      </c>
      <c r="CL19" s="93">
        <v>5540.9</v>
      </c>
    </row>
    <row r="20" spans="7:90" x14ac:dyDescent="0.3">
      <c r="G20" s="68" t="s">
        <v>27</v>
      </c>
      <c r="H20" s="93">
        <v>2024</v>
      </c>
      <c r="I20" s="93">
        <v>17</v>
      </c>
      <c r="J20" s="93">
        <v>4347</v>
      </c>
      <c r="K20" s="93">
        <v>0</v>
      </c>
      <c r="M20" s="14" t="s">
        <v>29</v>
      </c>
      <c r="N20" s="93">
        <v>0</v>
      </c>
      <c r="O20" s="93">
        <v>0</v>
      </c>
      <c r="P20" s="93">
        <v>0</v>
      </c>
      <c r="T20" s="68" t="s">
        <v>27</v>
      </c>
      <c r="U20" s="93">
        <v>2024</v>
      </c>
      <c r="V20" s="93">
        <v>0</v>
      </c>
      <c r="W20" s="93">
        <v>0</v>
      </c>
      <c r="X20" s="93">
        <v>0</v>
      </c>
      <c r="Y20" s="93">
        <v>0</v>
      </c>
      <c r="AB20" s="68" t="s">
        <v>27</v>
      </c>
      <c r="AC20" s="93">
        <v>2024</v>
      </c>
      <c r="AD20" s="93">
        <v>0</v>
      </c>
      <c r="AE20" s="93">
        <v>0</v>
      </c>
      <c r="AI20" s="68" t="s">
        <v>27</v>
      </c>
      <c r="AJ20" s="93">
        <v>2024</v>
      </c>
      <c r="AK20" s="93">
        <v>0</v>
      </c>
      <c r="AL20" s="93">
        <v>0</v>
      </c>
      <c r="AP20" s="68" t="s">
        <v>27</v>
      </c>
      <c r="AQ20" s="93">
        <v>2024</v>
      </c>
      <c r="AR20" s="93">
        <v>0</v>
      </c>
      <c r="AS20" s="93">
        <v>0</v>
      </c>
      <c r="AW20" s="68" t="s">
        <v>27</v>
      </c>
      <c r="AX20" s="93">
        <v>2024</v>
      </c>
      <c r="AY20" s="93">
        <v>34</v>
      </c>
      <c r="AZ20" s="93">
        <v>1160</v>
      </c>
      <c r="BA20" s="93">
        <v>1126</v>
      </c>
      <c r="BD20" s="68" t="s">
        <v>27</v>
      </c>
      <c r="BE20" s="93">
        <v>2024</v>
      </c>
      <c r="BF20" s="93">
        <v>212</v>
      </c>
      <c r="BG20" s="93">
        <v>0</v>
      </c>
      <c r="BH20" s="93">
        <v>671</v>
      </c>
      <c r="BI20" s="93">
        <v>73</v>
      </c>
      <c r="BJ20" s="93">
        <v>512</v>
      </c>
      <c r="BK20" s="93">
        <v>0</v>
      </c>
      <c r="BL20" s="93">
        <v>83</v>
      </c>
      <c r="BM20" s="93">
        <v>10</v>
      </c>
      <c r="BN20" s="93">
        <v>340</v>
      </c>
      <c r="BO20" s="93">
        <v>0</v>
      </c>
      <c r="BP20" s="93">
        <v>606</v>
      </c>
      <c r="BQ20" s="93">
        <v>0</v>
      </c>
      <c r="BR20" s="93">
        <v>0</v>
      </c>
      <c r="BS20" s="93">
        <v>588</v>
      </c>
      <c r="BT20" s="93">
        <v>426</v>
      </c>
      <c r="BU20" s="93">
        <v>0</v>
      </c>
      <c r="BV20" s="93">
        <v>487</v>
      </c>
      <c r="BW20" s="93">
        <v>318</v>
      </c>
      <c r="BX20" s="93">
        <v>0</v>
      </c>
      <c r="BY20" s="93">
        <v>0</v>
      </c>
      <c r="BZ20" s="93">
        <v>39</v>
      </c>
      <c r="CA20" s="93">
        <v>0</v>
      </c>
      <c r="CC20" s="68" t="s">
        <v>27</v>
      </c>
      <c r="CD20" s="93">
        <v>14072</v>
      </c>
      <c r="CE20" s="93">
        <v>4364</v>
      </c>
      <c r="CH20" s="68" t="s">
        <v>27</v>
      </c>
      <c r="CI20" s="93">
        <v>20</v>
      </c>
      <c r="CJ20" s="93">
        <v>4822.3999999999996</v>
      </c>
      <c r="CK20" s="93">
        <v>4364</v>
      </c>
      <c r="CL20" s="93">
        <v>5277.04</v>
      </c>
    </row>
    <row r="21" spans="7:90" x14ac:dyDescent="0.3">
      <c r="G21" s="68" t="s">
        <v>28</v>
      </c>
      <c r="H21" s="93">
        <v>2024</v>
      </c>
      <c r="I21" s="93">
        <v>62</v>
      </c>
      <c r="J21" s="93">
        <v>3446</v>
      </c>
      <c r="K21" s="93">
        <v>0</v>
      </c>
      <c r="M21" s="68">
        <v>2023</v>
      </c>
      <c r="N21" s="93">
        <v>0</v>
      </c>
      <c r="O21" s="93">
        <v>0</v>
      </c>
      <c r="P21" s="93">
        <v>0</v>
      </c>
      <c r="T21" s="68" t="s">
        <v>28</v>
      </c>
      <c r="U21" s="93">
        <v>2024</v>
      </c>
      <c r="V21" s="93">
        <v>0</v>
      </c>
      <c r="W21" s="93">
        <v>0</v>
      </c>
      <c r="X21" s="93">
        <v>0</v>
      </c>
      <c r="Y21" s="93">
        <v>0</v>
      </c>
      <c r="AB21" s="68" t="s">
        <v>28</v>
      </c>
      <c r="AC21" s="93">
        <v>2024</v>
      </c>
      <c r="AD21" s="93">
        <v>0</v>
      </c>
      <c r="AE21" s="93">
        <v>0</v>
      </c>
      <c r="AI21" s="68" t="s">
        <v>28</v>
      </c>
      <c r="AJ21" s="93">
        <v>2024</v>
      </c>
      <c r="AK21" s="93">
        <v>0</v>
      </c>
      <c r="AL21" s="93">
        <v>0</v>
      </c>
      <c r="AP21" s="68" t="s">
        <v>28</v>
      </c>
      <c r="AQ21" s="93">
        <v>2024</v>
      </c>
      <c r="AR21" s="93">
        <v>0</v>
      </c>
      <c r="AS21" s="93">
        <v>0</v>
      </c>
      <c r="AW21" s="68" t="s">
        <v>28</v>
      </c>
      <c r="AX21" s="93">
        <v>2024</v>
      </c>
      <c r="AY21" s="93">
        <v>84</v>
      </c>
      <c r="AZ21" s="93">
        <v>1166</v>
      </c>
      <c r="BA21" s="93">
        <v>1082</v>
      </c>
      <c r="BD21" s="68" t="s">
        <v>28</v>
      </c>
      <c r="BE21" s="93">
        <v>2024</v>
      </c>
      <c r="BF21" s="93">
        <v>6</v>
      </c>
      <c r="BG21" s="93">
        <v>0</v>
      </c>
      <c r="BH21" s="93">
        <v>219</v>
      </c>
      <c r="BI21" s="93">
        <v>20</v>
      </c>
      <c r="BJ21" s="93">
        <v>120</v>
      </c>
      <c r="BK21" s="93">
        <v>0</v>
      </c>
      <c r="BL21" s="93">
        <v>890</v>
      </c>
      <c r="BM21" s="93">
        <v>161</v>
      </c>
      <c r="BN21" s="93">
        <v>121</v>
      </c>
      <c r="BO21" s="93">
        <v>0</v>
      </c>
      <c r="BP21" s="93">
        <v>214</v>
      </c>
      <c r="BQ21" s="93">
        <v>0</v>
      </c>
      <c r="BR21" s="93">
        <v>0</v>
      </c>
      <c r="BS21" s="93">
        <v>87</v>
      </c>
      <c r="BT21" s="93">
        <v>1</v>
      </c>
      <c r="BU21" s="93">
        <v>0</v>
      </c>
      <c r="BV21" s="93">
        <v>105</v>
      </c>
      <c r="BW21" s="93">
        <v>1490</v>
      </c>
      <c r="BX21" s="93">
        <v>0</v>
      </c>
      <c r="BY21" s="93">
        <v>0</v>
      </c>
      <c r="BZ21" s="93">
        <v>10</v>
      </c>
      <c r="CA21" s="93">
        <v>0</v>
      </c>
      <c r="CC21" s="68" t="s">
        <v>28</v>
      </c>
      <c r="CD21" s="93">
        <v>13959</v>
      </c>
      <c r="CE21" s="93">
        <v>3508</v>
      </c>
      <c r="CH21" s="68" t="s">
        <v>28</v>
      </c>
      <c r="CI21" s="93">
        <v>12</v>
      </c>
      <c r="CJ21" s="93">
        <v>2893.44</v>
      </c>
      <c r="CK21" s="93">
        <v>3508</v>
      </c>
      <c r="CL21" s="93">
        <v>3166.23</v>
      </c>
    </row>
    <row r="22" spans="7:90" x14ac:dyDescent="0.3">
      <c r="G22" s="68" t="s">
        <v>29</v>
      </c>
      <c r="H22" s="93">
        <v>2024</v>
      </c>
      <c r="I22" s="93">
        <v>164</v>
      </c>
      <c r="J22" s="93">
        <v>7308</v>
      </c>
      <c r="K22" s="93">
        <v>0</v>
      </c>
      <c r="M22" s="68">
        <v>2024</v>
      </c>
      <c r="N22" s="93">
        <v>0</v>
      </c>
      <c r="O22" s="93">
        <v>0</v>
      </c>
      <c r="P22" s="93">
        <v>0</v>
      </c>
      <c r="T22" s="68" t="s">
        <v>29</v>
      </c>
      <c r="U22" s="93">
        <v>2024</v>
      </c>
      <c r="V22" s="93">
        <v>0</v>
      </c>
      <c r="W22" s="93">
        <v>0</v>
      </c>
      <c r="X22" s="93">
        <v>0</v>
      </c>
      <c r="Y22" s="93">
        <v>0</v>
      </c>
      <c r="AB22" s="68" t="s">
        <v>29</v>
      </c>
      <c r="AC22" s="93">
        <v>2024</v>
      </c>
      <c r="AD22" s="93">
        <v>0</v>
      </c>
      <c r="AE22" s="93">
        <v>0</v>
      </c>
      <c r="AI22" s="68" t="s">
        <v>29</v>
      </c>
      <c r="AJ22" s="93">
        <v>2024</v>
      </c>
      <c r="AK22" s="93">
        <v>0</v>
      </c>
      <c r="AL22" s="93">
        <v>0</v>
      </c>
      <c r="AP22" s="68" t="s">
        <v>29</v>
      </c>
      <c r="AQ22" s="93">
        <v>2024</v>
      </c>
      <c r="AR22" s="93">
        <v>0</v>
      </c>
      <c r="AS22" s="93">
        <v>0</v>
      </c>
      <c r="AW22" s="68" t="s">
        <v>29</v>
      </c>
      <c r="AX22" s="93">
        <v>2024</v>
      </c>
      <c r="AY22" s="93">
        <v>102</v>
      </c>
      <c r="AZ22" s="93">
        <v>1673</v>
      </c>
      <c r="BA22" s="93">
        <v>1571</v>
      </c>
      <c r="BD22" s="68" t="s">
        <v>29</v>
      </c>
      <c r="BE22" s="93">
        <v>2024</v>
      </c>
      <c r="BF22" s="93">
        <v>422</v>
      </c>
      <c r="BG22" s="93">
        <v>18</v>
      </c>
      <c r="BH22" s="93">
        <v>976</v>
      </c>
      <c r="BI22" s="93">
        <v>0</v>
      </c>
      <c r="BJ22" s="93">
        <v>422</v>
      </c>
      <c r="BK22" s="93">
        <v>0</v>
      </c>
      <c r="BL22" s="93">
        <v>1444</v>
      </c>
      <c r="BM22" s="93">
        <v>322</v>
      </c>
      <c r="BN22" s="93">
        <v>366</v>
      </c>
      <c r="BO22" s="93">
        <v>0</v>
      </c>
      <c r="BP22" s="93">
        <v>795</v>
      </c>
      <c r="BQ22" s="93">
        <v>25</v>
      </c>
      <c r="BR22" s="93">
        <v>54</v>
      </c>
      <c r="BS22" s="93">
        <v>145</v>
      </c>
      <c r="BT22" s="93">
        <v>877</v>
      </c>
      <c r="BU22" s="93">
        <v>0</v>
      </c>
      <c r="BV22" s="93">
        <v>780</v>
      </c>
      <c r="BW22" s="93">
        <v>485</v>
      </c>
      <c r="BX22" s="93">
        <v>0</v>
      </c>
      <c r="BY22" s="93">
        <v>62</v>
      </c>
      <c r="BZ22" s="93">
        <v>234</v>
      </c>
      <c r="CA22" s="93">
        <v>45</v>
      </c>
      <c r="CC22" s="68" t="s">
        <v>29</v>
      </c>
      <c r="CD22" s="93">
        <v>10145</v>
      </c>
      <c r="CE22" s="93">
        <v>7472</v>
      </c>
      <c r="CH22" s="68" t="s">
        <v>29</v>
      </c>
      <c r="CI22" s="93">
        <v>22</v>
      </c>
      <c r="CJ22" s="93">
        <v>5304.64</v>
      </c>
      <c r="CK22" s="93">
        <v>7472</v>
      </c>
      <c r="CL22" s="93">
        <v>5804.75</v>
      </c>
    </row>
    <row r="23" spans="7:90" x14ac:dyDescent="0.3">
      <c r="G23" s="68" t="s">
        <v>30</v>
      </c>
      <c r="H23" s="93">
        <v>2024</v>
      </c>
      <c r="I23" s="93">
        <v>166</v>
      </c>
      <c r="J23" s="93">
        <v>5737</v>
      </c>
      <c r="K23" s="93">
        <v>0</v>
      </c>
      <c r="M23" s="68">
        <v>2025</v>
      </c>
      <c r="N23" s="93">
        <v>0</v>
      </c>
      <c r="O23" s="93">
        <v>0</v>
      </c>
      <c r="P23" s="93">
        <v>0</v>
      </c>
      <c r="T23" s="68" t="s">
        <v>30</v>
      </c>
      <c r="U23" s="93">
        <v>2024</v>
      </c>
      <c r="V23" s="93">
        <v>37</v>
      </c>
      <c r="W23" s="93">
        <v>0</v>
      </c>
      <c r="X23" s="93">
        <v>1</v>
      </c>
      <c r="Y23" s="93">
        <v>37</v>
      </c>
      <c r="AB23" s="68" t="s">
        <v>30</v>
      </c>
      <c r="AC23" s="93">
        <v>2024</v>
      </c>
      <c r="AD23" s="93">
        <v>2435</v>
      </c>
      <c r="AE23" s="93">
        <v>394</v>
      </c>
      <c r="AI23" s="68" t="s">
        <v>30</v>
      </c>
      <c r="AJ23" s="93">
        <v>2024</v>
      </c>
      <c r="AK23" s="93">
        <v>2539</v>
      </c>
      <c r="AL23" s="93">
        <v>395</v>
      </c>
      <c r="AP23" s="68" t="s">
        <v>30</v>
      </c>
      <c r="AQ23" s="93">
        <v>2024</v>
      </c>
      <c r="AR23" s="93">
        <v>394</v>
      </c>
      <c r="AS23" s="93">
        <v>2436</v>
      </c>
      <c r="AW23" s="68" t="s">
        <v>30</v>
      </c>
      <c r="AX23" s="93">
        <v>2024</v>
      </c>
      <c r="AY23" s="93">
        <v>165</v>
      </c>
      <c r="AZ23" s="93">
        <v>1724</v>
      </c>
      <c r="BA23" s="93">
        <v>1559</v>
      </c>
      <c r="BD23" s="68" t="s">
        <v>30</v>
      </c>
      <c r="BE23" s="93">
        <v>2024</v>
      </c>
      <c r="BF23" s="93">
        <v>407</v>
      </c>
      <c r="BG23" s="93">
        <v>0</v>
      </c>
      <c r="BH23" s="93">
        <v>140</v>
      </c>
      <c r="BI23" s="93">
        <v>466</v>
      </c>
      <c r="BJ23" s="93">
        <v>456</v>
      </c>
      <c r="BK23" s="93">
        <v>0</v>
      </c>
      <c r="BL23" s="93">
        <v>209</v>
      </c>
      <c r="BM23" s="93">
        <v>95</v>
      </c>
      <c r="BN23" s="93">
        <v>785</v>
      </c>
      <c r="BO23" s="93">
        <v>178</v>
      </c>
      <c r="BP23" s="93">
        <v>1193</v>
      </c>
      <c r="BQ23" s="93">
        <v>210</v>
      </c>
      <c r="BR23" s="93">
        <v>0</v>
      </c>
      <c r="BS23" s="93">
        <v>512</v>
      </c>
      <c r="BT23" s="93">
        <v>290</v>
      </c>
      <c r="BU23" s="93">
        <v>0</v>
      </c>
      <c r="BV23" s="93">
        <v>524</v>
      </c>
      <c r="BW23" s="93">
        <v>436</v>
      </c>
      <c r="BX23" s="93">
        <v>0</v>
      </c>
      <c r="BY23" s="93">
        <v>0</v>
      </c>
      <c r="BZ23" s="93">
        <v>2</v>
      </c>
      <c r="CA23" s="93">
        <v>0</v>
      </c>
      <c r="CC23" s="68" t="s">
        <v>30</v>
      </c>
      <c r="CD23" s="93">
        <v>6946</v>
      </c>
      <c r="CE23" s="93">
        <v>5903</v>
      </c>
      <c r="CH23" s="68" t="s">
        <v>30</v>
      </c>
      <c r="CI23" s="93">
        <v>19</v>
      </c>
      <c r="CJ23" s="93">
        <v>4581.28</v>
      </c>
      <c r="CK23" s="93">
        <v>5903</v>
      </c>
      <c r="CL23" s="93">
        <v>5013.1899999999996</v>
      </c>
    </row>
    <row r="24" spans="7:90" x14ac:dyDescent="0.3">
      <c r="G24" s="68" t="s">
        <v>31</v>
      </c>
      <c r="H24" s="93">
        <v>2024</v>
      </c>
      <c r="I24" s="93">
        <v>124</v>
      </c>
      <c r="J24" s="93">
        <v>4713</v>
      </c>
      <c r="K24" s="93">
        <v>0</v>
      </c>
      <c r="M24" s="14" t="s">
        <v>30</v>
      </c>
      <c r="N24" s="93">
        <v>0</v>
      </c>
      <c r="O24" s="93">
        <v>0</v>
      </c>
      <c r="P24" s="93">
        <v>0</v>
      </c>
      <c r="T24" s="68" t="s">
        <v>31</v>
      </c>
      <c r="U24" s="93">
        <v>2024</v>
      </c>
      <c r="V24" s="93">
        <v>529</v>
      </c>
      <c r="W24" s="93">
        <v>690</v>
      </c>
      <c r="X24" s="93">
        <v>175</v>
      </c>
      <c r="Y24" s="93">
        <v>1219</v>
      </c>
      <c r="AB24" s="68" t="s">
        <v>31</v>
      </c>
      <c r="AC24" s="93">
        <v>2024</v>
      </c>
      <c r="AD24" s="93">
        <v>3042</v>
      </c>
      <c r="AE24" s="93">
        <v>359</v>
      </c>
      <c r="AI24" s="68" t="s">
        <v>31</v>
      </c>
      <c r="AJ24" s="93">
        <v>2024</v>
      </c>
      <c r="AK24" s="93">
        <v>2505</v>
      </c>
      <c r="AL24" s="93">
        <v>311</v>
      </c>
      <c r="AP24" s="68" t="s">
        <v>31</v>
      </c>
      <c r="AQ24" s="93">
        <v>2024</v>
      </c>
      <c r="AR24" s="93">
        <v>352</v>
      </c>
      <c r="AS24" s="93">
        <v>3019</v>
      </c>
      <c r="AW24" s="68" t="s">
        <v>31</v>
      </c>
      <c r="AX24" s="93">
        <v>2024</v>
      </c>
      <c r="AY24" s="93">
        <v>134</v>
      </c>
      <c r="AZ24" s="93">
        <v>1493</v>
      </c>
      <c r="BA24" s="93">
        <v>1359</v>
      </c>
      <c r="BD24" s="68" t="s">
        <v>31</v>
      </c>
      <c r="BE24" s="93">
        <v>2024</v>
      </c>
      <c r="BF24" s="93">
        <v>204</v>
      </c>
      <c r="BG24" s="93">
        <v>0</v>
      </c>
      <c r="BH24" s="93">
        <v>485</v>
      </c>
      <c r="BI24" s="93">
        <v>0</v>
      </c>
      <c r="BJ24" s="93">
        <v>640</v>
      </c>
      <c r="BK24" s="93">
        <v>0</v>
      </c>
      <c r="BL24" s="93">
        <v>417</v>
      </c>
      <c r="BM24" s="93">
        <v>169</v>
      </c>
      <c r="BN24" s="93">
        <v>63</v>
      </c>
      <c r="BO24" s="93">
        <v>0</v>
      </c>
      <c r="BP24" s="93">
        <v>490</v>
      </c>
      <c r="BQ24" s="93">
        <v>0</v>
      </c>
      <c r="BR24" s="93">
        <v>0</v>
      </c>
      <c r="BS24" s="93">
        <v>175</v>
      </c>
      <c r="BT24" s="93">
        <v>504</v>
      </c>
      <c r="BU24" s="93">
        <v>0</v>
      </c>
      <c r="BV24" s="93">
        <v>480</v>
      </c>
      <c r="BW24" s="93">
        <v>742</v>
      </c>
      <c r="BX24" s="93">
        <v>0</v>
      </c>
      <c r="BY24" s="93">
        <v>0</v>
      </c>
      <c r="BZ24" s="93">
        <v>472</v>
      </c>
      <c r="CA24" s="93">
        <v>0</v>
      </c>
      <c r="CC24" s="68" t="s">
        <v>31</v>
      </c>
      <c r="CD24" s="93">
        <v>8339</v>
      </c>
      <c r="CE24" s="93">
        <v>4837</v>
      </c>
      <c r="CH24" s="68" t="s">
        <v>31</v>
      </c>
      <c r="CI24" s="93">
        <v>18</v>
      </c>
      <c r="CJ24" s="93">
        <v>4340.16</v>
      </c>
      <c r="CK24" s="93">
        <v>4837</v>
      </c>
      <c r="CL24" s="93">
        <v>4749.34</v>
      </c>
    </row>
    <row r="25" spans="7:90" x14ac:dyDescent="0.3">
      <c r="G25" s="68" t="s">
        <v>32</v>
      </c>
      <c r="H25" s="93">
        <v>2024</v>
      </c>
      <c r="I25" s="93">
        <v>189</v>
      </c>
      <c r="J25" s="93">
        <v>4551</v>
      </c>
      <c r="K25" s="93">
        <v>0</v>
      </c>
      <c r="M25" s="68">
        <v>2023</v>
      </c>
      <c r="N25" s="93">
        <v>0</v>
      </c>
      <c r="O25" s="93">
        <v>0</v>
      </c>
      <c r="P25" s="93">
        <v>0</v>
      </c>
      <c r="T25" s="68" t="s">
        <v>32</v>
      </c>
      <c r="U25" s="93">
        <v>2024</v>
      </c>
      <c r="V25" s="93">
        <v>474</v>
      </c>
      <c r="W25" s="93">
        <v>1066</v>
      </c>
      <c r="X25" s="93">
        <v>205</v>
      </c>
      <c r="Y25" s="93">
        <v>1540</v>
      </c>
      <c r="AB25" s="68" t="s">
        <v>32</v>
      </c>
      <c r="AC25" s="93">
        <v>2024</v>
      </c>
      <c r="AD25" s="93">
        <v>4636</v>
      </c>
      <c r="AE25" s="93">
        <v>546</v>
      </c>
      <c r="AI25" s="68" t="s">
        <v>32</v>
      </c>
      <c r="AJ25" s="93">
        <v>2024</v>
      </c>
      <c r="AK25" s="93">
        <v>4456</v>
      </c>
      <c r="AL25" s="93">
        <v>531</v>
      </c>
      <c r="AP25" s="68" t="s">
        <v>32</v>
      </c>
      <c r="AQ25" s="93">
        <v>2024</v>
      </c>
      <c r="AR25" s="93">
        <v>28</v>
      </c>
      <c r="AS25" s="93">
        <v>269</v>
      </c>
      <c r="AW25" s="68" t="s">
        <v>32</v>
      </c>
      <c r="AX25" s="93">
        <v>2024</v>
      </c>
      <c r="AY25" s="93">
        <v>123</v>
      </c>
      <c r="AZ25" s="93">
        <v>1422</v>
      </c>
      <c r="BA25" s="93">
        <v>1299</v>
      </c>
      <c r="BD25" s="68" t="s">
        <v>32</v>
      </c>
      <c r="BE25" s="93">
        <v>2024</v>
      </c>
      <c r="BF25" s="93">
        <v>357</v>
      </c>
      <c r="BG25" s="93">
        <v>0</v>
      </c>
      <c r="BH25" s="93">
        <v>416</v>
      </c>
      <c r="BI25" s="93">
        <v>93</v>
      </c>
      <c r="BJ25" s="93">
        <v>536</v>
      </c>
      <c r="BK25" s="93">
        <v>0</v>
      </c>
      <c r="BL25" s="93">
        <v>541</v>
      </c>
      <c r="BM25" s="93">
        <v>203</v>
      </c>
      <c r="BN25" s="93">
        <v>466</v>
      </c>
      <c r="BO25" s="93">
        <v>22</v>
      </c>
      <c r="BP25" s="93">
        <v>358</v>
      </c>
      <c r="BQ25" s="93">
        <v>58</v>
      </c>
      <c r="BR25" s="93">
        <v>106</v>
      </c>
      <c r="BS25" s="93">
        <v>220</v>
      </c>
      <c r="BT25" s="93">
        <v>337</v>
      </c>
      <c r="BU25" s="93">
        <v>61</v>
      </c>
      <c r="BV25" s="93">
        <v>352</v>
      </c>
      <c r="BW25" s="93">
        <v>279</v>
      </c>
      <c r="BX25" s="93">
        <v>94</v>
      </c>
      <c r="BY25" s="93">
        <v>32</v>
      </c>
      <c r="BZ25" s="93">
        <v>80</v>
      </c>
      <c r="CA25" s="93">
        <v>129</v>
      </c>
      <c r="CC25" s="68" t="s">
        <v>32</v>
      </c>
      <c r="CD25" s="93">
        <v>6664</v>
      </c>
      <c r="CE25" s="93">
        <v>4740</v>
      </c>
      <c r="CH25" s="68" t="s">
        <v>32</v>
      </c>
      <c r="CI25" s="93">
        <v>19</v>
      </c>
      <c r="CJ25" s="93">
        <v>4581.28</v>
      </c>
      <c r="CK25" s="93">
        <v>4740</v>
      </c>
      <c r="CL25" s="93">
        <v>5013.1899999999996</v>
      </c>
    </row>
    <row r="26" spans="7:90" x14ac:dyDescent="0.3">
      <c r="G26" s="68" t="s">
        <v>33</v>
      </c>
      <c r="H26" s="93">
        <v>2024</v>
      </c>
      <c r="I26" s="93">
        <v>799</v>
      </c>
      <c r="J26" s="93">
        <v>3348</v>
      </c>
      <c r="K26" s="93">
        <v>0</v>
      </c>
      <c r="M26" s="68">
        <v>2024</v>
      </c>
      <c r="N26" s="93">
        <v>0</v>
      </c>
      <c r="O26" s="93">
        <v>0</v>
      </c>
      <c r="P26" s="93">
        <v>0</v>
      </c>
      <c r="T26" s="68" t="s">
        <v>33</v>
      </c>
      <c r="U26" s="93">
        <v>2024</v>
      </c>
      <c r="V26" s="93">
        <v>950</v>
      </c>
      <c r="W26" s="93">
        <v>1180</v>
      </c>
      <c r="X26" s="93">
        <v>238</v>
      </c>
      <c r="Y26" s="93">
        <v>2130</v>
      </c>
      <c r="AB26" s="68" t="s">
        <v>33</v>
      </c>
      <c r="AC26" s="93">
        <v>2024</v>
      </c>
      <c r="AD26" s="93">
        <v>9962</v>
      </c>
      <c r="AE26" s="93">
        <v>1122</v>
      </c>
      <c r="AI26" s="68" t="s">
        <v>33</v>
      </c>
      <c r="AJ26" s="93">
        <v>2024</v>
      </c>
      <c r="AK26" s="93">
        <v>7732</v>
      </c>
      <c r="AL26" s="93">
        <v>875</v>
      </c>
      <c r="AP26" s="68" t="s">
        <v>33</v>
      </c>
      <c r="AQ26" s="93">
        <v>2024</v>
      </c>
      <c r="AR26" s="93">
        <v>0</v>
      </c>
      <c r="AS26" s="93">
        <v>0</v>
      </c>
      <c r="AW26" s="68" t="s">
        <v>33</v>
      </c>
      <c r="AX26" s="93">
        <v>2024</v>
      </c>
      <c r="AY26" s="93">
        <v>241</v>
      </c>
      <c r="AZ26" s="93">
        <v>1794</v>
      </c>
      <c r="BA26" s="93">
        <v>1553</v>
      </c>
      <c r="BD26" s="68" t="s">
        <v>33</v>
      </c>
      <c r="BE26" s="93">
        <v>2024</v>
      </c>
      <c r="BF26" s="93">
        <v>240</v>
      </c>
      <c r="BG26" s="93">
        <v>0</v>
      </c>
      <c r="BH26" s="93">
        <v>260</v>
      </c>
      <c r="BI26" s="93">
        <v>56</v>
      </c>
      <c r="BJ26" s="93">
        <v>289</v>
      </c>
      <c r="BK26" s="93">
        <v>18</v>
      </c>
      <c r="BL26" s="93">
        <v>376</v>
      </c>
      <c r="BM26" s="93">
        <v>110</v>
      </c>
      <c r="BN26" s="93">
        <v>409</v>
      </c>
      <c r="BO26" s="93">
        <v>37</v>
      </c>
      <c r="BP26" s="93">
        <v>326</v>
      </c>
      <c r="BQ26" s="93">
        <v>499</v>
      </c>
      <c r="BR26" s="93">
        <v>61</v>
      </c>
      <c r="BS26" s="93">
        <v>76</v>
      </c>
      <c r="BT26" s="93">
        <v>368</v>
      </c>
      <c r="BU26" s="93">
        <v>5</v>
      </c>
      <c r="BV26" s="93">
        <v>315</v>
      </c>
      <c r="BW26" s="93">
        <v>312</v>
      </c>
      <c r="BX26" s="93">
        <v>85</v>
      </c>
      <c r="BY26" s="93">
        <v>52</v>
      </c>
      <c r="BZ26" s="93">
        <v>210</v>
      </c>
      <c r="CA26" s="93">
        <v>43</v>
      </c>
      <c r="CC26" s="68" t="s">
        <v>33</v>
      </c>
      <c r="CD26" s="93">
        <v>5649</v>
      </c>
      <c r="CE26" s="93">
        <v>4147</v>
      </c>
      <c r="CH26" s="68" t="s">
        <v>33</v>
      </c>
      <c r="CI26" s="93">
        <v>25</v>
      </c>
      <c r="CJ26" s="93">
        <v>6028</v>
      </c>
      <c r="CK26" s="93">
        <v>4147</v>
      </c>
      <c r="CL26" s="93">
        <v>6596.31</v>
      </c>
    </row>
    <row r="27" spans="7:90" x14ac:dyDescent="0.3">
      <c r="G27" s="68" t="s">
        <v>34</v>
      </c>
      <c r="H27" s="93">
        <v>2024</v>
      </c>
      <c r="I27" s="93">
        <v>531</v>
      </c>
      <c r="J27" s="93">
        <v>4026</v>
      </c>
      <c r="K27" s="93">
        <v>0</v>
      </c>
      <c r="M27" s="68">
        <v>2025</v>
      </c>
      <c r="N27" s="93">
        <v>0</v>
      </c>
      <c r="O27" s="93">
        <v>0</v>
      </c>
      <c r="P27" s="93">
        <v>0</v>
      </c>
      <c r="T27" s="68" t="s">
        <v>34</v>
      </c>
      <c r="U27" s="93">
        <v>2024</v>
      </c>
      <c r="V27" s="93">
        <v>46</v>
      </c>
      <c r="W27" s="93">
        <v>101</v>
      </c>
      <c r="X27" s="93">
        <v>15</v>
      </c>
      <c r="Y27" s="93">
        <v>147</v>
      </c>
      <c r="AB27" s="68" t="s">
        <v>34</v>
      </c>
      <c r="AC27" s="93">
        <v>2024</v>
      </c>
      <c r="AD27" s="93">
        <v>12532</v>
      </c>
      <c r="AE27" s="93">
        <v>2173</v>
      </c>
      <c r="AI27" s="68" t="s">
        <v>34</v>
      </c>
      <c r="AJ27" s="93">
        <v>2024</v>
      </c>
      <c r="AK27" s="93">
        <v>11634</v>
      </c>
      <c r="AL27" s="93">
        <v>1969</v>
      </c>
      <c r="AP27" s="68" t="s">
        <v>34</v>
      </c>
      <c r="AQ27" s="93">
        <v>2024</v>
      </c>
      <c r="AR27" s="93">
        <v>0</v>
      </c>
      <c r="AS27" s="93">
        <v>0</v>
      </c>
      <c r="AW27" s="68" t="s">
        <v>34</v>
      </c>
      <c r="AX27" s="93">
        <v>2024</v>
      </c>
      <c r="AY27" s="93">
        <v>388</v>
      </c>
      <c r="AZ27" s="93">
        <v>2189</v>
      </c>
      <c r="BA27" s="93">
        <v>1801</v>
      </c>
      <c r="BD27" s="68" t="s">
        <v>34</v>
      </c>
      <c r="BE27" s="93">
        <v>2024</v>
      </c>
      <c r="BF27" s="93">
        <v>203</v>
      </c>
      <c r="BG27" s="93">
        <v>15</v>
      </c>
      <c r="BH27" s="93">
        <v>312</v>
      </c>
      <c r="BI27" s="93">
        <v>89</v>
      </c>
      <c r="BJ27" s="93">
        <v>407</v>
      </c>
      <c r="BK27" s="93">
        <v>0</v>
      </c>
      <c r="BL27" s="93">
        <v>316</v>
      </c>
      <c r="BM27" s="93">
        <v>62</v>
      </c>
      <c r="BN27" s="93">
        <v>1085</v>
      </c>
      <c r="BO27" s="93">
        <v>22</v>
      </c>
      <c r="BP27" s="93">
        <v>550</v>
      </c>
      <c r="BQ27" s="93">
        <v>165</v>
      </c>
      <c r="BR27" s="93">
        <v>2</v>
      </c>
      <c r="BS27" s="93">
        <v>107</v>
      </c>
      <c r="BT27" s="93">
        <v>282</v>
      </c>
      <c r="BU27" s="93">
        <v>22</v>
      </c>
      <c r="BV27" s="93">
        <v>390</v>
      </c>
      <c r="BW27" s="93">
        <v>304</v>
      </c>
      <c r="BX27" s="93">
        <v>20</v>
      </c>
      <c r="BY27" s="93">
        <v>27</v>
      </c>
      <c r="BZ27" s="93">
        <v>146</v>
      </c>
      <c r="CA27" s="93">
        <v>32</v>
      </c>
      <c r="CC27" s="68" t="s">
        <v>34</v>
      </c>
      <c r="CD27" s="93">
        <v>1170</v>
      </c>
      <c r="CE27" s="93">
        <v>4557</v>
      </c>
      <c r="CH27" s="68" t="s">
        <v>34</v>
      </c>
      <c r="CI27" s="93">
        <v>24</v>
      </c>
      <c r="CJ27" s="93">
        <v>5786.88</v>
      </c>
      <c r="CK27" s="93">
        <v>4557</v>
      </c>
      <c r="CL27" s="93">
        <v>6332.45</v>
      </c>
    </row>
    <row r="28" spans="7:90" x14ac:dyDescent="0.3">
      <c r="G28" s="68" t="s">
        <v>35</v>
      </c>
      <c r="H28" s="93">
        <v>2024</v>
      </c>
      <c r="I28" s="93">
        <v>537</v>
      </c>
      <c r="J28" s="93">
        <v>5301</v>
      </c>
      <c r="K28" s="93">
        <v>0</v>
      </c>
      <c r="M28" s="14" t="s">
        <v>31</v>
      </c>
      <c r="N28" s="93">
        <v>0</v>
      </c>
      <c r="O28" s="93">
        <v>0</v>
      </c>
      <c r="P28" s="93">
        <v>0</v>
      </c>
      <c r="T28" s="68" t="s">
        <v>35</v>
      </c>
      <c r="U28" s="93">
        <v>2024</v>
      </c>
      <c r="V28" s="93">
        <v>1718</v>
      </c>
      <c r="W28" s="93">
        <v>2874</v>
      </c>
      <c r="X28" s="93">
        <v>423</v>
      </c>
      <c r="Y28" s="93">
        <v>4592</v>
      </c>
      <c r="AB28" s="68" t="s">
        <v>35</v>
      </c>
      <c r="AC28" s="93">
        <v>2024</v>
      </c>
      <c r="AD28" s="93">
        <v>7895</v>
      </c>
      <c r="AE28" s="93">
        <v>1488</v>
      </c>
      <c r="AI28" s="68" t="s">
        <v>35</v>
      </c>
      <c r="AJ28" s="93">
        <v>2024</v>
      </c>
      <c r="AK28" s="93">
        <v>4976</v>
      </c>
      <c r="AL28" s="93">
        <v>726</v>
      </c>
      <c r="AP28" s="68" t="s">
        <v>35</v>
      </c>
      <c r="AQ28" s="93">
        <v>2024</v>
      </c>
      <c r="AR28" s="93">
        <v>0</v>
      </c>
      <c r="AS28" s="93">
        <v>0</v>
      </c>
      <c r="AW28" s="68" t="s">
        <v>35</v>
      </c>
      <c r="AX28" s="93">
        <v>2024</v>
      </c>
      <c r="AY28" s="93">
        <v>289</v>
      </c>
      <c r="AZ28" s="93">
        <v>2045</v>
      </c>
      <c r="BA28" s="93">
        <v>1756</v>
      </c>
      <c r="BD28" s="68" t="s">
        <v>35</v>
      </c>
      <c r="BE28" s="93">
        <v>2024</v>
      </c>
      <c r="BF28" s="93">
        <v>256</v>
      </c>
      <c r="BG28" s="93">
        <v>0</v>
      </c>
      <c r="BH28" s="93">
        <v>168</v>
      </c>
      <c r="BI28" s="93">
        <v>64</v>
      </c>
      <c r="BJ28" s="93">
        <v>146</v>
      </c>
      <c r="BK28" s="93">
        <v>264</v>
      </c>
      <c r="BL28" s="93">
        <v>261</v>
      </c>
      <c r="BM28" s="93">
        <v>74</v>
      </c>
      <c r="BN28" s="93">
        <v>1003</v>
      </c>
      <c r="BO28" s="93">
        <v>54</v>
      </c>
      <c r="BP28" s="93">
        <v>268</v>
      </c>
      <c r="BQ28" s="93">
        <v>143</v>
      </c>
      <c r="BR28" s="93">
        <v>0</v>
      </c>
      <c r="BS28" s="93">
        <v>1463</v>
      </c>
      <c r="BT28" s="93">
        <v>607</v>
      </c>
      <c r="BU28" s="93">
        <v>0</v>
      </c>
      <c r="BV28" s="93">
        <v>188</v>
      </c>
      <c r="BW28" s="93">
        <v>335</v>
      </c>
      <c r="BX28" s="93">
        <v>0</v>
      </c>
      <c r="BY28" s="93">
        <v>0</v>
      </c>
      <c r="BZ28" s="93">
        <v>452</v>
      </c>
      <c r="CA28" s="93">
        <v>23</v>
      </c>
      <c r="CC28" s="68" t="s">
        <v>35</v>
      </c>
      <c r="CD28" s="93">
        <v>6255</v>
      </c>
      <c r="CE28" s="93">
        <v>3124</v>
      </c>
      <c r="CH28" s="68" t="s">
        <v>35</v>
      </c>
      <c r="CI28" s="93">
        <v>25</v>
      </c>
      <c r="CJ28" s="93">
        <v>6028</v>
      </c>
      <c r="CK28" s="93">
        <v>5838</v>
      </c>
      <c r="CL28" s="93">
        <v>6596.31</v>
      </c>
    </row>
    <row r="29" spans="7:90" x14ac:dyDescent="0.3">
      <c r="G29" s="68" t="s">
        <v>36</v>
      </c>
      <c r="H29" s="93">
        <v>2024</v>
      </c>
      <c r="I29" s="93">
        <v>660</v>
      </c>
      <c r="J29" s="93">
        <v>4585</v>
      </c>
      <c r="K29" s="93">
        <v>0</v>
      </c>
      <c r="M29" s="68">
        <v>2023</v>
      </c>
      <c r="N29" s="93">
        <v>0</v>
      </c>
      <c r="O29" s="93">
        <v>0</v>
      </c>
      <c r="P29" s="93">
        <v>0</v>
      </c>
      <c r="T29" s="68" t="s">
        <v>36</v>
      </c>
      <c r="U29" s="93">
        <v>2024</v>
      </c>
      <c r="V29" s="93">
        <v>1608</v>
      </c>
      <c r="W29" s="93">
        <v>3147</v>
      </c>
      <c r="X29" s="93">
        <v>512</v>
      </c>
      <c r="Y29" s="93">
        <v>4755</v>
      </c>
      <c r="AB29" s="68" t="s">
        <v>36</v>
      </c>
      <c r="AC29" s="93">
        <v>2024</v>
      </c>
      <c r="AD29" s="93">
        <v>4633</v>
      </c>
      <c r="AE29" s="93">
        <v>1204</v>
      </c>
      <c r="AI29" s="68" t="s">
        <v>36</v>
      </c>
      <c r="AJ29" s="93">
        <v>2024</v>
      </c>
      <c r="AK29" s="93">
        <v>1888</v>
      </c>
      <c r="AL29" s="93">
        <v>525</v>
      </c>
      <c r="AP29" s="68" t="s">
        <v>36</v>
      </c>
      <c r="AQ29" s="93">
        <v>2024</v>
      </c>
      <c r="AR29" s="93">
        <v>0</v>
      </c>
      <c r="AS29" s="93">
        <v>0</v>
      </c>
      <c r="AW29" s="68" t="s">
        <v>36</v>
      </c>
      <c r="AX29" s="93">
        <v>2024</v>
      </c>
      <c r="AY29" s="93">
        <v>274</v>
      </c>
      <c r="AZ29" s="93">
        <v>1780</v>
      </c>
      <c r="BA29" s="93">
        <v>1506</v>
      </c>
      <c r="BD29" s="68" t="s">
        <v>36</v>
      </c>
      <c r="BE29" s="93">
        <v>2024</v>
      </c>
      <c r="BF29" s="93">
        <v>476</v>
      </c>
      <c r="BG29" s="93">
        <v>24</v>
      </c>
      <c r="BH29" s="93">
        <v>117</v>
      </c>
      <c r="BI29" s="93">
        <v>588</v>
      </c>
      <c r="BJ29" s="93">
        <v>249</v>
      </c>
      <c r="BK29" s="93">
        <v>843</v>
      </c>
      <c r="BL29" s="93">
        <v>171</v>
      </c>
      <c r="BM29" s="93">
        <v>92</v>
      </c>
      <c r="BN29" s="93">
        <v>347</v>
      </c>
      <c r="BO29" s="93">
        <v>65</v>
      </c>
      <c r="BP29" s="93">
        <v>137</v>
      </c>
      <c r="BQ29" s="93">
        <v>190</v>
      </c>
      <c r="BR29" s="93">
        <v>27</v>
      </c>
      <c r="BS29" s="93">
        <v>412</v>
      </c>
      <c r="BT29" s="93">
        <v>193</v>
      </c>
      <c r="BU29" s="93">
        <v>3</v>
      </c>
      <c r="BV29" s="93">
        <v>477</v>
      </c>
      <c r="BW29" s="93">
        <v>313</v>
      </c>
      <c r="BX29" s="93">
        <v>12</v>
      </c>
      <c r="BY29" s="93">
        <v>93</v>
      </c>
      <c r="BZ29" s="93">
        <v>53</v>
      </c>
      <c r="CA29" s="93">
        <v>31</v>
      </c>
      <c r="CC29" s="68" t="s">
        <v>36</v>
      </c>
      <c r="CD29" s="93">
        <v>1109</v>
      </c>
      <c r="CE29" s="93">
        <v>313</v>
      </c>
      <c r="CH29" s="68" t="s">
        <v>36</v>
      </c>
      <c r="CI29" s="93">
        <v>18</v>
      </c>
      <c r="CJ29" s="93">
        <v>4340.16</v>
      </c>
      <c r="CK29" s="93">
        <v>5570</v>
      </c>
      <c r="CL29" s="93">
        <v>4749.34</v>
      </c>
    </row>
    <row r="30" spans="7:90" x14ac:dyDescent="0.3">
      <c r="G30" s="14">
        <v>2025</v>
      </c>
      <c r="H30" s="93">
        <v>12150</v>
      </c>
      <c r="I30" s="93">
        <v>0</v>
      </c>
      <c r="J30" s="93">
        <v>0</v>
      </c>
      <c r="K30" s="93">
        <v>0</v>
      </c>
      <c r="M30" s="68">
        <v>2024</v>
      </c>
      <c r="N30" s="93">
        <v>0</v>
      </c>
      <c r="O30" s="93">
        <v>0</v>
      </c>
      <c r="P30" s="93">
        <v>0</v>
      </c>
      <c r="T30" s="14">
        <v>2025</v>
      </c>
      <c r="U30" s="93">
        <v>12150</v>
      </c>
      <c r="V30" s="93">
        <v>0</v>
      </c>
      <c r="W30" s="93">
        <v>0</v>
      </c>
      <c r="X30" s="93">
        <v>0</v>
      </c>
      <c r="Y30" s="93">
        <v>0</v>
      </c>
      <c r="AB30" s="14">
        <v>2025</v>
      </c>
      <c r="AC30" s="93">
        <v>12150</v>
      </c>
      <c r="AD30" s="93">
        <v>0</v>
      </c>
      <c r="AE30" s="93">
        <v>0</v>
      </c>
      <c r="AI30" s="14">
        <v>2025</v>
      </c>
      <c r="AJ30" s="93">
        <v>12150</v>
      </c>
      <c r="AK30" s="93">
        <v>0</v>
      </c>
      <c r="AL30" s="93">
        <v>0</v>
      </c>
      <c r="AP30" s="14">
        <v>2025</v>
      </c>
      <c r="AQ30" s="93">
        <v>12150</v>
      </c>
      <c r="AR30" s="93">
        <v>0</v>
      </c>
      <c r="AS30" s="93">
        <v>0</v>
      </c>
      <c r="AW30" s="14">
        <v>2025</v>
      </c>
      <c r="AX30" s="93">
        <v>12150</v>
      </c>
      <c r="AY30" s="93">
        <v>0</v>
      </c>
      <c r="AZ30" s="93">
        <v>0</v>
      </c>
      <c r="BA30" s="93">
        <v>0</v>
      </c>
      <c r="BD30" s="14">
        <v>2025</v>
      </c>
      <c r="BE30" s="93">
        <v>12150</v>
      </c>
      <c r="BF30" s="93">
        <v>0</v>
      </c>
      <c r="BG30" s="93">
        <v>0</v>
      </c>
      <c r="BH30" s="93">
        <v>0</v>
      </c>
      <c r="BI30" s="93">
        <v>0</v>
      </c>
      <c r="BJ30" s="93">
        <v>0</v>
      </c>
      <c r="BK30" s="93">
        <v>0</v>
      </c>
      <c r="BL30" s="93">
        <v>0</v>
      </c>
      <c r="BM30" s="93">
        <v>0</v>
      </c>
      <c r="BN30" s="93">
        <v>0</v>
      </c>
      <c r="BO30" s="93">
        <v>0</v>
      </c>
      <c r="BP30" s="93">
        <v>0</v>
      </c>
      <c r="BQ30" s="93">
        <v>0</v>
      </c>
      <c r="BR30" s="93">
        <v>0</v>
      </c>
      <c r="BS30" s="93">
        <v>0</v>
      </c>
      <c r="BT30" s="93">
        <v>0</v>
      </c>
      <c r="BU30" s="93">
        <v>0</v>
      </c>
      <c r="BV30" s="93">
        <v>0</v>
      </c>
      <c r="BW30" s="93">
        <v>0</v>
      </c>
      <c r="BX30" s="93">
        <v>0</v>
      </c>
      <c r="BY30" s="93">
        <v>0</v>
      </c>
      <c r="BZ30" s="93">
        <v>0</v>
      </c>
      <c r="CA30" s="93">
        <v>0</v>
      </c>
      <c r="CC30" s="14">
        <v>2025</v>
      </c>
      <c r="CD30" s="93">
        <v>0</v>
      </c>
      <c r="CE30" s="93">
        <v>0</v>
      </c>
      <c r="CH30" s="14">
        <v>2025</v>
      </c>
      <c r="CI30" s="93">
        <v>0</v>
      </c>
      <c r="CJ30" s="93">
        <v>0</v>
      </c>
      <c r="CK30" s="93">
        <v>0</v>
      </c>
      <c r="CL30" s="93">
        <v>0</v>
      </c>
    </row>
    <row r="31" spans="7:90" x14ac:dyDescent="0.3">
      <c r="G31" s="68" t="s">
        <v>25</v>
      </c>
      <c r="H31" s="93">
        <v>2025</v>
      </c>
      <c r="I31" s="93">
        <v>0</v>
      </c>
      <c r="J31" s="93">
        <v>0</v>
      </c>
      <c r="K31" s="93">
        <v>0</v>
      </c>
      <c r="M31" s="14" t="s">
        <v>32</v>
      </c>
      <c r="N31" s="93">
        <v>0</v>
      </c>
      <c r="O31" s="93">
        <v>0</v>
      </c>
      <c r="P31" s="93">
        <v>0</v>
      </c>
      <c r="T31" s="68" t="s">
        <v>25</v>
      </c>
      <c r="U31" s="93">
        <v>2025</v>
      </c>
      <c r="V31" s="93">
        <v>0</v>
      </c>
      <c r="W31" s="93">
        <v>0</v>
      </c>
      <c r="X31" s="93">
        <v>0</v>
      </c>
      <c r="Y31" s="93">
        <v>0</v>
      </c>
      <c r="AB31" s="68" t="s">
        <v>25</v>
      </c>
      <c r="AC31" s="93">
        <v>2025</v>
      </c>
      <c r="AD31" s="93">
        <v>0</v>
      </c>
      <c r="AE31" s="93">
        <v>0</v>
      </c>
      <c r="AI31" s="68" t="s">
        <v>25</v>
      </c>
      <c r="AJ31" s="93">
        <v>2025</v>
      </c>
      <c r="AK31" s="93">
        <v>0</v>
      </c>
      <c r="AL31" s="93">
        <v>0</v>
      </c>
      <c r="AP31" s="68" t="s">
        <v>25</v>
      </c>
      <c r="AQ31" s="93">
        <v>2025</v>
      </c>
      <c r="AR31" s="93">
        <v>0</v>
      </c>
      <c r="AS31" s="93">
        <v>0</v>
      </c>
      <c r="AW31" s="68" t="s">
        <v>25</v>
      </c>
      <c r="AX31" s="93">
        <v>2025</v>
      </c>
      <c r="AY31" s="93">
        <v>0</v>
      </c>
      <c r="AZ31" s="93">
        <v>0</v>
      </c>
      <c r="BA31" s="93">
        <v>0</v>
      </c>
      <c r="BD31" s="68" t="s">
        <v>25</v>
      </c>
      <c r="BE31" s="93">
        <v>2025</v>
      </c>
      <c r="BF31" s="93">
        <v>0</v>
      </c>
      <c r="BG31" s="93">
        <v>0</v>
      </c>
      <c r="BH31" s="93">
        <v>0</v>
      </c>
      <c r="BI31" s="93">
        <v>0</v>
      </c>
      <c r="BJ31" s="93">
        <v>0</v>
      </c>
      <c r="BK31" s="93">
        <v>0</v>
      </c>
      <c r="BL31" s="93">
        <v>0</v>
      </c>
      <c r="BM31" s="93">
        <v>0</v>
      </c>
      <c r="BN31" s="93">
        <v>0</v>
      </c>
      <c r="BO31" s="93">
        <v>0</v>
      </c>
      <c r="BP31" s="93">
        <v>0</v>
      </c>
      <c r="BQ31" s="93">
        <v>0</v>
      </c>
      <c r="BR31" s="93">
        <v>0</v>
      </c>
      <c r="BS31" s="93">
        <v>0</v>
      </c>
      <c r="BT31" s="93">
        <v>0</v>
      </c>
      <c r="BU31" s="93">
        <v>0</v>
      </c>
      <c r="BV31" s="93">
        <v>0</v>
      </c>
      <c r="BW31" s="93">
        <v>0</v>
      </c>
      <c r="BX31" s="93">
        <v>0</v>
      </c>
      <c r="BY31" s="93">
        <v>0</v>
      </c>
      <c r="BZ31" s="93">
        <v>0</v>
      </c>
      <c r="CA31" s="93">
        <v>0</v>
      </c>
      <c r="CC31" s="68" t="s">
        <v>25</v>
      </c>
      <c r="CD31" s="93">
        <v>0</v>
      </c>
      <c r="CE31" s="93">
        <v>0</v>
      </c>
      <c r="CH31" s="68" t="s">
        <v>25</v>
      </c>
      <c r="CI31" s="93">
        <v>0</v>
      </c>
      <c r="CJ31" s="93">
        <v>0</v>
      </c>
      <c r="CK31" s="93">
        <v>0</v>
      </c>
      <c r="CL31" s="93">
        <v>0</v>
      </c>
    </row>
    <row r="32" spans="7:90" x14ac:dyDescent="0.3">
      <c r="G32" s="68" t="s">
        <v>26</v>
      </c>
      <c r="H32" s="93">
        <v>2025</v>
      </c>
      <c r="I32" s="93">
        <v>0</v>
      </c>
      <c r="J32" s="93">
        <v>0</v>
      </c>
      <c r="K32" s="93">
        <v>0</v>
      </c>
      <c r="M32" s="68">
        <v>2023</v>
      </c>
      <c r="N32" s="93">
        <v>0</v>
      </c>
      <c r="O32" s="93">
        <v>0</v>
      </c>
      <c r="P32" s="93">
        <v>0</v>
      </c>
      <c r="T32" s="68" t="s">
        <v>26</v>
      </c>
      <c r="U32" s="93">
        <v>2025</v>
      </c>
      <c r="V32" s="93">
        <v>0</v>
      </c>
      <c r="W32" s="93">
        <v>0</v>
      </c>
      <c r="X32" s="93">
        <v>0</v>
      </c>
      <c r="Y32" s="93">
        <v>0</v>
      </c>
      <c r="AB32" s="68" t="s">
        <v>26</v>
      </c>
      <c r="AC32" s="93">
        <v>2025</v>
      </c>
      <c r="AD32" s="93">
        <v>0</v>
      </c>
      <c r="AE32" s="93">
        <v>0</v>
      </c>
      <c r="AI32" s="68" t="s">
        <v>26</v>
      </c>
      <c r="AJ32" s="93">
        <v>2025</v>
      </c>
      <c r="AK32" s="93">
        <v>0</v>
      </c>
      <c r="AL32" s="93">
        <v>0</v>
      </c>
      <c r="AP32" s="68" t="s">
        <v>26</v>
      </c>
      <c r="AQ32" s="93">
        <v>2025</v>
      </c>
      <c r="AR32" s="93">
        <v>0</v>
      </c>
      <c r="AS32" s="93">
        <v>0</v>
      </c>
      <c r="AW32" s="68" t="s">
        <v>26</v>
      </c>
      <c r="AX32" s="93">
        <v>2025</v>
      </c>
      <c r="AY32" s="93">
        <v>0</v>
      </c>
      <c r="AZ32" s="93">
        <v>0</v>
      </c>
      <c r="BA32" s="93">
        <v>0</v>
      </c>
      <c r="BD32" s="68" t="s">
        <v>26</v>
      </c>
      <c r="BE32" s="93">
        <v>2025</v>
      </c>
      <c r="BF32" s="93">
        <v>0</v>
      </c>
      <c r="BG32" s="93">
        <v>0</v>
      </c>
      <c r="BH32" s="93">
        <v>0</v>
      </c>
      <c r="BI32" s="93">
        <v>0</v>
      </c>
      <c r="BJ32" s="93">
        <v>0</v>
      </c>
      <c r="BK32" s="93">
        <v>0</v>
      </c>
      <c r="BL32" s="93">
        <v>0</v>
      </c>
      <c r="BM32" s="93">
        <v>0</v>
      </c>
      <c r="BN32" s="93">
        <v>0</v>
      </c>
      <c r="BO32" s="93">
        <v>0</v>
      </c>
      <c r="BP32" s="93">
        <v>0</v>
      </c>
      <c r="BQ32" s="93">
        <v>0</v>
      </c>
      <c r="BR32" s="93">
        <v>0</v>
      </c>
      <c r="BS32" s="93">
        <v>0</v>
      </c>
      <c r="BT32" s="93">
        <v>0</v>
      </c>
      <c r="BU32" s="93">
        <v>0</v>
      </c>
      <c r="BV32" s="93">
        <v>0</v>
      </c>
      <c r="BW32" s="93">
        <v>0</v>
      </c>
      <c r="BX32" s="93">
        <v>0</v>
      </c>
      <c r="BY32" s="93">
        <v>0</v>
      </c>
      <c r="BZ32" s="93">
        <v>0</v>
      </c>
      <c r="CA32" s="93">
        <v>0</v>
      </c>
      <c r="CC32" s="68" t="s">
        <v>26</v>
      </c>
      <c r="CD32" s="93">
        <v>0</v>
      </c>
      <c r="CE32" s="93">
        <v>0</v>
      </c>
      <c r="CH32" s="68" t="s">
        <v>26</v>
      </c>
      <c r="CI32" s="93">
        <v>0</v>
      </c>
      <c r="CJ32" s="93">
        <v>0</v>
      </c>
      <c r="CK32" s="93">
        <v>0</v>
      </c>
      <c r="CL32" s="93">
        <v>0</v>
      </c>
    </row>
    <row r="33" spans="1:90" x14ac:dyDescent="0.3">
      <c r="G33" s="68" t="s">
        <v>27</v>
      </c>
      <c r="H33" s="93">
        <v>2025</v>
      </c>
      <c r="I33" s="93">
        <v>0</v>
      </c>
      <c r="J33" s="93">
        <v>0</v>
      </c>
      <c r="K33" s="93">
        <v>0</v>
      </c>
      <c r="M33" s="68">
        <v>2024</v>
      </c>
      <c r="N33" s="93">
        <v>0</v>
      </c>
      <c r="O33" s="93">
        <v>0</v>
      </c>
      <c r="P33" s="93">
        <v>0</v>
      </c>
      <c r="T33" s="68" t="s">
        <v>27</v>
      </c>
      <c r="U33" s="93">
        <v>2025</v>
      </c>
      <c r="V33" s="93">
        <v>0</v>
      </c>
      <c r="W33" s="93">
        <v>0</v>
      </c>
      <c r="X33" s="93">
        <v>0</v>
      </c>
      <c r="Y33" s="93">
        <v>0</v>
      </c>
      <c r="AB33" s="68" t="s">
        <v>27</v>
      </c>
      <c r="AC33" s="93">
        <v>2025</v>
      </c>
      <c r="AD33" s="93">
        <v>0</v>
      </c>
      <c r="AE33" s="93">
        <v>0</v>
      </c>
      <c r="AI33" s="68" t="s">
        <v>27</v>
      </c>
      <c r="AJ33" s="93">
        <v>2025</v>
      </c>
      <c r="AK33" s="93">
        <v>0</v>
      </c>
      <c r="AL33" s="93">
        <v>0</v>
      </c>
      <c r="AP33" s="68" t="s">
        <v>27</v>
      </c>
      <c r="AQ33" s="93">
        <v>2025</v>
      </c>
      <c r="AR33" s="93">
        <v>0</v>
      </c>
      <c r="AS33" s="93">
        <v>0</v>
      </c>
      <c r="AW33" s="68" t="s">
        <v>27</v>
      </c>
      <c r="AX33" s="93">
        <v>2025</v>
      </c>
      <c r="AY33" s="93">
        <v>0</v>
      </c>
      <c r="AZ33" s="93">
        <v>0</v>
      </c>
      <c r="BA33" s="93">
        <v>0</v>
      </c>
      <c r="BD33" s="68" t="s">
        <v>27</v>
      </c>
      <c r="BE33" s="93">
        <v>2025</v>
      </c>
      <c r="BF33" s="93"/>
      <c r="BG33" s="93">
        <v>0</v>
      </c>
      <c r="BH33" s="93">
        <v>0</v>
      </c>
      <c r="BI33" s="93">
        <v>0</v>
      </c>
      <c r="BJ33" s="93">
        <v>0</v>
      </c>
      <c r="BK33" s="93">
        <v>0</v>
      </c>
      <c r="BL33" s="93">
        <v>0</v>
      </c>
      <c r="BM33" s="93">
        <v>0</v>
      </c>
      <c r="BN33" s="93">
        <v>0</v>
      </c>
      <c r="BO33" s="93">
        <v>0</v>
      </c>
      <c r="BP33" s="93">
        <v>0</v>
      </c>
      <c r="BQ33" s="93">
        <v>0</v>
      </c>
      <c r="BR33" s="93">
        <v>0</v>
      </c>
      <c r="BS33" s="93">
        <v>0</v>
      </c>
      <c r="BT33" s="93">
        <v>0</v>
      </c>
      <c r="BU33" s="93">
        <v>0</v>
      </c>
      <c r="BV33" s="93">
        <v>0</v>
      </c>
      <c r="BW33" s="93">
        <v>0</v>
      </c>
      <c r="BX33" s="93">
        <v>0</v>
      </c>
      <c r="BY33" s="93">
        <v>0</v>
      </c>
      <c r="BZ33" s="93">
        <v>0</v>
      </c>
      <c r="CA33" s="93">
        <v>0</v>
      </c>
      <c r="CC33" s="68" t="s">
        <v>27</v>
      </c>
      <c r="CD33" s="93">
        <v>0</v>
      </c>
      <c r="CE33" s="93">
        <v>0</v>
      </c>
      <c r="CH33" s="68" t="s">
        <v>27</v>
      </c>
      <c r="CI33" s="93">
        <v>0</v>
      </c>
      <c r="CJ33" s="93">
        <v>0</v>
      </c>
      <c r="CK33" s="93">
        <v>0</v>
      </c>
      <c r="CL33" s="93">
        <v>0</v>
      </c>
    </row>
    <row r="34" spans="1:90" x14ac:dyDescent="0.3">
      <c r="G34" s="68" t="s">
        <v>28</v>
      </c>
      <c r="H34" s="93">
        <v>2025</v>
      </c>
      <c r="I34" s="93">
        <v>0</v>
      </c>
      <c r="J34" s="93">
        <v>0</v>
      </c>
      <c r="K34" s="93">
        <v>0</v>
      </c>
      <c r="M34" s="14" t="s">
        <v>33</v>
      </c>
      <c r="N34" s="93">
        <v>0</v>
      </c>
      <c r="O34" s="93">
        <v>0</v>
      </c>
      <c r="P34" s="93">
        <v>0</v>
      </c>
      <c r="T34" s="68" t="s">
        <v>28</v>
      </c>
      <c r="U34" s="93">
        <v>2025</v>
      </c>
      <c r="V34" s="93">
        <v>0</v>
      </c>
      <c r="W34" s="93">
        <v>0</v>
      </c>
      <c r="X34" s="93">
        <v>0</v>
      </c>
      <c r="Y34" s="93">
        <v>0</v>
      </c>
      <c r="AB34" s="68" t="s">
        <v>28</v>
      </c>
      <c r="AC34" s="93">
        <v>2025</v>
      </c>
      <c r="AD34" s="93">
        <v>0</v>
      </c>
      <c r="AE34" s="93">
        <v>0</v>
      </c>
      <c r="AI34" s="68" t="s">
        <v>28</v>
      </c>
      <c r="AJ34" s="93">
        <v>2025</v>
      </c>
      <c r="AK34" s="93">
        <v>0</v>
      </c>
      <c r="AL34" s="93">
        <v>0</v>
      </c>
      <c r="AP34" s="68" t="s">
        <v>28</v>
      </c>
      <c r="AQ34" s="93">
        <v>2025</v>
      </c>
      <c r="AR34" s="93">
        <v>0</v>
      </c>
      <c r="AS34" s="93">
        <v>0</v>
      </c>
      <c r="AW34" s="68" t="s">
        <v>28</v>
      </c>
      <c r="AX34" s="93">
        <v>2025</v>
      </c>
      <c r="AY34" s="93">
        <v>0</v>
      </c>
      <c r="AZ34" s="93">
        <v>0</v>
      </c>
      <c r="BA34" s="93">
        <v>0</v>
      </c>
      <c r="BD34" s="68" t="s">
        <v>28</v>
      </c>
      <c r="BE34" s="93">
        <v>2025</v>
      </c>
      <c r="BF34" s="93">
        <v>0</v>
      </c>
      <c r="BG34" s="93">
        <v>0</v>
      </c>
      <c r="BH34" s="93">
        <v>0</v>
      </c>
      <c r="BI34" s="93">
        <v>0</v>
      </c>
      <c r="BJ34" s="93">
        <v>0</v>
      </c>
      <c r="BK34" s="93">
        <v>0</v>
      </c>
      <c r="BL34" s="93">
        <v>0</v>
      </c>
      <c r="BM34" s="93">
        <v>0</v>
      </c>
      <c r="BN34" s="93">
        <v>0</v>
      </c>
      <c r="BO34" s="93">
        <v>0</v>
      </c>
      <c r="BP34" s="93">
        <v>0</v>
      </c>
      <c r="BQ34" s="93">
        <v>0</v>
      </c>
      <c r="BR34" s="93">
        <v>0</v>
      </c>
      <c r="BS34" s="93">
        <v>0</v>
      </c>
      <c r="BT34" s="93">
        <v>0</v>
      </c>
      <c r="BU34" s="93">
        <v>0</v>
      </c>
      <c r="BV34" s="93">
        <v>0</v>
      </c>
      <c r="BW34" s="93">
        <v>0</v>
      </c>
      <c r="BX34" s="93">
        <v>0</v>
      </c>
      <c r="BY34" s="93">
        <v>0</v>
      </c>
      <c r="BZ34" s="93">
        <v>0</v>
      </c>
      <c r="CA34" s="93">
        <v>0</v>
      </c>
      <c r="CC34" s="68" t="s">
        <v>28</v>
      </c>
      <c r="CD34" s="93">
        <v>0</v>
      </c>
      <c r="CE34" s="93">
        <v>0</v>
      </c>
      <c r="CH34" s="68" t="s">
        <v>28</v>
      </c>
      <c r="CI34" s="93">
        <v>0</v>
      </c>
      <c r="CJ34" s="93">
        <v>0</v>
      </c>
      <c r="CK34" s="93">
        <v>0</v>
      </c>
      <c r="CL34" s="93">
        <v>0</v>
      </c>
    </row>
    <row r="35" spans="1:90" x14ac:dyDescent="0.3">
      <c r="G35" s="68" t="s">
        <v>29</v>
      </c>
      <c r="H35" s="93">
        <v>2025</v>
      </c>
      <c r="I35" s="93">
        <v>0</v>
      </c>
      <c r="J35" s="93">
        <v>0</v>
      </c>
      <c r="K35" s="93">
        <v>0</v>
      </c>
      <c r="M35" s="68">
        <v>2023</v>
      </c>
      <c r="N35" s="93">
        <v>0</v>
      </c>
      <c r="O35" s="93">
        <v>0</v>
      </c>
      <c r="P35" s="93">
        <v>0</v>
      </c>
      <c r="T35" s="68" t="s">
        <v>29</v>
      </c>
      <c r="U35" s="93">
        <v>2025</v>
      </c>
      <c r="V35" s="93">
        <v>0</v>
      </c>
      <c r="W35" s="93">
        <v>0</v>
      </c>
      <c r="X35" s="93">
        <v>0</v>
      </c>
      <c r="Y35" s="93">
        <v>0</v>
      </c>
      <c r="AB35" s="68" t="s">
        <v>29</v>
      </c>
      <c r="AC35" s="93">
        <v>2025</v>
      </c>
      <c r="AD35" s="93">
        <v>0</v>
      </c>
      <c r="AE35" s="93">
        <v>0</v>
      </c>
      <c r="AI35" s="68" t="s">
        <v>29</v>
      </c>
      <c r="AJ35" s="93">
        <v>2025</v>
      </c>
      <c r="AK35" s="93">
        <v>0</v>
      </c>
      <c r="AL35" s="93">
        <v>0</v>
      </c>
      <c r="AP35" s="68" t="s">
        <v>29</v>
      </c>
      <c r="AQ35" s="93">
        <v>2025</v>
      </c>
      <c r="AR35" s="93">
        <v>0</v>
      </c>
      <c r="AS35" s="93">
        <v>0</v>
      </c>
      <c r="AW35" s="68" t="s">
        <v>29</v>
      </c>
      <c r="AX35" s="93">
        <v>2025</v>
      </c>
      <c r="AY35" s="93">
        <v>0</v>
      </c>
      <c r="AZ35" s="93">
        <v>0</v>
      </c>
      <c r="BA35" s="93">
        <v>0</v>
      </c>
      <c r="BD35" s="68" t="s">
        <v>29</v>
      </c>
      <c r="BE35" s="93">
        <v>2025</v>
      </c>
      <c r="BF35" s="93">
        <v>0</v>
      </c>
      <c r="BG35" s="93">
        <v>0</v>
      </c>
      <c r="BH35" s="93">
        <v>0</v>
      </c>
      <c r="BI35" s="93">
        <v>0</v>
      </c>
      <c r="BJ35" s="93">
        <v>0</v>
      </c>
      <c r="BK35" s="93">
        <v>0</v>
      </c>
      <c r="BL35" s="93">
        <v>0</v>
      </c>
      <c r="BM35" s="93">
        <v>0</v>
      </c>
      <c r="BN35" s="93">
        <v>0</v>
      </c>
      <c r="BO35" s="93">
        <v>0</v>
      </c>
      <c r="BP35" s="93">
        <v>0</v>
      </c>
      <c r="BQ35" s="93">
        <v>0</v>
      </c>
      <c r="BR35" s="93">
        <v>0</v>
      </c>
      <c r="BS35" s="93">
        <v>0</v>
      </c>
      <c r="BT35" s="93">
        <v>0</v>
      </c>
      <c r="BU35" s="93">
        <v>0</v>
      </c>
      <c r="BV35" s="93">
        <v>0</v>
      </c>
      <c r="BW35" s="93">
        <v>0</v>
      </c>
      <c r="BX35" s="93">
        <v>0</v>
      </c>
      <c r="BY35" s="93">
        <v>0</v>
      </c>
      <c r="BZ35" s="93">
        <v>0</v>
      </c>
      <c r="CA35" s="93">
        <v>0</v>
      </c>
      <c r="CC35" s="68" t="s">
        <v>29</v>
      </c>
      <c r="CD35" s="93">
        <v>0</v>
      </c>
      <c r="CE35" s="93">
        <v>0</v>
      </c>
      <c r="CH35" s="68" t="s">
        <v>29</v>
      </c>
      <c r="CI35" s="93">
        <v>0</v>
      </c>
      <c r="CJ35" s="93">
        <v>0</v>
      </c>
      <c r="CK35" s="93">
        <v>0</v>
      </c>
      <c r="CL35" s="93">
        <v>0</v>
      </c>
    </row>
    <row r="36" spans="1:90" x14ac:dyDescent="0.3">
      <c r="G36" s="68" t="s">
        <v>30</v>
      </c>
      <c r="H36" s="93">
        <v>2025</v>
      </c>
      <c r="I36" s="93">
        <v>0</v>
      </c>
      <c r="J36" s="93">
        <v>0</v>
      </c>
      <c r="K36" s="93">
        <v>0</v>
      </c>
      <c r="M36" s="68">
        <v>2024</v>
      </c>
      <c r="N36" s="93">
        <v>0</v>
      </c>
      <c r="O36" s="93">
        <v>0</v>
      </c>
      <c r="P36" s="93">
        <v>0</v>
      </c>
      <c r="T36" s="68" t="s">
        <v>30</v>
      </c>
      <c r="U36" s="93">
        <v>2025</v>
      </c>
      <c r="V36" s="93">
        <v>0</v>
      </c>
      <c r="W36" s="93">
        <v>0</v>
      </c>
      <c r="X36" s="93">
        <v>0</v>
      </c>
      <c r="Y36" s="93">
        <v>0</v>
      </c>
      <c r="AB36" s="68" t="s">
        <v>30</v>
      </c>
      <c r="AC36" s="93">
        <v>2025</v>
      </c>
      <c r="AD36" s="93">
        <v>0</v>
      </c>
      <c r="AE36" s="93">
        <v>0</v>
      </c>
      <c r="AI36" s="68" t="s">
        <v>30</v>
      </c>
      <c r="AJ36" s="93">
        <v>2025</v>
      </c>
      <c r="AK36" s="93">
        <v>0</v>
      </c>
      <c r="AL36" s="93">
        <v>0</v>
      </c>
      <c r="AP36" s="68" t="s">
        <v>30</v>
      </c>
      <c r="AQ36" s="93">
        <v>2025</v>
      </c>
      <c r="AR36" s="93">
        <v>0</v>
      </c>
      <c r="AS36" s="93">
        <v>0</v>
      </c>
      <c r="AW36" s="68" t="s">
        <v>30</v>
      </c>
      <c r="AX36" s="93">
        <v>2025</v>
      </c>
      <c r="AY36" s="93">
        <v>0</v>
      </c>
      <c r="AZ36" s="93">
        <v>0</v>
      </c>
      <c r="BA36" s="93">
        <v>0</v>
      </c>
      <c r="BD36" s="68" t="s">
        <v>30</v>
      </c>
      <c r="BE36" s="93">
        <v>2025</v>
      </c>
      <c r="BF36" s="93">
        <v>0</v>
      </c>
      <c r="BG36" s="93">
        <v>0</v>
      </c>
      <c r="BH36" s="93">
        <v>0</v>
      </c>
      <c r="BI36" s="93">
        <v>0</v>
      </c>
      <c r="BJ36" s="93">
        <v>0</v>
      </c>
      <c r="BK36" s="93">
        <v>0</v>
      </c>
      <c r="BL36" s="93">
        <v>0</v>
      </c>
      <c r="BM36" s="93">
        <v>0</v>
      </c>
      <c r="BN36" s="93">
        <v>0</v>
      </c>
      <c r="BO36" s="93">
        <v>0</v>
      </c>
      <c r="BP36" s="93">
        <v>0</v>
      </c>
      <c r="BQ36" s="93">
        <v>0</v>
      </c>
      <c r="BR36" s="93">
        <v>0</v>
      </c>
      <c r="BS36" s="93">
        <v>0</v>
      </c>
      <c r="BT36" s="93">
        <v>0</v>
      </c>
      <c r="BU36" s="93">
        <v>0</v>
      </c>
      <c r="BV36" s="93">
        <v>0</v>
      </c>
      <c r="BW36" s="93">
        <v>0</v>
      </c>
      <c r="BX36" s="93">
        <v>0</v>
      </c>
      <c r="BY36" s="93">
        <v>0</v>
      </c>
      <c r="BZ36" s="93">
        <v>0</v>
      </c>
      <c r="CA36" s="93">
        <v>0</v>
      </c>
      <c r="CC36" s="68" t="s">
        <v>30</v>
      </c>
      <c r="CD36" s="93">
        <v>0</v>
      </c>
      <c r="CE36" s="93">
        <v>0</v>
      </c>
      <c r="CH36" s="68" t="s">
        <v>30</v>
      </c>
      <c r="CI36" s="93">
        <v>0</v>
      </c>
      <c r="CJ36" s="93">
        <v>0</v>
      </c>
      <c r="CK36" s="93">
        <v>0</v>
      </c>
      <c r="CL36" s="93">
        <v>0</v>
      </c>
    </row>
    <row r="37" spans="1:90" x14ac:dyDescent="0.3">
      <c r="G37" s="14" t="s">
        <v>38</v>
      </c>
      <c r="H37" s="93">
        <v>60714</v>
      </c>
      <c r="I37" s="93">
        <v>3759</v>
      </c>
      <c r="J37" s="93">
        <v>52821</v>
      </c>
      <c r="K37" s="93">
        <v>0</v>
      </c>
      <c r="M37" s="14" t="s">
        <v>34</v>
      </c>
      <c r="N37" s="93">
        <v>0</v>
      </c>
      <c r="O37" s="93">
        <v>0</v>
      </c>
      <c r="P37" s="93">
        <v>0</v>
      </c>
      <c r="T37" s="14" t="s">
        <v>38</v>
      </c>
      <c r="U37" s="93">
        <v>60714</v>
      </c>
      <c r="V37" s="93">
        <v>5362</v>
      </c>
      <c r="W37" s="93">
        <v>9058</v>
      </c>
      <c r="X37" s="93">
        <v>1569</v>
      </c>
      <c r="Y37" s="93">
        <v>14420</v>
      </c>
      <c r="AB37" s="14" t="s">
        <v>38</v>
      </c>
      <c r="AC37" s="93">
        <v>60714</v>
      </c>
      <c r="AD37" s="93">
        <v>45145</v>
      </c>
      <c r="AE37" s="93">
        <v>7287</v>
      </c>
      <c r="AI37" s="14" t="s">
        <v>38</v>
      </c>
      <c r="AJ37" s="93">
        <v>60714</v>
      </c>
      <c r="AK37" s="93">
        <v>35730</v>
      </c>
      <c r="AL37" s="93">
        <v>5332</v>
      </c>
      <c r="AP37" s="14" t="s">
        <v>38</v>
      </c>
      <c r="AQ37" s="93">
        <v>60714</v>
      </c>
      <c r="AR37" s="93">
        <v>774</v>
      </c>
      <c r="AS37" s="93">
        <v>5724</v>
      </c>
      <c r="AW37" s="14" t="s">
        <v>38</v>
      </c>
      <c r="AX37" s="93">
        <v>60714</v>
      </c>
      <c r="AY37" s="93">
        <v>1834</v>
      </c>
      <c r="AZ37" s="93">
        <v>16446</v>
      </c>
      <c r="BA37" s="93">
        <v>14612</v>
      </c>
      <c r="BD37" s="14" t="s">
        <v>38</v>
      </c>
      <c r="BE37" s="93">
        <v>60714</v>
      </c>
      <c r="BF37" s="93">
        <v>3279</v>
      </c>
      <c r="BG37" s="93">
        <v>57</v>
      </c>
      <c r="BH37" s="93">
        <v>3784</v>
      </c>
      <c r="BI37" s="93">
        <v>1691</v>
      </c>
      <c r="BJ37" s="93">
        <v>4313</v>
      </c>
      <c r="BK37" s="93">
        <v>1125</v>
      </c>
      <c r="BL37" s="93">
        <v>4708</v>
      </c>
      <c r="BM37" s="93">
        <v>1350</v>
      </c>
      <c r="BN37" s="93">
        <v>5403</v>
      </c>
      <c r="BO37" s="93">
        <v>451</v>
      </c>
      <c r="BP37" s="93">
        <v>7434</v>
      </c>
      <c r="BQ37" s="93">
        <v>1290</v>
      </c>
      <c r="BR37" s="93">
        <v>262</v>
      </c>
      <c r="BS37" s="93">
        <v>3791</v>
      </c>
      <c r="BT37" s="93">
        <v>4750</v>
      </c>
      <c r="BU37" s="93">
        <v>91</v>
      </c>
      <c r="BV37" s="93">
        <v>4655</v>
      </c>
      <c r="BW37" s="93">
        <v>5038</v>
      </c>
      <c r="BX37" s="93">
        <v>226</v>
      </c>
      <c r="BY37" s="93">
        <v>266</v>
      </c>
      <c r="BZ37" s="93">
        <v>1855</v>
      </c>
      <c r="CA37" s="93">
        <v>303</v>
      </c>
      <c r="CC37" s="14" t="s">
        <v>38</v>
      </c>
      <c r="CD37" s="93">
        <v>137889</v>
      </c>
      <c r="CE37" s="93">
        <v>48934</v>
      </c>
      <c r="CH37" s="14" t="s">
        <v>38</v>
      </c>
      <c r="CI37" s="93">
        <v>236</v>
      </c>
      <c r="CJ37" s="93">
        <v>56904.319999999992</v>
      </c>
      <c r="CK37" s="93">
        <v>56905</v>
      </c>
      <c r="CL37" s="93">
        <v>62269.12999999999</v>
      </c>
    </row>
    <row r="38" spans="1:90" x14ac:dyDescent="0.3">
      <c r="M38" s="68">
        <v>2023</v>
      </c>
      <c r="N38" s="93">
        <v>0</v>
      </c>
      <c r="O38" s="93">
        <v>0</v>
      </c>
      <c r="P38" s="93">
        <v>0</v>
      </c>
    </row>
    <row r="39" spans="1:90" x14ac:dyDescent="0.3">
      <c r="M39" s="68">
        <v>2024</v>
      </c>
      <c r="N39" s="93">
        <v>0</v>
      </c>
      <c r="O39" s="93">
        <v>0</v>
      </c>
      <c r="P39" s="93">
        <v>0</v>
      </c>
    </row>
    <row r="40" spans="1:90" x14ac:dyDescent="0.3">
      <c r="M40" s="14" t="s">
        <v>35</v>
      </c>
      <c r="N40" s="93">
        <v>2</v>
      </c>
      <c r="O40" s="93">
        <v>4</v>
      </c>
      <c r="P40" s="93">
        <v>0</v>
      </c>
    </row>
    <row r="41" spans="1:90" x14ac:dyDescent="0.3">
      <c r="A41" s="14"/>
      <c r="G41" s="14"/>
      <c r="M41" s="68">
        <v>2023</v>
      </c>
      <c r="N41" s="93">
        <v>0</v>
      </c>
      <c r="O41" s="93">
        <v>0</v>
      </c>
      <c r="P41" s="93">
        <v>0</v>
      </c>
      <c r="T41" s="14"/>
      <c r="AB41" s="14"/>
      <c r="AI41" s="14"/>
      <c r="AP41" s="14"/>
      <c r="AW41" s="14"/>
      <c r="BD41" s="14"/>
    </row>
    <row r="42" spans="1:90" x14ac:dyDescent="0.3">
      <c r="A42" s="14"/>
      <c r="G42" s="14"/>
      <c r="M42" s="68">
        <v>2024</v>
      </c>
      <c r="N42" s="93">
        <v>2</v>
      </c>
      <c r="O42" s="93">
        <v>4</v>
      </c>
      <c r="P42" s="93">
        <v>0</v>
      </c>
      <c r="T42" s="14"/>
      <c r="AB42" s="14"/>
      <c r="AI42" s="14"/>
      <c r="AP42" s="14"/>
      <c r="AW42" s="14"/>
      <c r="BD42" s="14"/>
    </row>
    <row r="43" spans="1:90" x14ac:dyDescent="0.3">
      <c r="A43" s="14"/>
      <c r="G43" s="14"/>
      <c r="M43" s="14" t="s">
        <v>36</v>
      </c>
      <c r="N43" s="93">
        <v>0</v>
      </c>
      <c r="O43" s="93">
        <v>0</v>
      </c>
      <c r="P43" s="93">
        <v>0</v>
      </c>
      <c r="T43" s="14"/>
      <c r="AB43" s="14"/>
      <c r="AI43" s="14"/>
      <c r="AP43" s="14"/>
      <c r="AW43" s="14"/>
      <c r="BD43" s="14"/>
    </row>
    <row r="44" spans="1:90" x14ac:dyDescent="0.3">
      <c r="A44" s="14"/>
      <c r="G44" s="14"/>
      <c r="M44" s="68">
        <v>2023</v>
      </c>
      <c r="N44" s="93">
        <v>0</v>
      </c>
      <c r="O44" s="93">
        <v>0</v>
      </c>
      <c r="P44" s="93">
        <v>0</v>
      </c>
      <c r="T44" s="14"/>
      <c r="AB44" s="14"/>
      <c r="AI44" s="14"/>
      <c r="AP44" s="14"/>
      <c r="AW44" s="14"/>
      <c r="BD44" s="14"/>
    </row>
    <row r="45" spans="1:90" x14ac:dyDescent="0.3">
      <c r="A45" s="14"/>
      <c r="G45" s="14"/>
      <c r="M45" s="68">
        <v>2024</v>
      </c>
      <c r="N45" s="93">
        <v>0</v>
      </c>
      <c r="O45" s="93">
        <v>0</v>
      </c>
      <c r="P45" s="93">
        <v>0</v>
      </c>
      <c r="T45" s="14"/>
      <c r="AB45" s="14"/>
      <c r="AI45" s="14"/>
      <c r="AP45" s="14"/>
      <c r="AW45" s="14"/>
      <c r="BD45" s="14"/>
    </row>
    <row r="46" spans="1:90" x14ac:dyDescent="0.3">
      <c r="A46" s="14"/>
      <c r="G46" s="14"/>
      <c r="M46" s="14" t="s">
        <v>38</v>
      </c>
      <c r="N46" s="93">
        <v>3</v>
      </c>
      <c r="O46" s="93">
        <v>14</v>
      </c>
      <c r="P46" s="93">
        <v>0</v>
      </c>
      <c r="T46" s="14"/>
      <c r="AB46" s="14"/>
      <c r="AI46" s="14"/>
      <c r="AP46" s="14"/>
      <c r="AW46" s="14"/>
      <c r="BD46" s="14"/>
    </row>
    <row r="47" spans="1:90" x14ac:dyDescent="0.3">
      <c r="A47" s="14"/>
      <c r="G47" s="14"/>
      <c r="T47" s="14"/>
      <c r="AB47" s="14"/>
      <c r="AI47" s="14"/>
      <c r="AP47" s="14"/>
      <c r="AW47" s="14"/>
      <c r="BD47" s="14"/>
    </row>
    <row r="48" spans="1:90" x14ac:dyDescent="0.3">
      <c r="A48" s="14"/>
      <c r="G48" s="14"/>
      <c r="T48" s="14"/>
      <c r="AB48" s="14"/>
      <c r="AI48" s="14"/>
      <c r="AP48" s="14"/>
      <c r="AW48" s="14"/>
      <c r="BD48" s="14"/>
    </row>
    <row r="50" spans="1:51" x14ac:dyDescent="0.3">
      <c r="B50" s="125" t="s">
        <v>79</v>
      </c>
      <c r="C50" s="125"/>
      <c r="D50" s="15"/>
    </row>
    <row r="51" spans="1:51" x14ac:dyDescent="0.3">
      <c r="B51" s="15"/>
      <c r="C51" s="15"/>
      <c r="D51" s="15"/>
      <c r="AC51" s="125" t="s">
        <v>81</v>
      </c>
      <c r="AD51" s="125"/>
      <c r="AE51" s="15"/>
      <c r="AX51" s="125" t="s">
        <v>83</v>
      </c>
      <c r="AY51" s="125"/>
    </row>
    <row r="52" spans="1:51" x14ac:dyDescent="0.3">
      <c r="B52" s="16" t="e">
        <f ca="1">VLOOKUP(1,A53:C64,2,0)</f>
        <v>#N/A</v>
      </c>
      <c r="C52" s="25" t="e">
        <f ca="1">VLOOKUP(1,A53:C64,3,FALSE)</f>
        <v>#N/A</v>
      </c>
      <c r="D52" s="49"/>
      <c r="AC52" s="27">
        <f ca="1">VLOOKUP(1,AB53:AD64,2,0)</f>
        <v>2023</v>
      </c>
      <c r="AD52" s="27">
        <f ca="1">VLOOKUP(1,AB53:AF64,3,0)</f>
        <v>24276</v>
      </c>
      <c r="AE52" s="36"/>
      <c r="AX52" s="27">
        <f ca="1">VLOOKUP(1,AW53:AY64,2,0)</f>
        <v>2023</v>
      </c>
      <c r="AY52" s="27">
        <f ca="1">VLOOKUP(1,AW53:AY64,3,0)</f>
        <v>24276</v>
      </c>
    </row>
    <row r="53" spans="1:51" x14ac:dyDescent="0.3">
      <c r="A53" t="e" cm="1">
        <f t="array" aca="1" ref="A53" ca="1">RANK(_xlfn.ANCHORARRAY(C53),_xlfn.ANCHORARRAY(C53))</f>
        <v>#REF!</v>
      </c>
      <c r="B53" t="str" cm="1">
        <f t="array" aca="1" ref="B53:B65" ca="1">OFFSET(A3:A29,1,0,COUNT(C3:C29))</f>
        <v>JAN</v>
      </c>
      <c r="C53" t="e" cm="1">
        <f t="array" aca="1" ref="C53" ca="1">OFFSET(C3:C29,1,0,COUNT(D3:D29))</f>
        <v>#REF!</v>
      </c>
      <c r="AB53" cm="1">
        <f t="array" aca="1" ref="AB53:AB64" ca="1">RANK(_xlfn.ANCHORARRAY(AD53),_xlfn.ANCHORARRAY(AD53))</f>
        <v>1</v>
      </c>
      <c r="AC53" cm="1">
        <f t="array" aca="1" ref="AC53:AC64" ca="1">OFFSET(AB3:AB15,1,0,COUNT(AD3:AD15))</f>
        <v>2023</v>
      </c>
      <c r="AD53" cm="1">
        <f t="array" aca="1" ref="AD53:AD64" ca="1">OFFSET(AC3:AC15,1,0,COUNT(AD3:AD15))</f>
        <v>24276</v>
      </c>
      <c r="AW53" cm="1">
        <f t="array" aca="1" ref="AW53:AW64" ca="1">RANK(_xlfn.ANCHORARRAY(AY53),_xlfn.ANCHORARRAY(AY53))</f>
        <v>1</v>
      </c>
      <c r="AX53" cm="1">
        <f t="array" aca="1" ref="AX53:AX64" ca="1">OFFSET(AW3:AW15,1,0,COUNT(AX3:AX15))</f>
        <v>2023</v>
      </c>
      <c r="AY53" cm="1">
        <f t="array" aca="1" ref="AY53:AY64" ca="1">OFFSET(AW3:AW15,1,1,COUNT(AX3:AX15))</f>
        <v>24276</v>
      </c>
    </row>
    <row r="54" spans="1:51" x14ac:dyDescent="0.3">
      <c r="B54" t="str">
        <f ca="1"/>
        <v>FEB</v>
      </c>
      <c r="AB54">
        <f ca="1"/>
        <v>2</v>
      </c>
      <c r="AC54" t="str">
        <f ca="1"/>
        <v>JAN</v>
      </c>
      <c r="AD54">
        <f ca="1"/>
        <v>2023</v>
      </c>
      <c r="AW54">
        <f ca="1"/>
        <v>2</v>
      </c>
      <c r="AX54" t="str">
        <f ca="1"/>
        <v>JAN</v>
      </c>
      <c r="AY54">
        <f ca="1"/>
        <v>2023</v>
      </c>
    </row>
    <row r="55" spans="1:51" x14ac:dyDescent="0.3">
      <c r="B55" t="str">
        <f ca="1"/>
        <v>MAR</v>
      </c>
      <c r="AB55">
        <f ca="1"/>
        <v>2</v>
      </c>
      <c r="AC55" t="str">
        <f ca="1"/>
        <v>FEB</v>
      </c>
      <c r="AD55">
        <f ca="1"/>
        <v>2023</v>
      </c>
      <c r="AW55">
        <f ca="1"/>
        <v>2</v>
      </c>
      <c r="AX55" t="str">
        <f ca="1"/>
        <v>FEB</v>
      </c>
      <c r="AY55">
        <f ca="1"/>
        <v>2023</v>
      </c>
    </row>
    <row r="56" spans="1:51" x14ac:dyDescent="0.3">
      <c r="B56" t="str">
        <f ca="1"/>
        <v>APR</v>
      </c>
      <c r="AB56">
        <f ca="1"/>
        <v>2</v>
      </c>
      <c r="AC56" t="str">
        <f ca="1"/>
        <v>MAR</v>
      </c>
      <c r="AD56">
        <f ca="1"/>
        <v>2023</v>
      </c>
      <c r="AW56">
        <f ca="1"/>
        <v>2</v>
      </c>
      <c r="AX56" t="str">
        <f ca="1"/>
        <v>MAR</v>
      </c>
      <c r="AY56">
        <f ca="1"/>
        <v>2023</v>
      </c>
    </row>
    <row r="57" spans="1:51" x14ac:dyDescent="0.3">
      <c r="B57" t="str">
        <f ca="1"/>
        <v>MAY</v>
      </c>
      <c r="AB57">
        <f ca="1"/>
        <v>2</v>
      </c>
      <c r="AC57" t="str">
        <f ca="1"/>
        <v>APR</v>
      </c>
      <c r="AD57">
        <f ca="1"/>
        <v>2023</v>
      </c>
      <c r="AW57">
        <f ca="1"/>
        <v>2</v>
      </c>
      <c r="AX57" t="str">
        <f ca="1"/>
        <v>APR</v>
      </c>
      <c r="AY57">
        <f ca="1"/>
        <v>2023</v>
      </c>
    </row>
    <row r="58" spans="1:51" x14ac:dyDescent="0.3">
      <c r="B58" t="str">
        <f ca="1"/>
        <v>JUN</v>
      </c>
      <c r="AB58">
        <f ca="1"/>
        <v>2</v>
      </c>
      <c r="AC58" t="str">
        <f ca="1"/>
        <v>MAY</v>
      </c>
      <c r="AD58">
        <f ca="1"/>
        <v>2023</v>
      </c>
      <c r="AW58">
        <f ca="1"/>
        <v>2</v>
      </c>
      <c r="AX58" t="str">
        <f ca="1"/>
        <v>MAY</v>
      </c>
      <c r="AY58">
        <f ca="1"/>
        <v>2023</v>
      </c>
    </row>
    <row r="59" spans="1:51" x14ac:dyDescent="0.3">
      <c r="B59" t="str">
        <f ca="1"/>
        <v>JUL</v>
      </c>
      <c r="AB59">
        <f ca="1"/>
        <v>2</v>
      </c>
      <c r="AC59" t="str">
        <f ca="1"/>
        <v>JUN</v>
      </c>
      <c r="AD59">
        <f ca="1"/>
        <v>2023</v>
      </c>
      <c r="AW59">
        <f ca="1"/>
        <v>2</v>
      </c>
      <c r="AX59" t="str">
        <f ca="1"/>
        <v>JUN</v>
      </c>
      <c r="AY59">
        <f ca="1"/>
        <v>2023</v>
      </c>
    </row>
    <row r="60" spans="1:51" x14ac:dyDescent="0.3">
      <c r="B60" t="str">
        <f ca="1"/>
        <v>AUG</v>
      </c>
      <c r="AB60">
        <f ca="1"/>
        <v>2</v>
      </c>
      <c r="AC60" t="str">
        <f ca="1"/>
        <v>JUL</v>
      </c>
      <c r="AD60">
        <f ca="1"/>
        <v>2023</v>
      </c>
      <c r="AW60">
        <f ca="1"/>
        <v>2</v>
      </c>
      <c r="AX60" t="str">
        <f ca="1"/>
        <v>JUL</v>
      </c>
      <c r="AY60">
        <f ca="1"/>
        <v>2023</v>
      </c>
    </row>
    <row r="61" spans="1:51" x14ac:dyDescent="0.3">
      <c r="B61" t="str">
        <f ca="1"/>
        <v>SEP</v>
      </c>
      <c r="AB61">
        <f ca="1"/>
        <v>2</v>
      </c>
      <c r="AC61" t="str">
        <f ca="1"/>
        <v>AUG</v>
      </c>
      <c r="AD61">
        <f ca="1"/>
        <v>2023</v>
      </c>
      <c r="AW61">
        <f ca="1"/>
        <v>2</v>
      </c>
      <c r="AX61" t="str">
        <f ca="1"/>
        <v>AUG</v>
      </c>
      <c r="AY61">
        <f ca="1"/>
        <v>2023</v>
      </c>
    </row>
    <row r="62" spans="1:51" x14ac:dyDescent="0.3">
      <c r="B62" t="str">
        <f ca="1"/>
        <v>OCT</v>
      </c>
      <c r="AB62">
        <f ca="1"/>
        <v>2</v>
      </c>
      <c r="AC62" t="str">
        <f ca="1"/>
        <v>SEP</v>
      </c>
      <c r="AD62">
        <f ca="1"/>
        <v>2023</v>
      </c>
      <c r="AW62">
        <f ca="1"/>
        <v>2</v>
      </c>
      <c r="AX62" t="str">
        <f ca="1"/>
        <v>SEP</v>
      </c>
      <c r="AY62">
        <f ca="1"/>
        <v>2023</v>
      </c>
    </row>
    <row r="63" spans="1:51" x14ac:dyDescent="0.3">
      <c r="B63" t="str">
        <f ca="1"/>
        <v>NOV</v>
      </c>
      <c r="AB63">
        <f ca="1"/>
        <v>2</v>
      </c>
      <c r="AC63" t="str">
        <f ca="1"/>
        <v>OCT</v>
      </c>
      <c r="AD63">
        <f ca="1"/>
        <v>2023</v>
      </c>
      <c r="AW63">
        <f ca="1"/>
        <v>2</v>
      </c>
      <c r="AX63" t="str">
        <f ca="1"/>
        <v>OCT</v>
      </c>
      <c r="AY63">
        <f ca="1"/>
        <v>2023</v>
      </c>
    </row>
    <row r="64" spans="1:51" x14ac:dyDescent="0.3">
      <c r="B64" t="str">
        <f ca="1"/>
        <v>DEC</v>
      </c>
      <c r="AB64">
        <f ca="1"/>
        <v>2</v>
      </c>
      <c r="AC64" t="str">
        <f ca="1"/>
        <v>NOV</v>
      </c>
      <c r="AD64">
        <f ca="1"/>
        <v>2023</v>
      </c>
      <c r="AW64">
        <f ca="1"/>
        <v>2</v>
      </c>
      <c r="AX64" t="str">
        <f ca="1"/>
        <v>NOV</v>
      </c>
      <c r="AY64">
        <f ca="1"/>
        <v>2023</v>
      </c>
    </row>
    <row r="65" spans="2:2" x14ac:dyDescent="0.3">
      <c r="B65" t="str">
        <f ca="1"/>
        <v>Grand Total</v>
      </c>
    </row>
    <row r="84" spans="1:4" x14ac:dyDescent="0.3">
      <c r="B84" s="125" t="s">
        <v>80</v>
      </c>
      <c r="C84" s="125"/>
      <c r="D84" s="15"/>
    </row>
    <row r="85" spans="1:4" x14ac:dyDescent="0.3">
      <c r="B85" s="15"/>
      <c r="C85" s="15"/>
      <c r="D85" s="15"/>
    </row>
    <row r="86" spans="1:4" x14ac:dyDescent="0.3">
      <c r="B86" s="26" t="str">
        <f ca="1">VLOOKUP(1,A87:C98,2,0)</f>
        <v>MAY</v>
      </c>
      <c r="C86" s="26">
        <f ca="1">VLOOKUP(1,A87:E98,3,0)</f>
        <v>7472</v>
      </c>
      <c r="D86" s="73"/>
    </row>
    <row r="87" spans="1:4" x14ac:dyDescent="0.3">
      <c r="A87" cm="1">
        <f t="array" aca="1" ref="A87:A98" ca="1">RANK(_xlfn.ANCHORARRAY(C87),_xlfn.ANCHORARRAY(C87))</f>
        <v>12</v>
      </c>
      <c r="B87" t="str" cm="1">
        <f t="array" aca="1" ref="B87:B98" ca="1">OFFSET(A3:A15,1,0,COUNT(B3:B15))</f>
        <v>JAN</v>
      </c>
      <c r="C87" cm="1">
        <f t="array" aca="1" ref="C87:C98" ca="1">OFFSET(A3:A15,1,2,COUNT(C3:C15))</f>
        <v>1638</v>
      </c>
    </row>
    <row r="88" spans="1:4" x14ac:dyDescent="0.3">
      <c r="A88">
        <f ca="1"/>
        <v>9</v>
      </c>
      <c r="B88" t="str">
        <f ca="1"/>
        <v>FEB</v>
      </c>
      <c r="C88">
        <f ca="1"/>
        <v>4331</v>
      </c>
    </row>
    <row r="89" spans="1:4" x14ac:dyDescent="0.3">
      <c r="A89">
        <f ca="1"/>
        <v>8</v>
      </c>
      <c r="B89" t="str">
        <f ca="1"/>
        <v>MAR</v>
      </c>
      <c r="C89">
        <f ca="1"/>
        <v>4364</v>
      </c>
    </row>
    <row r="90" spans="1:4" x14ac:dyDescent="0.3">
      <c r="A90">
        <f ca="1"/>
        <v>11</v>
      </c>
      <c r="B90" t="str">
        <f ca="1"/>
        <v>APR</v>
      </c>
      <c r="C90">
        <f ca="1"/>
        <v>3508</v>
      </c>
    </row>
    <row r="91" spans="1:4" x14ac:dyDescent="0.3">
      <c r="A91">
        <f ca="1"/>
        <v>1</v>
      </c>
      <c r="B91" t="str">
        <f ca="1"/>
        <v>MAY</v>
      </c>
      <c r="C91">
        <f ca="1"/>
        <v>7472</v>
      </c>
    </row>
    <row r="92" spans="1:4" x14ac:dyDescent="0.3">
      <c r="A92">
        <f ca="1"/>
        <v>2</v>
      </c>
      <c r="B92" t="str">
        <f ca="1"/>
        <v>JUN</v>
      </c>
      <c r="C92">
        <f ca="1"/>
        <v>5903</v>
      </c>
    </row>
    <row r="93" spans="1:4" x14ac:dyDescent="0.3">
      <c r="A93">
        <f ca="1"/>
        <v>5</v>
      </c>
      <c r="B93" t="str">
        <f ca="1"/>
        <v>JUL</v>
      </c>
      <c r="C93">
        <f ca="1"/>
        <v>4837</v>
      </c>
    </row>
    <row r="94" spans="1:4" x14ac:dyDescent="0.3">
      <c r="A94">
        <f ca="1"/>
        <v>6</v>
      </c>
      <c r="B94" t="str">
        <f ca="1"/>
        <v>AUG</v>
      </c>
      <c r="C94">
        <f ca="1"/>
        <v>4740</v>
      </c>
    </row>
    <row r="95" spans="1:4" x14ac:dyDescent="0.3">
      <c r="A95">
        <f ca="1"/>
        <v>10</v>
      </c>
      <c r="B95" t="str">
        <f ca="1"/>
        <v>SEP</v>
      </c>
      <c r="C95">
        <f ca="1"/>
        <v>4147</v>
      </c>
    </row>
    <row r="96" spans="1:4" x14ac:dyDescent="0.3">
      <c r="A96">
        <f ca="1"/>
        <v>7</v>
      </c>
      <c r="B96" t="str">
        <f ca="1"/>
        <v>OCT</v>
      </c>
      <c r="C96">
        <f ca="1"/>
        <v>4557</v>
      </c>
    </row>
    <row r="97" spans="1:3" x14ac:dyDescent="0.3">
      <c r="A97">
        <f ca="1"/>
        <v>3</v>
      </c>
      <c r="B97" t="str">
        <f ca="1"/>
        <v>NOV</v>
      </c>
      <c r="C97">
        <f ca="1"/>
        <v>5838</v>
      </c>
    </row>
    <row r="98" spans="1:3" x14ac:dyDescent="0.3">
      <c r="A98">
        <f ca="1"/>
        <v>4</v>
      </c>
      <c r="B98" t="str">
        <f ca="1"/>
        <v>DEC</v>
      </c>
      <c r="C98">
        <f ca="1"/>
        <v>5570</v>
      </c>
    </row>
  </sheetData>
  <sheetProtection algorithmName="SHA-512" hashValue="+KkdVOLBN6UbgkdjgSSay13jPLLxOseqgq0xbApopta4DPvr7vHhpg3vNNfeSMdVdkEmyRCACRgvDYT2PtA3ng==" saltValue="qd3EEf++tWT4l40IMRngZw==" spinCount="100000" sheet="1" objects="1" scenarios="1"/>
  <mergeCells count="12">
    <mergeCell ref="B84:C84"/>
    <mergeCell ref="B50:C50"/>
    <mergeCell ref="A2:C2"/>
    <mergeCell ref="G2:J2"/>
    <mergeCell ref="M2:P2"/>
    <mergeCell ref="T2:W2"/>
    <mergeCell ref="AB2:AD2"/>
    <mergeCell ref="AC51:AD51"/>
    <mergeCell ref="AW2:AY2"/>
    <mergeCell ref="AX51:AY51"/>
    <mergeCell ref="AI2:AK2"/>
    <mergeCell ref="AP2:AR2"/>
  </mergeCells>
  <pageMargins left="0.7" right="0.7" top="0.75" bottom="0.75" header="0.3" footer="0.3"/>
  <pageSetup paperSize="9"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4162F-C039-4DAB-8629-49CCAFFB73C6}">
  <sheetPr codeName="Sheet4"/>
  <dimension ref="A1:EE84"/>
  <sheetViews>
    <sheetView topLeftCell="AR1" workbookViewId="0">
      <selection activeCell="BA5" sqref="BA5"/>
    </sheetView>
  </sheetViews>
  <sheetFormatPr defaultRowHeight="14.4" x14ac:dyDescent="0.3"/>
  <cols>
    <col min="2" max="2" width="16.109375" customWidth="1"/>
    <col min="4" max="4" width="10.5546875" bestFit="1" customWidth="1"/>
    <col min="7" max="7" width="10.33203125" bestFit="1" customWidth="1"/>
    <col min="8" max="9" width="10.44140625" bestFit="1" customWidth="1"/>
    <col min="10" max="10" width="13.109375" customWidth="1"/>
    <col min="11" max="11" width="10.44140625" bestFit="1" customWidth="1"/>
    <col min="12" max="12" width="13" customWidth="1"/>
    <col min="13" max="14" width="10.44140625" bestFit="1" customWidth="1"/>
    <col min="23" max="23" width="14.88671875" bestFit="1" customWidth="1"/>
    <col min="26" max="26" width="15.5546875" customWidth="1"/>
    <col min="30" max="30" width="22.44140625" customWidth="1"/>
    <col min="35" max="35" width="10.44140625" bestFit="1" customWidth="1"/>
    <col min="40" max="40" width="10.44140625" bestFit="1" customWidth="1"/>
    <col min="45" max="45" width="10.33203125" bestFit="1" customWidth="1"/>
    <col min="50" max="50" width="10.33203125" bestFit="1" customWidth="1"/>
    <col min="53" max="53" width="9.44140625" customWidth="1"/>
    <col min="60" max="60" width="13.6640625" customWidth="1"/>
    <col min="65" max="65" width="10.44140625" customWidth="1"/>
    <col min="73" max="73" width="10.44140625" bestFit="1" customWidth="1"/>
    <col min="83" max="83" width="25.109375" customWidth="1"/>
    <col min="84" max="84" width="24" customWidth="1"/>
    <col min="85" max="85" width="15.88671875" customWidth="1"/>
    <col min="87" max="87" width="15.88671875" customWidth="1"/>
    <col min="88" max="88" width="21.5546875" customWidth="1"/>
    <col min="89" max="89" width="19.33203125" customWidth="1"/>
    <col min="90" max="90" width="19" customWidth="1"/>
    <col min="94" max="94" width="17.44140625" customWidth="1"/>
    <col min="95" max="95" width="16" customWidth="1"/>
    <col min="96" max="96" width="18" customWidth="1"/>
    <col min="100" max="100" width="16.5546875" customWidth="1"/>
    <col min="101" max="101" width="14.6640625" customWidth="1"/>
    <col min="102" max="102" width="13.88671875" customWidth="1"/>
    <col min="108" max="108" width="23.6640625" customWidth="1"/>
    <col min="109" max="109" width="21.44140625" customWidth="1"/>
    <col min="115" max="115" width="20.6640625" customWidth="1"/>
    <col min="116" max="116" width="16.5546875" customWidth="1"/>
    <col min="117" max="117" width="13.88671875" customWidth="1"/>
    <col min="125" max="125" width="21" customWidth="1"/>
    <col min="126" max="126" width="11.5546875" bestFit="1" customWidth="1"/>
    <col min="128" max="128" width="11.33203125" customWidth="1"/>
    <col min="132" max="132" width="31" customWidth="1"/>
    <col min="133" max="133" width="18.5546875" customWidth="1"/>
  </cols>
  <sheetData>
    <row r="1" spans="1:135" ht="87.6" customHeight="1" x14ac:dyDescent="0.4">
      <c r="Z1" s="135" t="s">
        <v>85</v>
      </c>
      <c r="AA1" s="135"/>
      <c r="AB1" s="135"/>
      <c r="AD1" s="36" t="s">
        <v>92</v>
      </c>
      <c r="AE1" s="36" t="s">
        <v>93</v>
      </c>
      <c r="AF1" s="36" t="s">
        <v>94</v>
      </c>
      <c r="AI1" s="134" t="s">
        <v>95</v>
      </c>
      <c r="AJ1" s="134"/>
      <c r="AK1" s="134"/>
      <c r="AL1" s="134"/>
      <c r="AN1" s="35" t="s">
        <v>98</v>
      </c>
      <c r="AO1" s="35" t="s">
        <v>96</v>
      </c>
      <c r="AP1" s="35" t="s">
        <v>99</v>
      </c>
      <c r="AQ1" s="35" t="s">
        <v>97</v>
      </c>
      <c r="AS1" s="133" t="s">
        <v>100</v>
      </c>
      <c r="AT1" s="133"/>
      <c r="AU1" s="133"/>
      <c r="AV1" s="133"/>
      <c r="AX1" s="38" t="s">
        <v>98</v>
      </c>
      <c r="AY1" s="38" t="s">
        <v>3</v>
      </c>
      <c r="AZ1" s="38" t="s">
        <v>4</v>
      </c>
      <c r="BA1" s="38" t="s">
        <v>24</v>
      </c>
      <c r="BC1" s="19" t="s">
        <v>238</v>
      </c>
      <c r="BD1" s="19" t="s">
        <v>239</v>
      </c>
      <c r="BE1" s="18" t="s">
        <v>242</v>
      </c>
      <c r="BH1" s="132" t="s">
        <v>102</v>
      </c>
      <c r="BI1" s="132"/>
      <c r="BM1" s="139" t="s">
        <v>9</v>
      </c>
      <c r="BN1" s="139"/>
      <c r="BO1" s="139"/>
      <c r="BP1" s="139"/>
      <c r="BQ1" s="139"/>
      <c r="CD1" s="137" t="s">
        <v>122</v>
      </c>
      <c r="CE1" s="137"/>
      <c r="CF1" s="137"/>
      <c r="CO1" s="138" t="s">
        <v>124</v>
      </c>
      <c r="CP1" s="138"/>
      <c r="CQ1" s="138"/>
      <c r="DB1" s="126" t="s">
        <v>153</v>
      </c>
      <c r="DC1" s="127"/>
      <c r="DD1" s="56" t="s">
        <v>127</v>
      </c>
      <c r="DE1" s="56" t="s">
        <v>128</v>
      </c>
      <c r="DK1" s="69" t="s">
        <v>200</v>
      </c>
      <c r="DL1" s="31"/>
      <c r="DU1" s="69" t="s">
        <v>215</v>
      </c>
    </row>
    <row r="2" spans="1:135" ht="60" x14ac:dyDescent="0.5">
      <c r="Z2" s="16" t="s">
        <v>1</v>
      </c>
      <c r="AA2" s="16" t="s">
        <v>86</v>
      </c>
      <c r="AB2" s="16" t="s">
        <v>91</v>
      </c>
      <c r="AD2" s="33">
        <f>VLOOKUP(MAX(Z3:Z33),Z3:AB33,1,FALSE)</f>
        <v>45649</v>
      </c>
      <c r="AE2" s="32">
        <f>VLOOKUP(MAX(Z3:Z33),Z3:AB33,2,FALSE)</f>
        <v>0</v>
      </c>
      <c r="AF2" s="32">
        <f>VLOOKUP(MAX(Z3:Z33),Z3:AB33,3,FALSE)</f>
        <v>0</v>
      </c>
      <c r="AI2" s="20" t="s">
        <v>98</v>
      </c>
      <c r="AJ2" s="20" t="s">
        <v>96</v>
      </c>
      <c r="AK2" s="20" t="s">
        <v>99</v>
      </c>
      <c r="AL2" s="20" t="s">
        <v>97</v>
      </c>
      <c r="AN2" s="24">
        <f>VLOOKUP(MAX(AI3:AI33),AI3:AL33,1,FALSE)</f>
        <v>45649</v>
      </c>
      <c r="AO2">
        <f>VLOOKUP(MAX(AI3:AI33),AI3:AL33,2,FALSE)</f>
        <v>16</v>
      </c>
      <c r="AP2">
        <f>VLOOKUP(MAX(AI3:AI33),AI3:AL33,3,FALSE)</f>
        <v>89</v>
      </c>
      <c r="AQ2">
        <f>VLOOKUP(MAX(AI3:AI33),AI3:AL33,4,FALSE)</f>
        <v>73</v>
      </c>
      <c r="AS2" s="37" t="s">
        <v>98</v>
      </c>
      <c r="AT2" s="37" t="s">
        <v>3</v>
      </c>
      <c r="AU2" s="37" t="s">
        <v>4</v>
      </c>
      <c r="AV2" s="37" t="s">
        <v>24</v>
      </c>
      <c r="AX2" s="24">
        <f>VLOOKUP(MAX(AS3:AS33),AS3:AV33,1,0)</f>
        <v>45649</v>
      </c>
      <c r="AY2">
        <f>VLOOKUP(MAX(AS3:AS33),AS3:AV33,2,0)</f>
        <v>0</v>
      </c>
      <c r="AZ2">
        <f>VLOOKUP(MAX(AS3:AS33),AS3:AV33,3,0)</f>
        <v>0</v>
      </c>
      <c r="BA2">
        <f>VLOOKUP(MAX(AS3:AS33),AS3:AV33,4,0)</f>
        <v>0</v>
      </c>
      <c r="BC2" s="40">
        <f>GETPIVOTDATA("Sum of Total No. of Call Received (Complain)",Pivot_analysis!$AW$3)</f>
        <v>16446</v>
      </c>
      <c r="BD2" s="40">
        <f>GETPIVOTDATA("Sum of Total No. of Complain Solved
(Over Phone)",Pivot_analysis!$AW$3)</f>
        <v>14612</v>
      </c>
      <c r="BE2" s="39">
        <f>GETPIVOTDATA("Sum of Total No. of Complain Solved
(On Site)",Pivot_analysis!$AW$3)</f>
        <v>1834</v>
      </c>
      <c r="BH2" s="20" t="s">
        <v>104</v>
      </c>
      <c r="BI2" s="20">
        <v>1000</v>
      </c>
      <c r="BM2" s="45" t="s">
        <v>98</v>
      </c>
      <c r="BN2" s="46" t="s">
        <v>10</v>
      </c>
      <c r="BO2" s="46" t="s">
        <v>11</v>
      </c>
      <c r="BP2" s="46" t="s">
        <v>12</v>
      </c>
      <c r="BQ2" s="46" t="s">
        <v>13</v>
      </c>
      <c r="BS2" s="128" t="s">
        <v>115</v>
      </c>
      <c r="BT2" s="128"/>
      <c r="BU2" s="47">
        <f>VLOOKUP(MAX(BM3:BM33),BM3:BQ33,1,0)</f>
        <v>45649</v>
      </c>
      <c r="BV2" s="2">
        <f>VLOOKUP(MAX(BM3:BM33),BM3:BQ33,2,0)</f>
        <v>117</v>
      </c>
      <c r="BW2" s="2">
        <f>VLOOKUP(MAX(BM3:BM33),BM3:BQ33,3,0)</f>
        <v>267</v>
      </c>
      <c r="BX2" s="2">
        <f>VLOOKUP(MAX(BM3:BM33),BM3:BQ33,4,0)</f>
        <v>46</v>
      </c>
      <c r="BY2" s="2">
        <f>VLOOKUP(MAX(BM3:BM33),BM3:BQ33,5,0)</f>
        <v>384</v>
      </c>
      <c r="CA2" s="46" t="s">
        <v>10</v>
      </c>
      <c r="CB2" s="20">
        <f>Pivot_analysis!AA4</f>
        <v>5362</v>
      </c>
      <c r="CC2" s="20"/>
      <c r="CD2" s="20"/>
      <c r="CE2" s="2" t="s">
        <v>92</v>
      </c>
      <c r="CF2" s="55" t="s">
        <v>17</v>
      </c>
      <c r="CG2" s="55" t="s">
        <v>12</v>
      </c>
      <c r="CI2" s="56" t="s">
        <v>123</v>
      </c>
      <c r="CJ2" s="47">
        <f>VLOOKUP(MAX(CE3:CE33),CE3:CG33,1,0)</f>
        <v>45649</v>
      </c>
      <c r="CK2" s="2">
        <f>VLOOKUP(MAX(CE3:CE33),CE3:CG33,2,0)</f>
        <v>402</v>
      </c>
      <c r="CL2" s="2">
        <f>VLOOKUP(MAX(CE3:CE33),CE3:CG33,3,0)</f>
        <v>43</v>
      </c>
      <c r="CP2" s="2" t="s">
        <v>92</v>
      </c>
      <c r="CQ2" s="57" t="s">
        <v>12</v>
      </c>
      <c r="CR2" s="57" t="s">
        <v>106</v>
      </c>
      <c r="CT2" s="136" t="s">
        <v>123</v>
      </c>
      <c r="CU2" s="136"/>
      <c r="CV2" s="47">
        <f>VLOOKUP(MAX(CP3:CP33),CP3:CR33,1,0)</f>
        <v>45649</v>
      </c>
      <c r="CW2" s="2">
        <f>VLOOKUP(MAX(CP3:CP33),CP3:CR33,2,0)</f>
        <v>0</v>
      </c>
      <c r="CX2" s="2">
        <f>VLOOKUP(MAX(CP3:CP33),CP3:CR33,3,0)</f>
        <v>0</v>
      </c>
      <c r="DD2" s="38" t="s">
        <v>137</v>
      </c>
      <c r="DE2" s="2">
        <f>GETPIVOTDATA("Sum of Akbar Shah",Pivot_analysis!$BD$3)</f>
        <v>3279</v>
      </c>
      <c r="DK2" s="23" t="s">
        <v>240</v>
      </c>
      <c r="DL2">
        <f>GETPIVOTDATA("Sum of Total Burner Survey ",Pivot_analysis!$CC$3)</f>
        <v>137889</v>
      </c>
      <c r="DU2" s="38" t="s">
        <v>216</v>
      </c>
      <c r="DV2" s="2">
        <f>SUM(Table2[Number of working days])</f>
        <v>236</v>
      </c>
      <c r="DW2" s="2"/>
      <c r="DX2" s="2" t="s">
        <v>219</v>
      </c>
      <c r="DY2" s="2">
        <v>379</v>
      </c>
      <c r="EB2" s="38" t="s">
        <v>211</v>
      </c>
      <c r="EC2" s="2">
        <f>GETPIVOTDATA("Sum of Number of working days",Pivot_analysis!$CH$3)</f>
        <v>236</v>
      </c>
      <c r="EE2" t="str">
        <f>DY3 &amp; " " &amp; "/" &amp; DY2</f>
        <v>236 /379</v>
      </c>
    </row>
    <row r="3" spans="1:135" s="20" customFormat="1" ht="30" customHeight="1" x14ac:dyDescent="0.3">
      <c r="B3" s="130" t="s">
        <v>68</v>
      </c>
      <c r="C3" s="130"/>
      <c r="D3" s="130"/>
      <c r="F3" s="131" t="s">
        <v>71</v>
      </c>
      <c r="G3" s="131"/>
      <c r="H3" s="131"/>
      <c r="I3" s="131"/>
      <c r="K3" s="131" t="s">
        <v>15</v>
      </c>
      <c r="L3" s="131"/>
      <c r="M3" s="131"/>
      <c r="N3" s="131"/>
      <c r="P3" s="131" t="s">
        <v>17</v>
      </c>
      <c r="Q3" s="131"/>
      <c r="R3" s="131"/>
      <c r="S3" s="131"/>
      <c r="U3" s="131" t="s">
        <v>110</v>
      </c>
      <c r="V3" s="131"/>
      <c r="W3" s="131"/>
      <c r="Z3" s="28">
        <f>IF(ISBLANK('Total Progress Report'!P17)," ",'Total Progress Report'!A17)</f>
        <v>45627</v>
      </c>
      <c r="AA3">
        <f>IF(ISBLANK('Total Progress Report'!P17)," ",'Total Progress Report'!P17)</f>
        <v>312</v>
      </c>
      <c r="AB3">
        <f>IF(ISBLANK('Total Progress Report'!Q17)," ",'Total Progress Report'!Q17)</f>
        <v>82</v>
      </c>
      <c r="AD3" s="20" cm="1">
        <f t="array" ref="AD3">LOOKUP(2,1/(AA3:AA23&lt;&gt;""),AA3:AA23)</f>
        <v>140</v>
      </c>
      <c r="AI3" s="34">
        <f>IF(ISBLANK('Total Progress Report'!W17)," ",'Total Progress Report'!A17)</f>
        <v>45627</v>
      </c>
      <c r="AJ3" s="20">
        <f>IF(ISBLANK('Total Progress Report'!V17)," ",'Total Progress Report'!V17)</f>
        <v>17</v>
      </c>
      <c r="AK3" s="20">
        <f>IF(ISBLANK('Total Progress Report'!W17)," ",'Total Progress Report'!W17)</f>
        <v>82</v>
      </c>
      <c r="AL3" s="20">
        <f>IF(ISBLANK('Total Progress Report'!X17)," ",'Total Progress Report'!X17)</f>
        <v>65</v>
      </c>
      <c r="AN3" s="34"/>
      <c r="AS3" s="34">
        <f>IF(ISBLANK('Total Progress Report'!K17)," ",'Total Progress Report'!A17)</f>
        <v>45627</v>
      </c>
      <c r="AT3" s="20">
        <f>IF(ISBLANK('Total Progress Report'!I17)," ",'Total Progress Report'!I17)</f>
        <v>0</v>
      </c>
      <c r="AU3" s="20">
        <f>IF(ISBLANK('Total Progress Report'!J17)," ",'Total Progress Report'!J17)</f>
        <v>0</v>
      </c>
      <c r="AV3" s="20">
        <f>IF(ISBLANK('Total Progress Report'!K17)," ",'Total Progress Report'!K17)</f>
        <v>0</v>
      </c>
      <c r="BH3" s="20" t="s">
        <v>103</v>
      </c>
      <c r="BI3">
        <f>Pivot_analysis!R4</f>
        <v>14</v>
      </c>
      <c r="BM3" s="34">
        <f>IF(ISBLANK('Total Progress Report'!O17)," ",'Total Progress Report'!A17)</f>
        <v>45627</v>
      </c>
      <c r="BN3" s="20">
        <f>IF(ISBLANK('Total Progress Report'!L17)," ",'Total Progress Report'!L17)</f>
        <v>56</v>
      </c>
      <c r="BO3" s="20">
        <f>IF(ISBLANK('Total Progress Report'!M17)," ",'Total Progress Report'!M17)</f>
        <v>117</v>
      </c>
      <c r="BP3" s="20">
        <f>IF(ISBLANK('Total Progress Report'!N17)," ",'Total Progress Report'!N17)</f>
        <v>22</v>
      </c>
      <c r="BQ3" s="20">
        <f>IF(ISBLANK('Total Progress Report'!O17)," ",'Total Progress Report'!O17)</f>
        <v>173</v>
      </c>
      <c r="CA3" s="46" t="s">
        <v>11</v>
      </c>
      <c r="CB3" s="20">
        <f>Pivot_analysis!AA5</f>
        <v>9058</v>
      </c>
      <c r="CE3" s="34">
        <f>IF(ISBLANK('Total Progress Report'!R17)," ",'Total Progress Report'!A17)</f>
        <v>45627</v>
      </c>
      <c r="CF3" s="54">
        <f>IF(ISBLANK('Total Progress Report'!R17)," ",'Total Progress Report'!R17)</f>
        <v>149</v>
      </c>
      <c r="CG3" s="54">
        <f>IF(ISBLANK('Total Progress Report'!S17)," ",'Total Progress Report'!S17)</f>
        <v>42</v>
      </c>
      <c r="CP3" s="34">
        <f>IF(ISBLANK('Total Progress Report'!T17)," ",'Total Progress Report'!A17)</f>
        <v>45627</v>
      </c>
      <c r="CQ3" s="20">
        <f>IF(ISBLANK('Total Progress Report'!T17)," ",'Total Progress Report'!T17)</f>
        <v>0</v>
      </c>
      <c r="CR3" s="20">
        <f>IF(ISBLANK('Total Progress Report'!U17)," ",'Total Progress Report'!U17)</f>
        <v>0</v>
      </c>
      <c r="DD3" s="38" t="s">
        <v>146</v>
      </c>
      <c r="DE3" s="2">
        <f>GETPIVOTDATA("Sum of Anowara",Pivot_analysis!$BD$3)</f>
        <v>57</v>
      </c>
      <c r="DK3" s="23" t="s">
        <v>241</v>
      </c>
      <c r="DL3" s="20">
        <f>GETPIVOTDATA("Sum of Total Wiring Complete",Pivot_analysis!$CC$3)</f>
        <v>48934</v>
      </c>
      <c r="DU3" s="56" t="s">
        <v>207</v>
      </c>
      <c r="DV3" s="56">
        <v>100000</v>
      </c>
      <c r="DW3" s="23"/>
      <c r="DX3" s="90" t="s">
        <v>220</v>
      </c>
      <c r="DY3" s="90">
        <f>GETPIVOTDATA("Sum of Number of working days",Pivot_analysis!$CH$3)</f>
        <v>236</v>
      </c>
      <c r="EB3" s="38" t="s">
        <v>205</v>
      </c>
      <c r="EC3" s="38">
        <f>GETPIVOTDATA("Sum of Cumulative Installed (Based on Daily Average)",Pivot_analysis!$CH$3)</f>
        <v>56904.319999999992</v>
      </c>
    </row>
    <row r="4" spans="1:135" s="20" customFormat="1" ht="46.95" customHeight="1" x14ac:dyDescent="0.3">
      <c r="B4" s="20" t="s">
        <v>69</v>
      </c>
      <c r="C4" s="42">
        <v>100000</v>
      </c>
      <c r="D4" s="21">
        <f>(C5/C4)*100%</f>
        <v>0.56904999999999994</v>
      </c>
      <c r="F4" s="23" t="s">
        <v>69</v>
      </c>
      <c r="G4" s="20">
        <v>100000</v>
      </c>
      <c r="K4" s="22" t="s">
        <v>75</v>
      </c>
      <c r="L4" s="20">
        <f>C9</f>
        <v>56905</v>
      </c>
      <c r="P4" s="20" t="s">
        <v>76</v>
      </c>
      <c r="Q4" s="20">
        <f>C9</f>
        <v>56905</v>
      </c>
      <c r="U4" s="20" t="s">
        <v>77</v>
      </c>
      <c r="V4" s="20">
        <f>C9</f>
        <v>56905</v>
      </c>
      <c r="Z4" s="28">
        <f>IF(ISBLANK('Total Progress Report'!P18)," ",'Total Progress Report'!A18)</f>
        <v>45628</v>
      </c>
      <c r="AA4">
        <f>IF(ISBLANK('Total Progress Report'!P18)," ",'Total Progress Report'!P18)</f>
        <v>367</v>
      </c>
      <c r="AB4">
        <f>IF(ISBLANK('Total Progress Report'!Q18)," ",'Total Progress Report'!Q18)</f>
        <v>59</v>
      </c>
      <c r="AI4" s="34">
        <f>IF(ISBLANK('Total Progress Report'!W18)," ",'Total Progress Report'!A18)</f>
        <v>45628</v>
      </c>
      <c r="AJ4" s="20">
        <f>IF(ISBLANK('Total Progress Report'!V18)," ",'Total Progress Report'!V18)</f>
        <v>17</v>
      </c>
      <c r="AK4" s="20">
        <f>IF(ISBLANK('Total Progress Report'!W18)," ",'Total Progress Report'!W18)</f>
        <v>79</v>
      </c>
      <c r="AL4" s="20">
        <f>IF(ISBLANK('Total Progress Report'!X18)," ",'Total Progress Report'!X18)</f>
        <v>62</v>
      </c>
      <c r="AN4" s="34"/>
      <c r="AS4" s="34">
        <f>IF(ISBLANK('Total Progress Report'!K18)," ",'Total Progress Report'!A18)</f>
        <v>45628</v>
      </c>
      <c r="AT4" s="20">
        <f>IF(ISBLANK('Total Progress Report'!I18)," ",'Total Progress Report'!I18)</f>
        <v>0</v>
      </c>
      <c r="AU4" s="20">
        <f>IF(ISBLANK('Total Progress Report'!J18)," ",'Total Progress Report'!J18)</f>
        <v>0</v>
      </c>
      <c r="AV4" s="20">
        <f>IF(ISBLANK('Total Progress Report'!K18)," ",'Total Progress Report'!K18)</f>
        <v>0</v>
      </c>
      <c r="BH4" s="20" t="s">
        <v>105</v>
      </c>
      <c r="BI4" s="20">
        <f>BI2-BI3</f>
        <v>986</v>
      </c>
      <c r="BM4" s="34">
        <f>IF(ISBLANK('Total Progress Report'!O18)," ",'Total Progress Report'!A18)</f>
        <v>45628</v>
      </c>
      <c r="BN4" s="20">
        <f>IF(ISBLANK('Total Progress Report'!L18)," ",'Total Progress Report'!L18)</f>
        <v>72</v>
      </c>
      <c r="BO4" s="20">
        <f>IF(ISBLANK('Total Progress Report'!M18)," ",'Total Progress Report'!M18)</f>
        <v>102</v>
      </c>
      <c r="BP4" s="20">
        <f>IF(ISBLANK('Total Progress Report'!N18)," ",'Total Progress Report'!N18)</f>
        <v>16</v>
      </c>
      <c r="BQ4" s="20">
        <f>IF(ISBLANK('Total Progress Report'!O18)," ",'Total Progress Report'!O18)</f>
        <v>174</v>
      </c>
      <c r="CA4" s="46" t="s">
        <v>12</v>
      </c>
      <c r="CB4" s="20">
        <f>Pivot_analysis!AA6</f>
        <v>1569</v>
      </c>
      <c r="CE4" s="34">
        <f>IF(ISBLANK('Total Progress Report'!R18)," ",'Total Progress Report'!A18)</f>
        <v>45628</v>
      </c>
      <c r="CF4" s="54">
        <f>IF(ISBLANK('Total Progress Report'!R18)," ",'Total Progress Report'!R18)</f>
        <v>98</v>
      </c>
      <c r="CG4" s="54">
        <f>IF(ISBLANK('Total Progress Report'!S18)," ",'Total Progress Report'!S18)</f>
        <v>27</v>
      </c>
      <c r="CP4" s="34">
        <f>IF(ISBLANK('Total Progress Report'!T18)," ",'Total Progress Report'!A18)</f>
        <v>45628</v>
      </c>
      <c r="CQ4" s="20">
        <f>IF(ISBLANK('Total Progress Report'!T18)," ",'Total Progress Report'!T18)</f>
        <v>0</v>
      </c>
      <c r="CR4" s="20">
        <f>IF(ISBLANK('Total Progress Report'!U18)," ",'Total Progress Report'!U18)</f>
        <v>0</v>
      </c>
      <c r="DD4" s="38" t="s">
        <v>131</v>
      </c>
      <c r="DE4" s="2">
        <f>GETPIVOTDATA("Sum of BAKOLIA",Pivot_analysis!$BD$3)</f>
        <v>3784</v>
      </c>
      <c r="DK4" s="23"/>
      <c r="DU4" s="38" t="s">
        <v>208</v>
      </c>
      <c r="DV4" s="38">
        <f>GETPIVOTDATA("Sum of Cumulative Meter",Pivot_analysis!$A$3)</f>
        <v>56905</v>
      </c>
      <c r="DW4" s="23"/>
      <c r="DX4" s="23"/>
      <c r="DY4" s="23"/>
      <c r="EB4" s="38" t="s">
        <v>212</v>
      </c>
      <c r="EC4" s="38">
        <f>GETPIVOTDATA("Sum of Running Installed",Pivot_analysis!$CH$3)</f>
        <v>56905</v>
      </c>
    </row>
    <row r="5" spans="1:135" s="20" customFormat="1" ht="30" customHeight="1" x14ac:dyDescent="0.3">
      <c r="B5" s="20" t="s">
        <v>232</v>
      </c>
      <c r="C5" s="20">
        <f>GETPIVOTDATA("Sum of Cumulative Meter",Pivot_analysis!$A$3)</f>
        <v>56905</v>
      </c>
      <c r="F5" s="20" t="s">
        <v>72</v>
      </c>
      <c r="G5" s="20">
        <f>GETPIVOTDATA("Sum of A Type",Pivot_analysis!$G$3)</f>
        <v>3759</v>
      </c>
      <c r="K5" s="20" t="s">
        <v>236</v>
      </c>
      <c r="L5" s="20">
        <f>GETPIVOTDATA("Sum of No. of IC Card Distributed",Pivot_analysis!$AB$3)</f>
        <v>45145</v>
      </c>
      <c r="P5" s="20" t="s">
        <v>234</v>
      </c>
      <c r="Q5" s="20">
        <f>GETPIVOTDATA("Sum of Tag. Of Card Dist. Qty",Pivot_analysis!$AI$3)</f>
        <v>35730</v>
      </c>
      <c r="U5" s="20" t="s">
        <v>112</v>
      </c>
      <c r="V5" s="20">
        <f>Pivot_analysis!AT9</f>
        <v>5724</v>
      </c>
      <c r="Z5" s="28">
        <f>IF(ISBLANK('Total Progress Report'!P19)," ",'Total Progress Report'!A19)</f>
        <v>45629</v>
      </c>
      <c r="AA5">
        <f>IF(ISBLANK('Total Progress Report'!P19)," ",'Total Progress Report'!P19)</f>
        <v>403</v>
      </c>
      <c r="AB5">
        <f>IF(ISBLANK('Total Progress Report'!Q19)," ",'Total Progress Report'!Q19)</f>
        <v>110</v>
      </c>
      <c r="AI5" s="34">
        <f>IF(ISBLANK('Total Progress Report'!W19)," ",'Total Progress Report'!A19)</f>
        <v>45629</v>
      </c>
      <c r="AJ5" s="20">
        <f>IF(ISBLANK('Total Progress Report'!V19)," ",'Total Progress Report'!V19)</f>
        <v>20</v>
      </c>
      <c r="AK5" s="20">
        <f>IF(ISBLANK('Total Progress Report'!W19)," ",'Total Progress Report'!W19)</f>
        <v>85</v>
      </c>
      <c r="AL5" s="20">
        <f>IF(ISBLANK('Total Progress Report'!X19)," ",'Total Progress Report'!X19)</f>
        <v>65</v>
      </c>
      <c r="AN5" s="34"/>
      <c r="AS5" s="34">
        <f>IF(ISBLANK('Total Progress Report'!K19)," ",'Total Progress Report'!A19)</f>
        <v>45629</v>
      </c>
      <c r="AT5" s="20">
        <f>IF(ISBLANK('Total Progress Report'!I19)," ",'Total Progress Report'!I19)</f>
        <v>0</v>
      </c>
      <c r="AU5" s="20">
        <f>IF(ISBLANK('Total Progress Report'!J19)," ",'Total Progress Report'!J19)</f>
        <v>0</v>
      </c>
      <c r="AV5" s="20">
        <f>IF(ISBLANK('Total Progress Report'!K19)," ",'Total Progress Report'!K19)</f>
        <v>0</v>
      </c>
      <c r="BM5" s="34">
        <f>IF(ISBLANK('Total Progress Report'!O19)," ",'Total Progress Report'!A19)</f>
        <v>45629</v>
      </c>
      <c r="BN5" s="20">
        <f>IF(ISBLANK('Total Progress Report'!L19)," ",'Total Progress Report'!L19)</f>
        <v>106</v>
      </c>
      <c r="BO5" s="20">
        <f>IF(ISBLANK('Total Progress Report'!M19)," ",'Total Progress Report'!M19)</f>
        <v>110</v>
      </c>
      <c r="BP5" s="20">
        <f>IF(ISBLANK('Total Progress Report'!N19)," ",'Total Progress Report'!N19)</f>
        <v>13</v>
      </c>
      <c r="BQ5" s="20">
        <f>IF(ISBLANK('Total Progress Report'!O19)," ",'Total Progress Report'!O19)</f>
        <v>216</v>
      </c>
      <c r="CA5" s="46" t="s">
        <v>13</v>
      </c>
      <c r="CB5" s="20">
        <f>Pivot_analysis!AA7</f>
        <v>14420</v>
      </c>
      <c r="CE5" s="34">
        <f>IF(ISBLANK('Total Progress Report'!R19)," ",'Total Progress Report'!A19)</f>
        <v>45629</v>
      </c>
      <c r="CF5" s="54">
        <f>IF(ISBLANK('Total Progress Report'!R19)," ",'Total Progress Report'!R19)</f>
        <v>0</v>
      </c>
      <c r="CG5" s="54">
        <f>IF(ISBLANK('Total Progress Report'!S19)," ",'Total Progress Report'!S19)</f>
        <v>0</v>
      </c>
      <c r="CP5" s="34">
        <f>IF(ISBLANK('Total Progress Report'!T19)," ",'Total Progress Report'!A19)</f>
        <v>45629</v>
      </c>
      <c r="CQ5" s="20">
        <f>IF(ISBLANK('Total Progress Report'!T19)," ",'Total Progress Report'!T19)</f>
        <v>0</v>
      </c>
      <c r="CR5" s="20">
        <f>IF(ISBLANK('Total Progress Report'!U19)," ",'Total Progress Report'!U19)</f>
        <v>0</v>
      </c>
      <c r="DD5" s="38" t="s">
        <v>135</v>
      </c>
      <c r="DE5" s="2">
        <f>GETPIVOTDATA("Sum of BANDAR",Pivot_analysis!$BD$3)</f>
        <v>1691</v>
      </c>
      <c r="DU5" s="38" t="s">
        <v>209</v>
      </c>
      <c r="DV5" s="38">
        <f>DV3-DV4</f>
        <v>43095</v>
      </c>
      <c r="DW5" s="23"/>
      <c r="DX5" s="23"/>
      <c r="DY5" s="23"/>
      <c r="EB5" s="38" t="s">
        <v>206</v>
      </c>
      <c r="EC5" s="38">
        <f>GETPIVOTDATA("Sum of Target Line (Ideal Cumulative)",Pivot_analysis!$CH$3)</f>
        <v>62269.12999999999</v>
      </c>
    </row>
    <row r="6" spans="1:135" s="20" customFormat="1" ht="43.95" customHeight="1" x14ac:dyDescent="0.3">
      <c r="B6" s="20" t="s">
        <v>233</v>
      </c>
      <c r="C6" s="20">
        <f>C4-C5</f>
        <v>43095</v>
      </c>
      <c r="F6" s="20" t="s">
        <v>73</v>
      </c>
      <c r="G6" s="20">
        <f>GETPIVOTDATA("Sum of B Type",Pivot_analysis!$G$3)</f>
        <v>52821</v>
      </c>
      <c r="K6" s="23" t="s">
        <v>237</v>
      </c>
      <c r="L6" s="20">
        <f>L4-L5</f>
        <v>11760</v>
      </c>
      <c r="P6" s="20" t="s">
        <v>235</v>
      </c>
      <c r="Q6" s="20">
        <f>Q4-Q5</f>
        <v>21175</v>
      </c>
      <c r="U6" s="20" t="s">
        <v>111</v>
      </c>
      <c r="V6" s="20">
        <f>V4-V5</f>
        <v>51181</v>
      </c>
      <c r="Z6" s="28">
        <f>IF(ISBLANK('Total Progress Report'!P20)," ",'Total Progress Report'!A20)</f>
        <v>45630</v>
      </c>
      <c r="AA6">
        <f>IF(ISBLANK('Total Progress Report'!P20)," ",'Total Progress Report'!P20)</f>
        <v>321</v>
      </c>
      <c r="AB6">
        <f>IF(ISBLANK('Total Progress Report'!Q20)," ",'Total Progress Report'!Q20)</f>
        <v>92</v>
      </c>
      <c r="AI6" s="34">
        <f>IF(ISBLANK('Total Progress Report'!W20)," ",'Total Progress Report'!A20)</f>
        <v>45630</v>
      </c>
      <c r="AJ6" s="20">
        <f>IF(ISBLANK('Total Progress Report'!V20)," ",'Total Progress Report'!V20)</f>
        <v>7</v>
      </c>
      <c r="AK6" s="20">
        <f>IF(ISBLANK('Total Progress Report'!W20)," ",'Total Progress Report'!W20)</f>
        <v>51</v>
      </c>
      <c r="AL6" s="20">
        <f>IF(ISBLANK('Total Progress Report'!X20)," ",'Total Progress Report'!X20)</f>
        <v>44</v>
      </c>
      <c r="AN6" s="34"/>
      <c r="AS6" s="34">
        <f>IF(ISBLANK('Total Progress Report'!K20)," ",'Total Progress Report'!A20)</f>
        <v>45630</v>
      </c>
      <c r="AT6" s="20">
        <f>IF(ISBLANK('Total Progress Report'!I20)," ",'Total Progress Report'!I20)</f>
        <v>0</v>
      </c>
      <c r="AU6" s="20">
        <f>IF(ISBLANK('Total Progress Report'!J20)," ",'Total Progress Report'!J20)</f>
        <v>0</v>
      </c>
      <c r="AV6" s="20">
        <f>IF(ISBLANK('Total Progress Report'!K20)," ",'Total Progress Report'!K20)</f>
        <v>0</v>
      </c>
      <c r="BM6" s="34">
        <f>IF(ISBLANK('Total Progress Report'!O20)," ",'Total Progress Report'!A20)</f>
        <v>45630</v>
      </c>
      <c r="BN6" s="20">
        <f>IF(ISBLANK('Total Progress Report'!L20)," ",'Total Progress Report'!L20)</f>
        <v>71</v>
      </c>
      <c r="BO6" s="20">
        <f>IF(ISBLANK('Total Progress Report'!M20)," ",'Total Progress Report'!M20)</f>
        <v>129</v>
      </c>
      <c r="BP6" s="20">
        <f>IF(ISBLANK('Total Progress Report'!N20)," ",'Total Progress Report'!N20)</f>
        <v>22</v>
      </c>
      <c r="BQ6" s="20">
        <f>IF(ISBLANK('Total Progress Report'!O20)," ",'Total Progress Report'!O20)</f>
        <v>200</v>
      </c>
      <c r="CE6" s="34">
        <f>IF(ISBLANK('Total Progress Report'!R20)," ",'Total Progress Report'!A20)</f>
        <v>45630</v>
      </c>
      <c r="CF6" s="54">
        <f>IF(ISBLANK('Total Progress Report'!R20)," ",'Total Progress Report'!R20)</f>
        <v>0</v>
      </c>
      <c r="CG6" s="54">
        <f>IF(ISBLANK('Total Progress Report'!S20)," ",'Total Progress Report'!S20)</f>
        <v>0</v>
      </c>
      <c r="CP6" s="34">
        <f>IF(ISBLANK('Total Progress Report'!T20)," ",'Total Progress Report'!A20)</f>
        <v>45630</v>
      </c>
      <c r="CQ6" s="20">
        <f>IF(ISBLANK('Total Progress Report'!T20)," ",'Total Progress Report'!T20)</f>
        <v>0</v>
      </c>
      <c r="CR6" s="20">
        <f>IF(ISBLANK('Total Progress Report'!U20)," ",'Total Progress Report'!U20)</f>
        <v>0</v>
      </c>
      <c r="DD6" s="38" t="s">
        <v>132</v>
      </c>
      <c r="DE6" s="2">
        <f>GETPIVOTDATA("Sum of BAYAZID",Pivot_analysis!$BD$3)</f>
        <v>4313</v>
      </c>
      <c r="DU6" s="56" t="s">
        <v>217</v>
      </c>
      <c r="DV6" s="56">
        <f>ROUND((SUM(Table2[Cumulative Meter])/ANALYSIS!DV2),2)</f>
        <v>241.12</v>
      </c>
      <c r="DW6" s="23"/>
      <c r="DX6" s="23"/>
      <c r="DY6" s="23"/>
    </row>
    <row r="7" spans="1:135" s="20" customFormat="1" ht="28.8" x14ac:dyDescent="0.3">
      <c r="F7" s="20" t="s">
        <v>74</v>
      </c>
      <c r="G7" s="20">
        <f>GETPIVOTDATA("Sum of C Type",Pivot_analysis!$G$3)</f>
        <v>0</v>
      </c>
      <c r="Z7" s="28">
        <f>IF(ISBLANK('Total Progress Report'!P21)," ",'Total Progress Report'!A21)</f>
        <v>45631</v>
      </c>
      <c r="AA7">
        <f>IF(ISBLANK('Total Progress Report'!P21)," ",'Total Progress Report'!P21)</f>
        <v>328</v>
      </c>
      <c r="AB7">
        <f>IF(ISBLANK('Total Progress Report'!Q21)," ",'Total Progress Report'!Q21)</f>
        <v>70</v>
      </c>
      <c r="AI7" s="34">
        <f>IF(ISBLANK('Total Progress Report'!W21)," ",'Total Progress Report'!A21)</f>
        <v>45631</v>
      </c>
      <c r="AJ7" s="20">
        <f>IF(ISBLANK('Total Progress Report'!V21)," ",'Total Progress Report'!V21)</f>
        <v>15</v>
      </c>
      <c r="AK7" s="20">
        <f>IF(ISBLANK('Total Progress Report'!W21)," ",'Total Progress Report'!W21)</f>
        <v>78</v>
      </c>
      <c r="AL7" s="20">
        <f>IF(ISBLANK('Total Progress Report'!X21)," ",'Total Progress Report'!X21)</f>
        <v>63</v>
      </c>
      <c r="AN7" s="34"/>
      <c r="AS7" s="34">
        <f>IF(ISBLANK('Total Progress Report'!K21)," ",'Total Progress Report'!A21)</f>
        <v>45631</v>
      </c>
      <c r="AT7" s="20">
        <f>IF(ISBLANK('Total Progress Report'!I21)," ",'Total Progress Report'!I21)</f>
        <v>0</v>
      </c>
      <c r="AU7" s="20">
        <f>IF(ISBLANK('Total Progress Report'!J21)," ",'Total Progress Report'!J21)</f>
        <v>0</v>
      </c>
      <c r="AV7" s="20">
        <f>IF(ISBLANK('Total Progress Report'!K21)," ",'Total Progress Report'!K21)</f>
        <v>0</v>
      </c>
      <c r="BM7" s="34">
        <f>IF(ISBLANK('Total Progress Report'!O21)," ",'Total Progress Report'!A21)</f>
        <v>45631</v>
      </c>
      <c r="BN7" s="20">
        <f>IF(ISBLANK('Total Progress Report'!L21)," ",'Total Progress Report'!L21)</f>
        <v>95</v>
      </c>
      <c r="BO7" s="20">
        <f>IF(ISBLANK('Total Progress Report'!M21)," ",'Total Progress Report'!M21)</f>
        <v>98</v>
      </c>
      <c r="BP7" s="20">
        <f>IF(ISBLANK('Total Progress Report'!N21)," ",'Total Progress Report'!N21)</f>
        <v>23</v>
      </c>
      <c r="BQ7" s="20">
        <f>IF(ISBLANK('Total Progress Report'!O21)," ",'Total Progress Report'!O21)</f>
        <v>193</v>
      </c>
      <c r="CE7" s="34">
        <f>IF(ISBLANK('Total Progress Report'!R21)," ",'Total Progress Report'!A21)</f>
        <v>45631</v>
      </c>
      <c r="CF7" s="54">
        <f>IF(ISBLANK('Total Progress Report'!R21)," ",'Total Progress Report'!R21)</f>
        <v>0</v>
      </c>
      <c r="CG7" s="54">
        <f>IF(ISBLANK('Total Progress Report'!S21)," ",'Total Progress Report'!S21)</f>
        <v>0</v>
      </c>
      <c r="CP7" s="34">
        <f>IF(ISBLANK('Total Progress Report'!T21)," ",'Total Progress Report'!A21)</f>
        <v>45631</v>
      </c>
      <c r="CQ7" s="20">
        <f>IF(ISBLANK('Total Progress Report'!T21)," ",'Total Progress Report'!T21)</f>
        <v>0</v>
      </c>
      <c r="CR7" s="20">
        <f>IF(ISBLANK('Total Progress Report'!U21)," ",'Total Progress Report'!U21)</f>
        <v>0</v>
      </c>
      <c r="DD7" s="38" t="s">
        <v>150</v>
      </c>
      <c r="DE7" s="2">
        <f>GETPIVOTDATA("Sum of BOALKHALI",Pivot_analysis!$BD$3)</f>
        <v>1125</v>
      </c>
      <c r="DU7" s="38" t="s">
        <v>214</v>
      </c>
      <c r="DV7" s="38">
        <f>(DV4/DY3)</f>
        <v>241.12288135593221</v>
      </c>
      <c r="DW7" s="23"/>
      <c r="DX7" s="23"/>
      <c r="DY7" s="23"/>
    </row>
    <row r="8" spans="1:135" s="20" customFormat="1" ht="43.2" x14ac:dyDescent="0.3">
      <c r="F8" s="20" t="s">
        <v>70</v>
      </c>
      <c r="G8" s="20">
        <f>G4-(SUM(G5:G7))</f>
        <v>43420</v>
      </c>
      <c r="Z8" s="28">
        <f>IF(ISBLANK('Total Progress Report'!P22)," ",'Total Progress Report'!A22)</f>
        <v>45632</v>
      </c>
      <c r="AA8">
        <f>IF(ISBLANK('Total Progress Report'!P22)," ",'Total Progress Report'!P22)</f>
        <v>0</v>
      </c>
      <c r="AB8">
        <f>IF(ISBLANK('Total Progress Report'!Q22)," ",'Total Progress Report'!Q22)</f>
        <v>0</v>
      </c>
      <c r="AI8" s="34">
        <f>IF(ISBLANK('Total Progress Report'!W22)," ",'Total Progress Report'!A22)</f>
        <v>45632</v>
      </c>
      <c r="AJ8" s="20">
        <f>IF(ISBLANK('Total Progress Report'!V22)," ",'Total Progress Report'!V22)</f>
        <v>5</v>
      </c>
      <c r="AK8" s="20">
        <f>IF(ISBLANK('Total Progress Report'!W22)," ",'Total Progress Report'!W22)</f>
        <v>65</v>
      </c>
      <c r="AL8" s="20">
        <f>IF(ISBLANK('Total Progress Report'!X22)," ",'Total Progress Report'!X22)</f>
        <v>60</v>
      </c>
      <c r="AN8" s="34"/>
      <c r="AS8" s="34">
        <f>IF(ISBLANK('Total Progress Report'!K22)," ",'Total Progress Report'!A22)</f>
        <v>45632</v>
      </c>
      <c r="AT8" s="20">
        <f>IF(ISBLANK('Total Progress Report'!I22)," ",'Total Progress Report'!I22)</f>
        <v>0</v>
      </c>
      <c r="AU8" s="20">
        <f>IF(ISBLANK('Total Progress Report'!J22)," ",'Total Progress Report'!J22)</f>
        <v>0</v>
      </c>
      <c r="AV8" s="20">
        <f>IF(ISBLANK('Total Progress Report'!K22)," ",'Total Progress Report'!K22)</f>
        <v>0</v>
      </c>
      <c r="BM8" s="34">
        <f>IF(ISBLANK('Total Progress Report'!O22)," ",'Total Progress Report'!A22)</f>
        <v>45632</v>
      </c>
      <c r="BN8" s="20">
        <f>IF(ISBLANK('Total Progress Report'!L22)," ",'Total Progress Report'!L22)</f>
        <v>0</v>
      </c>
      <c r="BO8" s="20">
        <f>IF(ISBLANK('Total Progress Report'!M22)," ",'Total Progress Report'!M22)</f>
        <v>0</v>
      </c>
      <c r="BP8" s="20">
        <f>IF(ISBLANK('Total Progress Report'!N22)," ",'Total Progress Report'!N22)</f>
        <v>0</v>
      </c>
      <c r="BQ8" s="20">
        <f>IF(ISBLANK('Total Progress Report'!O22)," ",'Total Progress Report'!O22)</f>
        <v>0</v>
      </c>
      <c r="CA8"/>
      <c r="CB8"/>
      <c r="CC8"/>
      <c r="CD8"/>
      <c r="CE8" s="34">
        <f>IF(ISBLANK('Total Progress Report'!R22)," ",'Total Progress Report'!A22)</f>
        <v>45632</v>
      </c>
      <c r="CF8" s="54">
        <f>IF(ISBLANK('Total Progress Report'!R22)," ",'Total Progress Report'!R22)</f>
        <v>0</v>
      </c>
      <c r="CG8" s="54">
        <f>IF(ISBLANK('Total Progress Report'!S22)," ",'Total Progress Report'!S22)</f>
        <v>0</v>
      </c>
      <c r="CP8" s="34">
        <f>IF(ISBLANK('Total Progress Report'!T22)," ",'Total Progress Report'!A22)</f>
        <v>45632</v>
      </c>
      <c r="CQ8" s="20">
        <f>IF(ISBLANK('Total Progress Report'!T22)," ",'Total Progress Report'!T22)</f>
        <v>0</v>
      </c>
      <c r="CR8" s="20">
        <f>IF(ISBLANK('Total Progress Report'!U22)," ",'Total Progress Report'!U22)</f>
        <v>0</v>
      </c>
      <c r="DD8" s="38" t="s">
        <v>144</v>
      </c>
      <c r="DE8" s="2">
        <f>GETPIVOTDATA("Sum of CHANDGAON",Pivot_analysis!$BD$3)</f>
        <v>4708</v>
      </c>
      <c r="DU8" s="38" t="s">
        <v>218</v>
      </c>
      <c r="DV8" s="38">
        <f>ROUND((100000-SUM(Table2[Cumulative Meter]))/ANALYSIS!DV6,0)</f>
        <v>179</v>
      </c>
      <c r="DW8" s="23"/>
      <c r="DX8" s="23"/>
      <c r="DY8" s="23"/>
    </row>
    <row r="9" spans="1:135" x14ac:dyDescent="0.3">
      <c r="A9" s="128" t="s">
        <v>67</v>
      </c>
      <c r="B9" s="128"/>
      <c r="C9" s="129">
        <f>'Total Progress Report'!E49</f>
        <v>56905</v>
      </c>
      <c r="D9" s="129"/>
      <c r="Z9" s="28">
        <f>IF(ISBLANK('Total Progress Report'!P23)," ",'Total Progress Report'!A23)</f>
        <v>45633</v>
      </c>
      <c r="AA9">
        <f>IF(ISBLANK('Total Progress Report'!P23)," ",'Total Progress Report'!P23)</f>
        <v>409</v>
      </c>
      <c r="AB9">
        <f>IF(ISBLANK('Total Progress Report'!Q23)," ",'Total Progress Report'!Q23)</f>
        <v>72</v>
      </c>
      <c r="AI9" s="34">
        <f>IF(ISBLANK('Total Progress Report'!W23)," ",'Total Progress Report'!A23)</f>
        <v>45633</v>
      </c>
      <c r="AJ9" s="20">
        <f>IF(ISBLANK('Total Progress Report'!V23)," ",'Total Progress Report'!V23)</f>
        <v>17</v>
      </c>
      <c r="AK9" s="20">
        <f>IF(ISBLANK('Total Progress Report'!W23)," ",'Total Progress Report'!W23)</f>
        <v>72</v>
      </c>
      <c r="AL9" s="20">
        <f>IF(ISBLANK('Total Progress Report'!X23)," ",'Total Progress Report'!X23)</f>
        <v>55</v>
      </c>
      <c r="AN9" s="24"/>
      <c r="AS9" s="34">
        <f>IF(ISBLANK('Total Progress Report'!#REF!)," ",'Total Progress Report'!A23)</f>
        <v>45633</v>
      </c>
      <c r="AT9" s="20">
        <f>IF(ISBLANK('Total Progress Report'!K23)," ",'Total Progress Report'!K23)</f>
        <v>0</v>
      </c>
      <c r="AU9" s="20">
        <f>IF(ISBLANK('Total Progress Report'!J23)," ",'Total Progress Report'!J23)</f>
        <v>0</v>
      </c>
      <c r="AV9" s="20">
        <f>IF(ISBLANK('Total Progress Report'!K23)," ",'Total Progress Report'!K23)</f>
        <v>0</v>
      </c>
      <c r="BM9" s="34">
        <f>IF(ISBLANK('Total Progress Report'!O23)," ",'Total Progress Report'!A23)</f>
        <v>45633</v>
      </c>
      <c r="BN9" s="20">
        <f>IF(ISBLANK('Total Progress Report'!L23)," ",'Total Progress Report'!L23)</f>
        <v>37</v>
      </c>
      <c r="BO9" s="20">
        <f>IF(ISBLANK('Total Progress Report'!M23)," ",'Total Progress Report'!M23)</f>
        <v>201</v>
      </c>
      <c r="BP9" s="20">
        <f>IF(ISBLANK('Total Progress Report'!N23)," ",'Total Progress Report'!N23)</f>
        <v>24</v>
      </c>
      <c r="BQ9" s="20">
        <f>IF(ISBLANK('Total Progress Report'!O23)," ",'Total Progress Report'!O23)</f>
        <v>238</v>
      </c>
      <c r="CE9" s="34">
        <f>IF(ISBLANK('Total Progress Report'!R23)," ",'Total Progress Report'!A23)</f>
        <v>45633</v>
      </c>
      <c r="CF9" s="54">
        <f>IF(ISBLANK('Total Progress Report'!R23)," ",'Total Progress Report'!R23)</f>
        <v>0</v>
      </c>
      <c r="CG9" s="54">
        <f>IF(ISBLANK('Total Progress Report'!S23)," ",'Total Progress Report'!S23)</f>
        <v>0</v>
      </c>
      <c r="CP9" s="34">
        <f>IF(ISBLANK('Total Progress Report'!T23)," ",'Total Progress Report'!A23)</f>
        <v>45633</v>
      </c>
      <c r="CQ9" s="20">
        <f>IF(ISBLANK('Total Progress Report'!T23)," ",'Total Progress Report'!T23)</f>
        <v>0</v>
      </c>
      <c r="CR9" s="20">
        <f>IF(ISBLANK('Total Progress Report'!U23)," ",'Total Progress Report'!U23)</f>
        <v>0</v>
      </c>
      <c r="DD9" s="38" t="s">
        <v>130</v>
      </c>
      <c r="DE9" s="2">
        <f>GETPIVOTDATA("Sum of CHAWKBAZAR",Pivot_analysis!$BD$3)</f>
        <v>1350</v>
      </c>
      <c r="DU9" s="38"/>
      <c r="DV9" s="2"/>
      <c r="DW9" s="50"/>
      <c r="DX9" s="50"/>
      <c r="DY9" s="50"/>
    </row>
    <row r="10" spans="1:135" x14ac:dyDescent="0.3">
      <c r="A10" s="128"/>
      <c r="B10" s="128"/>
      <c r="C10" s="129"/>
      <c r="D10" s="129"/>
      <c r="Z10" s="28">
        <f>IF(ISBLANK('Total Progress Report'!P24)," ",'Total Progress Report'!A24)</f>
        <v>45634</v>
      </c>
      <c r="AA10">
        <f>IF(ISBLANK('Total Progress Report'!P24)," ",'Total Progress Report'!P24)</f>
        <v>385</v>
      </c>
      <c r="AB10">
        <f>IF(ISBLANK('Total Progress Report'!Q24)," ",'Total Progress Report'!Q24)</f>
        <v>55</v>
      </c>
      <c r="AI10" s="34">
        <f>IF(ISBLANK('Total Progress Report'!W24)," ",'Total Progress Report'!A24)</f>
        <v>45634</v>
      </c>
      <c r="AJ10" s="20">
        <f>IF(ISBLANK('Total Progress Report'!V24)," ",'Total Progress Report'!V24)</f>
        <v>15</v>
      </c>
      <c r="AK10" s="20">
        <f>IF(ISBLANK('Total Progress Report'!W24)," ",'Total Progress Report'!W24)</f>
        <v>81</v>
      </c>
      <c r="AL10" s="20">
        <f>IF(ISBLANK('Total Progress Report'!X24)," ",'Total Progress Report'!X24)</f>
        <v>66</v>
      </c>
      <c r="AN10" s="24"/>
      <c r="AS10" s="34">
        <f>IF(ISBLANK('Total Progress Report'!K24)," ",'Total Progress Report'!A24)</f>
        <v>45634</v>
      </c>
      <c r="AT10" s="20">
        <f>IF(ISBLANK('Total Progress Report'!I24)," ",'Total Progress Report'!I24)</f>
        <v>0</v>
      </c>
      <c r="AU10" s="20">
        <f>IF(ISBLANK('Total Progress Report'!J24)," ",'Total Progress Report'!J24)</f>
        <v>0</v>
      </c>
      <c r="AV10" s="20">
        <f>IF(ISBLANK('Total Progress Report'!K24)," ",'Total Progress Report'!K24)</f>
        <v>0</v>
      </c>
      <c r="BM10" s="34">
        <f>IF(ISBLANK('Total Progress Report'!O24)," ",'Total Progress Report'!A24)</f>
        <v>45634</v>
      </c>
      <c r="BN10" s="20">
        <f>IF(ISBLANK('Total Progress Report'!L24)," ",'Total Progress Report'!L24)</f>
        <v>24</v>
      </c>
      <c r="BO10" s="20">
        <f>IF(ISBLANK('Total Progress Report'!M24)," ",'Total Progress Report'!M24)</f>
        <v>170</v>
      </c>
      <c r="BP10" s="20">
        <f>IF(ISBLANK('Total Progress Report'!N24)," ",'Total Progress Report'!N24)</f>
        <v>21</v>
      </c>
      <c r="BQ10" s="20">
        <f>IF(ISBLANK('Total Progress Report'!O24)," ",'Total Progress Report'!O24)</f>
        <v>194</v>
      </c>
      <c r="CE10" s="34">
        <f>IF(ISBLANK('Total Progress Report'!R24)," ",'Total Progress Report'!A24)</f>
        <v>45634</v>
      </c>
      <c r="CF10" s="54">
        <f>IF(ISBLANK('Total Progress Report'!R24)," ",'Total Progress Report'!R24)</f>
        <v>0</v>
      </c>
      <c r="CG10" s="54">
        <f>IF(ISBLANK('Total Progress Report'!S24)," ",'Total Progress Report'!S24)</f>
        <v>0</v>
      </c>
      <c r="CP10" s="34">
        <f>IF(ISBLANK('Total Progress Report'!T24)," ",'Total Progress Report'!A24)</f>
        <v>45634</v>
      </c>
      <c r="CQ10" s="20">
        <f>IF(ISBLANK('Total Progress Report'!T24)," ",'Total Progress Report'!T24)</f>
        <v>0</v>
      </c>
      <c r="CR10" s="20">
        <f>IF(ISBLANK('Total Progress Report'!U24)," ",'Total Progress Report'!U24)</f>
        <v>0</v>
      </c>
      <c r="DD10" s="38" t="s">
        <v>136</v>
      </c>
      <c r="DE10" s="2">
        <f>GETPIVOTDATA("Sum of DOUBLE MOORING",Pivot_analysis!$BD$3)</f>
        <v>5403</v>
      </c>
      <c r="DU10" s="38"/>
      <c r="DV10" s="2"/>
      <c r="DW10" s="50"/>
      <c r="DX10" s="50"/>
      <c r="DY10" s="50"/>
    </row>
    <row r="11" spans="1:135" ht="43.2" x14ac:dyDescent="0.3">
      <c r="A11" s="128"/>
      <c r="B11" s="128"/>
      <c r="C11" s="129"/>
      <c r="D11" s="129"/>
      <c r="Z11" s="28">
        <f>IF(ISBLANK('Total Progress Report'!P25)," ",'Total Progress Report'!A25)</f>
        <v>45635</v>
      </c>
      <c r="AA11">
        <f>IF(ISBLANK('Total Progress Report'!P25)," ",'Total Progress Report'!P25)</f>
        <v>293</v>
      </c>
      <c r="AB11">
        <f>IF(ISBLANK('Total Progress Report'!Q25)," ",'Total Progress Report'!Q25)</f>
        <v>102</v>
      </c>
      <c r="AI11" s="34">
        <f>IF(ISBLANK('Total Progress Report'!W25)," ",'Total Progress Report'!A25)</f>
        <v>45635</v>
      </c>
      <c r="AJ11" s="20">
        <f>IF(ISBLANK('Total Progress Report'!V25)," ",'Total Progress Report'!V25)</f>
        <v>14</v>
      </c>
      <c r="AK11" s="20">
        <f>IF(ISBLANK('Total Progress Report'!W25)," ",'Total Progress Report'!W25)</f>
        <v>79</v>
      </c>
      <c r="AL11" s="20">
        <f>IF(ISBLANK('Total Progress Report'!X25)," ",'Total Progress Report'!X25)</f>
        <v>65</v>
      </c>
      <c r="AN11" s="24"/>
      <c r="AS11" s="34">
        <f>IF(ISBLANK('Total Progress Report'!K25)," ",'Total Progress Report'!A25)</f>
        <v>45635</v>
      </c>
      <c r="AT11" s="20">
        <f>IF(ISBLANK('Total Progress Report'!I25)," ",'Total Progress Report'!I25)</f>
        <v>0</v>
      </c>
      <c r="AU11" s="20">
        <f>IF(ISBLANK('Total Progress Report'!J25)," ",'Total Progress Report'!J25)</f>
        <v>0</v>
      </c>
      <c r="AV11" s="20">
        <f>IF(ISBLANK('Total Progress Report'!K25)," ",'Total Progress Report'!K25)</f>
        <v>0</v>
      </c>
      <c r="BM11" s="34">
        <f>IF(ISBLANK('Total Progress Report'!O25)," ",'Total Progress Report'!A25)</f>
        <v>45635</v>
      </c>
      <c r="BN11" s="20">
        <f>IF(ISBLANK('Total Progress Report'!L25)," ",'Total Progress Report'!L25)</f>
        <v>49</v>
      </c>
      <c r="BO11" s="20">
        <f>IF(ISBLANK('Total Progress Report'!M25)," ",'Total Progress Report'!M25)</f>
        <v>205</v>
      </c>
      <c r="BP11" s="20">
        <f>IF(ISBLANK('Total Progress Report'!N25)," ",'Total Progress Report'!N25)</f>
        <v>21</v>
      </c>
      <c r="BQ11" s="20">
        <f>IF(ISBLANK('Total Progress Report'!O25)," ",'Total Progress Report'!O25)</f>
        <v>254</v>
      </c>
      <c r="CE11" s="34">
        <f>IF(ISBLANK('Total Progress Report'!R25)," ",'Total Progress Report'!A25)</f>
        <v>45635</v>
      </c>
      <c r="CF11" s="54">
        <f>IF(ISBLANK('Total Progress Report'!R25)," ",'Total Progress Report'!R25)</f>
        <v>0</v>
      </c>
      <c r="CG11" s="54">
        <f>IF(ISBLANK('Total Progress Report'!S25)," ",'Total Progress Report'!S25)</f>
        <v>0</v>
      </c>
      <c r="CP11" s="34">
        <f>IF(ISBLANK('Total Progress Report'!T25)," ",'Total Progress Report'!A25)</f>
        <v>45635</v>
      </c>
      <c r="CQ11" s="20">
        <f>IF(ISBLANK('Total Progress Report'!T25)," ",'Total Progress Report'!T25)</f>
        <v>0</v>
      </c>
      <c r="CR11" s="20">
        <f>IF(ISBLANK('Total Progress Report'!U25)," ",'Total Progress Report'!U25)</f>
        <v>0</v>
      </c>
      <c r="DD11" s="38" t="s">
        <v>138</v>
      </c>
      <c r="DE11" s="2">
        <f>GETPIVOTDATA("Sum of EPZ",Pivot_analysis!$BD$3)</f>
        <v>451</v>
      </c>
      <c r="DU11" s="38" t="s">
        <v>213</v>
      </c>
      <c r="DV11" s="2">
        <f>DY2-DV2</f>
        <v>143</v>
      </c>
      <c r="DW11" s="50"/>
      <c r="DX11" s="50"/>
      <c r="DY11" s="50"/>
    </row>
    <row r="12" spans="1:135" x14ac:dyDescent="0.3">
      <c r="Z12" s="28">
        <f>IF(ISBLANK('Total Progress Report'!P26)," ",'Total Progress Report'!A26)</f>
        <v>45636</v>
      </c>
      <c r="AA12">
        <f>IF(ISBLANK('Total Progress Report'!P26)," ",'Total Progress Report'!P26)</f>
        <v>294</v>
      </c>
      <c r="AB12">
        <f>IF(ISBLANK('Total Progress Report'!Q26)," ",'Total Progress Report'!Q26)</f>
        <v>68</v>
      </c>
      <c r="AI12" s="34">
        <f>IF(ISBLANK('Total Progress Report'!W26)," ",'Total Progress Report'!A26)</f>
        <v>45636</v>
      </c>
      <c r="AJ12" s="20">
        <f>IF(ISBLANK('Total Progress Report'!V26)," ",'Total Progress Report'!V26)</f>
        <v>14</v>
      </c>
      <c r="AK12" s="20">
        <f>IF(ISBLANK('Total Progress Report'!W26)," ",'Total Progress Report'!W26)</f>
        <v>78</v>
      </c>
      <c r="AL12" s="20">
        <f>IF(ISBLANK('Total Progress Report'!X26)," ",'Total Progress Report'!X26)</f>
        <v>64</v>
      </c>
      <c r="AN12" s="24"/>
      <c r="AS12" s="34">
        <f>IF(ISBLANK('Total Progress Report'!K26)," ",'Total Progress Report'!A26)</f>
        <v>45636</v>
      </c>
      <c r="AT12" s="20">
        <f>IF(ISBLANK('Total Progress Report'!I26)," ",'Total Progress Report'!I26)</f>
        <v>0</v>
      </c>
      <c r="AU12" s="20">
        <f>IF(ISBLANK('Total Progress Report'!J26)," ",'Total Progress Report'!J26)</f>
        <v>0</v>
      </c>
      <c r="AV12" s="20">
        <f>IF(ISBLANK('Total Progress Report'!K26)," ",'Total Progress Report'!K26)</f>
        <v>0</v>
      </c>
      <c r="BM12" s="34">
        <f>IF(ISBLANK('Total Progress Report'!O26)," ",'Total Progress Report'!A26)</f>
        <v>45636</v>
      </c>
      <c r="BN12" s="20">
        <f>IF(ISBLANK('Total Progress Report'!L26)," ",'Total Progress Report'!L26)</f>
        <v>79</v>
      </c>
      <c r="BO12" s="20">
        <f>IF(ISBLANK('Total Progress Report'!M26)," ",'Total Progress Report'!M26)</f>
        <v>149</v>
      </c>
      <c r="BP12" s="20">
        <f>IF(ISBLANK('Total Progress Report'!N26)," ",'Total Progress Report'!N26)</f>
        <v>28</v>
      </c>
      <c r="BQ12" s="20">
        <f>IF(ISBLANK('Total Progress Report'!O26)," ",'Total Progress Report'!O26)</f>
        <v>228</v>
      </c>
      <c r="CE12" s="34">
        <f>IF(ISBLANK('Total Progress Report'!R26)," ",'Total Progress Report'!A26)</f>
        <v>45636</v>
      </c>
      <c r="CF12" s="54">
        <f>IF(ISBLANK('Total Progress Report'!R26)," ",'Total Progress Report'!R26)</f>
        <v>0</v>
      </c>
      <c r="CG12" s="54">
        <f>IF(ISBLANK('Total Progress Report'!S26)," ",'Total Progress Report'!S26)</f>
        <v>0</v>
      </c>
      <c r="CP12" s="34">
        <f>IF(ISBLANK('Total Progress Report'!T26)," ",'Total Progress Report'!A26)</f>
        <v>45636</v>
      </c>
      <c r="CQ12" s="20">
        <f>IF(ISBLANK('Total Progress Report'!T26)," ",'Total Progress Report'!T26)</f>
        <v>0</v>
      </c>
      <c r="CR12" s="20">
        <f>IF(ISBLANK('Total Progress Report'!U26)," ",'Total Progress Report'!U26)</f>
        <v>0</v>
      </c>
      <c r="DD12" s="38" t="s">
        <v>129</v>
      </c>
      <c r="DE12" s="2">
        <f>GETPIVOTDATA("Sum of HALISHAHAR",Pivot_analysis!$BD$3)</f>
        <v>7434</v>
      </c>
      <c r="DU12" s="38"/>
      <c r="DV12" s="2"/>
      <c r="DW12" s="50"/>
      <c r="DX12" s="50"/>
      <c r="DY12" s="50"/>
    </row>
    <row r="13" spans="1:135" ht="28.8" x14ac:dyDescent="0.3">
      <c r="Z13" s="28">
        <f>IF(ISBLANK('Total Progress Report'!P27)," ",'Total Progress Report'!A27)</f>
        <v>45637</v>
      </c>
      <c r="AA13">
        <f>IF(ISBLANK('Total Progress Report'!P27)," ",'Total Progress Report'!P27)</f>
        <v>222</v>
      </c>
      <c r="AB13">
        <f>IF(ISBLANK('Total Progress Report'!Q27)," ",'Total Progress Report'!Q27)</f>
        <v>37</v>
      </c>
      <c r="AI13" s="34">
        <f>IF(ISBLANK('Total Progress Report'!W27)," ",'Total Progress Report'!A27)</f>
        <v>45637</v>
      </c>
      <c r="AJ13" s="20">
        <f>IF(ISBLANK('Total Progress Report'!V27)," ",'Total Progress Report'!V27)</f>
        <v>7</v>
      </c>
      <c r="AK13" s="20">
        <f>IF(ISBLANK('Total Progress Report'!W27)," ",'Total Progress Report'!W27)</f>
        <v>67</v>
      </c>
      <c r="AL13" s="20">
        <f>IF(ISBLANK('Total Progress Report'!X27)," ",'Total Progress Report'!X27)</f>
        <v>60</v>
      </c>
      <c r="AN13" s="24"/>
      <c r="AS13" s="34">
        <f>IF(ISBLANK('Total Progress Report'!K27)," ",'Total Progress Report'!A27)</f>
        <v>45637</v>
      </c>
      <c r="AT13" s="20">
        <f>IF(ISBLANK('Total Progress Report'!I27)," ",'Total Progress Report'!I27)</f>
        <v>0</v>
      </c>
      <c r="AU13" s="20">
        <f>IF(ISBLANK('Total Progress Report'!J27)," ",'Total Progress Report'!J27)</f>
        <v>0</v>
      </c>
      <c r="AV13" s="20">
        <f>IF(ISBLANK('Total Progress Report'!K27)," ",'Total Progress Report'!K27)</f>
        <v>0</v>
      </c>
      <c r="BM13" s="34">
        <f>IF(ISBLANK('Total Progress Report'!O27)," ",'Total Progress Report'!A27)</f>
        <v>45637</v>
      </c>
      <c r="BN13" s="20">
        <f>IF(ISBLANK('Total Progress Report'!L27)," ",'Total Progress Report'!L27)</f>
        <v>92</v>
      </c>
      <c r="BO13" s="20">
        <f>IF(ISBLANK('Total Progress Report'!M27)," ",'Total Progress Report'!M27)</f>
        <v>147</v>
      </c>
      <c r="BP13" s="20">
        <f>IF(ISBLANK('Total Progress Report'!N27)," ",'Total Progress Report'!N27)</f>
        <v>30</v>
      </c>
      <c r="BQ13" s="20">
        <f>IF(ISBLANK('Total Progress Report'!O27)," ",'Total Progress Report'!O27)</f>
        <v>239</v>
      </c>
      <c r="CE13" s="34">
        <f>IF(ISBLANK('Total Progress Report'!R27)," ",'Total Progress Report'!A27)</f>
        <v>45637</v>
      </c>
      <c r="CF13" s="54">
        <f>IF(ISBLANK('Total Progress Report'!R27)," ",'Total Progress Report'!R27)</f>
        <v>0</v>
      </c>
      <c r="CG13" s="54">
        <f>IF(ISBLANK('Total Progress Report'!S27)," ",'Total Progress Report'!S27)</f>
        <v>0</v>
      </c>
      <c r="CP13" s="34">
        <f>IF(ISBLANK('Total Progress Report'!T27)," ",'Total Progress Report'!A27)</f>
        <v>45637</v>
      </c>
      <c r="CQ13" s="20">
        <f>IF(ISBLANK('Total Progress Report'!T27)," ",'Total Progress Report'!T27)</f>
        <v>0</v>
      </c>
      <c r="CR13" s="20">
        <f>IF(ISBLANK('Total Progress Report'!U27)," ",'Total Progress Report'!U27)</f>
        <v>0</v>
      </c>
      <c r="DD13" s="38" t="s">
        <v>147</v>
      </c>
      <c r="DE13" s="2">
        <f>GETPIVOTDATA("Sum of HATHAZARI",Pivot_analysis!$BD$3)</f>
        <v>1290</v>
      </c>
      <c r="DU13" s="38" t="s">
        <v>210</v>
      </c>
      <c r="DV13" s="2">
        <f>100000/DY2</f>
        <v>263.85224274406335</v>
      </c>
      <c r="DW13" s="50"/>
      <c r="DX13" s="50"/>
      <c r="DY13" s="50"/>
    </row>
    <row r="14" spans="1:135" ht="41.25" customHeight="1" x14ac:dyDescent="0.3">
      <c r="G14" s="130" t="s">
        <v>78</v>
      </c>
      <c r="H14" s="130"/>
      <c r="I14" s="130"/>
      <c r="Z14" s="28">
        <f>IF(ISBLANK('Total Progress Report'!P28)," ",'Total Progress Report'!A28)</f>
        <v>45638</v>
      </c>
      <c r="AA14">
        <f>IF(ISBLANK('Total Progress Report'!P28)," ",'Total Progress Report'!P28)</f>
        <v>250</v>
      </c>
      <c r="AB14">
        <f>IF(ISBLANK('Total Progress Report'!Q28)," ",'Total Progress Report'!Q28)</f>
        <v>23</v>
      </c>
      <c r="AI14" s="34">
        <f>IF(ISBLANK('Total Progress Report'!W28)," ",'Total Progress Report'!A28)</f>
        <v>45638</v>
      </c>
      <c r="AJ14" s="20">
        <f>IF(ISBLANK('Total Progress Report'!V28)," ",'Total Progress Report'!V28)</f>
        <v>12</v>
      </c>
      <c r="AK14" s="20">
        <f>IF(ISBLANK('Total Progress Report'!W28)," ",'Total Progress Report'!W28)</f>
        <v>82</v>
      </c>
      <c r="AL14" s="20">
        <f>IF(ISBLANK('Total Progress Report'!X28)," ",'Total Progress Report'!X28)</f>
        <v>70</v>
      </c>
      <c r="AN14" s="24"/>
      <c r="AS14" s="34">
        <f>IF(ISBLANK('Total Progress Report'!K28)," ",'Total Progress Report'!A28)</f>
        <v>45638</v>
      </c>
      <c r="AT14" s="20">
        <f>IF(ISBLANK('Total Progress Report'!I28)," ",'Total Progress Report'!I28)</f>
        <v>0</v>
      </c>
      <c r="AU14" s="20">
        <f>IF(ISBLANK('Total Progress Report'!J28)," ",'Total Progress Report'!J28)</f>
        <v>0</v>
      </c>
      <c r="AV14" s="20">
        <f>IF(ISBLANK('Total Progress Report'!K28)," ",'Total Progress Report'!K28)</f>
        <v>0</v>
      </c>
      <c r="BM14" s="34">
        <f>IF(ISBLANK('Total Progress Report'!O28)," ",'Total Progress Report'!A28)</f>
        <v>45638</v>
      </c>
      <c r="BN14" s="20">
        <f>IF(ISBLANK('Total Progress Report'!L28)," ",'Total Progress Report'!L28)</f>
        <v>66</v>
      </c>
      <c r="BO14" s="20">
        <f>IF(ISBLANK('Total Progress Report'!M28)," ",'Total Progress Report'!M28)</f>
        <v>175</v>
      </c>
      <c r="BP14" s="20">
        <f>IF(ISBLANK('Total Progress Report'!N28)," ",'Total Progress Report'!N28)</f>
        <v>26</v>
      </c>
      <c r="BQ14" s="20">
        <f>IF(ISBLANK('Total Progress Report'!O28)," ",'Total Progress Report'!O28)</f>
        <v>241</v>
      </c>
      <c r="CE14" s="34">
        <f>IF(ISBLANK('Total Progress Report'!R28)," ",'Total Progress Report'!A28)</f>
        <v>45638</v>
      </c>
      <c r="CF14" s="54">
        <f>IF(ISBLANK('Total Progress Report'!R28)," ",'Total Progress Report'!R28)</f>
        <v>0</v>
      </c>
      <c r="CG14" s="54">
        <f>IF(ISBLANK('Total Progress Report'!S28)," ",'Total Progress Report'!S28)</f>
        <v>0</v>
      </c>
      <c r="CP14" s="34">
        <f>IF(ISBLANK('Total Progress Report'!T28)," ",'Total Progress Report'!A28)</f>
        <v>45638</v>
      </c>
      <c r="CQ14" s="20">
        <f>IF(ISBLANK('Total Progress Report'!T28)," ",'Total Progress Report'!T28)</f>
        <v>0</v>
      </c>
      <c r="CR14" s="20">
        <f>IF(ISBLANK('Total Progress Report'!U28)," ",'Total Progress Report'!U28)</f>
        <v>0</v>
      </c>
      <c r="DD14" s="38" t="s">
        <v>142</v>
      </c>
      <c r="DE14" s="2">
        <f>GETPIVOTDATA("Sum of KARNAPHULI",Pivot_analysis!$BD$3)</f>
        <v>262</v>
      </c>
      <c r="DU14" s="31" t="s">
        <v>228</v>
      </c>
      <c r="DV14" s="31">
        <f>SUM(Table2[Cumulative Meter])</f>
        <v>56905</v>
      </c>
      <c r="DX14" s="31" t="s">
        <v>209</v>
      </c>
      <c r="DY14" s="31">
        <f>DV3-DV14</f>
        <v>43095</v>
      </c>
    </row>
    <row r="15" spans="1:135" ht="41.25" customHeight="1" x14ac:dyDescent="0.3">
      <c r="B15" s="43" t="s">
        <v>1</v>
      </c>
      <c r="C15" s="43" t="s">
        <v>113</v>
      </c>
      <c r="D15" s="43" t="s">
        <v>114</v>
      </c>
      <c r="G15" s="24">
        <f>VLOOKUP(MAX(B16:B46),B16:D46,1,FALSE)</f>
        <v>45649</v>
      </c>
      <c r="H15">
        <f>VLOOKUP(MAX(B16:B46),B16:D46,2,FALSE)</f>
        <v>102</v>
      </c>
      <c r="I15">
        <f>VLOOKUP(MAX(B16:B46),B16:D46,3,FALSE)</f>
        <v>325</v>
      </c>
      <c r="Z15" s="28">
        <f>IF(ISBLANK('Total Progress Report'!P29)," ",'Total Progress Report'!A29)</f>
        <v>45639</v>
      </c>
      <c r="AA15">
        <f>IF(ISBLANK('Total Progress Report'!P29)," ",'Total Progress Report'!P29)</f>
        <v>0</v>
      </c>
      <c r="AB15">
        <f>IF(ISBLANK('Total Progress Report'!Q29)," ",'Total Progress Report'!Q29)</f>
        <v>0</v>
      </c>
      <c r="AI15" s="34">
        <f>IF(ISBLANK('Total Progress Report'!W29)," ",'Total Progress Report'!A29)</f>
        <v>45639</v>
      </c>
      <c r="AJ15" s="20">
        <f>IF(ISBLANK('Total Progress Report'!V29)," ",'Total Progress Report'!V29)</f>
        <v>7</v>
      </c>
      <c r="AK15" s="20">
        <f>IF(ISBLANK('Total Progress Report'!W29)," ",'Total Progress Report'!W29)</f>
        <v>57</v>
      </c>
      <c r="AL15" s="20">
        <f>IF(ISBLANK('Total Progress Report'!X29)," ",'Total Progress Report'!X29)</f>
        <v>50</v>
      </c>
      <c r="AN15" s="24"/>
      <c r="AS15" s="34">
        <f>IF(ISBLANK('Total Progress Report'!K29)," ",'Total Progress Report'!A29)</f>
        <v>45639</v>
      </c>
      <c r="AT15" s="20">
        <f>IF(ISBLANK('Total Progress Report'!I29)," ",'Total Progress Report'!I29)</f>
        <v>0</v>
      </c>
      <c r="AU15" s="20">
        <f>IF(ISBLANK('Total Progress Report'!J29)," ",'Total Progress Report'!J29)</f>
        <v>0</v>
      </c>
      <c r="AV15" s="20">
        <f>IF(ISBLANK('Total Progress Report'!K29)," ",'Total Progress Report'!K29)</f>
        <v>0</v>
      </c>
      <c r="BM15" s="34">
        <f>IF(ISBLANK('Total Progress Report'!O29)," ",'Total Progress Report'!A29)</f>
        <v>45639</v>
      </c>
      <c r="BN15" s="20">
        <f>IF(ISBLANK('Total Progress Report'!L29)," ",'Total Progress Report'!L29)</f>
        <v>0</v>
      </c>
      <c r="BO15" s="20">
        <f>IF(ISBLANK('Total Progress Report'!M29)," ",'Total Progress Report'!M29)</f>
        <v>0</v>
      </c>
      <c r="BP15" s="20">
        <f>IF(ISBLANK('Total Progress Report'!N29)," ",'Total Progress Report'!N29)</f>
        <v>0</v>
      </c>
      <c r="BQ15" s="20">
        <f>IF(ISBLANK('Total Progress Report'!O29)," ",'Total Progress Report'!O29)</f>
        <v>0</v>
      </c>
      <c r="CE15" s="34">
        <f>IF(ISBLANK('Total Progress Report'!R29)," ",'Total Progress Report'!A29)</f>
        <v>45639</v>
      </c>
      <c r="CF15" s="54">
        <f>IF(ISBLANK('Total Progress Report'!R29)," ",'Total Progress Report'!R29)</f>
        <v>0</v>
      </c>
      <c r="CG15" s="54">
        <f>IF(ISBLANK('Total Progress Report'!S29)," ",'Total Progress Report'!S29)</f>
        <v>0</v>
      </c>
      <c r="CP15" s="34">
        <f>IF(ISBLANK('Total Progress Report'!T29)," ",'Total Progress Report'!A29)</f>
        <v>45639</v>
      </c>
      <c r="CQ15" s="20">
        <f>IF(ISBLANK('Total Progress Report'!T29)," ",'Total Progress Report'!T29)</f>
        <v>0</v>
      </c>
      <c r="CR15" s="20">
        <f>IF(ISBLANK('Total Progress Report'!U29)," ",'Total Progress Report'!U29)</f>
        <v>0</v>
      </c>
      <c r="DD15" s="38" t="s">
        <v>133</v>
      </c>
      <c r="DE15" s="2">
        <f>GETPIVOTDATA("Sum of KHULSHI",Pivot_analysis!$BD$3)</f>
        <v>3791</v>
      </c>
      <c r="DU15" t="s">
        <v>225</v>
      </c>
      <c r="DV15">
        <f>DV14+(DV6*DV11)</f>
        <v>91385.16</v>
      </c>
    </row>
    <row r="16" spans="1:135" x14ac:dyDescent="0.3">
      <c r="B16" s="24">
        <f>IF(ISBLANK('Total Progress Report'!C17)," ",'Total Progress Report'!A17)</f>
        <v>45627</v>
      </c>
      <c r="C16">
        <f>IF(ISBLANK('Total Progress Report'!B17)," ",'Total Progress Report'!B17)</f>
        <v>88</v>
      </c>
      <c r="D16">
        <f>IF(ISBLANK('Total Progress Report'!C17)," ",'Total Progress Report'!C17)</f>
        <v>266</v>
      </c>
      <c r="M16" s="24" cm="1">
        <f t="array" ref="M16">LOOKUP(2,--1/(J20:J21&lt;&gt;""),J20:J21)</f>
        <v>45628</v>
      </c>
      <c r="N16" t="str" cm="1">
        <f t="array" ref="N16">LOOKUP(2,1/(K20:K49&lt;&gt;""),K20:K49)</f>
        <v xml:space="preserve"> </v>
      </c>
      <c r="O16" cm="1">
        <f t="array" ref="O16">LOOKUP(2,--1/(L20:L30&lt;&gt;""),L20:L30)</f>
        <v>37</v>
      </c>
      <c r="Z16" s="28">
        <f>IF(ISBLANK('Total Progress Report'!P30)," ",'Total Progress Report'!A30)</f>
        <v>45640</v>
      </c>
      <c r="AA16">
        <f>IF(ISBLANK('Total Progress Report'!P30)," ",'Total Progress Report'!P30)</f>
        <v>243</v>
      </c>
      <c r="AB16">
        <f>IF(ISBLANK('Total Progress Report'!Q30)," ",'Total Progress Report'!Q30)</f>
        <v>82</v>
      </c>
      <c r="AI16" s="34">
        <f>IF(ISBLANK('Total Progress Report'!W30)," ",'Total Progress Report'!A30)</f>
        <v>45640</v>
      </c>
      <c r="AJ16" s="20">
        <f>IF(ISBLANK('Total Progress Report'!V30)," ",'Total Progress Report'!V30)</f>
        <v>11</v>
      </c>
      <c r="AK16" s="20">
        <f>IF(ISBLANK('Total Progress Report'!W30)," ",'Total Progress Report'!W30)</f>
        <v>83</v>
      </c>
      <c r="AL16" s="20">
        <f>IF(ISBLANK('Total Progress Report'!X30)," ",'Total Progress Report'!X30)</f>
        <v>72</v>
      </c>
      <c r="AN16" s="24"/>
      <c r="AS16" s="34">
        <f>IF(ISBLANK('Total Progress Report'!K30)," ",'Total Progress Report'!A30)</f>
        <v>45640</v>
      </c>
      <c r="AT16" s="20">
        <f>IF(ISBLANK('Total Progress Report'!I30)," ",'Total Progress Report'!I30)</f>
        <v>0</v>
      </c>
      <c r="AU16" s="20">
        <f>IF(ISBLANK('Total Progress Report'!J30)," ",'Total Progress Report'!J30)</f>
        <v>0</v>
      </c>
      <c r="AV16" s="20">
        <f>IF(ISBLANK('Total Progress Report'!K30)," ",'Total Progress Report'!K30)</f>
        <v>0</v>
      </c>
      <c r="BM16" s="34">
        <f>IF(ISBLANK('Total Progress Report'!O30)," ",'Total Progress Report'!A30)</f>
        <v>45640</v>
      </c>
      <c r="BN16" s="20">
        <f>IF(ISBLANK('Total Progress Report'!L30)," ",'Total Progress Report'!L30)</f>
        <v>76</v>
      </c>
      <c r="BO16" s="20">
        <f>IF(ISBLANK('Total Progress Report'!M30)," ",'Total Progress Report'!M30)</f>
        <v>182</v>
      </c>
      <c r="BP16" s="20">
        <f>IF(ISBLANK('Total Progress Report'!N30)," ",'Total Progress Report'!N30)</f>
        <v>25</v>
      </c>
      <c r="BQ16" s="20">
        <f>IF(ISBLANK('Total Progress Report'!O30)," ",'Total Progress Report'!O30)</f>
        <v>258</v>
      </c>
      <c r="CE16" s="34">
        <f>IF(ISBLANK('Total Progress Report'!R30)," ",'Total Progress Report'!A30)</f>
        <v>45640</v>
      </c>
      <c r="CF16" s="54">
        <f>IF(ISBLANK('Total Progress Report'!R30)," ",'Total Progress Report'!R30)</f>
        <v>151</v>
      </c>
      <c r="CG16" s="54">
        <f>IF(ISBLANK('Total Progress Report'!S30)," ",'Total Progress Report'!S30)</f>
        <v>68</v>
      </c>
      <c r="CP16" s="34">
        <f>IF(ISBLANK('Total Progress Report'!T30)," ",'Total Progress Report'!A30)</f>
        <v>45640</v>
      </c>
      <c r="CQ16" s="20">
        <f>IF(ISBLANK('Total Progress Report'!T30)," ",'Total Progress Report'!T30)</f>
        <v>0</v>
      </c>
      <c r="CR16" s="20">
        <f>IF(ISBLANK('Total Progress Report'!U30)," ",'Total Progress Report'!U30)</f>
        <v>0</v>
      </c>
      <c r="DD16" s="38" t="s">
        <v>141</v>
      </c>
      <c r="DE16" s="2">
        <f>GETPIVOTDATA("Sum of KOTWALI",Pivot_analysis!$BD$3)</f>
        <v>4750</v>
      </c>
    </row>
    <row r="17" spans="2:126" x14ac:dyDescent="0.3">
      <c r="B17" s="24">
        <f>IF(ISBLANK('Total Progress Report'!C18)," ",'Total Progress Report'!A18)</f>
        <v>45628</v>
      </c>
      <c r="C17">
        <f>IF(ISBLANK('Total Progress Report'!B18)," ",'Total Progress Report'!B18)</f>
        <v>93</v>
      </c>
      <c r="D17">
        <f>IF(ISBLANK('Total Progress Report'!C18)," ",'Total Progress Report'!C18)</f>
        <v>216</v>
      </c>
      <c r="Z17" s="28">
        <f>IF(ISBLANK('Total Progress Report'!P31)," ",'Total Progress Report'!A31)</f>
        <v>45641</v>
      </c>
      <c r="AA17">
        <f>IF(ISBLANK('Total Progress Report'!P31)," ",'Total Progress Report'!P31)</f>
        <v>171</v>
      </c>
      <c r="AB17">
        <f>IF(ISBLANK('Total Progress Report'!Q31)," ",'Total Progress Report'!Q31)</f>
        <v>75</v>
      </c>
      <c r="AI17" s="34">
        <f>IF(ISBLANK('Total Progress Report'!W31)," ",'Total Progress Report'!A31)</f>
        <v>45641</v>
      </c>
      <c r="AJ17" s="20">
        <f>IF(ISBLANK('Total Progress Report'!V31)," ",'Total Progress Report'!V31)</f>
        <v>10</v>
      </c>
      <c r="AK17" s="20">
        <f>IF(ISBLANK('Total Progress Report'!W31)," ",'Total Progress Report'!W31)</f>
        <v>76</v>
      </c>
      <c r="AL17" s="20">
        <f>IF(ISBLANK('Total Progress Report'!X31)," ",'Total Progress Report'!X31)</f>
        <v>66</v>
      </c>
      <c r="AN17" s="24"/>
      <c r="AS17" s="34">
        <f>IF(ISBLANK('Total Progress Report'!K31)," ",'Total Progress Report'!A31)</f>
        <v>45641</v>
      </c>
      <c r="AT17" s="20">
        <f>IF(ISBLANK('Total Progress Report'!I31)," ",'Total Progress Report'!I31)</f>
        <v>0</v>
      </c>
      <c r="AU17" s="20">
        <f>IF(ISBLANK('Total Progress Report'!J31)," ",'Total Progress Report'!J31)</f>
        <v>0</v>
      </c>
      <c r="AV17" s="20">
        <f>IF(ISBLANK('Total Progress Report'!K31)," ",'Total Progress Report'!K31)</f>
        <v>0</v>
      </c>
      <c r="BM17" s="34">
        <f>IF(ISBLANK('Total Progress Report'!O31)," ",'Total Progress Report'!A31)</f>
        <v>45641</v>
      </c>
      <c r="BN17" s="20">
        <f>IF(ISBLANK('Total Progress Report'!L31)," ",'Total Progress Report'!L31)</f>
        <v>36</v>
      </c>
      <c r="BO17" s="20">
        <f>IF(ISBLANK('Total Progress Report'!M31)," ",'Total Progress Report'!M31)</f>
        <v>95</v>
      </c>
      <c r="BP17" s="20">
        <f>IF(ISBLANK('Total Progress Report'!N31)," ",'Total Progress Report'!N31)</f>
        <v>12</v>
      </c>
      <c r="BQ17" s="20">
        <f>IF(ISBLANK('Total Progress Report'!O31)," ",'Total Progress Report'!O31)</f>
        <v>131</v>
      </c>
      <c r="CE17" s="34">
        <f>IF(ISBLANK('Total Progress Report'!R31)," ",'Total Progress Report'!A31)</f>
        <v>45641</v>
      </c>
      <c r="CF17" s="54">
        <f>IF(ISBLANK('Total Progress Report'!R31)," ",'Total Progress Report'!R31)</f>
        <v>93</v>
      </c>
      <c r="CG17" s="54">
        <f>IF(ISBLANK('Total Progress Report'!S31)," ",'Total Progress Report'!S31)</f>
        <v>61</v>
      </c>
      <c r="CP17" s="34">
        <f>IF(ISBLANK('Total Progress Report'!T31)," ",'Total Progress Report'!A31)</f>
        <v>45641</v>
      </c>
      <c r="CQ17" s="20">
        <f>IF(ISBLANK('Total Progress Report'!T31)," ",'Total Progress Report'!T31)</f>
        <v>0</v>
      </c>
      <c r="CR17" s="20">
        <f>IF(ISBLANK('Total Progress Report'!U31)," ",'Total Progress Report'!U31)</f>
        <v>0</v>
      </c>
      <c r="DD17" s="38" t="s">
        <v>149</v>
      </c>
      <c r="DE17" s="2">
        <f>GETPIVOTDATA("Sum of MIRSHARAI",Pivot_analysis!$BD$3)</f>
        <v>91</v>
      </c>
      <c r="DU17" t="s">
        <v>226</v>
      </c>
      <c r="DV17">
        <f>DY14/DV11</f>
        <v>301.36363636363637</v>
      </c>
    </row>
    <row r="18" spans="2:126" ht="21" x14ac:dyDescent="0.4">
      <c r="B18" s="24">
        <f>IF(ISBLANK('Total Progress Report'!C19)," ",'Total Progress Report'!A19)</f>
        <v>45629</v>
      </c>
      <c r="C18">
        <f>IF(ISBLANK('Total Progress Report'!B19)," ",'Total Progress Report'!B19)</f>
        <v>81</v>
      </c>
      <c r="D18">
        <f>IF(ISBLANK('Total Progress Report'!C19)," ",'Total Progress Report'!C19)</f>
        <v>276</v>
      </c>
      <c r="J18" s="135" t="s">
        <v>85</v>
      </c>
      <c r="K18" s="135"/>
      <c r="L18" s="135"/>
      <c r="M18" s="24" t="e" cm="1" vm="1">
        <f t="array" aca="1" ref="M18" ca="1">OFFSET(J20:J50,COUNT(J20:J50)-1,0,1,COUNT(J20:J50))</f>
        <v>#VALUE!</v>
      </c>
      <c r="Z18" s="28">
        <f>IF(ISBLANK('Total Progress Report'!P32)," ",'Total Progress Report'!A32)</f>
        <v>45642</v>
      </c>
      <c r="AA18">
        <f>IF(ISBLANK('Total Progress Report'!P32)," ",'Total Progress Report'!P32)</f>
        <v>0</v>
      </c>
      <c r="AB18">
        <f>IF(ISBLANK('Total Progress Report'!Q32)," ",'Total Progress Report'!Q32)</f>
        <v>0</v>
      </c>
      <c r="AI18" s="34">
        <f>IF(ISBLANK('Total Progress Report'!W32)," ",'Total Progress Report'!A32)</f>
        <v>45642</v>
      </c>
      <c r="AJ18" s="20">
        <f>IF(ISBLANK('Total Progress Report'!V32)," ",'Total Progress Report'!V32)</f>
        <v>9</v>
      </c>
      <c r="AK18" s="20">
        <f>IF(ISBLANK('Total Progress Report'!W32)," ",'Total Progress Report'!W32)</f>
        <v>73</v>
      </c>
      <c r="AL18" s="20">
        <f>IF(ISBLANK('Total Progress Report'!X32)," ",'Total Progress Report'!X32)</f>
        <v>64</v>
      </c>
      <c r="AN18" s="24"/>
      <c r="AS18" s="34">
        <f>IF(ISBLANK('Total Progress Report'!K32)," ",'Total Progress Report'!A32)</f>
        <v>45642</v>
      </c>
      <c r="AT18" s="20">
        <f>IF(ISBLANK('Total Progress Report'!I32)," ",'Total Progress Report'!I32)</f>
        <v>0</v>
      </c>
      <c r="AU18" s="20">
        <f>IF(ISBLANK('Total Progress Report'!J32)," ",'Total Progress Report'!J32)</f>
        <v>0</v>
      </c>
      <c r="AV18" s="20">
        <f>IF(ISBLANK('Total Progress Report'!K32)," ",'Total Progress Report'!K32)</f>
        <v>0</v>
      </c>
      <c r="BM18" s="34">
        <f>IF(ISBLANK('Total Progress Report'!O32)," ",'Total Progress Report'!A32)</f>
        <v>45642</v>
      </c>
      <c r="BN18" s="20">
        <f>IF(ISBLANK('Total Progress Report'!L32)," ",'Total Progress Report'!L32)</f>
        <v>0</v>
      </c>
      <c r="BO18" s="20">
        <f>IF(ISBLANK('Total Progress Report'!M32)," ",'Total Progress Report'!M32)</f>
        <v>0</v>
      </c>
      <c r="BP18" s="20">
        <f>IF(ISBLANK('Total Progress Report'!N32)," ",'Total Progress Report'!N32)</f>
        <v>0</v>
      </c>
      <c r="BQ18" s="20">
        <f>IF(ISBLANK('Total Progress Report'!O32)," ",'Total Progress Report'!O32)</f>
        <v>0</v>
      </c>
      <c r="CE18" s="34">
        <f>IF(ISBLANK('Total Progress Report'!R32)," ",'Total Progress Report'!A32)</f>
        <v>45642</v>
      </c>
      <c r="CF18" s="54">
        <f>IF(ISBLANK('Total Progress Report'!R32)," ",'Total Progress Report'!R32)</f>
        <v>0</v>
      </c>
      <c r="CG18" s="54">
        <f>IF(ISBLANK('Total Progress Report'!S32)," ",'Total Progress Report'!S32)</f>
        <v>0</v>
      </c>
      <c r="CP18" s="34">
        <f>IF(ISBLANK('Total Progress Report'!T32)," ",'Total Progress Report'!A32)</f>
        <v>45642</v>
      </c>
      <c r="CQ18" s="20">
        <f>IF(ISBLANK('Total Progress Report'!T32)," ",'Total Progress Report'!T32)</f>
        <v>0</v>
      </c>
      <c r="CR18" s="20">
        <f>IF(ISBLANK('Total Progress Report'!U32)," ",'Total Progress Report'!U32)</f>
        <v>0</v>
      </c>
      <c r="DD18" s="38" t="s">
        <v>134</v>
      </c>
      <c r="DE18" s="2">
        <f>GETPIVOTDATA("Sum of PAHARTALI",Pivot_analysis!$BD$3)</f>
        <v>4655</v>
      </c>
      <c r="DU18" t="s">
        <v>227</v>
      </c>
      <c r="DV18" s="89">
        <f>ROUND((DV6/DV17),2)</f>
        <v>0.8</v>
      </c>
    </row>
    <row r="19" spans="2:126" x14ac:dyDescent="0.3">
      <c r="B19" s="24">
        <f>IF(ISBLANK('Total Progress Report'!C20)," ",'Total Progress Report'!A20)</f>
        <v>45630</v>
      </c>
      <c r="C19">
        <f>IF(ISBLANK('Total Progress Report'!B20)," ",'Total Progress Report'!B20)</f>
        <v>85</v>
      </c>
      <c r="D19">
        <f>IF(ISBLANK('Total Progress Report'!C20)," ",'Total Progress Report'!C20)</f>
        <v>303</v>
      </c>
      <c r="J19" s="16" t="s">
        <v>1</v>
      </c>
      <c r="K19" s="16" t="s">
        <v>86</v>
      </c>
      <c r="L19" s="16" t="s">
        <v>91</v>
      </c>
      <c r="Z19" s="28">
        <f>IF(ISBLANK('Total Progress Report'!P33)," ",'Total Progress Report'!A33)</f>
        <v>45643</v>
      </c>
      <c r="AA19">
        <f>IF(ISBLANK('Total Progress Report'!P33)," ",'Total Progress Report'!P33)</f>
        <v>216</v>
      </c>
      <c r="AB19">
        <f>IF(ISBLANK('Total Progress Report'!Q33)," ",'Total Progress Report'!Q33)</f>
        <v>89</v>
      </c>
      <c r="AI19" s="34">
        <f>IF(ISBLANK('Total Progress Report'!W33)," ",'Total Progress Report'!A33)</f>
        <v>45643</v>
      </c>
      <c r="AJ19" s="20">
        <f>IF(ISBLANK('Total Progress Report'!V33)," ",'Total Progress Report'!V33)</f>
        <v>13</v>
      </c>
      <c r="AK19" s="20">
        <f>IF(ISBLANK('Total Progress Report'!W33)," ",'Total Progress Report'!W33)</f>
        <v>87</v>
      </c>
      <c r="AL19" s="20">
        <f>IF(ISBLANK('Total Progress Report'!X33)," ",'Total Progress Report'!X33)</f>
        <v>74</v>
      </c>
      <c r="AN19" s="24"/>
      <c r="AS19" s="34">
        <f>IF(ISBLANK('Total Progress Report'!K33)," ",'Total Progress Report'!A33)</f>
        <v>45643</v>
      </c>
      <c r="AT19" s="20">
        <f>IF(ISBLANK('Total Progress Report'!I33)," ",'Total Progress Report'!I33)</f>
        <v>0</v>
      </c>
      <c r="AU19" s="20">
        <f>IF(ISBLANK('Total Progress Report'!J33)," ",'Total Progress Report'!J33)</f>
        <v>0</v>
      </c>
      <c r="AV19" s="20">
        <f>IF(ISBLANK('Total Progress Report'!K33)," ",'Total Progress Report'!K33)</f>
        <v>0</v>
      </c>
      <c r="BM19" s="34">
        <f>IF(ISBLANK('Total Progress Report'!O33)," ",'Total Progress Report'!A33)</f>
        <v>45643</v>
      </c>
      <c r="BN19" s="20">
        <f>IF(ISBLANK('Total Progress Report'!L33)," ",'Total Progress Report'!L33)</f>
        <v>67</v>
      </c>
      <c r="BO19" s="20">
        <f>IF(ISBLANK('Total Progress Report'!M33)," ",'Total Progress Report'!M33)</f>
        <v>123</v>
      </c>
      <c r="BP19" s="20">
        <f>IF(ISBLANK('Total Progress Report'!N33)," ",'Total Progress Report'!N33)</f>
        <v>27</v>
      </c>
      <c r="BQ19" s="20">
        <f>IF(ISBLANK('Total Progress Report'!O33)," ",'Total Progress Report'!O33)</f>
        <v>190</v>
      </c>
      <c r="CE19" s="34">
        <f>IF(ISBLANK('Total Progress Report'!R33)," ",'Total Progress Report'!A33)</f>
        <v>45643</v>
      </c>
      <c r="CF19" s="54">
        <f>IF(ISBLANK('Total Progress Report'!R33)," ",'Total Progress Report'!R33)</f>
        <v>161</v>
      </c>
      <c r="CG19" s="54">
        <f>IF(ISBLANK('Total Progress Report'!S33)," ",'Total Progress Report'!S33)</f>
        <v>81</v>
      </c>
      <c r="CP19" s="34">
        <f>IF(ISBLANK('Total Progress Report'!T33)," ",'Total Progress Report'!A33)</f>
        <v>45643</v>
      </c>
      <c r="CQ19" s="20">
        <f>IF(ISBLANK('Total Progress Report'!T33)," ",'Total Progress Report'!T33)</f>
        <v>0</v>
      </c>
      <c r="CR19" s="20">
        <f>IF(ISBLANK('Total Progress Report'!U33)," ",'Total Progress Report'!U33)</f>
        <v>0</v>
      </c>
      <c r="DD19" s="38" t="s">
        <v>143</v>
      </c>
      <c r="DE19" s="2">
        <f>GETPIVOTDATA("Sum of PANCHLAISH",Pivot_analysis!$BD$3)</f>
        <v>5038</v>
      </c>
    </row>
    <row r="20" spans="2:126" x14ac:dyDescent="0.3">
      <c r="B20" s="24">
        <f>IF(ISBLANK('Total Progress Report'!C21)," ",'Total Progress Report'!A21)</f>
        <v>45631</v>
      </c>
      <c r="C20">
        <f>IF(ISBLANK('Total Progress Report'!B21)," ",'Total Progress Report'!B21)</f>
        <v>60</v>
      </c>
      <c r="D20">
        <f>IF(ISBLANK('Total Progress Report'!C21)," ",'Total Progress Report'!C21)</f>
        <v>337</v>
      </c>
      <c r="J20" s="28">
        <f>IF(ISBLANK('Total Progress Report'!P17)," ",'Total Progress Report'!A17)</f>
        <v>45627</v>
      </c>
      <c r="K20">
        <f>IF(ISBLANK('Total Progress Report'!P17)," ",'Total Progress Report'!P17)</f>
        <v>312</v>
      </c>
      <c r="L20">
        <f>IF(ISBLANK('Total Progress Report'!Q17)," ",'Total Progress Report'!Q17)</f>
        <v>82</v>
      </c>
      <c r="Z20" s="28">
        <f>IF(ISBLANK('Total Progress Report'!P34)," ",'Total Progress Report'!A34)</f>
        <v>45644</v>
      </c>
      <c r="AA20">
        <f>IF(ISBLANK('Total Progress Report'!P34)," ",'Total Progress Report'!P34)</f>
        <v>157</v>
      </c>
      <c r="AB20">
        <f>IF(ISBLANK('Total Progress Report'!Q34)," ",'Total Progress Report'!Q34)</f>
        <v>65</v>
      </c>
      <c r="AI20" s="34">
        <f>IF(ISBLANK('Total Progress Report'!W34)," ",'Total Progress Report'!A34)</f>
        <v>45644</v>
      </c>
      <c r="AJ20" s="20">
        <f>IF(ISBLANK('Total Progress Report'!V34)," ",'Total Progress Report'!V34)</f>
        <v>7</v>
      </c>
      <c r="AK20" s="20">
        <f>IF(ISBLANK('Total Progress Report'!W34)," ",'Total Progress Report'!W34)</f>
        <v>82</v>
      </c>
      <c r="AL20" s="20">
        <f>IF(ISBLANK('Total Progress Report'!X34)," ",'Total Progress Report'!X34)</f>
        <v>75</v>
      </c>
      <c r="AN20" s="24"/>
      <c r="AS20" s="34">
        <f>IF(ISBLANK('Total Progress Report'!K34)," ",'Total Progress Report'!A34)</f>
        <v>45644</v>
      </c>
      <c r="AT20" s="20">
        <f>IF(ISBLANK('Total Progress Report'!I34)," ",'Total Progress Report'!I34)</f>
        <v>0</v>
      </c>
      <c r="AU20" s="20">
        <f>IF(ISBLANK('Total Progress Report'!J34)," ",'Total Progress Report'!J34)</f>
        <v>0</v>
      </c>
      <c r="AV20" s="20">
        <f>IF(ISBLANK('Total Progress Report'!K34)," ",'Total Progress Report'!K34)</f>
        <v>0</v>
      </c>
      <c r="BM20" s="34">
        <f>IF(ISBLANK('Total Progress Report'!O34)," ",'Total Progress Report'!A34)</f>
        <v>45644</v>
      </c>
      <c r="BN20" s="20">
        <f>IF(ISBLANK('Total Progress Report'!L34)," ",'Total Progress Report'!L34)</f>
        <v>239</v>
      </c>
      <c r="BO20" s="20">
        <f>IF(ISBLANK('Total Progress Report'!M34)," ",'Total Progress Report'!M34)</f>
        <v>177</v>
      </c>
      <c r="BP20" s="20">
        <f>IF(ISBLANK('Total Progress Report'!N34)," ",'Total Progress Report'!N34)</f>
        <v>32</v>
      </c>
      <c r="BQ20" s="20">
        <f>IF(ISBLANK('Total Progress Report'!O34)," ",'Total Progress Report'!O34)</f>
        <v>416</v>
      </c>
      <c r="CE20" s="34">
        <f>IF(ISBLANK('Total Progress Report'!R34)," ",'Total Progress Report'!A34)</f>
        <v>45644</v>
      </c>
      <c r="CF20" s="54">
        <f>IF(ISBLANK('Total Progress Report'!R34)," ",'Total Progress Report'!R34)</f>
        <v>150</v>
      </c>
      <c r="CG20" s="54">
        <f>IF(ISBLANK('Total Progress Report'!S34)," ",'Total Progress Report'!S34)</f>
        <v>61</v>
      </c>
      <c r="CP20" s="34">
        <f>IF(ISBLANK('Total Progress Report'!T34)," ",'Total Progress Report'!A34)</f>
        <v>45644</v>
      </c>
      <c r="CQ20" s="20">
        <f>IF(ISBLANK('Total Progress Report'!T34)," ",'Total Progress Report'!T34)</f>
        <v>0</v>
      </c>
      <c r="CR20" s="20">
        <f>IF(ISBLANK('Total Progress Report'!U34)," ",'Total Progress Report'!U34)</f>
        <v>0</v>
      </c>
      <c r="DD20" s="38" t="s">
        <v>139</v>
      </c>
      <c r="DE20" s="2">
        <f>GETPIVOTDATA("Sum of PATENGA",Pivot_analysis!$BD$3)</f>
        <v>226</v>
      </c>
    </row>
    <row r="21" spans="2:126" x14ac:dyDescent="0.3">
      <c r="B21" s="24">
        <f>IF(ISBLANK('Total Progress Report'!C22)," ",'Total Progress Report'!A22)</f>
        <v>45632</v>
      </c>
      <c r="C21">
        <f>IF(ISBLANK('Total Progress Report'!B22)," ",'Total Progress Report'!B22)</f>
        <v>0</v>
      </c>
      <c r="D21">
        <f>IF(ISBLANK('Total Progress Report'!C22)," ",'Total Progress Report'!C22)</f>
        <v>0</v>
      </c>
      <c r="J21" s="28">
        <f>IF(ISBLANK('Total Progress Report'!P18)," ",'Total Progress Report'!A18)</f>
        <v>45628</v>
      </c>
      <c r="K21">
        <f>IF(ISBLANK('Total Progress Report'!P18)," ",'Total Progress Report'!P18)</f>
        <v>367</v>
      </c>
      <c r="L21">
        <f>IF(ISBLANK('Total Progress Report'!Q18)," ",'Total Progress Report'!Q18)</f>
        <v>59</v>
      </c>
      <c r="Z21" s="28">
        <f>IF(ISBLANK('Total Progress Report'!P35)," ",'Total Progress Report'!A35)</f>
        <v>45645</v>
      </c>
      <c r="AA21">
        <f>IF(ISBLANK('Total Progress Report'!P35)," ",'Total Progress Report'!P35)</f>
        <v>119</v>
      </c>
      <c r="AB21">
        <f>IF(ISBLANK('Total Progress Report'!Q35)," ",'Total Progress Report'!Q35)</f>
        <v>67</v>
      </c>
      <c r="AI21" s="34">
        <f>IF(ISBLANK('Total Progress Report'!W35)," ",'Total Progress Report'!A35)</f>
        <v>45645</v>
      </c>
      <c r="AJ21" s="20">
        <f>IF(ISBLANK('Total Progress Report'!V35)," ",'Total Progress Report'!V35)</f>
        <v>15</v>
      </c>
      <c r="AK21" s="20">
        <f>IF(ISBLANK('Total Progress Report'!W35)," ",'Total Progress Report'!W35)</f>
        <v>88</v>
      </c>
      <c r="AL21" s="20">
        <f>IF(ISBLANK('Total Progress Report'!X35)," ",'Total Progress Report'!X35)</f>
        <v>73</v>
      </c>
      <c r="AN21" s="24"/>
      <c r="AS21" s="34">
        <f>IF(ISBLANK('Total Progress Report'!K35)," ",'Total Progress Report'!A35)</f>
        <v>45645</v>
      </c>
      <c r="AT21" s="20">
        <f>IF(ISBLANK('Total Progress Report'!I35)," ",'Total Progress Report'!I35)</f>
        <v>0</v>
      </c>
      <c r="AU21" s="20">
        <f>IF(ISBLANK('Total Progress Report'!J35)," ",'Total Progress Report'!J35)</f>
        <v>0</v>
      </c>
      <c r="AV21" s="20">
        <f>IF(ISBLANK('Total Progress Report'!K35)," ",'Total Progress Report'!K35)</f>
        <v>0</v>
      </c>
      <c r="BM21" s="34">
        <f>IF(ISBLANK('Total Progress Report'!O35)," ",'Total Progress Report'!A35)</f>
        <v>45645</v>
      </c>
      <c r="BN21" s="20">
        <f>IF(ISBLANK('Total Progress Report'!L35)," ",'Total Progress Report'!L35)</f>
        <v>94</v>
      </c>
      <c r="BO21" s="20">
        <f>IF(ISBLANK('Total Progress Report'!M35)," ",'Total Progress Report'!M35)</f>
        <v>253</v>
      </c>
      <c r="BP21" s="20">
        <f>IF(ISBLANK('Total Progress Report'!N35)," ",'Total Progress Report'!N35)</f>
        <v>35</v>
      </c>
      <c r="BQ21" s="20">
        <f>IF(ISBLANK('Total Progress Report'!O35)," ",'Total Progress Report'!O35)</f>
        <v>347</v>
      </c>
      <c r="CE21" s="34">
        <f>IF(ISBLANK('Total Progress Report'!R35)," ",'Total Progress Report'!A35)</f>
        <v>45645</v>
      </c>
      <c r="CF21" s="54">
        <f>IF(ISBLANK('Total Progress Report'!R35)," ",'Total Progress Report'!R35)</f>
        <v>67</v>
      </c>
      <c r="CG21" s="54">
        <f>IF(ISBLANK('Total Progress Report'!S35)," ",'Total Progress Report'!S35)</f>
        <v>49</v>
      </c>
      <c r="CP21" s="34">
        <f>IF(ISBLANK('Total Progress Report'!T35)," ",'Total Progress Report'!A35)</f>
        <v>45645</v>
      </c>
      <c r="CQ21" s="20">
        <f>IF(ISBLANK('Total Progress Report'!T35)," ",'Total Progress Report'!T35)</f>
        <v>0</v>
      </c>
      <c r="CR21" s="20">
        <f>IF(ISBLANK('Total Progress Report'!U35)," ",'Total Progress Report'!U35)</f>
        <v>0</v>
      </c>
      <c r="DD21" s="38" t="s">
        <v>145</v>
      </c>
      <c r="DE21" s="2">
        <f>GETPIVOTDATA("Sum of PATIYA",Pivot_analysis!$BD$3)</f>
        <v>266</v>
      </c>
    </row>
    <row r="22" spans="2:126" x14ac:dyDescent="0.3">
      <c r="B22" s="24">
        <f>IF(ISBLANK('Total Progress Report'!C23)," ",'Total Progress Report'!A23)</f>
        <v>45633</v>
      </c>
      <c r="C22">
        <f>IF(ISBLANK('Total Progress Report'!B23)," ",'Total Progress Report'!B23)</f>
        <v>65</v>
      </c>
      <c r="D22">
        <f>IF(ISBLANK('Total Progress Report'!C23)," ",'Total Progress Report'!C23)</f>
        <v>314</v>
      </c>
      <c r="J22" s="28">
        <f>IF(ISBLANK('Total Progress Report'!P19)," ",'Total Progress Report'!A19)</f>
        <v>45629</v>
      </c>
      <c r="K22">
        <f>IF(ISBLANK('Total Progress Report'!P19)," ",'Total Progress Report'!P19)</f>
        <v>403</v>
      </c>
      <c r="L22">
        <f>IF(ISBLANK('Total Progress Report'!Q19)," ",'Total Progress Report'!Q19)</f>
        <v>110</v>
      </c>
      <c r="Z22" s="28">
        <f>IF(ISBLANK('Total Progress Report'!P36)," ",'Total Progress Report'!A36)</f>
        <v>45646</v>
      </c>
      <c r="AA22">
        <f>IF(ISBLANK('Total Progress Report'!P36)," ",'Total Progress Report'!P36)</f>
        <v>0</v>
      </c>
      <c r="AB22">
        <f>IF(ISBLANK('Total Progress Report'!Q36)," ",'Total Progress Report'!Q36)</f>
        <v>0</v>
      </c>
      <c r="AI22" s="34">
        <f>IF(ISBLANK('Total Progress Report'!W36)," ",'Total Progress Report'!A36)</f>
        <v>45646</v>
      </c>
      <c r="AJ22" s="20">
        <f>IF(ISBLANK('Total Progress Report'!V36)," ",'Total Progress Report'!V36)</f>
        <v>5</v>
      </c>
      <c r="AK22" s="20">
        <f>IF(ISBLANK('Total Progress Report'!W36)," ",'Total Progress Report'!W36)</f>
        <v>80</v>
      </c>
      <c r="AL22" s="20">
        <f>IF(ISBLANK('Total Progress Report'!X36)," ",'Total Progress Report'!X36)</f>
        <v>75</v>
      </c>
      <c r="AN22" s="24"/>
      <c r="AS22" s="34">
        <f>IF(ISBLANK('Total Progress Report'!K36)," ",'Total Progress Report'!A36)</f>
        <v>45646</v>
      </c>
      <c r="AT22" s="20">
        <f>IF(ISBLANK('Total Progress Report'!I36)," ",'Total Progress Report'!I36)</f>
        <v>0</v>
      </c>
      <c r="AU22" s="20">
        <f>IF(ISBLANK('Total Progress Report'!J36)," ",'Total Progress Report'!J36)</f>
        <v>0</v>
      </c>
      <c r="AV22" s="20">
        <f>IF(ISBLANK('Total Progress Report'!K36)," ",'Total Progress Report'!K36)</f>
        <v>0</v>
      </c>
      <c r="BM22" s="34">
        <f>IF(ISBLANK('Total Progress Report'!O36)," ",'Total Progress Report'!A36)</f>
        <v>45646</v>
      </c>
      <c r="BN22" s="20">
        <f>IF(ISBLANK('Total Progress Report'!L36)," ",'Total Progress Report'!L36)</f>
        <v>0</v>
      </c>
      <c r="BO22" s="20">
        <f>IF(ISBLANK('Total Progress Report'!M36)," ",'Total Progress Report'!M36)</f>
        <v>0</v>
      </c>
      <c r="BP22" s="20">
        <f>IF(ISBLANK('Total Progress Report'!N36)," ",'Total Progress Report'!N36)</f>
        <v>0</v>
      </c>
      <c r="BQ22" s="20">
        <f>IF(ISBLANK('Total Progress Report'!O36)," ",'Total Progress Report'!O36)</f>
        <v>0</v>
      </c>
      <c r="CE22" s="34">
        <f>IF(ISBLANK('Total Progress Report'!R36)," ",'Total Progress Report'!A36)</f>
        <v>45646</v>
      </c>
      <c r="CF22" s="54">
        <f>IF(ISBLANK('Total Progress Report'!R36)," ",'Total Progress Report'!R36)</f>
        <v>0</v>
      </c>
      <c r="CG22" s="54">
        <f>IF(ISBLANK('Total Progress Report'!S36)," ",'Total Progress Report'!S36)</f>
        <v>0</v>
      </c>
      <c r="CP22" s="34">
        <f>IF(ISBLANK('Total Progress Report'!T36)," ",'Total Progress Report'!A36)</f>
        <v>45646</v>
      </c>
      <c r="CQ22" s="20">
        <f>IF(ISBLANK('Total Progress Report'!T36)," ",'Total Progress Report'!T36)</f>
        <v>0</v>
      </c>
      <c r="CR22" s="20">
        <f>IF(ISBLANK('Total Progress Report'!U36)," ",'Total Progress Report'!U36)</f>
        <v>0</v>
      </c>
      <c r="DD22" s="38" t="s">
        <v>140</v>
      </c>
      <c r="DE22" s="2">
        <f>GETPIVOTDATA("Sum of SADARGHAT",Pivot_analysis!$BD$3)</f>
        <v>1855</v>
      </c>
    </row>
    <row r="23" spans="2:126" x14ac:dyDescent="0.3">
      <c r="B23" s="24">
        <f>IF(ISBLANK('Total Progress Report'!C24)," ",'Total Progress Report'!A24)</f>
        <v>45634</v>
      </c>
      <c r="C23">
        <f>IF(ISBLANK('Total Progress Report'!B24)," ",'Total Progress Report'!B24)</f>
        <v>58</v>
      </c>
      <c r="D23">
        <f>IF(ISBLANK('Total Progress Report'!C24)," ",'Total Progress Report'!C24)</f>
        <v>239</v>
      </c>
      <c r="J23" s="28">
        <f>IF(ISBLANK('Total Progress Report'!P20)," ",'Total Progress Report'!A20)</f>
        <v>45630</v>
      </c>
      <c r="K23">
        <f>IF(ISBLANK('Total Progress Report'!P20)," ",'Total Progress Report'!P20)</f>
        <v>321</v>
      </c>
      <c r="L23">
        <f>IF(ISBLANK('Total Progress Report'!Q20)," ",'Total Progress Report'!Q20)</f>
        <v>92</v>
      </c>
      <c r="Z23" s="28">
        <f>IF(ISBLANK('Total Progress Report'!P37)," ",'Total Progress Report'!A37)</f>
        <v>45647</v>
      </c>
      <c r="AA23">
        <f>IF(ISBLANK('Total Progress Report'!P37)," ",'Total Progress Report'!P37)</f>
        <v>140</v>
      </c>
      <c r="AB23">
        <f>IF(ISBLANK('Total Progress Report'!Q37)," ",'Total Progress Report'!Q37)</f>
        <v>55</v>
      </c>
      <c r="AI23" s="34">
        <f>IF(ISBLANK('Total Progress Report'!W37)," ",'Total Progress Report'!A37)</f>
        <v>45647</v>
      </c>
      <c r="AJ23" s="20">
        <f>IF(ISBLANK('Total Progress Report'!V37)," ",'Total Progress Report'!V37)</f>
        <v>14</v>
      </c>
      <c r="AK23" s="20">
        <f>IF(ISBLANK('Total Progress Report'!W37)," ",'Total Progress Report'!W37)</f>
        <v>87</v>
      </c>
      <c r="AL23" s="20">
        <f>IF(ISBLANK('Total Progress Report'!X37)," ",'Total Progress Report'!X37)</f>
        <v>73</v>
      </c>
      <c r="AN23" s="24"/>
      <c r="AS23" s="34">
        <f>IF(ISBLANK('Total Progress Report'!K37)," ",'Total Progress Report'!A37)</f>
        <v>45647</v>
      </c>
      <c r="AT23" s="20">
        <f>IF(ISBLANK('Total Progress Report'!I37)," ",'Total Progress Report'!I37)</f>
        <v>0</v>
      </c>
      <c r="AU23" s="20">
        <f>IF(ISBLANK('Total Progress Report'!J37)," ",'Total Progress Report'!J37)</f>
        <v>0</v>
      </c>
      <c r="AV23" s="20">
        <f>IF(ISBLANK('Total Progress Report'!K37)," ",'Total Progress Report'!K37)</f>
        <v>0</v>
      </c>
      <c r="BM23" s="34">
        <f>IF(ISBLANK('Total Progress Report'!O37)," ",'Total Progress Report'!A37)</f>
        <v>45647</v>
      </c>
      <c r="BN23" s="20">
        <f>IF(ISBLANK('Total Progress Report'!L37)," ",'Total Progress Report'!L37)</f>
        <v>156</v>
      </c>
      <c r="BO23" s="20">
        <f>IF(ISBLANK('Total Progress Report'!M37)," ",'Total Progress Report'!M37)</f>
        <v>168</v>
      </c>
      <c r="BP23" s="20">
        <f>IF(ISBLANK('Total Progress Report'!N37)," ",'Total Progress Report'!N37)</f>
        <v>40</v>
      </c>
      <c r="BQ23" s="20">
        <f>IF(ISBLANK('Total Progress Report'!O37)," ",'Total Progress Report'!O37)</f>
        <v>324</v>
      </c>
      <c r="CE23" s="34">
        <f>IF(ISBLANK('Total Progress Report'!R39)," ",'Total Progress Report'!A37)</f>
        <v>45647</v>
      </c>
      <c r="CF23" s="54">
        <f>IF(ISBLANK('Total Progress Report'!R39)," ",'Total Progress Report'!R39)</f>
        <v>402</v>
      </c>
      <c r="CG23" s="54">
        <f>IF(ISBLANK('Total Progress Report'!S39)," ",'Total Progress Report'!S39)</f>
        <v>43</v>
      </c>
      <c r="CP23" s="34">
        <f>IF(ISBLANK('Total Progress Report'!T37)," ",'Total Progress Report'!A37)</f>
        <v>45647</v>
      </c>
      <c r="CQ23" s="20">
        <f>IF(ISBLANK('Total Progress Report'!T37)," ",'Total Progress Report'!T37)</f>
        <v>0</v>
      </c>
      <c r="CR23" s="20">
        <f>IF(ISBLANK('Total Progress Report'!U37)," ",'Total Progress Report'!U37)</f>
        <v>0</v>
      </c>
      <c r="DD23" s="38" t="s">
        <v>148</v>
      </c>
      <c r="DE23" s="2">
        <f>GETPIVOTDATA("Sum of SITAKUNDA",Pivot_analysis!$BD$3)</f>
        <v>303</v>
      </c>
    </row>
    <row r="24" spans="2:126" x14ac:dyDescent="0.3">
      <c r="B24" s="24">
        <f>IF(ISBLANK('Total Progress Report'!C25)," ",'Total Progress Report'!A25)</f>
        <v>45635</v>
      </c>
      <c r="C24">
        <f>IF(ISBLANK('Total Progress Report'!B25)," ",'Total Progress Report'!B25)</f>
        <v>83</v>
      </c>
      <c r="D24">
        <f>IF(ISBLANK('Total Progress Report'!C25)," ",'Total Progress Report'!C25)</f>
        <v>279</v>
      </c>
      <c r="J24" s="28">
        <f>IF(ISBLANK('Total Progress Report'!P21)," ",'Total Progress Report'!A21)</f>
        <v>45631</v>
      </c>
      <c r="K24">
        <f>IF(ISBLANK('Total Progress Report'!P21)," ",'Total Progress Report'!P21)</f>
        <v>328</v>
      </c>
      <c r="L24">
        <f>IF(ISBLANK('Total Progress Report'!Q21)," ",'Total Progress Report'!Q21)</f>
        <v>70</v>
      </c>
      <c r="Z24" s="28">
        <f>IF(ISBLANK('Total Progress Report'!P38)," ",'Total Progress Report'!A38)</f>
        <v>45648</v>
      </c>
      <c r="AA24">
        <f>IF(ISBLANK('Total Progress Report'!P38)," ",'Total Progress Report'!P38)</f>
        <v>3</v>
      </c>
      <c r="AB24">
        <f>IF(ISBLANK('Total Progress Report'!Q38)," ",'Total Progress Report'!Q38)</f>
        <v>1</v>
      </c>
      <c r="AI24" s="34">
        <f>IF(ISBLANK('Total Progress Report'!W38)," ",'Total Progress Report'!A38)</f>
        <v>45648</v>
      </c>
      <c r="AJ24" s="20">
        <f>IF(ISBLANK('Total Progress Report'!V38)," ",'Total Progress Report'!V38)</f>
        <v>7</v>
      </c>
      <c r="AK24" s="20">
        <f>IF(ISBLANK('Total Progress Report'!W38)," ",'Total Progress Report'!W38)</f>
        <v>79</v>
      </c>
      <c r="AL24" s="20">
        <f>IF(ISBLANK('Total Progress Report'!X38)," ",'Total Progress Report'!X38)</f>
        <v>72</v>
      </c>
      <c r="AN24" s="24"/>
      <c r="AS24" s="34">
        <f>IF(ISBLANK('Total Progress Report'!K38)," ",'Total Progress Report'!A38)</f>
        <v>45648</v>
      </c>
      <c r="AT24" s="20">
        <f>IF(ISBLANK('Total Progress Report'!I38)," ",'Total Progress Report'!I38)</f>
        <v>0</v>
      </c>
      <c r="AU24" s="20">
        <f>IF(ISBLANK('Total Progress Report'!J38)," ",'Total Progress Report'!J38)</f>
        <v>0</v>
      </c>
      <c r="AV24" s="20">
        <f>IF(ISBLANK('Total Progress Report'!K38)," ",'Total Progress Report'!K38)</f>
        <v>0</v>
      </c>
      <c r="BM24" s="34">
        <f>IF(ISBLANK('Total Progress Report'!O38)," ",'Total Progress Report'!A38)</f>
        <v>45648</v>
      </c>
      <c r="BN24" s="20">
        <f>IF(ISBLANK('Total Progress Report'!L38)," ",'Total Progress Report'!L38)</f>
        <v>76</v>
      </c>
      <c r="BO24" s="20">
        <f>IF(ISBLANK('Total Progress Report'!M38)," ",'Total Progress Report'!M38)</f>
        <v>279</v>
      </c>
      <c r="BP24" s="20">
        <f>IF(ISBLANK('Total Progress Report'!N38)," ",'Total Progress Report'!N38)</f>
        <v>49</v>
      </c>
      <c r="BQ24" s="20">
        <f>IF(ISBLANK('Total Progress Report'!O38)," ",'Total Progress Report'!O38)</f>
        <v>355</v>
      </c>
      <c r="CE24" s="34">
        <f>IF(ISBLANK('Total Progress Report'!R38)," ",'Total Progress Report'!A38)</f>
        <v>45648</v>
      </c>
      <c r="CF24" s="54">
        <f>IF(ISBLANK('Total Progress Report'!R38)," ",'Total Progress Report'!R38)</f>
        <v>554</v>
      </c>
      <c r="CG24" s="54">
        <f>IF(ISBLANK('Total Progress Report'!S38)," ",'Total Progress Report'!S38)</f>
        <v>58</v>
      </c>
      <c r="CP24" s="34">
        <f>IF(ISBLANK('Total Progress Report'!T38)," ",'Total Progress Report'!A38)</f>
        <v>45648</v>
      </c>
      <c r="CQ24" s="20">
        <f>IF(ISBLANK('Total Progress Report'!T38)," ",'Total Progress Report'!T38)</f>
        <v>0</v>
      </c>
      <c r="CR24" s="20">
        <f>IF(ISBLANK('Total Progress Report'!U38)," ",'Total Progress Report'!U38)</f>
        <v>0</v>
      </c>
      <c r="DE24">
        <f>SUM(DE2:DE23)</f>
        <v>56122</v>
      </c>
    </row>
    <row r="25" spans="2:126" x14ac:dyDescent="0.3">
      <c r="B25" s="24">
        <f>IF(ISBLANK('Total Progress Report'!C26)," ",'Total Progress Report'!A26)</f>
        <v>45636</v>
      </c>
      <c r="C25">
        <f>IF(ISBLANK('Total Progress Report'!B26)," ",'Total Progress Report'!B26)</f>
        <v>58</v>
      </c>
      <c r="D25">
        <f>IF(ISBLANK('Total Progress Report'!C26)," ",'Total Progress Report'!C26)</f>
        <v>250</v>
      </c>
      <c r="J25" s="28">
        <f>IF(ISBLANK('Total Progress Report'!P22)," ",'Total Progress Report'!A22)</f>
        <v>45632</v>
      </c>
      <c r="K25">
        <f>IF(ISBLANK('Total Progress Report'!P22)," ",'Total Progress Report'!P22)</f>
        <v>0</v>
      </c>
      <c r="L25">
        <f>IF(ISBLANK('Total Progress Report'!Q22)," ",'Total Progress Report'!Q22)</f>
        <v>0</v>
      </c>
      <c r="Z25" s="28">
        <f>IF(ISBLANK('Total Progress Report'!P39)," ",'Total Progress Report'!A39)</f>
        <v>45649</v>
      </c>
      <c r="AA25">
        <f>IF(ISBLANK('Total Progress Report'!P39)," ",'Total Progress Report'!P39)</f>
        <v>0</v>
      </c>
      <c r="AB25">
        <f>IF(ISBLANK('Total Progress Report'!Q39)," ",'Total Progress Report'!Q39)</f>
        <v>0</v>
      </c>
      <c r="AI25" s="34">
        <f>IF(ISBLANK('Total Progress Report'!W39)," ",'Total Progress Report'!A39)</f>
        <v>45649</v>
      </c>
      <c r="AJ25" s="20">
        <f>IF(ISBLANK('Total Progress Report'!V39)," ",'Total Progress Report'!V39)</f>
        <v>16</v>
      </c>
      <c r="AK25" s="20">
        <f>IF(ISBLANK('Total Progress Report'!W39)," ",'Total Progress Report'!W39)</f>
        <v>89</v>
      </c>
      <c r="AL25" s="20">
        <f>IF(ISBLANK('Total Progress Report'!X39)," ",'Total Progress Report'!X39)</f>
        <v>73</v>
      </c>
      <c r="AN25" s="24"/>
      <c r="AS25" s="34">
        <f>IF(ISBLANK('Total Progress Report'!K39)," ",'Total Progress Report'!A39)</f>
        <v>45649</v>
      </c>
      <c r="AT25" s="20">
        <f>IF(ISBLANK('Total Progress Report'!I39)," ",'Total Progress Report'!I39)</f>
        <v>0</v>
      </c>
      <c r="AU25" s="20">
        <f>IF(ISBLANK('Total Progress Report'!J39)," ",'Total Progress Report'!J39)</f>
        <v>0</v>
      </c>
      <c r="AV25" s="20">
        <f>IF(ISBLANK('Total Progress Report'!K39)," ",'Total Progress Report'!K39)</f>
        <v>0</v>
      </c>
      <c r="BM25" s="34">
        <f>IF(ISBLANK('Total Progress Report'!O39)," ",'Total Progress Report'!A39)</f>
        <v>45649</v>
      </c>
      <c r="BN25" s="20">
        <f>IF(ISBLANK('Total Progress Report'!L39)," ",'Total Progress Report'!L39)</f>
        <v>117</v>
      </c>
      <c r="BO25" s="20">
        <f>IF(ISBLANK('Total Progress Report'!M39)," ",'Total Progress Report'!M39)</f>
        <v>267</v>
      </c>
      <c r="BP25" s="20">
        <f>IF(ISBLANK('Total Progress Report'!N39)," ",'Total Progress Report'!N39)</f>
        <v>46</v>
      </c>
      <c r="BQ25" s="20">
        <f>IF(ISBLANK('Total Progress Report'!O39)," ",'Total Progress Report'!O39)</f>
        <v>384</v>
      </c>
      <c r="CE25" s="34">
        <f>IF(ISBLANK('Total Progress Report'!R39)," ",'Total Progress Report'!A39)</f>
        <v>45649</v>
      </c>
      <c r="CF25" s="54">
        <f>IF(ISBLANK('Total Progress Report'!R39)," ",'Total Progress Report'!R39)</f>
        <v>402</v>
      </c>
      <c r="CG25" s="54">
        <f>IF(ISBLANK('Total Progress Report'!S39)," ",'Total Progress Report'!S39)</f>
        <v>43</v>
      </c>
      <c r="CP25" s="34">
        <f>IF(ISBLANK('Total Progress Report'!T39)," ",'Total Progress Report'!A39)</f>
        <v>45649</v>
      </c>
      <c r="CQ25" s="20">
        <f>IF(ISBLANK('Total Progress Report'!T39)," ",'Total Progress Report'!T39)</f>
        <v>0</v>
      </c>
      <c r="CR25" s="20">
        <f>IF(ISBLANK('Total Progress Report'!U39)," ",'Total Progress Report'!U39)</f>
        <v>0</v>
      </c>
    </row>
    <row r="26" spans="2:126" x14ac:dyDescent="0.3">
      <c r="B26" s="24">
        <f>IF(ISBLANK('Total Progress Report'!C27)," ",'Total Progress Report'!A27)</f>
        <v>45637</v>
      </c>
      <c r="C26">
        <f>IF(ISBLANK('Total Progress Report'!B27)," ",'Total Progress Report'!B27)</f>
        <v>62</v>
      </c>
      <c r="D26">
        <f>IF(ISBLANK('Total Progress Report'!C27)," ",'Total Progress Report'!C27)</f>
        <v>328</v>
      </c>
      <c r="J26" s="28">
        <f>IF(ISBLANK('Total Progress Report'!P23)," ",'Total Progress Report'!A23)</f>
        <v>45633</v>
      </c>
      <c r="K26">
        <f>IF(ISBLANK('Total Progress Report'!P23)," ",'Total Progress Report'!P23)</f>
        <v>409</v>
      </c>
      <c r="L26">
        <f>IF(ISBLANK('Total Progress Report'!Q23)," ",'Total Progress Report'!Q23)</f>
        <v>72</v>
      </c>
      <c r="Z26" s="28" t="str">
        <f>IF(ISBLANK('Total Progress Report'!P40)," ",'Total Progress Report'!A40)</f>
        <v xml:space="preserve"> </v>
      </c>
      <c r="AA26" t="str">
        <f>IF(ISBLANK('Total Progress Report'!P40)," ",'Total Progress Report'!P40)</f>
        <v xml:space="preserve"> </v>
      </c>
      <c r="AB26" t="str">
        <f>IF(ISBLANK('Total Progress Report'!Q40)," ",'Total Progress Report'!Q40)</f>
        <v xml:space="preserve"> </v>
      </c>
      <c r="AI26" s="34" t="str">
        <f>IF(ISBLANK('Total Progress Report'!W40)," ",'Total Progress Report'!A40)</f>
        <v xml:space="preserve"> </v>
      </c>
      <c r="AJ26" s="20" t="str">
        <f>IF(ISBLANK('Total Progress Report'!V40)," ",'Total Progress Report'!V40)</f>
        <v xml:space="preserve"> </v>
      </c>
      <c r="AK26" s="20" t="str">
        <f>IF(ISBLANK('Total Progress Report'!W40)," ",'Total Progress Report'!W40)</f>
        <v xml:space="preserve"> </v>
      </c>
      <c r="AL26" s="20" t="str">
        <f>IF(ISBLANK('Total Progress Report'!X40)," ",'Total Progress Report'!X40)</f>
        <v xml:space="preserve"> </v>
      </c>
      <c r="AN26" s="24"/>
      <c r="AS26" s="34" t="str">
        <f>IF(ISBLANK('Total Progress Report'!K40)," ",'Total Progress Report'!A40)</f>
        <v xml:space="preserve"> </v>
      </c>
      <c r="AT26" s="20" t="str">
        <f>IF(ISBLANK('Total Progress Report'!I40)," ",'Total Progress Report'!I40)</f>
        <v xml:space="preserve"> </v>
      </c>
      <c r="AU26" s="20" t="str">
        <f>IF(ISBLANK('Total Progress Report'!J40)," ",'Total Progress Report'!J40)</f>
        <v xml:space="preserve"> </v>
      </c>
      <c r="AV26" s="20" t="str">
        <f>IF(ISBLANK('Total Progress Report'!K40)," ",'Total Progress Report'!K40)</f>
        <v xml:space="preserve"> </v>
      </c>
      <c r="BM26" s="34" t="str">
        <f>IF(ISBLANK('Total Progress Report'!O40)," ",'Total Progress Report'!A40)</f>
        <v xml:space="preserve"> </v>
      </c>
      <c r="BN26" s="20" t="str">
        <f>IF(ISBLANK('Total Progress Report'!L40)," ",'Total Progress Report'!L40)</f>
        <v xml:space="preserve"> </v>
      </c>
      <c r="BO26" s="20" t="str">
        <f>IF(ISBLANK('Total Progress Report'!M40)," ",'Total Progress Report'!M40)</f>
        <v xml:space="preserve"> </v>
      </c>
      <c r="BP26" s="20" t="str">
        <f>IF(ISBLANK('Total Progress Report'!N40)," ",'Total Progress Report'!N40)</f>
        <v xml:space="preserve"> </v>
      </c>
      <c r="BQ26" s="20" t="str">
        <f>IF(ISBLANK('Total Progress Report'!O40)," ",'Total Progress Report'!O40)</f>
        <v xml:space="preserve"> </v>
      </c>
      <c r="CE26" s="34" t="str">
        <f>IF(ISBLANK('Total Progress Report'!R40)," ",'Total Progress Report'!A40)</f>
        <v xml:space="preserve"> </v>
      </c>
      <c r="CF26" s="54" t="str">
        <f>IF(ISBLANK('Total Progress Report'!R40)," ",'Total Progress Report'!R40)</f>
        <v xml:space="preserve"> </v>
      </c>
      <c r="CG26" s="54" t="str">
        <f>IF(ISBLANK('Total Progress Report'!S40)," ",'Total Progress Report'!S40)</f>
        <v xml:space="preserve"> </v>
      </c>
      <c r="CP26" s="34" t="str">
        <f>IF(ISBLANK('Total Progress Report'!T40)," ",'Total Progress Report'!A40)</f>
        <v xml:space="preserve"> </v>
      </c>
      <c r="CQ26" s="20" t="str">
        <f>IF(ISBLANK('Total Progress Report'!T40)," ",'Total Progress Report'!T40)</f>
        <v xml:space="preserve"> </v>
      </c>
      <c r="CR26" s="20" t="str">
        <f>IF(ISBLANK('Total Progress Report'!U40)," ",'Total Progress Report'!U40)</f>
        <v xml:space="preserve"> </v>
      </c>
    </row>
    <row r="27" spans="2:126" x14ac:dyDescent="0.3">
      <c r="B27" s="24">
        <f>IF(ISBLANK('Total Progress Report'!C28)," ",'Total Progress Report'!A28)</f>
        <v>45638</v>
      </c>
      <c r="C27">
        <f>IF(ISBLANK('Total Progress Report'!B28)," ",'Total Progress Report'!B28)</f>
        <v>66</v>
      </c>
      <c r="D27">
        <f>IF(ISBLANK('Total Progress Report'!C28)," ",'Total Progress Report'!C28)</f>
        <v>347</v>
      </c>
      <c r="J27" s="28">
        <f>IF(ISBLANK('Total Progress Report'!P24)," ",'Total Progress Report'!A24)</f>
        <v>45634</v>
      </c>
      <c r="K27">
        <f>IF(ISBLANK('Total Progress Report'!P24)," ",'Total Progress Report'!P24)</f>
        <v>385</v>
      </c>
      <c r="L27">
        <f>IF(ISBLANK('Total Progress Report'!Q24)," ",'Total Progress Report'!Q24)</f>
        <v>55</v>
      </c>
      <c r="Z27" s="28" t="str">
        <f>IF(ISBLANK('Total Progress Report'!P41)," ",'Total Progress Report'!A41)</f>
        <v xml:space="preserve"> </v>
      </c>
      <c r="AA27" t="str">
        <f>IF(ISBLANK('Total Progress Report'!P41)," ",'Total Progress Report'!P41)</f>
        <v xml:space="preserve"> </v>
      </c>
      <c r="AB27" t="str">
        <f>IF(ISBLANK('Total Progress Report'!Q41)," ",'Total Progress Report'!Q41)</f>
        <v xml:space="preserve"> </v>
      </c>
      <c r="AI27" s="34" t="str">
        <f>IF(ISBLANK('Total Progress Report'!W41)," ",'Total Progress Report'!A41)</f>
        <v xml:space="preserve"> </v>
      </c>
      <c r="AJ27" s="20" t="str">
        <f>IF(ISBLANK('Total Progress Report'!V41)," ",'Total Progress Report'!V41)</f>
        <v xml:space="preserve"> </v>
      </c>
      <c r="AK27" s="20" t="str">
        <f>IF(ISBLANK('Total Progress Report'!W41)," ",'Total Progress Report'!W41)</f>
        <v xml:space="preserve"> </v>
      </c>
      <c r="AL27" s="20" t="str">
        <f>IF(ISBLANK('Total Progress Report'!X41)," ",'Total Progress Report'!X41)</f>
        <v xml:space="preserve"> </v>
      </c>
      <c r="AN27" s="24"/>
      <c r="AS27" s="34" t="str">
        <f>IF(ISBLANK('Total Progress Report'!K41)," ",'Total Progress Report'!A41)</f>
        <v xml:space="preserve"> </v>
      </c>
      <c r="AT27" s="20" t="str">
        <f>IF(ISBLANK('Total Progress Report'!I41)," ",'Total Progress Report'!I41)</f>
        <v xml:space="preserve"> </v>
      </c>
      <c r="AU27" s="20" t="str">
        <f>IF(ISBLANK('Total Progress Report'!J41)," ",'Total Progress Report'!J41)</f>
        <v xml:space="preserve"> </v>
      </c>
      <c r="AV27" s="20" t="str">
        <f>IF(ISBLANK('Total Progress Report'!K41)," ",'Total Progress Report'!K41)</f>
        <v xml:space="preserve"> </v>
      </c>
      <c r="BM27" s="34" t="str">
        <f>IF(ISBLANK('Total Progress Report'!O41)," ",'Total Progress Report'!A41)</f>
        <v xml:space="preserve"> </v>
      </c>
      <c r="BN27" s="20" t="str">
        <f>IF(ISBLANK('Total Progress Report'!L41)," ",'Total Progress Report'!L41)</f>
        <v xml:space="preserve"> </v>
      </c>
      <c r="BO27" s="20" t="str">
        <f>IF(ISBLANK('Total Progress Report'!M41)," ",'Total Progress Report'!M41)</f>
        <v xml:space="preserve"> </v>
      </c>
      <c r="BP27" s="20" t="str">
        <f>IF(ISBLANK('Total Progress Report'!N41)," ",'Total Progress Report'!N41)</f>
        <v xml:space="preserve"> </v>
      </c>
      <c r="BQ27" s="20" t="str">
        <f>IF(ISBLANK('Total Progress Report'!O41)," ",'Total Progress Report'!O41)</f>
        <v xml:space="preserve"> </v>
      </c>
      <c r="CE27" s="34" t="str">
        <f>IF(ISBLANK('Total Progress Report'!R41)," ",'Total Progress Report'!A41)</f>
        <v xml:space="preserve"> </v>
      </c>
      <c r="CF27" s="54" t="str">
        <f>IF(ISBLANK('Total Progress Report'!R41)," ",'Total Progress Report'!R41)</f>
        <v xml:space="preserve"> </v>
      </c>
      <c r="CG27" s="54" t="str">
        <f>IF(ISBLANK('Total Progress Report'!S41)," ",'Total Progress Report'!S41)</f>
        <v xml:space="preserve"> </v>
      </c>
      <c r="CP27" s="34" t="str">
        <f>IF(ISBLANK('Total Progress Report'!T41)," ",'Total Progress Report'!A41)</f>
        <v xml:space="preserve"> </v>
      </c>
      <c r="CQ27" s="20" t="str">
        <f>IF(ISBLANK('Total Progress Report'!T41)," ",'Total Progress Report'!T41)</f>
        <v xml:space="preserve"> </v>
      </c>
      <c r="CR27" s="20" t="str">
        <f>IF(ISBLANK('Total Progress Report'!U41)," ",'Total Progress Report'!U41)</f>
        <v xml:space="preserve"> </v>
      </c>
    </row>
    <row r="28" spans="2:126" x14ac:dyDescent="0.3">
      <c r="B28" s="24">
        <f>IF(ISBLANK('Total Progress Report'!C29)," ",'Total Progress Report'!A29)</f>
        <v>45639</v>
      </c>
      <c r="C28">
        <f>IF(ISBLANK('Total Progress Report'!B29)," ",'Total Progress Report'!B29)</f>
        <v>0</v>
      </c>
      <c r="D28">
        <f>IF(ISBLANK('Total Progress Report'!C29)," ",'Total Progress Report'!C29)</f>
        <v>0</v>
      </c>
      <c r="J28" s="28">
        <f>IF(ISBLANK('Total Progress Report'!P25)," ",'Total Progress Report'!A25)</f>
        <v>45635</v>
      </c>
      <c r="K28">
        <f>IF(ISBLANK('Total Progress Report'!P25)," ",'Total Progress Report'!P25)</f>
        <v>293</v>
      </c>
      <c r="L28">
        <f>IF(ISBLANK('Total Progress Report'!Q25)," ",'Total Progress Report'!Q25)</f>
        <v>102</v>
      </c>
      <c r="Z28" s="28" t="str">
        <f>IF(ISBLANK('Total Progress Report'!P42)," ",'Total Progress Report'!A42)</f>
        <v xml:space="preserve"> </v>
      </c>
      <c r="AA28" t="str">
        <f>IF(ISBLANK('Total Progress Report'!P42)," ",'Total Progress Report'!P42)</f>
        <v xml:space="preserve"> </v>
      </c>
      <c r="AB28" t="str">
        <f>IF(ISBLANK('Total Progress Report'!Q42)," ",'Total Progress Report'!Q42)</f>
        <v xml:space="preserve"> </v>
      </c>
      <c r="AI28" s="34" t="str">
        <f>IF(ISBLANK('Total Progress Report'!W42)," ",'Total Progress Report'!A42)</f>
        <v xml:space="preserve"> </v>
      </c>
      <c r="AJ28" s="20" t="str">
        <f>IF(ISBLANK('Total Progress Report'!V42)," ",'Total Progress Report'!V42)</f>
        <v xml:space="preserve"> </v>
      </c>
      <c r="AK28" s="20" t="str">
        <f>IF(ISBLANK('Total Progress Report'!W42)," ",'Total Progress Report'!W42)</f>
        <v xml:space="preserve"> </v>
      </c>
      <c r="AL28" s="20" t="str">
        <f>IF(ISBLANK('Total Progress Report'!X42)," ",'Total Progress Report'!X42)</f>
        <v xml:space="preserve"> </v>
      </c>
      <c r="AN28" s="24"/>
      <c r="AS28" s="34" t="str">
        <f>IF(ISBLANK('Total Progress Report'!K42)," ",'Total Progress Report'!A42)</f>
        <v xml:space="preserve"> </v>
      </c>
      <c r="AT28" s="20" t="str">
        <f>IF(ISBLANK('Total Progress Report'!I42)," ",'Total Progress Report'!I42)</f>
        <v xml:space="preserve"> </v>
      </c>
      <c r="AU28" s="20" t="str">
        <f>IF(ISBLANK('Total Progress Report'!J42)," ",'Total Progress Report'!J42)</f>
        <v xml:space="preserve"> </v>
      </c>
      <c r="AV28" s="20" t="str">
        <f>IF(ISBLANK('Total Progress Report'!K42)," ",'Total Progress Report'!K42)</f>
        <v xml:space="preserve"> </v>
      </c>
      <c r="BM28" s="34" t="str">
        <f>IF(ISBLANK('Total Progress Report'!O42)," ",'Total Progress Report'!A42)</f>
        <v xml:space="preserve"> </v>
      </c>
      <c r="BN28" s="20" t="str">
        <f>IF(ISBLANK('Total Progress Report'!L42)," ",'Total Progress Report'!L42)</f>
        <v xml:space="preserve"> </v>
      </c>
      <c r="BO28" s="20" t="str">
        <f>IF(ISBLANK('Total Progress Report'!M42)," ",'Total Progress Report'!M42)</f>
        <v xml:space="preserve"> </v>
      </c>
      <c r="BP28" s="20" t="str">
        <f>IF(ISBLANK('Total Progress Report'!N42)," ",'Total Progress Report'!N42)</f>
        <v xml:space="preserve"> </v>
      </c>
      <c r="BQ28" s="20" t="str">
        <f>IF(ISBLANK('Total Progress Report'!O42)," ",'Total Progress Report'!O42)</f>
        <v xml:space="preserve"> </v>
      </c>
      <c r="CE28" s="34" t="str">
        <f>IF(ISBLANK('Total Progress Report'!R42)," ",'Total Progress Report'!A42)</f>
        <v xml:space="preserve"> </v>
      </c>
      <c r="CF28" s="54" t="str">
        <f>IF(ISBLANK('Total Progress Report'!R42)," ",'Total Progress Report'!R42)</f>
        <v xml:space="preserve"> </v>
      </c>
      <c r="CG28" s="54" t="str">
        <f>IF(ISBLANK('Total Progress Report'!S42)," ",'Total Progress Report'!S42)</f>
        <v xml:space="preserve"> </v>
      </c>
      <c r="CP28" s="34" t="str">
        <f>IF(ISBLANK('Total Progress Report'!T42)," ",'Total Progress Report'!A42)</f>
        <v xml:space="preserve"> </v>
      </c>
      <c r="CQ28" s="20" t="str">
        <f>IF(ISBLANK('Total Progress Report'!T42)," ",'Total Progress Report'!T42)</f>
        <v xml:space="preserve"> </v>
      </c>
      <c r="CR28" s="20" t="str">
        <f>IF(ISBLANK('Total Progress Report'!U42)," ",'Total Progress Report'!U42)</f>
        <v xml:space="preserve"> </v>
      </c>
    </row>
    <row r="29" spans="2:126" x14ac:dyDescent="0.3">
      <c r="B29" s="24">
        <f>IF(ISBLANK('Total Progress Report'!C30)," ",'Total Progress Report'!A30)</f>
        <v>45640</v>
      </c>
      <c r="C29">
        <f>IF(ISBLANK('Total Progress Report'!B30)," ",'Total Progress Report'!B30)</f>
        <v>44</v>
      </c>
      <c r="D29">
        <f>IF(ISBLANK('Total Progress Report'!C30)," ",'Total Progress Report'!C30)</f>
        <v>278</v>
      </c>
      <c r="J29" s="28">
        <f>IF(ISBLANK('Total Progress Report'!P26)," ",'Total Progress Report'!A26)</f>
        <v>45636</v>
      </c>
      <c r="K29">
        <f>IF(ISBLANK('Total Progress Report'!P26)," ",'Total Progress Report'!P26)</f>
        <v>294</v>
      </c>
      <c r="L29">
        <f>IF(ISBLANK('Total Progress Report'!Q26)," ",'Total Progress Report'!Q26)</f>
        <v>68</v>
      </c>
      <c r="Z29" s="28" t="str">
        <f>IF(ISBLANK('Total Progress Report'!P43)," ",'Total Progress Report'!A43)</f>
        <v xml:space="preserve"> </v>
      </c>
      <c r="AA29" t="str">
        <f>IF(ISBLANK('Total Progress Report'!P43)," ",'Total Progress Report'!P43)</f>
        <v xml:space="preserve"> </v>
      </c>
      <c r="AB29" t="str">
        <f>IF(ISBLANK('Total Progress Report'!Q43)," ",'Total Progress Report'!Q43)</f>
        <v xml:space="preserve"> </v>
      </c>
      <c r="AI29" s="34" t="str">
        <f>IF(ISBLANK('Total Progress Report'!W43)," ",'Total Progress Report'!A43)</f>
        <v xml:space="preserve"> </v>
      </c>
      <c r="AJ29" s="20" t="str">
        <f>IF(ISBLANK('Total Progress Report'!V43)," ",'Total Progress Report'!V43)</f>
        <v xml:space="preserve"> </v>
      </c>
      <c r="AK29" s="20" t="str">
        <f>IF(ISBLANK('Total Progress Report'!W43)," ",'Total Progress Report'!W43)</f>
        <v xml:space="preserve"> </v>
      </c>
      <c r="AL29" s="20" t="str">
        <f>IF(ISBLANK('Total Progress Report'!X43)," ",'Total Progress Report'!X43)</f>
        <v xml:space="preserve"> </v>
      </c>
      <c r="AN29" s="24"/>
      <c r="AS29" s="34" t="str">
        <f>IF(ISBLANK('Total Progress Report'!K43)," ",'Total Progress Report'!A43)</f>
        <v xml:space="preserve"> </v>
      </c>
      <c r="AT29" s="20" t="str">
        <f>IF(ISBLANK('Total Progress Report'!I43)," ",'Total Progress Report'!I43)</f>
        <v xml:space="preserve"> </v>
      </c>
      <c r="AU29" s="20" t="str">
        <f>IF(ISBLANK('Total Progress Report'!J43)," ",'Total Progress Report'!J43)</f>
        <v xml:space="preserve"> </v>
      </c>
      <c r="AV29" s="20" t="str">
        <f>IF(ISBLANK('Total Progress Report'!K43)," ",'Total Progress Report'!K43)</f>
        <v xml:space="preserve"> </v>
      </c>
      <c r="BM29" s="34" t="str">
        <f>IF(ISBLANK('Total Progress Report'!O43)," ",'Total Progress Report'!A43)</f>
        <v xml:space="preserve"> </v>
      </c>
      <c r="BN29" s="20" t="str">
        <f>IF(ISBLANK('Total Progress Report'!L43)," ",'Total Progress Report'!L43)</f>
        <v xml:space="preserve"> </v>
      </c>
      <c r="BO29" s="20" t="str">
        <f>IF(ISBLANK('Total Progress Report'!M43)," ",'Total Progress Report'!M43)</f>
        <v xml:space="preserve"> </v>
      </c>
      <c r="BP29" s="20" t="str">
        <f>IF(ISBLANK('Total Progress Report'!N43)," ",'Total Progress Report'!N43)</f>
        <v xml:space="preserve"> </v>
      </c>
      <c r="BQ29" s="20" t="str">
        <f>IF(ISBLANK('Total Progress Report'!O43)," ",'Total Progress Report'!O43)</f>
        <v xml:space="preserve"> </v>
      </c>
      <c r="CE29" s="34" t="str">
        <f>IF(ISBLANK('Total Progress Report'!R43)," ",'Total Progress Report'!A43)</f>
        <v xml:space="preserve"> </v>
      </c>
      <c r="CF29" s="54" t="str">
        <f>IF(ISBLANK('Total Progress Report'!R43)," ",'Total Progress Report'!R43)</f>
        <v xml:space="preserve"> </v>
      </c>
      <c r="CG29" s="54" t="str">
        <f>IF(ISBLANK('Total Progress Report'!S43)," ",'Total Progress Report'!S43)</f>
        <v xml:space="preserve"> </v>
      </c>
      <c r="CP29" s="34" t="str">
        <f>IF(ISBLANK('Total Progress Report'!T43)," ",'Total Progress Report'!A43)</f>
        <v xml:space="preserve"> </v>
      </c>
      <c r="CQ29" s="20" t="str">
        <f>IF(ISBLANK('Total Progress Report'!T43)," ",'Total Progress Report'!T43)</f>
        <v xml:space="preserve"> </v>
      </c>
      <c r="CR29" s="20" t="str">
        <f>IF(ISBLANK('Total Progress Report'!U43)," ",'Total Progress Report'!U43)</f>
        <v xml:space="preserve"> </v>
      </c>
    </row>
    <row r="30" spans="2:126" x14ac:dyDescent="0.3">
      <c r="B30" s="24">
        <f>IF(ISBLANK('Total Progress Report'!C31)," ",'Total Progress Report'!A31)</f>
        <v>45641</v>
      </c>
      <c r="C30">
        <f>IF(ISBLANK('Total Progress Report'!B31)," ",'Total Progress Report'!B31)</f>
        <v>58</v>
      </c>
      <c r="D30">
        <f>IF(ISBLANK('Total Progress Report'!C31)," ",'Total Progress Report'!C31)</f>
        <v>300</v>
      </c>
      <c r="J30" s="28">
        <f>IF(ISBLANK('Total Progress Report'!P27)," ",'Total Progress Report'!A27)</f>
        <v>45637</v>
      </c>
      <c r="K30">
        <f>IF(ISBLANK('Total Progress Report'!P27)," ",'Total Progress Report'!P27)</f>
        <v>222</v>
      </c>
      <c r="L30">
        <f>IF(ISBLANK('Total Progress Report'!Q27)," ",'Total Progress Report'!Q27)</f>
        <v>37</v>
      </c>
      <c r="Z30" s="28" t="str">
        <f>IF(ISBLANK('Total Progress Report'!P44)," ",'Total Progress Report'!A44)</f>
        <v xml:space="preserve"> </v>
      </c>
      <c r="AA30" t="str">
        <f>IF(ISBLANK('Total Progress Report'!P44)," ",'Total Progress Report'!P44)</f>
        <v xml:space="preserve"> </v>
      </c>
      <c r="AB30" t="str">
        <f>IF(ISBLANK('Total Progress Report'!Q44)," ",'Total Progress Report'!Q44)</f>
        <v xml:space="preserve"> </v>
      </c>
      <c r="AI30" s="34" t="str">
        <f>IF(ISBLANK('Total Progress Report'!W44)," ",'Total Progress Report'!A44)</f>
        <v xml:space="preserve"> </v>
      </c>
      <c r="AJ30" s="20" t="str">
        <f>IF(ISBLANK('Total Progress Report'!V44)," ",'Total Progress Report'!V44)</f>
        <v xml:space="preserve"> </v>
      </c>
      <c r="AK30" s="20" t="str">
        <f>IF(ISBLANK('Total Progress Report'!W44)," ",'Total Progress Report'!W44)</f>
        <v xml:space="preserve"> </v>
      </c>
      <c r="AL30" s="20" t="str">
        <f>IF(ISBLANK('Total Progress Report'!X44)," ",'Total Progress Report'!X44)</f>
        <v xml:space="preserve"> </v>
      </c>
      <c r="AN30" s="24"/>
      <c r="AS30" s="34" t="str">
        <f>IF(ISBLANK('Total Progress Report'!K44)," ",'Total Progress Report'!A44)</f>
        <v xml:space="preserve"> </v>
      </c>
      <c r="AT30" s="20" t="str">
        <f>IF(ISBLANK('Total Progress Report'!I44)," ",'Total Progress Report'!I44)</f>
        <v xml:space="preserve"> </v>
      </c>
      <c r="AU30" s="20" t="str">
        <f>IF(ISBLANK('Total Progress Report'!J44)," ",'Total Progress Report'!J44)</f>
        <v xml:space="preserve"> </v>
      </c>
      <c r="AV30" s="20" t="str">
        <f>IF(ISBLANK('Total Progress Report'!K44)," ",'Total Progress Report'!K44)</f>
        <v xml:space="preserve"> </v>
      </c>
      <c r="BM30" s="34" t="str">
        <f>IF(ISBLANK('Total Progress Report'!O44)," ",'Total Progress Report'!A44)</f>
        <v xml:space="preserve"> </v>
      </c>
      <c r="BN30" s="20" t="str">
        <f>IF(ISBLANK('Total Progress Report'!L44)," ",'Total Progress Report'!L44)</f>
        <v xml:space="preserve"> </v>
      </c>
      <c r="BO30" s="20" t="str">
        <f>IF(ISBLANK('Total Progress Report'!M44)," ",'Total Progress Report'!M44)</f>
        <v xml:space="preserve"> </v>
      </c>
      <c r="BP30" s="20" t="str">
        <f>IF(ISBLANK('Total Progress Report'!N44)," ",'Total Progress Report'!N44)</f>
        <v xml:space="preserve"> </v>
      </c>
      <c r="BQ30" s="20" t="str">
        <f>IF(ISBLANK('Total Progress Report'!O44)," ",'Total Progress Report'!O44)</f>
        <v xml:space="preserve"> </v>
      </c>
      <c r="CE30" s="34" t="str">
        <f>IF(ISBLANK('Total Progress Report'!R44)," ",'Total Progress Report'!A44)</f>
        <v xml:space="preserve"> </v>
      </c>
      <c r="CF30" s="54" t="str">
        <f>IF(ISBLANK('Total Progress Report'!R44)," ",'Total Progress Report'!R44)</f>
        <v xml:space="preserve"> </v>
      </c>
      <c r="CG30" s="54" t="str">
        <f>IF(ISBLANK('Total Progress Report'!S44)," ",'Total Progress Report'!S44)</f>
        <v xml:space="preserve"> </v>
      </c>
      <c r="CP30" s="34" t="str">
        <f>IF(ISBLANK('Total Progress Report'!T44)," ",'Total Progress Report'!A44)</f>
        <v xml:space="preserve"> </v>
      </c>
      <c r="CQ30" s="20" t="str">
        <f>IF(ISBLANK('Total Progress Report'!T44)," ",'Total Progress Report'!T44)</f>
        <v xml:space="preserve"> </v>
      </c>
      <c r="CR30" s="20" t="str">
        <f>IF(ISBLANK('Total Progress Report'!U44)," ",'Total Progress Report'!U44)</f>
        <v xml:space="preserve"> </v>
      </c>
    </row>
    <row r="31" spans="2:126" x14ac:dyDescent="0.3">
      <c r="B31" s="24">
        <f>IF(ISBLANK('Total Progress Report'!C32)," ",'Total Progress Report'!A32)</f>
        <v>45642</v>
      </c>
      <c r="C31">
        <f>IF(ISBLANK('Total Progress Report'!B32)," ",'Total Progress Report'!B32)</f>
        <v>0</v>
      </c>
      <c r="D31">
        <f>IF(ISBLANK('Total Progress Report'!C32)," ",'Total Progress Report'!C32)</f>
        <v>0</v>
      </c>
      <c r="J31" s="28">
        <f>IF(ISBLANK('Total Progress Report'!P28)," ",'Total Progress Report'!A28)</f>
        <v>45638</v>
      </c>
      <c r="K31">
        <f>IF(ISBLANK('Total Progress Report'!P28)," ",'Total Progress Report'!P28)</f>
        <v>250</v>
      </c>
      <c r="L31">
        <f>IF(ISBLANK('Total Progress Report'!Q28)," ",'Total Progress Report'!Q28)</f>
        <v>23</v>
      </c>
      <c r="Z31" s="28" t="str">
        <f>IF(ISBLANK('Total Progress Report'!P45)," ",'Total Progress Report'!A45)</f>
        <v xml:space="preserve"> </v>
      </c>
      <c r="AA31" t="str">
        <f>IF(ISBLANK('Total Progress Report'!P45)," ",'Total Progress Report'!P45)</f>
        <v xml:space="preserve"> </v>
      </c>
      <c r="AB31" t="str">
        <f>IF(ISBLANK('Total Progress Report'!Q45)," ",'Total Progress Report'!Q45)</f>
        <v xml:space="preserve"> </v>
      </c>
      <c r="AI31" s="34" t="str">
        <f>IF(ISBLANK('Total Progress Report'!W45)," ",'Total Progress Report'!A45)</f>
        <v xml:space="preserve"> </v>
      </c>
      <c r="AJ31" s="20" t="str">
        <f>IF(ISBLANK('Total Progress Report'!V45)," ",'Total Progress Report'!V45)</f>
        <v xml:space="preserve"> </v>
      </c>
      <c r="AK31" s="20" t="str">
        <f>IF(ISBLANK('Total Progress Report'!W45)," ",'Total Progress Report'!W45)</f>
        <v xml:space="preserve"> </v>
      </c>
      <c r="AL31" s="20" t="str">
        <f>IF(ISBLANK('Total Progress Report'!X45)," ",'Total Progress Report'!X45)</f>
        <v xml:space="preserve"> </v>
      </c>
      <c r="AN31" s="24"/>
      <c r="AS31" s="34" t="str">
        <f>IF(ISBLANK('Total Progress Report'!K45)," ",'Total Progress Report'!A45)</f>
        <v xml:space="preserve"> </v>
      </c>
      <c r="AT31" s="20" t="str">
        <f>IF(ISBLANK('Total Progress Report'!I45)," ",'Total Progress Report'!I45)</f>
        <v xml:space="preserve"> </v>
      </c>
      <c r="AU31" s="20" t="str">
        <f>IF(ISBLANK('Total Progress Report'!J45)," ",'Total Progress Report'!J45)</f>
        <v xml:space="preserve"> </v>
      </c>
      <c r="AV31" s="20" t="str">
        <f>IF(ISBLANK('Total Progress Report'!K45)," ",'Total Progress Report'!K45)</f>
        <v xml:space="preserve"> </v>
      </c>
      <c r="BM31" s="34" t="str">
        <f>IF(ISBLANK('Total Progress Report'!O45)," ",'Total Progress Report'!A45)</f>
        <v xml:space="preserve"> </v>
      </c>
      <c r="BN31" s="20" t="str">
        <f>IF(ISBLANK('Total Progress Report'!L45)," ",'Total Progress Report'!L45)</f>
        <v xml:space="preserve"> </v>
      </c>
      <c r="BO31" s="20" t="str">
        <f>IF(ISBLANK('Total Progress Report'!M45)," ",'Total Progress Report'!M45)</f>
        <v xml:space="preserve"> </v>
      </c>
      <c r="BP31" s="20" t="str">
        <f>IF(ISBLANK('Total Progress Report'!N45)," ",'Total Progress Report'!N45)</f>
        <v xml:space="preserve"> </v>
      </c>
      <c r="BQ31" s="20" t="str">
        <f>IF(ISBLANK('Total Progress Report'!O45)," ",'Total Progress Report'!O45)</f>
        <v xml:space="preserve"> </v>
      </c>
      <c r="CE31" s="34" t="str">
        <f>IF(ISBLANK('Total Progress Report'!R45)," ",'Total Progress Report'!A45)</f>
        <v xml:space="preserve"> </v>
      </c>
      <c r="CF31" s="54" t="str">
        <f>IF(ISBLANK('Total Progress Report'!R45)," ",'Total Progress Report'!R45)</f>
        <v xml:space="preserve"> </v>
      </c>
      <c r="CG31" s="54" t="str">
        <f>IF(ISBLANK('Total Progress Report'!S45)," ",'Total Progress Report'!S45)</f>
        <v xml:space="preserve"> </v>
      </c>
      <c r="CP31" s="34" t="str">
        <f>IF(ISBLANK('Total Progress Report'!T45)," ",'Total Progress Report'!A45)</f>
        <v xml:space="preserve"> </v>
      </c>
      <c r="CQ31" s="20" t="str">
        <f>IF(ISBLANK('Total Progress Report'!T45)," ",'Total Progress Report'!T45)</f>
        <v xml:space="preserve"> </v>
      </c>
      <c r="CR31" s="20" t="str">
        <f>IF(ISBLANK('Total Progress Report'!U45)," ",'Total Progress Report'!U45)</f>
        <v xml:space="preserve"> </v>
      </c>
    </row>
    <row r="32" spans="2:126" x14ac:dyDescent="0.3">
      <c r="B32" s="24">
        <f>IF(ISBLANK('Total Progress Report'!C33)," ",'Total Progress Report'!A33)</f>
        <v>45643</v>
      </c>
      <c r="C32">
        <f>IF(ISBLANK('Total Progress Report'!B33)," ",'Total Progress Report'!B33)</f>
        <v>60</v>
      </c>
      <c r="D32">
        <f>IF(ISBLANK('Total Progress Report'!C33)," ",'Total Progress Report'!C33)</f>
        <v>300</v>
      </c>
      <c r="J32" s="28">
        <f>IF(ISBLANK('Total Progress Report'!P29)," ",'Total Progress Report'!A29)</f>
        <v>45639</v>
      </c>
      <c r="K32">
        <f>IF(ISBLANK('Total Progress Report'!P29)," ",'Total Progress Report'!P29)</f>
        <v>0</v>
      </c>
      <c r="L32">
        <f>IF(ISBLANK('Total Progress Report'!Q29)," ",'Total Progress Report'!Q29)</f>
        <v>0</v>
      </c>
      <c r="Z32" s="28" t="str">
        <f>IF(ISBLANK('Total Progress Report'!P46)," ",'Total Progress Report'!A46)</f>
        <v xml:space="preserve"> </v>
      </c>
      <c r="AA32" t="str">
        <f>IF(ISBLANK('Total Progress Report'!P46)," ",'Total Progress Report'!P46)</f>
        <v xml:space="preserve"> </v>
      </c>
      <c r="AB32" t="str">
        <f>IF(ISBLANK('Total Progress Report'!Q46)," ",'Total Progress Report'!Q46)</f>
        <v xml:space="preserve"> </v>
      </c>
      <c r="AI32" s="34" t="str">
        <f>IF(ISBLANK('Total Progress Report'!W46)," ",'Total Progress Report'!A46)</f>
        <v xml:space="preserve"> </v>
      </c>
      <c r="AJ32" s="20" t="str">
        <f>IF(ISBLANK('Total Progress Report'!V46)," ",'Total Progress Report'!V46)</f>
        <v xml:space="preserve"> </v>
      </c>
      <c r="AK32" s="20" t="str">
        <f>IF(ISBLANK('Total Progress Report'!W46)," ",'Total Progress Report'!W46)</f>
        <v xml:space="preserve"> </v>
      </c>
      <c r="AL32" s="20" t="str">
        <f>IF(ISBLANK('Total Progress Report'!X46)," ",'Total Progress Report'!X46)</f>
        <v xml:space="preserve"> </v>
      </c>
      <c r="AN32" s="24"/>
      <c r="AS32" s="34" t="str">
        <f>IF(ISBLANK('Total Progress Report'!K46)," ",'Total Progress Report'!A46)</f>
        <v xml:space="preserve"> </v>
      </c>
      <c r="AT32" s="20" t="str">
        <f>IF(ISBLANK('Total Progress Report'!I46)," ",'Total Progress Report'!I46)</f>
        <v xml:space="preserve"> </v>
      </c>
      <c r="AU32" s="20" t="str">
        <f>IF(ISBLANK('Total Progress Report'!J46)," ",'Total Progress Report'!J46)</f>
        <v xml:space="preserve"> </v>
      </c>
      <c r="AV32" s="20" t="str">
        <f>IF(ISBLANK('Total Progress Report'!K46)," ",'Total Progress Report'!K46)</f>
        <v xml:space="preserve"> </v>
      </c>
      <c r="BM32" s="34" t="str">
        <f>IF(ISBLANK('Total Progress Report'!O46)," ",'Total Progress Report'!A46)</f>
        <v xml:space="preserve"> </v>
      </c>
      <c r="BN32" s="20" t="str">
        <f>IF(ISBLANK('Total Progress Report'!L46)," ",'Total Progress Report'!L46)</f>
        <v xml:space="preserve"> </v>
      </c>
      <c r="BO32" s="20" t="str">
        <f>IF(ISBLANK('Total Progress Report'!M46)," ",'Total Progress Report'!M46)</f>
        <v xml:space="preserve"> </v>
      </c>
      <c r="BP32" s="20" t="str">
        <f>IF(ISBLANK('Total Progress Report'!N46)," ",'Total Progress Report'!N46)</f>
        <v xml:space="preserve"> </v>
      </c>
      <c r="BQ32" s="20" t="str">
        <f>IF(ISBLANK('Total Progress Report'!O46)," ",'Total Progress Report'!O46)</f>
        <v xml:space="preserve"> </v>
      </c>
      <c r="CE32" s="34" t="str">
        <f>IF(ISBLANK('Total Progress Report'!R46)," ",'Total Progress Report'!A46)</f>
        <v xml:space="preserve"> </v>
      </c>
      <c r="CF32" s="54" t="str">
        <f>IF(ISBLANK('Total Progress Report'!R46)," ",'Total Progress Report'!R46)</f>
        <v xml:space="preserve"> </v>
      </c>
      <c r="CG32" s="54" t="str">
        <f>IF(ISBLANK('Total Progress Report'!S46)," ",'Total Progress Report'!S46)</f>
        <v xml:space="preserve"> </v>
      </c>
      <c r="CP32" s="34" t="str">
        <f>IF(ISBLANK('Total Progress Report'!T46)," ",'Total Progress Report'!A46)</f>
        <v xml:space="preserve"> </v>
      </c>
      <c r="CQ32" s="20" t="str">
        <f>IF(ISBLANK('Total Progress Report'!T46)," ",'Total Progress Report'!T46)</f>
        <v xml:space="preserve"> </v>
      </c>
      <c r="CR32" s="20" t="str">
        <f>IF(ISBLANK('Total Progress Report'!U46)," ",'Total Progress Report'!U46)</f>
        <v xml:space="preserve"> </v>
      </c>
    </row>
    <row r="33" spans="2:96" x14ac:dyDescent="0.3">
      <c r="B33" s="24">
        <f>IF(ISBLANK('Total Progress Report'!C34)," ",'Total Progress Report'!A34)</f>
        <v>45644</v>
      </c>
      <c r="C33">
        <f>IF(ISBLANK('Total Progress Report'!B34)," ",'Total Progress Report'!B34)</f>
        <v>76</v>
      </c>
      <c r="D33">
        <f>IF(ISBLANK('Total Progress Report'!C34)," ",'Total Progress Report'!C34)</f>
        <v>299</v>
      </c>
      <c r="J33" s="28">
        <f>IF(ISBLANK('Total Progress Report'!P30)," ",'Total Progress Report'!A30)</f>
        <v>45640</v>
      </c>
      <c r="K33">
        <f>IF(ISBLANK('Total Progress Report'!P30)," ",'Total Progress Report'!P30)</f>
        <v>243</v>
      </c>
      <c r="L33">
        <f>IF(ISBLANK('Total Progress Report'!Q30)," ",'Total Progress Report'!Q30)</f>
        <v>82</v>
      </c>
      <c r="Z33" s="28"/>
      <c r="AA33" t="str">
        <f>IF(ISBLANK('Total Progress Report'!P47)," ",'Total Progress Report'!P47)</f>
        <v xml:space="preserve"> </v>
      </c>
      <c r="AB33" t="str">
        <f>IF(ISBLANK('Total Progress Report'!Q47)," ",'Total Progress Report'!Q47)</f>
        <v xml:space="preserve"> </v>
      </c>
      <c r="AI33" s="34" t="str">
        <f>IF(ISBLANK('Total Progress Report'!W47)," ",'Total Progress Report'!A47)</f>
        <v xml:space="preserve"> </v>
      </c>
      <c r="AJ33" s="20" t="str">
        <f>IF(ISBLANK('Total Progress Report'!V47)," ",'Total Progress Report'!V47)</f>
        <v xml:space="preserve"> </v>
      </c>
      <c r="AK33" s="20" t="str">
        <f>IF(ISBLANK('Total Progress Report'!W47)," ",'Total Progress Report'!W47)</f>
        <v xml:space="preserve"> </v>
      </c>
      <c r="AL33" s="20" t="str">
        <f>IF(ISBLANK('Total Progress Report'!X47)," ",'Total Progress Report'!X47)</f>
        <v xml:space="preserve"> </v>
      </c>
      <c r="AN33" s="24"/>
      <c r="AS33" s="34" t="str">
        <f>IF(ISBLANK('Total Progress Report'!K47)," ",'Total Progress Report'!A47)</f>
        <v xml:space="preserve"> </v>
      </c>
      <c r="AT33" s="20" t="str">
        <f>IF(ISBLANK('Total Progress Report'!I47)," ",'Total Progress Report'!I47)</f>
        <v xml:space="preserve"> </v>
      </c>
      <c r="AU33" s="20" t="str">
        <f>IF(ISBLANK('Total Progress Report'!J47)," ",'Total Progress Report'!J47)</f>
        <v xml:space="preserve"> </v>
      </c>
      <c r="AV33" s="20" t="str">
        <f>IF(ISBLANK('Total Progress Report'!K47)," ",'Total Progress Report'!K47)</f>
        <v xml:space="preserve"> </v>
      </c>
      <c r="BM33" s="34" t="str">
        <f>IF(ISBLANK('Total Progress Report'!O47)," ",'Total Progress Report'!A47)</f>
        <v xml:space="preserve"> </v>
      </c>
      <c r="BN33" s="20" t="str">
        <f>IF(ISBLANK('Total Progress Report'!L47)," ",'Total Progress Report'!L47)</f>
        <v xml:space="preserve"> </v>
      </c>
      <c r="BO33" s="20" t="str">
        <f>IF(ISBLANK('Total Progress Report'!M47)," ",'Total Progress Report'!M47)</f>
        <v xml:space="preserve"> </v>
      </c>
      <c r="BP33" s="20" t="str">
        <f>IF(ISBLANK('Total Progress Report'!N47)," ",'Total Progress Report'!N47)</f>
        <v xml:space="preserve"> </v>
      </c>
      <c r="BQ33" s="20" t="str">
        <f>IF(ISBLANK('Total Progress Report'!O47)," ",'Total Progress Report'!O47)</f>
        <v xml:space="preserve"> </v>
      </c>
      <c r="CE33" s="34" t="str">
        <f>IF(ISBLANK('Total Progress Report'!R47)," ",'Total Progress Report'!A47)</f>
        <v xml:space="preserve"> </v>
      </c>
      <c r="CF33" s="54" t="str">
        <f>IF(ISBLANK('Total Progress Report'!R47)," ",'Total Progress Report'!R47)</f>
        <v xml:space="preserve"> </v>
      </c>
      <c r="CG33" s="54" t="str">
        <f>IF(ISBLANK('Total Progress Report'!S47)," ",'Total Progress Report'!S47)</f>
        <v xml:space="preserve"> </v>
      </c>
      <c r="CP33" s="34" t="str">
        <f>IF(ISBLANK('Total Progress Report'!T47)," ",'Total Progress Report'!A47)</f>
        <v xml:space="preserve"> </v>
      </c>
      <c r="CQ33" s="20" t="str">
        <f>IF(ISBLANK('Total Progress Report'!T47)," ",'Total Progress Report'!T47)</f>
        <v xml:space="preserve"> </v>
      </c>
      <c r="CR33" s="20" t="str">
        <f>IF(ISBLANK('Total Progress Report'!U47)," ",'Total Progress Report'!U47)</f>
        <v xml:space="preserve"> </v>
      </c>
    </row>
    <row r="34" spans="2:96" x14ac:dyDescent="0.3">
      <c r="B34" s="24">
        <f>IF(ISBLANK('Total Progress Report'!C35)," ",'Total Progress Report'!A35)</f>
        <v>45645</v>
      </c>
      <c r="C34">
        <f>IF(ISBLANK('Total Progress Report'!B35)," ",'Total Progress Report'!B35)</f>
        <v>74</v>
      </c>
      <c r="D34">
        <f>IF(ISBLANK('Total Progress Report'!C35)," ",'Total Progress Report'!C35)</f>
        <v>292</v>
      </c>
      <c r="J34" s="28">
        <f>IF(ISBLANK('Total Progress Report'!P31)," ",'Total Progress Report'!A31)</f>
        <v>45641</v>
      </c>
      <c r="K34">
        <f>IF(ISBLANK('Total Progress Report'!P31)," ",'Total Progress Report'!P31)</f>
        <v>171</v>
      </c>
      <c r="L34">
        <f>IF(ISBLANK('Total Progress Report'!Q31)," ",'Total Progress Report'!Q31)</f>
        <v>75</v>
      </c>
      <c r="Y34" s="31"/>
      <c r="Z34" s="31"/>
      <c r="AA34" s="31"/>
      <c r="AB34" s="31"/>
      <c r="AI34" s="16"/>
      <c r="AJ34" s="16"/>
      <c r="AK34" s="16"/>
      <c r="AL34" s="16"/>
      <c r="AM34" s="16"/>
      <c r="AN34" s="16"/>
      <c r="AO34" s="16"/>
      <c r="AP34" s="16"/>
      <c r="AS34" s="16"/>
      <c r="AT34" s="16"/>
      <c r="AU34" s="16"/>
      <c r="AV34" s="16"/>
      <c r="AW34" s="16"/>
      <c r="AX34" s="16"/>
      <c r="BM34" s="17"/>
      <c r="BN34" s="17"/>
      <c r="BO34" s="17"/>
      <c r="BP34" s="17"/>
      <c r="BQ34" s="17"/>
      <c r="BR34" s="17"/>
      <c r="BS34" s="17"/>
      <c r="CE34" s="17"/>
      <c r="CF34" s="17"/>
      <c r="CG34" s="17"/>
      <c r="CP34" s="27"/>
      <c r="CQ34" s="27"/>
      <c r="CR34" s="27"/>
    </row>
    <row r="35" spans="2:96" x14ac:dyDescent="0.3">
      <c r="B35" s="24">
        <f>IF(ISBLANK('Total Progress Report'!C36)," ",'Total Progress Report'!A36)</f>
        <v>45646</v>
      </c>
      <c r="C35">
        <f>IF(ISBLANK('Total Progress Report'!B36)," ",'Total Progress Report'!B36)</f>
        <v>0</v>
      </c>
      <c r="D35">
        <f>IF(ISBLANK('Total Progress Report'!C36)," ",'Total Progress Report'!C36)</f>
        <v>0</v>
      </c>
      <c r="J35" s="28">
        <f>IF(ISBLANK('Total Progress Report'!P32)," ",'Total Progress Report'!A32)</f>
        <v>45642</v>
      </c>
      <c r="K35">
        <f>IF(ISBLANK('Total Progress Report'!P32)," ",'Total Progress Report'!P32)</f>
        <v>0</v>
      </c>
      <c r="L35">
        <f>IF(ISBLANK('Total Progress Report'!Q32)," ",'Total Progress Report'!Q32)</f>
        <v>0</v>
      </c>
    </row>
    <row r="36" spans="2:96" x14ac:dyDescent="0.3">
      <c r="B36" s="24">
        <f>IF(ISBLANK('Total Progress Report'!C37)," ",'Total Progress Report'!A37)</f>
        <v>45647</v>
      </c>
      <c r="C36">
        <f>IF(ISBLANK('Total Progress Report'!B37)," ",'Total Progress Report'!B37)</f>
        <v>68</v>
      </c>
      <c r="D36">
        <f>IF(ISBLANK('Total Progress Report'!C37)," ",'Total Progress Report'!C37)</f>
        <v>322</v>
      </c>
      <c r="J36" s="28">
        <f>IF(ISBLANK('Total Progress Report'!P33)," ",'Total Progress Report'!A33)</f>
        <v>45643</v>
      </c>
      <c r="K36">
        <f>IF(ISBLANK('Total Progress Report'!P33)," ",'Total Progress Report'!P33)</f>
        <v>216</v>
      </c>
      <c r="L36">
        <f>IF(ISBLANK('Total Progress Report'!Q33)," ",'Total Progress Report'!Q33)</f>
        <v>89</v>
      </c>
    </row>
    <row r="37" spans="2:96" x14ac:dyDescent="0.3">
      <c r="B37" s="24">
        <f>IF(ISBLANK('Total Progress Report'!C38)," ",'Total Progress Report'!A38)</f>
        <v>45648</v>
      </c>
      <c r="C37">
        <f>IF(ISBLANK('Total Progress Report'!B38)," ",'Total Progress Report'!B38)</f>
        <v>86</v>
      </c>
      <c r="D37">
        <f>IF(ISBLANK('Total Progress Report'!C38)," ",'Total Progress Report'!C38)</f>
        <v>299</v>
      </c>
      <c r="J37" s="28">
        <f>IF(ISBLANK('Total Progress Report'!P34)," ",'Total Progress Report'!A34)</f>
        <v>45644</v>
      </c>
      <c r="K37">
        <f>IF(ISBLANK('Total Progress Report'!P34)," ",'Total Progress Report'!P34)</f>
        <v>157</v>
      </c>
      <c r="L37">
        <f>IF(ISBLANK('Total Progress Report'!Q34)," ",'Total Progress Report'!Q34)</f>
        <v>65</v>
      </c>
    </row>
    <row r="38" spans="2:96" x14ac:dyDescent="0.3">
      <c r="B38" s="24">
        <f>IF(ISBLANK('Total Progress Report'!C39)," ",'Total Progress Report'!A39)</f>
        <v>45649</v>
      </c>
      <c r="C38">
        <f>IF(ISBLANK('Total Progress Report'!B39)," ",'Total Progress Report'!B39)</f>
        <v>102</v>
      </c>
      <c r="D38">
        <f>IF(ISBLANK('Total Progress Report'!C39)," ",'Total Progress Report'!C39)</f>
        <v>325</v>
      </c>
      <c r="J38" s="28">
        <f>IF(ISBLANK('Total Progress Report'!P35)," ",'Total Progress Report'!A35)</f>
        <v>45645</v>
      </c>
      <c r="K38">
        <f>IF(ISBLANK('Total Progress Report'!P35)," ",'Total Progress Report'!P35)</f>
        <v>119</v>
      </c>
      <c r="L38">
        <f>IF(ISBLANK('Total Progress Report'!Q35)," ",'Total Progress Report'!Q35)</f>
        <v>67</v>
      </c>
    </row>
    <row r="39" spans="2:96" x14ac:dyDescent="0.3">
      <c r="B39" s="24" t="str">
        <f>IF(ISBLANK('Total Progress Report'!C40)," ",'Total Progress Report'!A40)</f>
        <v xml:space="preserve"> </v>
      </c>
      <c r="C39" t="str">
        <f>IF(ISBLANK('Total Progress Report'!B40)," ",'Total Progress Report'!B40)</f>
        <v xml:space="preserve"> </v>
      </c>
      <c r="D39" t="str">
        <f>IF(ISBLANK('Total Progress Report'!C40)," ",'Total Progress Report'!C40)</f>
        <v xml:space="preserve"> </v>
      </c>
      <c r="J39" s="28">
        <f>IF(ISBLANK('Total Progress Report'!P36)," ",'Total Progress Report'!A36)</f>
        <v>45646</v>
      </c>
      <c r="K39">
        <f>IF(ISBLANK('Total Progress Report'!P36)," ",'Total Progress Report'!P36)</f>
        <v>0</v>
      </c>
      <c r="L39">
        <f>IF(ISBLANK('Total Progress Report'!Q36)," ",'Total Progress Report'!Q36)</f>
        <v>0</v>
      </c>
    </row>
    <row r="40" spans="2:96" x14ac:dyDescent="0.3">
      <c r="B40" s="24" t="str">
        <f>IF(ISBLANK('Total Progress Report'!C41)," ",'Total Progress Report'!A41)</f>
        <v xml:space="preserve"> </v>
      </c>
      <c r="C40" t="str">
        <f>IF(ISBLANK('Total Progress Report'!B41)," ",'Total Progress Report'!B41)</f>
        <v xml:space="preserve"> </v>
      </c>
      <c r="D40" t="str">
        <f>IF(ISBLANK('Total Progress Report'!C41)," ",'Total Progress Report'!C41)</f>
        <v xml:space="preserve"> </v>
      </c>
      <c r="J40" s="28">
        <f>IF(ISBLANK('Total Progress Report'!P37)," ",'Total Progress Report'!A37)</f>
        <v>45647</v>
      </c>
      <c r="K40">
        <f>IF(ISBLANK('Total Progress Report'!P37)," ",'Total Progress Report'!P37)</f>
        <v>140</v>
      </c>
      <c r="L40">
        <f>IF(ISBLANK('Total Progress Report'!Q37)," ",'Total Progress Report'!Q37)</f>
        <v>55</v>
      </c>
    </row>
    <row r="41" spans="2:96" x14ac:dyDescent="0.3">
      <c r="B41" s="24" t="str">
        <f>IF(ISBLANK('Total Progress Report'!C42)," ",'Total Progress Report'!A42)</f>
        <v xml:space="preserve"> </v>
      </c>
      <c r="C41" t="str">
        <f>IF(ISBLANK('Total Progress Report'!B42)," ",'Total Progress Report'!B42)</f>
        <v xml:space="preserve"> </v>
      </c>
      <c r="D41" t="str">
        <f>IF(ISBLANK('Total Progress Report'!C42)," ",'Total Progress Report'!C42)</f>
        <v xml:space="preserve"> </v>
      </c>
      <c r="J41" s="28">
        <f>IF(ISBLANK('Total Progress Report'!P38)," ",'Total Progress Report'!A38)</f>
        <v>45648</v>
      </c>
      <c r="K41">
        <f>IF(ISBLANK('Total Progress Report'!P38)," ",'Total Progress Report'!P38)</f>
        <v>3</v>
      </c>
      <c r="L41">
        <f>IF(ISBLANK('Total Progress Report'!Q38)," ",'Total Progress Report'!Q38)</f>
        <v>1</v>
      </c>
    </row>
    <row r="42" spans="2:96" x14ac:dyDescent="0.3">
      <c r="B42" s="24" t="str">
        <f>IF(ISBLANK('Total Progress Report'!C43)," ",'Total Progress Report'!A43)</f>
        <v xml:space="preserve"> </v>
      </c>
      <c r="C42" t="str">
        <f>IF(ISBLANK('Total Progress Report'!B43)," ",'Total Progress Report'!B43)</f>
        <v xml:space="preserve"> </v>
      </c>
      <c r="D42" t="str">
        <f>IF(ISBLANK('Total Progress Report'!C43)," ",'Total Progress Report'!C43)</f>
        <v xml:space="preserve"> </v>
      </c>
      <c r="J42" s="28">
        <f>IF(ISBLANK('Total Progress Report'!P39)," ",'Total Progress Report'!A39)</f>
        <v>45649</v>
      </c>
      <c r="K42">
        <f>IF(ISBLANK('Total Progress Report'!P39)," ",'Total Progress Report'!P39)</f>
        <v>0</v>
      </c>
      <c r="L42">
        <f>IF(ISBLANK('Total Progress Report'!Q39)," ",'Total Progress Report'!Q39)</f>
        <v>0</v>
      </c>
    </row>
    <row r="43" spans="2:96" x14ac:dyDescent="0.3">
      <c r="B43" s="24" t="str">
        <f>IF(ISBLANK('Total Progress Report'!C44)," ",'Total Progress Report'!A44)</f>
        <v xml:space="preserve"> </v>
      </c>
      <c r="C43" t="str">
        <f>IF(ISBLANK('Total Progress Report'!B44)," ",'Total Progress Report'!B44)</f>
        <v xml:space="preserve"> </v>
      </c>
      <c r="D43" t="str">
        <f>IF(ISBLANK('Total Progress Report'!C44)," ",'Total Progress Report'!C44)</f>
        <v xml:space="preserve"> </v>
      </c>
      <c r="J43" s="28" t="str">
        <f>IF(ISBLANK('Total Progress Report'!P40)," ",'Total Progress Report'!A40)</f>
        <v xml:space="preserve"> </v>
      </c>
      <c r="K43" t="str">
        <f>IF(ISBLANK('Total Progress Report'!P40)," ",'Total Progress Report'!P40)</f>
        <v xml:space="preserve"> </v>
      </c>
      <c r="L43" t="str">
        <f>IF(ISBLANK('Total Progress Report'!Q40)," ",'Total Progress Report'!Q40)</f>
        <v xml:space="preserve"> </v>
      </c>
    </row>
    <row r="44" spans="2:96" x14ac:dyDescent="0.3">
      <c r="B44" s="24" t="str">
        <f>IF(ISBLANK('Total Progress Report'!C45)," ",'Total Progress Report'!A45)</f>
        <v xml:space="preserve"> </v>
      </c>
      <c r="C44" t="str">
        <f>IF(ISBLANK('Total Progress Report'!B45)," ",'Total Progress Report'!B45)</f>
        <v xml:space="preserve"> </v>
      </c>
      <c r="D44" t="str">
        <f>IF(ISBLANK('Total Progress Report'!C45)," ",'Total Progress Report'!C45)</f>
        <v xml:space="preserve"> </v>
      </c>
      <c r="J44" s="28" t="str">
        <f>IF(ISBLANK('Total Progress Report'!P41)," ",'Total Progress Report'!A41)</f>
        <v xml:space="preserve"> </v>
      </c>
      <c r="K44" t="str">
        <f>IF(ISBLANK('Total Progress Report'!P41)," ",'Total Progress Report'!P41)</f>
        <v xml:space="preserve"> </v>
      </c>
      <c r="L44" t="str">
        <f>IF(ISBLANK('Total Progress Report'!Q41)," ",'Total Progress Report'!Q41)</f>
        <v xml:space="preserve"> </v>
      </c>
    </row>
    <row r="45" spans="2:96" x14ac:dyDescent="0.3">
      <c r="B45" s="24" t="str">
        <f>IF(ISBLANK('Total Progress Report'!C46)," ",'Total Progress Report'!A46)</f>
        <v xml:space="preserve"> </v>
      </c>
      <c r="C45" t="str">
        <f>IF(ISBLANK('Total Progress Report'!B46)," ",'Total Progress Report'!B46)</f>
        <v xml:space="preserve"> </v>
      </c>
      <c r="D45" t="str">
        <f>IF(ISBLANK('Total Progress Report'!C46)," ",'Total Progress Report'!C46)</f>
        <v xml:space="preserve"> </v>
      </c>
      <c r="J45" s="28" t="str">
        <f>IF(ISBLANK('Total Progress Report'!P42)," ",'Total Progress Report'!A42)</f>
        <v xml:space="preserve"> </v>
      </c>
      <c r="K45" t="str">
        <f>IF(ISBLANK('Total Progress Report'!P42)," ",'Total Progress Report'!P42)</f>
        <v xml:space="preserve"> </v>
      </c>
      <c r="L45" t="str">
        <f>IF(ISBLANK('Total Progress Report'!Q42)," ",'Total Progress Report'!Q42)</f>
        <v xml:space="preserve"> </v>
      </c>
    </row>
    <row r="46" spans="2:96" x14ac:dyDescent="0.3">
      <c r="B46" s="24" t="str">
        <f>IF(ISBLANK('Total Progress Report'!C47)," ",'Total Progress Report'!A47)</f>
        <v xml:space="preserve"> </v>
      </c>
      <c r="C46" t="str">
        <f>IF(ISBLANK('Total Progress Report'!B47)," ",'Total Progress Report'!B47)</f>
        <v xml:space="preserve"> </v>
      </c>
      <c r="D46" t="str">
        <f>IF(ISBLANK('Total Progress Report'!C47)," ",'Total Progress Report'!C47)</f>
        <v xml:space="preserve"> </v>
      </c>
      <c r="J46" s="28" t="str">
        <f>IF(ISBLANK('Total Progress Report'!P43)," ",'Total Progress Report'!A43)</f>
        <v xml:space="preserve"> </v>
      </c>
      <c r="K46" t="str">
        <f>IF(ISBLANK('Total Progress Report'!P43)," ",'Total Progress Report'!P43)</f>
        <v xml:space="preserve"> </v>
      </c>
      <c r="L46" t="str">
        <f>IF(ISBLANK('Total Progress Report'!Q43)," ",'Total Progress Report'!Q43)</f>
        <v xml:space="preserve"> </v>
      </c>
    </row>
    <row r="47" spans="2:96" x14ac:dyDescent="0.3">
      <c r="B47" s="44"/>
      <c r="C47" s="44"/>
      <c r="D47" s="44"/>
      <c r="E47" s="44"/>
      <c r="J47" s="28" t="str">
        <f>IF(ISBLANK('Total Progress Report'!P44)," ",'Total Progress Report'!A44)</f>
        <v xml:space="preserve"> </v>
      </c>
      <c r="K47" t="str">
        <f>IF(ISBLANK('Total Progress Report'!P44)," ",'Total Progress Report'!P44)</f>
        <v xml:space="preserve"> </v>
      </c>
      <c r="L47" t="str">
        <f>IF(ISBLANK('Total Progress Report'!Q44)," ",'Total Progress Report'!Q44)</f>
        <v xml:space="preserve"> </v>
      </c>
    </row>
    <row r="48" spans="2:96" x14ac:dyDescent="0.3">
      <c r="J48" s="28" t="str">
        <f>IF(ISBLANK('Total Progress Report'!P45)," ",'Total Progress Report'!A45)</f>
        <v xml:space="preserve"> </v>
      </c>
      <c r="K48" t="str">
        <f>IF(ISBLANK('Total Progress Report'!P45)," ",'Total Progress Report'!P45)</f>
        <v xml:space="preserve"> </v>
      </c>
      <c r="L48" t="str">
        <f>IF(ISBLANK('Total Progress Report'!Q45)," ",'Total Progress Report'!Q45)</f>
        <v xml:space="preserve"> </v>
      </c>
    </row>
    <row r="49" spans="10:36" x14ac:dyDescent="0.3">
      <c r="J49" s="28" t="str">
        <f>IF(ISBLANK('Total Progress Report'!P46)," ",'Total Progress Report'!A46)</f>
        <v xml:space="preserve"> </v>
      </c>
      <c r="K49" t="str">
        <f>IF(ISBLANK('Total Progress Report'!P46)," ",'Total Progress Report'!P46)</f>
        <v xml:space="preserve"> </v>
      </c>
      <c r="L49" t="str">
        <f>IF(ISBLANK('Total Progress Report'!Q46)," ",'Total Progress Report'!Q46)</f>
        <v xml:space="preserve"> </v>
      </c>
    </row>
    <row r="50" spans="10:36" x14ac:dyDescent="0.3">
      <c r="J50" s="28"/>
      <c r="K50" s="16"/>
      <c r="L50" s="16" t="str">
        <f>IF(ISBLANK('Total Progress Report'!Q47)," ",'Total Progress Report'!Q47)</f>
        <v xml:space="preserve"> </v>
      </c>
    </row>
    <row r="51" spans="10:36" x14ac:dyDescent="0.3">
      <c r="J51" s="28"/>
      <c r="N51" s="24">
        <f>LOOKUP(2,--1/(K54&lt;&gt;""),K54)</f>
        <v>45627</v>
      </c>
      <c r="O51">
        <f>LOOKUP(2,--1/(L54&lt;&gt;""),L54)</f>
        <v>17</v>
      </c>
      <c r="P51">
        <f>LOOKUP(2,--1/(M54&lt;&gt;""),M54)</f>
        <v>82</v>
      </c>
      <c r="Q51">
        <f>LOOKUP(2,--1/(N54&lt;&gt;""),N54)</f>
        <v>65</v>
      </c>
    </row>
    <row r="52" spans="10:36" ht="18" x14ac:dyDescent="0.35">
      <c r="J52" s="28"/>
      <c r="K52" s="140" t="s">
        <v>87</v>
      </c>
      <c r="L52" s="140"/>
      <c r="M52" s="140"/>
      <c r="N52" s="24" cm="1">
        <f t="array" aca="1" ref="N52:AJ52" ca="1">OFFSET(K54:K84,COUNT(K54:K84)-1,0,1,COUNT(K54:K84))</f>
        <v>45649</v>
      </c>
      <c r="O52">
        <f ca="1"/>
        <v>16</v>
      </c>
      <c r="P52">
        <f ca="1"/>
        <v>89</v>
      </c>
      <c r="Q52">
        <f ca="1"/>
        <v>73</v>
      </c>
      <c r="R52">
        <f ca="1"/>
        <v>0</v>
      </c>
      <c r="S52">
        <f ca="1"/>
        <v>0</v>
      </c>
      <c r="T52">
        <f ca="1"/>
        <v>0</v>
      </c>
      <c r="U52">
        <f ca="1"/>
        <v>0</v>
      </c>
      <c r="V52">
        <f ca="1"/>
        <v>0</v>
      </c>
      <c r="W52">
        <f ca="1"/>
        <v>0</v>
      </c>
      <c r="X52">
        <f ca="1"/>
        <v>0</v>
      </c>
      <c r="Y52">
        <f ca="1"/>
        <v>0</v>
      </c>
      <c r="Z52">
        <f ca="1"/>
        <v>0</v>
      </c>
      <c r="AA52">
        <f ca="1"/>
        <v>0</v>
      </c>
      <c r="AB52">
        <f ca="1"/>
        <v>0</v>
      </c>
      <c r="AC52">
        <f ca="1"/>
        <v>0</v>
      </c>
      <c r="AD52">
        <f ca="1"/>
        <v>0</v>
      </c>
      <c r="AE52">
        <f ca="1"/>
        <v>0</v>
      </c>
      <c r="AF52">
        <f ca="1"/>
        <v>0</v>
      </c>
      <c r="AG52">
        <f ca="1"/>
        <v>0</v>
      </c>
      <c r="AH52">
        <f ca="1"/>
        <v>0</v>
      </c>
      <c r="AI52">
        <f ca="1"/>
        <v>0</v>
      </c>
      <c r="AJ52">
        <f ca="1"/>
        <v>0</v>
      </c>
    </row>
    <row r="53" spans="10:36" ht="39" customHeight="1" x14ac:dyDescent="0.35">
      <c r="J53" s="28"/>
      <c r="K53" s="29" t="s">
        <v>1</v>
      </c>
      <c r="L53" s="29" t="s">
        <v>88</v>
      </c>
      <c r="M53" s="29" t="s">
        <v>89</v>
      </c>
      <c r="N53" s="29" t="s">
        <v>90</v>
      </c>
    </row>
    <row r="54" spans="10:36" x14ac:dyDescent="0.3">
      <c r="J54" s="28"/>
      <c r="K54" s="24">
        <f>IF(ISBLANK('Total Progress Report'!W17)," ",'Total Progress Report'!A17)</f>
        <v>45627</v>
      </c>
      <c r="L54">
        <f>IF(ISBLANK('Total Progress Report'!V17)," ",'Total Progress Report'!V17)</f>
        <v>17</v>
      </c>
      <c r="M54">
        <f>IF(ISBLANK('Total Progress Report'!W17)," ",'Total Progress Report'!W17)</f>
        <v>82</v>
      </c>
      <c r="N54">
        <f>IF(ISBLANK('Total Progress Report'!X17)," ",'Total Progress Report'!X17)</f>
        <v>65</v>
      </c>
    </row>
    <row r="55" spans="10:36" x14ac:dyDescent="0.3">
      <c r="J55" s="28"/>
      <c r="K55" s="24">
        <f>IF(ISBLANK('Total Progress Report'!W18)," ",'Total Progress Report'!A18)</f>
        <v>45628</v>
      </c>
      <c r="L55">
        <f>IF(ISBLANK('Total Progress Report'!V18)," ",'Total Progress Report'!V18)</f>
        <v>17</v>
      </c>
      <c r="M55">
        <f>IF(ISBLANK('Total Progress Report'!W18)," ",'Total Progress Report'!W18)</f>
        <v>79</v>
      </c>
      <c r="N55">
        <f>IF(ISBLANK('Total Progress Report'!X18)," ",'Total Progress Report'!X18)</f>
        <v>62</v>
      </c>
    </row>
    <row r="56" spans="10:36" x14ac:dyDescent="0.3">
      <c r="J56" s="28"/>
      <c r="K56" s="24">
        <f>IF(ISBLANK('Total Progress Report'!W19)," ",'Total Progress Report'!A19)</f>
        <v>45629</v>
      </c>
      <c r="L56">
        <f>IF(ISBLANK('Total Progress Report'!V19)," ",'Total Progress Report'!V19)</f>
        <v>20</v>
      </c>
      <c r="M56">
        <f>IF(ISBLANK('Total Progress Report'!W19)," ",'Total Progress Report'!W19)</f>
        <v>85</v>
      </c>
      <c r="N56">
        <f>IF(ISBLANK('Total Progress Report'!X19)," ",'Total Progress Report'!X19)</f>
        <v>65</v>
      </c>
    </row>
    <row r="57" spans="10:36" x14ac:dyDescent="0.3">
      <c r="J57" s="28"/>
      <c r="K57" s="24">
        <f>IF(ISBLANK('Total Progress Report'!W20)," ",'Total Progress Report'!A20)</f>
        <v>45630</v>
      </c>
      <c r="L57">
        <f>IF(ISBLANK('Total Progress Report'!V20)," ",'Total Progress Report'!V20)</f>
        <v>7</v>
      </c>
      <c r="M57">
        <f>IF(ISBLANK('Total Progress Report'!W20)," ",'Total Progress Report'!W20)</f>
        <v>51</v>
      </c>
      <c r="N57">
        <f>IF(ISBLANK('Total Progress Report'!X20)," ",'Total Progress Report'!X20)</f>
        <v>44</v>
      </c>
    </row>
    <row r="58" spans="10:36" x14ac:dyDescent="0.3">
      <c r="J58" s="28"/>
      <c r="K58" s="24">
        <f>IF(ISBLANK('Total Progress Report'!W21)," ",'Total Progress Report'!A21)</f>
        <v>45631</v>
      </c>
      <c r="L58">
        <f>IF(ISBLANK('Total Progress Report'!V21)," ",'Total Progress Report'!V21)</f>
        <v>15</v>
      </c>
      <c r="M58">
        <f>IF(ISBLANK('Total Progress Report'!W21)," ",'Total Progress Report'!W21)</f>
        <v>78</v>
      </c>
      <c r="N58">
        <f>IF(ISBLANK('Total Progress Report'!X21)," ",'Total Progress Report'!X21)</f>
        <v>63</v>
      </c>
    </row>
    <row r="59" spans="10:36" x14ac:dyDescent="0.3">
      <c r="J59" s="28"/>
      <c r="K59" s="24">
        <f>IF(ISBLANK('Total Progress Report'!W22)," ",'Total Progress Report'!A22)</f>
        <v>45632</v>
      </c>
      <c r="L59">
        <f>IF(ISBLANK('Total Progress Report'!V22)," ",'Total Progress Report'!V22)</f>
        <v>5</v>
      </c>
      <c r="M59">
        <f>IF(ISBLANK('Total Progress Report'!W22)," ",'Total Progress Report'!W22)</f>
        <v>65</v>
      </c>
      <c r="N59">
        <f>IF(ISBLANK('Total Progress Report'!X22)," ",'Total Progress Report'!X22)</f>
        <v>60</v>
      </c>
    </row>
    <row r="60" spans="10:36" x14ac:dyDescent="0.3">
      <c r="J60" s="28"/>
      <c r="K60" s="24">
        <f>IF(ISBLANK('Total Progress Report'!W23)," ",'Total Progress Report'!A23)</f>
        <v>45633</v>
      </c>
      <c r="L60">
        <f>IF(ISBLANK('Total Progress Report'!V23)," ",'Total Progress Report'!V23)</f>
        <v>17</v>
      </c>
      <c r="M60">
        <f>IF(ISBLANK('Total Progress Report'!W23)," ",'Total Progress Report'!W23)</f>
        <v>72</v>
      </c>
      <c r="N60">
        <f>IF(ISBLANK('Total Progress Report'!X23)," ",'Total Progress Report'!X23)</f>
        <v>55</v>
      </c>
    </row>
    <row r="61" spans="10:36" x14ac:dyDescent="0.3">
      <c r="J61" s="28"/>
      <c r="K61" s="24">
        <f>IF(ISBLANK('Total Progress Report'!W24)," ",'Total Progress Report'!A24)</f>
        <v>45634</v>
      </c>
      <c r="L61">
        <f>IF(ISBLANK('Total Progress Report'!V24)," ",'Total Progress Report'!V24)</f>
        <v>15</v>
      </c>
      <c r="M61">
        <f>IF(ISBLANK('Total Progress Report'!W24)," ",'Total Progress Report'!W24)</f>
        <v>81</v>
      </c>
      <c r="N61">
        <f>IF(ISBLANK('Total Progress Report'!X24)," ",'Total Progress Report'!X24)</f>
        <v>66</v>
      </c>
    </row>
    <row r="62" spans="10:36" x14ac:dyDescent="0.3">
      <c r="J62" s="28"/>
      <c r="K62" s="24">
        <f>IF(ISBLANK('Total Progress Report'!W25)," ",'Total Progress Report'!A25)</f>
        <v>45635</v>
      </c>
      <c r="L62">
        <f>IF(ISBLANK('Total Progress Report'!V25)," ",'Total Progress Report'!V25)</f>
        <v>14</v>
      </c>
      <c r="M62">
        <f>IF(ISBLANK('Total Progress Report'!W25)," ",'Total Progress Report'!W25)</f>
        <v>79</v>
      </c>
      <c r="N62">
        <f>IF(ISBLANK('Total Progress Report'!X25)," ",'Total Progress Report'!X25)</f>
        <v>65</v>
      </c>
    </row>
    <row r="63" spans="10:36" x14ac:dyDescent="0.3">
      <c r="K63" s="24">
        <f>IF(ISBLANK('Total Progress Report'!W26)," ",'Total Progress Report'!A26)</f>
        <v>45636</v>
      </c>
      <c r="L63">
        <f>IF(ISBLANK('Total Progress Report'!V26)," ",'Total Progress Report'!V26)</f>
        <v>14</v>
      </c>
      <c r="M63">
        <f>IF(ISBLANK('Total Progress Report'!W26)," ",'Total Progress Report'!W26)</f>
        <v>78</v>
      </c>
      <c r="N63">
        <f>IF(ISBLANK('Total Progress Report'!X26)," ",'Total Progress Report'!X26)</f>
        <v>64</v>
      </c>
    </row>
    <row r="64" spans="10:36" x14ac:dyDescent="0.3">
      <c r="K64" s="24">
        <f>IF(ISBLANK('Total Progress Report'!W27)," ",'Total Progress Report'!A27)</f>
        <v>45637</v>
      </c>
      <c r="L64">
        <f>IF(ISBLANK('Total Progress Report'!V27)," ",'Total Progress Report'!V27)</f>
        <v>7</v>
      </c>
      <c r="M64">
        <f>IF(ISBLANK('Total Progress Report'!W27)," ",'Total Progress Report'!W27)</f>
        <v>67</v>
      </c>
      <c r="N64">
        <f>IF(ISBLANK('Total Progress Report'!X27)," ",'Total Progress Report'!X27)</f>
        <v>60</v>
      </c>
    </row>
    <row r="65" spans="11:14" x14ac:dyDescent="0.3">
      <c r="K65" s="24">
        <f>IF(ISBLANK('Total Progress Report'!W28)," ",'Total Progress Report'!A28)</f>
        <v>45638</v>
      </c>
      <c r="L65">
        <f>IF(ISBLANK('Total Progress Report'!V28)," ",'Total Progress Report'!V28)</f>
        <v>12</v>
      </c>
      <c r="M65">
        <f>IF(ISBLANK('Total Progress Report'!W28)," ",'Total Progress Report'!W28)</f>
        <v>82</v>
      </c>
      <c r="N65">
        <f>IF(ISBLANK('Total Progress Report'!X28)," ",'Total Progress Report'!X28)</f>
        <v>70</v>
      </c>
    </row>
    <row r="66" spans="11:14" x14ac:dyDescent="0.3">
      <c r="K66" s="24">
        <f>IF(ISBLANK('Total Progress Report'!W29)," ",'Total Progress Report'!A29)</f>
        <v>45639</v>
      </c>
      <c r="L66">
        <f>IF(ISBLANK('Total Progress Report'!V29)," ",'Total Progress Report'!V29)</f>
        <v>7</v>
      </c>
      <c r="M66">
        <f>IF(ISBLANK('Total Progress Report'!W29)," ",'Total Progress Report'!W29)</f>
        <v>57</v>
      </c>
      <c r="N66">
        <f>IF(ISBLANK('Total Progress Report'!X29)," ",'Total Progress Report'!X29)</f>
        <v>50</v>
      </c>
    </row>
    <row r="67" spans="11:14" x14ac:dyDescent="0.3">
      <c r="K67" s="24">
        <f>IF(ISBLANK('Total Progress Report'!W30)," ",'Total Progress Report'!A30)</f>
        <v>45640</v>
      </c>
      <c r="L67">
        <f>IF(ISBLANK('Total Progress Report'!V30)," ",'Total Progress Report'!V30)</f>
        <v>11</v>
      </c>
      <c r="M67">
        <f>IF(ISBLANK('Total Progress Report'!W30)," ",'Total Progress Report'!W30)</f>
        <v>83</v>
      </c>
      <c r="N67">
        <f>IF(ISBLANK('Total Progress Report'!X30)," ",'Total Progress Report'!X30)</f>
        <v>72</v>
      </c>
    </row>
    <row r="68" spans="11:14" x14ac:dyDescent="0.3">
      <c r="K68" s="24">
        <f>IF(ISBLANK('Total Progress Report'!W31)," ",'Total Progress Report'!A31)</f>
        <v>45641</v>
      </c>
      <c r="L68">
        <f>IF(ISBLANK('Total Progress Report'!V31)," ",'Total Progress Report'!V31)</f>
        <v>10</v>
      </c>
      <c r="M68">
        <f>IF(ISBLANK('Total Progress Report'!W31)," ",'Total Progress Report'!W31)</f>
        <v>76</v>
      </c>
      <c r="N68">
        <f>IF(ISBLANK('Total Progress Report'!X31)," ",'Total Progress Report'!X31)</f>
        <v>66</v>
      </c>
    </row>
    <row r="69" spans="11:14" x14ac:dyDescent="0.3">
      <c r="K69" s="24">
        <f>IF(ISBLANK('Total Progress Report'!W32)," ",'Total Progress Report'!A32)</f>
        <v>45642</v>
      </c>
      <c r="L69">
        <f>IF(ISBLANK('Total Progress Report'!V32)," ",'Total Progress Report'!V32)</f>
        <v>9</v>
      </c>
      <c r="M69">
        <f>IF(ISBLANK('Total Progress Report'!W32)," ",'Total Progress Report'!W32)</f>
        <v>73</v>
      </c>
      <c r="N69">
        <f>IF(ISBLANK('Total Progress Report'!X32)," ",'Total Progress Report'!X32)</f>
        <v>64</v>
      </c>
    </row>
    <row r="70" spans="11:14" x14ac:dyDescent="0.3">
      <c r="K70" s="24">
        <f>IF(ISBLANK('Total Progress Report'!W33)," ",'Total Progress Report'!A33)</f>
        <v>45643</v>
      </c>
      <c r="L70">
        <f>IF(ISBLANK('Total Progress Report'!V33)," ",'Total Progress Report'!V33)</f>
        <v>13</v>
      </c>
      <c r="M70">
        <f>IF(ISBLANK('Total Progress Report'!W33)," ",'Total Progress Report'!W33)</f>
        <v>87</v>
      </c>
      <c r="N70">
        <f>IF(ISBLANK('Total Progress Report'!X33)," ",'Total Progress Report'!X33)</f>
        <v>74</v>
      </c>
    </row>
    <row r="71" spans="11:14" x14ac:dyDescent="0.3">
      <c r="K71" s="24">
        <f>IF(ISBLANK('Total Progress Report'!W34)," ",'Total Progress Report'!A34)</f>
        <v>45644</v>
      </c>
      <c r="L71">
        <f>IF(ISBLANK('Total Progress Report'!V34)," ",'Total Progress Report'!V34)</f>
        <v>7</v>
      </c>
      <c r="M71">
        <f>IF(ISBLANK('Total Progress Report'!W34)," ",'Total Progress Report'!W34)</f>
        <v>82</v>
      </c>
      <c r="N71">
        <f>IF(ISBLANK('Total Progress Report'!X34)," ",'Total Progress Report'!X34)</f>
        <v>75</v>
      </c>
    </row>
    <row r="72" spans="11:14" x14ac:dyDescent="0.3">
      <c r="K72" s="24">
        <f>IF(ISBLANK('Total Progress Report'!W35)," ",'Total Progress Report'!A35)</f>
        <v>45645</v>
      </c>
      <c r="L72">
        <f>IF(ISBLANK('Total Progress Report'!V35)," ",'Total Progress Report'!V35)</f>
        <v>15</v>
      </c>
      <c r="M72">
        <f>IF(ISBLANK('Total Progress Report'!W35)," ",'Total Progress Report'!W35)</f>
        <v>88</v>
      </c>
      <c r="N72">
        <f>IF(ISBLANK('Total Progress Report'!X35)," ",'Total Progress Report'!X35)</f>
        <v>73</v>
      </c>
    </row>
    <row r="73" spans="11:14" x14ac:dyDescent="0.3">
      <c r="K73" s="24">
        <f>IF(ISBLANK('Total Progress Report'!W36)," ",'Total Progress Report'!A36)</f>
        <v>45646</v>
      </c>
      <c r="L73">
        <f>IF(ISBLANK('Total Progress Report'!V36)," ",'Total Progress Report'!V36)</f>
        <v>5</v>
      </c>
      <c r="M73">
        <f>IF(ISBLANK('Total Progress Report'!W36)," ",'Total Progress Report'!W36)</f>
        <v>80</v>
      </c>
      <c r="N73">
        <f>IF(ISBLANK('Total Progress Report'!X36)," ",'Total Progress Report'!X36)</f>
        <v>75</v>
      </c>
    </row>
    <row r="74" spans="11:14" x14ac:dyDescent="0.3">
      <c r="K74" s="24">
        <f>IF(ISBLANK('Total Progress Report'!W37)," ",'Total Progress Report'!A37)</f>
        <v>45647</v>
      </c>
      <c r="L74">
        <f>IF(ISBLANK('Total Progress Report'!V37)," ",'Total Progress Report'!V37)</f>
        <v>14</v>
      </c>
      <c r="M74">
        <f>IF(ISBLANK('Total Progress Report'!W37)," ",'Total Progress Report'!W37)</f>
        <v>87</v>
      </c>
      <c r="N74">
        <f>IF(ISBLANK('Total Progress Report'!X37)," ",'Total Progress Report'!X37)</f>
        <v>73</v>
      </c>
    </row>
    <row r="75" spans="11:14" x14ac:dyDescent="0.3">
      <c r="K75" s="24">
        <f>IF(ISBLANK('Total Progress Report'!W38)," ",'Total Progress Report'!A38)</f>
        <v>45648</v>
      </c>
      <c r="L75">
        <f>IF(ISBLANK('Total Progress Report'!V38)," ",'Total Progress Report'!V38)</f>
        <v>7</v>
      </c>
      <c r="M75">
        <f>IF(ISBLANK('Total Progress Report'!W38)," ",'Total Progress Report'!W38)</f>
        <v>79</v>
      </c>
      <c r="N75">
        <f>IF(ISBLANK('Total Progress Report'!X38)," ",'Total Progress Report'!X38)</f>
        <v>72</v>
      </c>
    </row>
    <row r="76" spans="11:14" x14ac:dyDescent="0.3">
      <c r="K76" s="24">
        <f>IF(ISBLANK('Total Progress Report'!W39)," ",'Total Progress Report'!A39)</f>
        <v>45649</v>
      </c>
      <c r="L76">
        <f>IF(ISBLANK('Total Progress Report'!V39)," ",'Total Progress Report'!V39)</f>
        <v>16</v>
      </c>
      <c r="M76">
        <f>IF(ISBLANK('Total Progress Report'!W39)," ",'Total Progress Report'!W39)</f>
        <v>89</v>
      </c>
      <c r="N76">
        <f>IF(ISBLANK('Total Progress Report'!X39)," ",'Total Progress Report'!X39)</f>
        <v>73</v>
      </c>
    </row>
    <row r="77" spans="11:14" x14ac:dyDescent="0.3">
      <c r="K77" s="24" t="str">
        <f>IF(ISBLANK('Total Progress Report'!W40)," ",'Total Progress Report'!A40)</f>
        <v xml:space="preserve"> </v>
      </c>
      <c r="L77" t="str">
        <f>IF(ISBLANK('Total Progress Report'!V40)," ",'Total Progress Report'!V40)</f>
        <v xml:space="preserve"> </v>
      </c>
      <c r="M77" t="str">
        <f>IF(ISBLANK('Total Progress Report'!W40)," ",'Total Progress Report'!W40)</f>
        <v xml:space="preserve"> </v>
      </c>
      <c r="N77" t="str">
        <f>IF(ISBLANK('Total Progress Report'!X40)," ",'Total Progress Report'!X40)</f>
        <v xml:space="preserve"> </v>
      </c>
    </row>
    <row r="78" spans="11:14" x14ac:dyDescent="0.3">
      <c r="K78" s="24" t="str">
        <f>IF(ISBLANK('Total Progress Report'!W41)," ",'Total Progress Report'!A41)</f>
        <v xml:space="preserve"> </v>
      </c>
      <c r="L78" t="str">
        <f>IF(ISBLANK('Total Progress Report'!V41)," ",'Total Progress Report'!V41)</f>
        <v xml:space="preserve"> </v>
      </c>
      <c r="M78" t="str">
        <f>IF(ISBLANK('Total Progress Report'!W41)," ",'Total Progress Report'!W41)</f>
        <v xml:space="preserve"> </v>
      </c>
      <c r="N78" t="str">
        <f>IF(ISBLANK('Total Progress Report'!X41)," ",'Total Progress Report'!X41)</f>
        <v xml:space="preserve"> </v>
      </c>
    </row>
    <row r="79" spans="11:14" x14ac:dyDescent="0.3">
      <c r="K79" s="24" t="str">
        <f>IF(ISBLANK('Total Progress Report'!W42)," ",'Total Progress Report'!A42)</f>
        <v xml:space="preserve"> </v>
      </c>
      <c r="L79" t="str">
        <f>IF(ISBLANK('Total Progress Report'!V42)," ",'Total Progress Report'!V42)</f>
        <v xml:space="preserve"> </v>
      </c>
      <c r="M79" t="str">
        <f>IF(ISBLANK('Total Progress Report'!W42)," ",'Total Progress Report'!W42)</f>
        <v xml:space="preserve"> </v>
      </c>
      <c r="N79" t="str">
        <f>IF(ISBLANK('Total Progress Report'!X42)," ",'Total Progress Report'!X42)</f>
        <v xml:space="preserve"> </v>
      </c>
    </row>
    <row r="80" spans="11:14" x14ac:dyDescent="0.3">
      <c r="K80" s="24" t="str">
        <f>IF(ISBLANK('Total Progress Report'!W43)," ",'Total Progress Report'!A43)</f>
        <v xml:space="preserve"> </v>
      </c>
      <c r="L80" t="str">
        <f>IF(ISBLANK('Total Progress Report'!V43)," ",'Total Progress Report'!V43)</f>
        <v xml:space="preserve"> </v>
      </c>
      <c r="M80" t="str">
        <f>IF(ISBLANK('Total Progress Report'!W43)," ",'Total Progress Report'!W43)</f>
        <v xml:space="preserve"> </v>
      </c>
      <c r="N80" t="str">
        <f>IF(ISBLANK('Total Progress Report'!X43)," ",'Total Progress Report'!X43)</f>
        <v xml:space="preserve"> </v>
      </c>
    </row>
    <row r="81" spans="11:14" x14ac:dyDescent="0.3">
      <c r="K81" s="24" t="str">
        <f>IF(ISBLANK('Total Progress Report'!W44)," ",'Total Progress Report'!A44)</f>
        <v xml:space="preserve"> </v>
      </c>
      <c r="L81" t="str">
        <f>IF(ISBLANK('Total Progress Report'!V44)," ",'Total Progress Report'!V44)</f>
        <v xml:space="preserve"> </v>
      </c>
      <c r="M81" t="str">
        <f>IF(ISBLANK('Total Progress Report'!W44)," ",'Total Progress Report'!W44)</f>
        <v xml:space="preserve"> </v>
      </c>
      <c r="N81" t="str">
        <f>IF(ISBLANK('Total Progress Report'!X44)," ",'Total Progress Report'!X44)</f>
        <v xml:space="preserve"> </v>
      </c>
    </row>
    <row r="82" spans="11:14" x14ac:dyDescent="0.3">
      <c r="K82" s="24" t="str">
        <f>IF(ISBLANK('Total Progress Report'!W45)," ",'Total Progress Report'!A45)</f>
        <v xml:space="preserve"> </v>
      </c>
      <c r="L82" t="str">
        <f>IF(ISBLANK('Total Progress Report'!V45)," ",'Total Progress Report'!V45)</f>
        <v xml:space="preserve"> </v>
      </c>
      <c r="M82" t="str">
        <f>IF(ISBLANK('Total Progress Report'!W45)," ",'Total Progress Report'!W45)</f>
        <v xml:space="preserve"> </v>
      </c>
      <c r="N82" t="str">
        <f>IF(ISBLANK('Total Progress Report'!X45)," ",'Total Progress Report'!X45)</f>
        <v xml:space="preserve"> </v>
      </c>
    </row>
    <row r="83" spans="11:14" x14ac:dyDescent="0.3">
      <c r="K83" s="24" t="str">
        <f>IF(ISBLANK('Total Progress Report'!W46)," ",'Total Progress Report'!A46)</f>
        <v xml:space="preserve"> </v>
      </c>
      <c r="L83" t="str">
        <f>IF(ISBLANK('Total Progress Report'!V46)," ",'Total Progress Report'!V46)</f>
        <v xml:space="preserve"> </v>
      </c>
      <c r="M83" t="str">
        <f>IF(ISBLANK('Total Progress Report'!W46)," ",'Total Progress Report'!W46)</f>
        <v xml:space="preserve"> </v>
      </c>
      <c r="N83" t="str">
        <f>IF(ISBLANK('Total Progress Report'!X46)," ",'Total Progress Report'!X46)</f>
        <v xml:space="preserve"> </v>
      </c>
    </row>
    <row r="84" spans="11:14" x14ac:dyDescent="0.3">
      <c r="K84" s="30" t="str">
        <f>IF(ISBLANK('Total Progress Report'!W47)," ",'Total Progress Report'!A47)</f>
        <v xml:space="preserve"> </v>
      </c>
      <c r="L84" s="16" t="str">
        <f>IF(ISBLANK('Total Progress Report'!V47)," ",'Total Progress Report'!V47)</f>
        <v xml:space="preserve"> </v>
      </c>
      <c r="M84" s="16" t="str">
        <f>IF(ISBLANK('Total Progress Report'!W47)," ",'Total Progress Report'!W47)</f>
        <v xml:space="preserve"> </v>
      </c>
      <c r="N84" s="16" t="str">
        <f>IF(ISBLANK('Total Progress Report'!X47)," ",'Total Progress Report'!X47)</f>
        <v xml:space="preserve"> </v>
      </c>
    </row>
  </sheetData>
  <sheetProtection algorithmName="SHA-512" hashValue="YAUsnwWx+SAZh6zLkKjWv9d6ZNZnKS9O+W/PKKrb9XcP0SNbEZEN8bkD9398A6XNL3QGTIyrHkWeh1rJRZvuJQ==" saltValue="KQwzK15YdmqEfyXIqTopRQ==" spinCount="100000" sheet="1" objects="1" scenarios="1"/>
  <mergeCells count="20">
    <mergeCell ref="J18:L18"/>
    <mergeCell ref="K52:M52"/>
    <mergeCell ref="U3:W3"/>
    <mergeCell ref="G14:I14"/>
    <mergeCell ref="P3:S3"/>
    <mergeCell ref="DB1:DC1"/>
    <mergeCell ref="A9:B11"/>
    <mergeCell ref="C9:D11"/>
    <mergeCell ref="B3:D3"/>
    <mergeCell ref="F3:I3"/>
    <mergeCell ref="K3:N3"/>
    <mergeCell ref="BH1:BI1"/>
    <mergeCell ref="AS1:AV1"/>
    <mergeCell ref="AI1:AL1"/>
    <mergeCell ref="Z1:AB1"/>
    <mergeCell ref="CT2:CU2"/>
    <mergeCell ref="CD1:CF1"/>
    <mergeCell ref="CO1:CQ1"/>
    <mergeCell ref="BM1:BQ1"/>
    <mergeCell ref="BS2:BT2"/>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71E94-A2FD-4A5A-AA2A-7F0CA75A52CD}">
  <sheetPr codeName="Sheet5">
    <pageSetUpPr fitToPage="1"/>
  </sheetPr>
  <dimension ref="P13:P28"/>
  <sheetViews>
    <sheetView tabSelected="1" zoomScale="70" zoomScaleNormal="70" workbookViewId="0">
      <selection activeCell="V103" sqref="V103"/>
    </sheetView>
  </sheetViews>
  <sheetFormatPr defaultRowHeight="14.4" x14ac:dyDescent="0.3"/>
  <sheetData>
    <row r="13" ht="15" customHeight="1" x14ac:dyDescent="0.3"/>
    <row r="28" spans="16:16" x14ac:dyDescent="0.3">
      <c r="P28" t="s">
        <v>84</v>
      </c>
    </row>
  </sheetData>
  <sheetProtection algorithmName="SHA-512" hashValue="sB1bvR4H1NgdGB1s1zJx9f0pJhhvG1zCqjKybPafIr64pff7n+T8ar/Ibhe1XnWkXR7aXP2Gl7GuXHxH2+9xkA==" saltValue="eB2nTYCeL9BWEyEG2jO+Iw==" spinCount="100000" sheet="1" objects="1" scenarios="1"/>
  <printOptions horizontalCentered="1" verticalCentered="1"/>
  <pageMargins left="0" right="0" top="0" bottom="0" header="0" footer="0"/>
  <pageSetup paperSize="9" scale="43" orientation="landscape" horizontalDpi="1200" verticalDpi="1200"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5F1C774E-AA86-479B-93C4-EF9B2DEE1CFE}">
  <ds:schemaRefs/>
</ds:datastoreItem>
</file>

<file path=customXml/itemProps2.xml><?xml version="1.0" encoding="utf-8"?>
<ds:datastoreItem xmlns:ds="http://schemas.openxmlformats.org/officeDocument/2006/customXml" ds:itemID="{97A8EAE1-B65D-433C-9F7F-1B0557E01E2D}">
  <ds:schemaRefs/>
</ds:datastoreItem>
</file>

<file path=customXml/itemProps3.xml><?xml version="1.0" encoding="utf-8"?>
<ds:datastoreItem xmlns:ds="http://schemas.openxmlformats.org/officeDocument/2006/customXml" ds:itemID="{7A92446D-390A-44C8-8110-1AAD87DAC5DE}">
  <ds:schemaRefs/>
</ds:datastoreItem>
</file>

<file path=customXml/itemProps4.xml><?xml version="1.0" encoding="utf-8"?>
<ds:datastoreItem xmlns:ds="http://schemas.openxmlformats.org/officeDocument/2006/customXml" ds:itemID="{9B769251-2F45-48A7-8FFE-A27119407DA2}">
  <ds:schemaRefs/>
</ds:datastoreItem>
</file>

<file path=customXml/itemProps5.xml><?xml version="1.0" encoding="utf-8"?>
<ds:datastoreItem xmlns:ds="http://schemas.openxmlformats.org/officeDocument/2006/customXml" ds:itemID="{76BC5726-8D45-4E9E-B79F-7076F612143E}">
  <ds:schemaRefs/>
</ds:datastoreItem>
</file>

<file path=customXml/itemProps6.xml><?xml version="1.0" encoding="utf-8"?>
<ds:datastoreItem xmlns:ds="http://schemas.openxmlformats.org/officeDocument/2006/customXml" ds:itemID="{F1C3A2FE-C1D9-4530-9C22-A03BB7DB3CCB}">
  <ds:schemaRefs/>
</ds:datastoreItem>
</file>

<file path=customXml/itemProps7.xml><?xml version="1.0" encoding="utf-8"?>
<ds:datastoreItem xmlns:ds="http://schemas.openxmlformats.org/officeDocument/2006/customXml" ds:itemID="{7B0A9171-BEC4-4629-9579-1D4935C624A6}">
  <ds:schemaRefs/>
</ds:datastoreItem>
</file>

<file path=customXml/itemProps8.xml><?xml version="1.0" encoding="utf-8"?>
<ds:datastoreItem xmlns:ds="http://schemas.openxmlformats.org/officeDocument/2006/customXml" ds:itemID="{B4A38D35-0109-4E2C-A0CA-1D5C14DA4194}">
  <ds:schemaRefs/>
</ds:datastoreItem>
</file>

<file path=customXml/itemProps9.xml><?xml version="1.0" encoding="utf-8"?>
<ds:datastoreItem xmlns:ds="http://schemas.openxmlformats.org/officeDocument/2006/customXml" ds:itemID="{7B3E35B4-9746-49F0-BC8F-EC9C6AFB6577}">
  <ds:schemaRefs/>
</ds:datastoreItem>
</file>

<file path=customXml/itemProps10.xml><?xml version="1.0" encoding="utf-8"?>
<ds:datastoreItem xmlns:ds="http://schemas.openxmlformats.org/officeDocument/2006/customXml" ds:itemID="{1D11EE3B-567D-49DB-B3BB-30699EAC47DB}">
  <ds:schemaRefs/>
</ds:datastoreItem>
</file>

<file path=customXml/itemProps11.xml><?xml version="1.0" encoding="utf-8"?>
<ds:datastoreItem xmlns:ds="http://schemas.openxmlformats.org/officeDocument/2006/customXml" ds:itemID="{E1B24749-B0B0-48B6-B1FB-8740209F7491}">
  <ds:schemaRefs/>
</ds:datastoreItem>
</file>

<file path=customXml/itemProps12.xml><?xml version="1.0" encoding="utf-8"?>
<ds:datastoreItem xmlns:ds="http://schemas.openxmlformats.org/officeDocument/2006/customXml" ds:itemID="{FB4E1462-A454-4BD7-AA46-14BEDD7D85D8}">
  <ds:schemaRefs/>
</ds:datastoreItem>
</file>

<file path=customXml/itemProps13.xml><?xml version="1.0" encoding="utf-8"?>
<ds:datastoreItem xmlns:ds="http://schemas.openxmlformats.org/officeDocument/2006/customXml" ds:itemID="{AB7EA6BC-E28E-4A74-8420-98A8190F3926}">
  <ds:schemaRefs/>
</ds:datastoreItem>
</file>

<file path=customXml/itemProps14.xml><?xml version="1.0" encoding="utf-8"?>
<ds:datastoreItem xmlns:ds="http://schemas.openxmlformats.org/officeDocument/2006/customXml" ds:itemID="{99B8D34A-94E1-4B31-8098-11EEA700EB33}">
  <ds:schemaRefs/>
</ds:datastoreItem>
</file>

<file path=customXml/itemProps15.xml><?xml version="1.0" encoding="utf-8"?>
<ds:datastoreItem xmlns:ds="http://schemas.openxmlformats.org/officeDocument/2006/customXml" ds:itemID="{A0ECEBE9-99C9-42EF-B0C7-D75AB298FE8C}">
  <ds:schemaRefs/>
</ds:datastoreItem>
</file>

<file path=customXml/itemProps16.xml><?xml version="1.0" encoding="utf-8"?>
<ds:datastoreItem xmlns:ds="http://schemas.openxmlformats.org/officeDocument/2006/customXml" ds:itemID="{78D13D2D-647C-4FE7-B4D8-EDE5E3C55172}">
  <ds:schemaRefs/>
</ds:datastoreItem>
</file>

<file path=customXml/itemProps17.xml><?xml version="1.0" encoding="utf-8"?>
<ds:datastoreItem xmlns:ds="http://schemas.openxmlformats.org/officeDocument/2006/customXml" ds:itemID="{1A288AEE-F5EC-4EE0-B06E-E0C1D53BDC4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Total Progress Report</vt:lpstr>
      <vt:lpstr>MONTH_WISE_PROGRESS_REPORT</vt:lpstr>
      <vt:lpstr>Pivot_analysis</vt:lpstr>
      <vt:lpstr>ANALYSIS</vt:lpstr>
      <vt:lpstr>Dashboard</vt:lpstr>
      <vt:lpstr>Dashboard!Print_Area</vt:lpstr>
      <vt:lpstr>'Total Progress Report'!Print_Area</vt:lpstr>
      <vt:lpstr>'Total Progress Report'!Print_Titles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md yeakub</cp:lastModifiedBy>
  <cp:lastPrinted>2024-12-23T11:00:32Z</cp:lastPrinted>
  <dcterms:created xsi:type="dcterms:W3CDTF">2024-06-10T09:27:25Z</dcterms:created>
  <dcterms:modified xsi:type="dcterms:W3CDTF">2024-12-25T15:43:52Z</dcterms:modified>
</cp:coreProperties>
</file>