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OHAMMED DRICI\Financial modelling\"/>
    </mc:Choice>
  </mc:AlternateContent>
  <xr:revisionPtr revIDLastSave="0" documentId="13_ncr:1_{D223F81E-CCC0-4358-91B6-6B8E4D13FED0}" xr6:coauthVersionLast="47" xr6:coauthVersionMax="47" xr10:uidLastSave="{00000000-0000-0000-0000-000000000000}"/>
  <bookViews>
    <workbookView xWindow="-12450" yWindow="-21600" windowWidth="34605" windowHeight="20985" xr2:uid="{65CE0BCF-DB61-43CA-BF1C-206FFCA6E561}"/>
  </bookViews>
  <sheets>
    <sheet name="Model" sheetId="69" r:id="rId1"/>
    <sheet name="EBIT" sheetId="70" r:id="rId2"/>
    <sheet name="RAW &gt;&gt;" sheetId="5" r:id="rId3"/>
    <sheet name="IS_A" sheetId="58" r:id="rId4"/>
    <sheet name="BS_A" sheetId="59" r:id="rId5"/>
    <sheet name="CFS_A" sheetId="60" r:id="rId6"/>
    <sheet name="r10-K" sheetId="8" r:id="rId7"/>
    <sheet name="rEmployee" sheetId="64" r:id="rId8"/>
    <sheet name="rPPE" sheetId="67" r:id="rId9"/>
    <sheet name="Format" sheetId="68" r:id="rId10"/>
  </sheets>
  <externalReferences>
    <externalReference r:id="rId11"/>
    <externalReference r:id="rId12"/>
    <externalReference r:id="rId13"/>
  </externalReferences>
  <definedNames>
    <definedName name="AbbrevQtr">[1]Cover!$C$4</definedName>
    <definedName name="Activity">[2]Sheet1!$A$4:$A$8</definedName>
    <definedName name="Month">[1]Cover!$C$5</definedName>
    <definedName name="NvsASD">"V2000-09-08"</definedName>
    <definedName name="NvsAutoDrillOk">"VN"</definedName>
    <definedName name="NvsElapsedTime">0.000234143517445773</definedName>
    <definedName name="NvsEndTime">36707.2948738426</definedName>
    <definedName name="NvsInstSpec">"%,FMI_ALT_BU,TCA_ALTBU_CORPS,NCONSOLIDATING"</definedName>
    <definedName name="NvsLayoutType">"M3"</definedName>
    <definedName name="NvsNplSpec">"%,X,RZF..,CZF.."</definedName>
    <definedName name="NvsPanelEffdt">"V9999-01-01"</definedName>
    <definedName name="NvsPanelSetid">"VMIDIV"</definedName>
    <definedName name="NvsReqBU">"V52"</definedName>
    <definedName name="NvsReqBUOnly">"VN"</definedName>
    <definedName name="NvsTransLed">"VN"</definedName>
    <definedName name="NvsTreeASD">"V2000-09-08"</definedName>
    <definedName name="NvsValTbl.PRODUCT">"MI_GL_PRODCT_VW"</definedName>
    <definedName name="Ownership">[2]Sheet1!$C$4:$C$7</definedName>
    <definedName name="PriorYear">[1]Cover!$C$6</definedName>
    <definedName name="QUARTERINCAPS">[3]Cover!$J$1</definedName>
    <definedName name="Year">[1]Cover!$C$2</definedName>
    <definedName name="_xlnm.Print_Area" localSheetId="2">'RAW &gt;&gt;'!$A$1:$R$33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9" i="69" l="1"/>
  <c r="P149" i="69"/>
  <c r="Q149" i="69"/>
  <c r="R149" i="69" s="1"/>
  <c r="N149" i="69"/>
  <c r="J149" i="69"/>
  <c r="K149" i="69"/>
  <c r="L149" i="69"/>
  <c r="M149" i="69"/>
  <c r="I150" i="69"/>
  <c r="I149" i="69"/>
  <c r="J150" i="69"/>
  <c r="K150" i="69"/>
  <c r="L150" i="69"/>
  <c r="M150" i="69"/>
  <c r="J148" i="69"/>
  <c r="K148" i="69"/>
  <c r="L148" i="69"/>
  <c r="M148" i="69"/>
  <c r="I148" i="69"/>
  <c r="I147" i="69"/>
  <c r="J147" i="69"/>
  <c r="K147" i="69"/>
  <c r="L147" i="69"/>
  <c r="M147" i="69"/>
  <c r="H147" i="69"/>
  <c r="N33" i="69"/>
  <c r="O33" i="69" s="1"/>
  <c r="P33" i="69" s="1"/>
  <c r="Q33" i="69" s="1"/>
  <c r="R33" i="69" s="1"/>
  <c r="N89" i="70"/>
  <c r="O89" i="70"/>
  <c r="P89" i="70"/>
  <c r="Q89" i="70"/>
  <c r="R89" i="70"/>
  <c r="N142" i="69"/>
  <c r="O142" i="69" s="1"/>
  <c r="O53" i="69"/>
  <c r="P53" i="69" s="1"/>
  <c r="Q53" i="69" s="1"/>
  <c r="R53" i="69" s="1"/>
  <c r="N53" i="69"/>
  <c r="O52" i="69"/>
  <c r="P52" i="69"/>
  <c r="Q52" i="69" s="1"/>
  <c r="R52" i="69" s="1"/>
  <c r="N52" i="69"/>
  <c r="O140" i="69"/>
  <c r="P140" i="69"/>
  <c r="Q140" i="69"/>
  <c r="R140" i="69"/>
  <c r="N140" i="69"/>
  <c r="I142" i="69"/>
  <c r="J142" i="69"/>
  <c r="K142" i="69"/>
  <c r="L142" i="69"/>
  <c r="M142" i="69"/>
  <c r="H142" i="69"/>
  <c r="I141" i="69"/>
  <c r="J141" i="69"/>
  <c r="K141" i="69"/>
  <c r="L141" i="69"/>
  <c r="M141" i="69"/>
  <c r="H141" i="69"/>
  <c r="I139" i="69"/>
  <c r="J139" i="69"/>
  <c r="K139" i="69"/>
  <c r="L139" i="69"/>
  <c r="M139" i="69"/>
  <c r="H139" i="69"/>
  <c r="I138" i="69"/>
  <c r="J138" i="69"/>
  <c r="K138" i="69"/>
  <c r="L138" i="69"/>
  <c r="M138" i="69"/>
  <c r="H138" i="69"/>
  <c r="J137" i="69"/>
  <c r="K137" i="69"/>
  <c r="L137" i="69"/>
  <c r="M137" i="69"/>
  <c r="N137" i="69"/>
  <c r="I137" i="69"/>
  <c r="I143" i="69"/>
  <c r="J143" i="69"/>
  <c r="K143" i="69"/>
  <c r="L143" i="69"/>
  <c r="M143" i="69"/>
  <c r="H143" i="69"/>
  <c r="O75" i="69"/>
  <c r="P75" i="69"/>
  <c r="Q75" i="69"/>
  <c r="R75" i="69"/>
  <c r="O74" i="69"/>
  <c r="P74" i="69"/>
  <c r="Q74" i="69"/>
  <c r="R74" i="69"/>
  <c r="N75" i="69"/>
  <c r="N74" i="69"/>
  <c r="P142" i="69" l="1"/>
  <c r="H66" i="69"/>
  <c r="I138" i="70"/>
  <c r="J138" i="70"/>
  <c r="K138" i="70"/>
  <c r="L138" i="70"/>
  <c r="M138" i="70"/>
  <c r="H138" i="70"/>
  <c r="H120" i="69"/>
  <c r="H136" i="70" s="1"/>
  <c r="H139" i="70" s="1"/>
  <c r="J120" i="69"/>
  <c r="J136" i="70" s="1"/>
  <c r="K120" i="69"/>
  <c r="K136" i="70" s="1"/>
  <c r="H118" i="69"/>
  <c r="H122" i="69"/>
  <c r="I117" i="69" s="1"/>
  <c r="L117" i="69"/>
  <c r="I133" i="70"/>
  <c r="J133" i="70"/>
  <c r="K133" i="70"/>
  <c r="L133" i="70"/>
  <c r="M133" i="70"/>
  <c r="H133" i="70"/>
  <c r="I131" i="70"/>
  <c r="I134" i="70" s="1"/>
  <c r="K110" i="69"/>
  <c r="H113" i="69"/>
  <c r="H131" i="70" s="1"/>
  <c r="I111" i="69"/>
  <c r="K111" i="69"/>
  <c r="L111" i="69"/>
  <c r="I40" i="69"/>
  <c r="J40" i="69"/>
  <c r="K40" i="69"/>
  <c r="L40" i="69"/>
  <c r="M40" i="69"/>
  <c r="N40" i="69" s="1"/>
  <c r="O40" i="69" s="1"/>
  <c r="P40" i="69" s="1"/>
  <c r="Q40" i="69" s="1"/>
  <c r="R40" i="69" s="1"/>
  <c r="I39" i="69"/>
  <c r="I122" i="69" s="1"/>
  <c r="J117" i="69" s="1"/>
  <c r="J39" i="69"/>
  <c r="J122" i="69" s="1"/>
  <c r="K117" i="69" s="1"/>
  <c r="K121" i="69" s="1"/>
  <c r="K39" i="69"/>
  <c r="K122" i="69" s="1"/>
  <c r="L39" i="69"/>
  <c r="L122" i="69" s="1"/>
  <c r="M117" i="69" s="1"/>
  <c r="M39" i="69"/>
  <c r="M122" i="69" s="1"/>
  <c r="N117" i="69" s="1"/>
  <c r="H40" i="69"/>
  <c r="H39" i="69"/>
  <c r="I38" i="69"/>
  <c r="I115" i="69" s="1"/>
  <c r="J110" i="69" s="1"/>
  <c r="J38" i="69"/>
  <c r="J115" i="69" s="1"/>
  <c r="K38" i="69"/>
  <c r="K115" i="69" s="1"/>
  <c r="L110" i="69" s="1"/>
  <c r="L38" i="69"/>
  <c r="L115" i="69" s="1"/>
  <c r="M110" i="69" s="1"/>
  <c r="M38" i="69"/>
  <c r="M115" i="69" s="1"/>
  <c r="N110" i="69" s="1"/>
  <c r="H38" i="69"/>
  <c r="H115" i="69" s="1"/>
  <c r="I110" i="69" s="1"/>
  <c r="H84" i="69"/>
  <c r="H126" i="70"/>
  <c r="H127" i="70" s="1"/>
  <c r="I124" i="70"/>
  <c r="I125" i="70" s="1"/>
  <c r="J124" i="70"/>
  <c r="K124" i="70"/>
  <c r="L124" i="70"/>
  <c r="H104" i="70"/>
  <c r="I104" i="70"/>
  <c r="J104" i="70"/>
  <c r="K104" i="70"/>
  <c r="L104" i="70"/>
  <c r="M104" i="70"/>
  <c r="H105" i="70"/>
  <c r="I105" i="70"/>
  <c r="J105" i="70"/>
  <c r="K105" i="70"/>
  <c r="L105" i="70"/>
  <c r="M105" i="70"/>
  <c r="H106" i="70"/>
  <c r="I106" i="70"/>
  <c r="J106" i="70"/>
  <c r="K106" i="70"/>
  <c r="L106" i="70"/>
  <c r="M106" i="70"/>
  <c r="H107" i="70"/>
  <c r="I107" i="70"/>
  <c r="J107" i="70"/>
  <c r="K107" i="70"/>
  <c r="L107" i="70"/>
  <c r="M107" i="70"/>
  <c r="N107" i="70" s="1"/>
  <c r="O107" i="70" s="1"/>
  <c r="P107" i="70" s="1"/>
  <c r="Q107" i="70" s="1"/>
  <c r="R107" i="70" s="1"/>
  <c r="H108" i="70"/>
  <c r="I108" i="70"/>
  <c r="J108" i="70"/>
  <c r="K108" i="70"/>
  <c r="L108" i="70"/>
  <c r="M108" i="70"/>
  <c r="N108" i="70" s="1"/>
  <c r="O108" i="70" s="1"/>
  <c r="P108" i="70" s="1"/>
  <c r="Q108" i="70" s="1"/>
  <c r="R108" i="70" s="1"/>
  <c r="H109" i="70"/>
  <c r="I109" i="70"/>
  <c r="J109" i="70"/>
  <c r="K109" i="70"/>
  <c r="L109" i="70"/>
  <c r="M109" i="70"/>
  <c r="N109" i="70" s="1"/>
  <c r="O109" i="70" s="1"/>
  <c r="P109" i="70" s="1"/>
  <c r="Q109" i="70" s="1"/>
  <c r="R109" i="70" s="1"/>
  <c r="I103" i="70"/>
  <c r="J103" i="70"/>
  <c r="K103" i="70"/>
  <c r="L103" i="70"/>
  <c r="M103" i="70"/>
  <c r="N103" i="70" s="1"/>
  <c r="O103" i="70" s="1"/>
  <c r="P103" i="70" s="1"/>
  <c r="Q103" i="70" s="1"/>
  <c r="R103" i="70" s="1"/>
  <c r="H103" i="70"/>
  <c r="N117" i="70"/>
  <c r="O117" i="70" s="1"/>
  <c r="S117" i="70"/>
  <c r="I118" i="70"/>
  <c r="J118" i="70"/>
  <c r="K118" i="70"/>
  <c r="L118" i="70"/>
  <c r="M118" i="70"/>
  <c r="H118" i="70"/>
  <c r="I102" i="70"/>
  <c r="J102" i="70"/>
  <c r="K102" i="70"/>
  <c r="L102" i="70"/>
  <c r="M102" i="70"/>
  <c r="H102" i="70"/>
  <c r="S102" i="70" s="1"/>
  <c r="I100" i="70"/>
  <c r="J100" i="70"/>
  <c r="K100" i="70"/>
  <c r="L100" i="70"/>
  <c r="M100" i="70"/>
  <c r="M124" i="70" s="1"/>
  <c r="H100" i="70"/>
  <c r="H124" i="70" s="1"/>
  <c r="H125" i="70" s="1"/>
  <c r="I87" i="70"/>
  <c r="J87" i="70"/>
  <c r="K87" i="70"/>
  <c r="L87" i="70"/>
  <c r="M87" i="70"/>
  <c r="I86" i="70"/>
  <c r="J86" i="70"/>
  <c r="K86" i="70"/>
  <c r="L86" i="70"/>
  <c r="M86" i="70"/>
  <c r="H87" i="70"/>
  <c r="H86" i="70"/>
  <c r="I81" i="70"/>
  <c r="I126" i="70" s="1"/>
  <c r="I127" i="70" s="1"/>
  <c r="J81" i="70"/>
  <c r="J126" i="70" s="1"/>
  <c r="J127" i="70" s="1"/>
  <c r="K81" i="70"/>
  <c r="K126" i="70" s="1"/>
  <c r="K127" i="70" s="1"/>
  <c r="L81" i="70"/>
  <c r="L126" i="70" s="1"/>
  <c r="L127" i="70" s="1"/>
  <c r="M81" i="70"/>
  <c r="M126" i="70" s="1"/>
  <c r="M127" i="70" s="1"/>
  <c r="I82" i="70"/>
  <c r="J82" i="70"/>
  <c r="K82" i="70"/>
  <c r="L82" i="70"/>
  <c r="M82" i="70"/>
  <c r="I83" i="70"/>
  <c r="J83" i="70"/>
  <c r="K83" i="70"/>
  <c r="L83" i="70"/>
  <c r="M83" i="70"/>
  <c r="I84" i="70"/>
  <c r="J84" i="70"/>
  <c r="K84" i="70"/>
  <c r="L84" i="70"/>
  <c r="M84" i="70"/>
  <c r="H84" i="70"/>
  <c r="H83" i="70"/>
  <c r="H82" i="70"/>
  <c r="H81" i="70"/>
  <c r="I64" i="70"/>
  <c r="J64" i="70"/>
  <c r="K64" i="70"/>
  <c r="L64" i="70"/>
  <c r="M64" i="70"/>
  <c r="I65" i="70"/>
  <c r="J65" i="70"/>
  <c r="K65" i="70"/>
  <c r="L65" i="70"/>
  <c r="M65" i="70"/>
  <c r="H65" i="70"/>
  <c r="H64" i="70"/>
  <c r="K58" i="70"/>
  <c r="L58" i="70"/>
  <c r="L26" i="70"/>
  <c r="I16" i="70"/>
  <c r="J16" i="70"/>
  <c r="K16" i="70"/>
  <c r="L16" i="70"/>
  <c r="M16" i="70"/>
  <c r="I17" i="70"/>
  <c r="J17" i="70"/>
  <c r="K17" i="70"/>
  <c r="K36" i="70" s="1"/>
  <c r="L17" i="70"/>
  <c r="M17" i="70"/>
  <c r="I19" i="70"/>
  <c r="J19" i="70"/>
  <c r="K19" i="70"/>
  <c r="L19" i="70"/>
  <c r="L38" i="70" s="1"/>
  <c r="M19" i="70"/>
  <c r="I20" i="70"/>
  <c r="J20" i="70"/>
  <c r="K20" i="70"/>
  <c r="L20" i="70"/>
  <c r="M20" i="70"/>
  <c r="I22" i="70"/>
  <c r="J22" i="70"/>
  <c r="K22" i="70"/>
  <c r="L22" i="70"/>
  <c r="M22" i="70"/>
  <c r="I23" i="70"/>
  <c r="J23" i="70"/>
  <c r="K23" i="70"/>
  <c r="L23" i="70"/>
  <c r="M23" i="70"/>
  <c r="I24" i="70"/>
  <c r="J24" i="70"/>
  <c r="J43" i="70" s="1"/>
  <c r="K24" i="70"/>
  <c r="L24" i="70"/>
  <c r="M24" i="70"/>
  <c r="I26" i="70"/>
  <c r="J26" i="70"/>
  <c r="K26" i="70"/>
  <c r="M26" i="70"/>
  <c r="I27" i="70"/>
  <c r="J27" i="70"/>
  <c r="K27" i="70"/>
  <c r="L27" i="70"/>
  <c r="M27" i="70"/>
  <c r="M46" i="70" s="1"/>
  <c r="I29" i="70"/>
  <c r="J29" i="70"/>
  <c r="K29" i="70"/>
  <c r="L29" i="70"/>
  <c r="M29" i="70"/>
  <c r="I30" i="70"/>
  <c r="J30" i="70"/>
  <c r="K30" i="70"/>
  <c r="L30" i="70"/>
  <c r="M30" i="70"/>
  <c r="H29" i="70"/>
  <c r="H26" i="70"/>
  <c r="H22" i="70"/>
  <c r="H19" i="70"/>
  <c r="H27" i="70"/>
  <c r="H24" i="70"/>
  <c r="H20" i="70"/>
  <c r="H17" i="70"/>
  <c r="H23" i="70"/>
  <c r="H30" i="70"/>
  <c r="H16" i="70"/>
  <c r="S16" i="70" s="1"/>
  <c r="J74" i="69"/>
  <c r="J127" i="69" s="1"/>
  <c r="I77" i="69"/>
  <c r="J77" i="69"/>
  <c r="K77" i="69"/>
  <c r="L77" i="69"/>
  <c r="M77" i="69"/>
  <c r="H77" i="69"/>
  <c r="I76" i="69"/>
  <c r="J76" i="69"/>
  <c r="K76" i="69"/>
  <c r="L76" i="69"/>
  <c r="M76" i="69"/>
  <c r="H76" i="69"/>
  <c r="I75" i="69"/>
  <c r="I128" i="69" s="1"/>
  <c r="J75" i="69"/>
  <c r="J128" i="69" s="1"/>
  <c r="K75" i="69"/>
  <c r="K128" i="69" s="1"/>
  <c r="L75" i="69"/>
  <c r="L128" i="69" s="1"/>
  <c r="M75" i="69"/>
  <c r="M128" i="69" s="1"/>
  <c r="H75" i="69"/>
  <c r="H128" i="69" s="1"/>
  <c r="I74" i="69"/>
  <c r="I127" i="69" s="1"/>
  <c r="K74" i="69"/>
  <c r="K127" i="69" s="1"/>
  <c r="L74" i="69"/>
  <c r="L127" i="69" s="1"/>
  <c r="M74" i="69"/>
  <c r="M127" i="69" s="1"/>
  <c r="H74" i="69"/>
  <c r="H127" i="69" s="1"/>
  <c r="I69" i="69"/>
  <c r="J69" i="69"/>
  <c r="J111" i="69" s="1"/>
  <c r="K69" i="69"/>
  <c r="L69" i="69"/>
  <c r="M69" i="69"/>
  <c r="M111" i="69" s="1"/>
  <c r="I70" i="69"/>
  <c r="I118" i="69" s="1"/>
  <c r="I119" i="69" s="1"/>
  <c r="J70" i="69"/>
  <c r="J118" i="69" s="1"/>
  <c r="J119" i="69" s="1"/>
  <c r="K70" i="69"/>
  <c r="K118" i="69" s="1"/>
  <c r="K119" i="69" s="1"/>
  <c r="L70" i="69"/>
  <c r="L118" i="69" s="1"/>
  <c r="L119" i="69" s="1"/>
  <c r="M70" i="69"/>
  <c r="M118" i="69" s="1"/>
  <c r="M119" i="69" s="1"/>
  <c r="H70" i="69"/>
  <c r="H69" i="69"/>
  <c r="H111" i="69" s="1"/>
  <c r="I63" i="69"/>
  <c r="I113" i="69" s="1"/>
  <c r="J63" i="69"/>
  <c r="J113" i="69" s="1"/>
  <c r="J131" i="70" s="1"/>
  <c r="J134" i="70" s="1"/>
  <c r="K63" i="69"/>
  <c r="K113" i="69" s="1"/>
  <c r="L63" i="69"/>
  <c r="L113" i="69" s="1"/>
  <c r="M63" i="69"/>
  <c r="M113" i="69" s="1"/>
  <c r="I64" i="69"/>
  <c r="I120" i="69" s="1"/>
  <c r="I136" i="70" s="1"/>
  <c r="J64" i="69"/>
  <c r="K64" i="69"/>
  <c r="L64" i="69"/>
  <c r="L120" i="69" s="1"/>
  <c r="L136" i="70" s="1"/>
  <c r="L139" i="70" s="1"/>
  <c r="M64" i="69"/>
  <c r="M120" i="69" s="1"/>
  <c r="M136" i="70" s="1"/>
  <c r="H64" i="69"/>
  <c r="H63" i="69"/>
  <c r="I80" i="69"/>
  <c r="J80" i="69"/>
  <c r="K80" i="69"/>
  <c r="L80" i="69"/>
  <c r="M80" i="69"/>
  <c r="H80" i="69"/>
  <c r="I73" i="69"/>
  <c r="J73" i="69"/>
  <c r="K73" i="69"/>
  <c r="L73" i="69"/>
  <c r="M73" i="69"/>
  <c r="H73" i="69"/>
  <c r="I68" i="69"/>
  <c r="J68" i="69"/>
  <c r="K68" i="69"/>
  <c r="L68" i="69"/>
  <c r="M68" i="69"/>
  <c r="H68" i="69"/>
  <c r="I61" i="69"/>
  <c r="J61" i="69"/>
  <c r="K61" i="69"/>
  <c r="L61" i="69"/>
  <c r="M61" i="69"/>
  <c r="H61" i="69"/>
  <c r="I52" i="69"/>
  <c r="J52" i="69"/>
  <c r="K52" i="69"/>
  <c r="L52" i="69"/>
  <c r="M52" i="69"/>
  <c r="I53" i="69"/>
  <c r="J53" i="69"/>
  <c r="K53" i="69"/>
  <c r="L53" i="69"/>
  <c r="M53" i="69"/>
  <c r="I54" i="69"/>
  <c r="J54" i="69"/>
  <c r="K54" i="69"/>
  <c r="L54" i="69"/>
  <c r="M54" i="69"/>
  <c r="H53" i="69"/>
  <c r="H54" i="69"/>
  <c r="H52" i="69"/>
  <c r="I48" i="69"/>
  <c r="I129" i="69" s="1"/>
  <c r="J126" i="69" s="1"/>
  <c r="J48" i="69"/>
  <c r="J129" i="69" s="1"/>
  <c r="K126" i="69" s="1"/>
  <c r="K48" i="69"/>
  <c r="K129" i="69" s="1"/>
  <c r="L126" i="69" s="1"/>
  <c r="L48" i="69"/>
  <c r="L129" i="69" s="1"/>
  <c r="M126" i="69" s="1"/>
  <c r="M131" i="69" s="1"/>
  <c r="M48" i="69"/>
  <c r="M129" i="69" s="1"/>
  <c r="N126" i="69" s="1"/>
  <c r="H48" i="69"/>
  <c r="H129" i="69" s="1"/>
  <c r="I126" i="69" s="1"/>
  <c r="I45" i="69"/>
  <c r="I96" i="69" s="1"/>
  <c r="J45" i="69"/>
  <c r="J96" i="69" s="1"/>
  <c r="K45" i="69"/>
  <c r="K96" i="69" s="1"/>
  <c r="L45" i="69"/>
  <c r="L96" i="69" s="1"/>
  <c r="M45" i="69"/>
  <c r="M96" i="69" s="1"/>
  <c r="H45" i="69"/>
  <c r="H96" i="69" s="1"/>
  <c r="I35" i="69"/>
  <c r="I92" i="69" s="1"/>
  <c r="J35" i="69"/>
  <c r="J92" i="69" s="1"/>
  <c r="K35" i="69"/>
  <c r="K92" i="69" s="1"/>
  <c r="L35" i="69"/>
  <c r="L92" i="69" s="1"/>
  <c r="M35" i="69"/>
  <c r="M92" i="69" s="1"/>
  <c r="H35" i="69"/>
  <c r="H92" i="69" s="1"/>
  <c r="I32" i="69"/>
  <c r="J32" i="69"/>
  <c r="K32" i="69"/>
  <c r="L32" i="69"/>
  <c r="M32" i="69"/>
  <c r="I33" i="69"/>
  <c r="J33" i="69"/>
  <c r="K33" i="69"/>
  <c r="L33" i="69"/>
  <c r="M33" i="69"/>
  <c r="I34" i="69"/>
  <c r="I91" i="69" s="1"/>
  <c r="J34" i="69"/>
  <c r="J91" i="69" s="1"/>
  <c r="K34" i="69"/>
  <c r="K91" i="69" s="1"/>
  <c r="L34" i="69"/>
  <c r="L91" i="69" s="1"/>
  <c r="M34" i="69"/>
  <c r="M91" i="69" s="1"/>
  <c r="H33" i="69"/>
  <c r="H34" i="69"/>
  <c r="H91" i="69" s="1"/>
  <c r="H32" i="69"/>
  <c r="I51" i="69"/>
  <c r="J51" i="69"/>
  <c r="K51" i="69"/>
  <c r="L51" i="69"/>
  <c r="M51" i="69"/>
  <c r="H51" i="69"/>
  <c r="I44" i="69"/>
  <c r="J44" i="69"/>
  <c r="K44" i="69"/>
  <c r="L44" i="69"/>
  <c r="M44" i="69"/>
  <c r="H44" i="69"/>
  <c r="I43" i="69"/>
  <c r="J43" i="69"/>
  <c r="K43" i="69"/>
  <c r="L43" i="69"/>
  <c r="M43" i="69"/>
  <c r="H43" i="69"/>
  <c r="I31" i="69"/>
  <c r="J31" i="69"/>
  <c r="K31" i="69"/>
  <c r="L31" i="69"/>
  <c r="M31" i="69"/>
  <c r="H31" i="69"/>
  <c r="I30" i="69"/>
  <c r="I57" i="69" s="1"/>
  <c r="J30" i="69"/>
  <c r="J57" i="69" s="1"/>
  <c r="K30" i="69"/>
  <c r="K57" i="69" s="1"/>
  <c r="L30" i="69"/>
  <c r="L57" i="69" s="1"/>
  <c r="M30" i="69"/>
  <c r="M57" i="69" s="1"/>
  <c r="H30" i="69"/>
  <c r="H57" i="69" s="1"/>
  <c r="I26" i="69"/>
  <c r="I62" i="69" s="1"/>
  <c r="J26" i="69"/>
  <c r="J62" i="69" s="1"/>
  <c r="K26" i="69"/>
  <c r="K62" i="69" s="1"/>
  <c r="L26" i="69"/>
  <c r="L62" i="69" s="1"/>
  <c r="M26" i="69"/>
  <c r="M62" i="69" s="1"/>
  <c r="I24" i="69"/>
  <c r="I25" i="69" s="1"/>
  <c r="J24" i="69"/>
  <c r="J25" i="69" s="1"/>
  <c r="K24" i="69"/>
  <c r="K25" i="69" s="1"/>
  <c r="L24" i="69"/>
  <c r="L25" i="69" s="1"/>
  <c r="M24" i="69"/>
  <c r="M25" i="69" s="1"/>
  <c r="I23" i="69"/>
  <c r="J23" i="69"/>
  <c r="K23" i="69"/>
  <c r="L23" i="69"/>
  <c r="M23" i="69"/>
  <c r="I20" i="69"/>
  <c r="J20" i="69"/>
  <c r="K20" i="69"/>
  <c r="L20" i="69"/>
  <c r="M20" i="69"/>
  <c r="I21" i="69"/>
  <c r="I133" i="69" s="1"/>
  <c r="J21" i="69"/>
  <c r="J133" i="69" s="1"/>
  <c r="K21" i="69"/>
  <c r="K133" i="69" s="1"/>
  <c r="L21" i="69"/>
  <c r="L133" i="69" s="1"/>
  <c r="M21" i="69"/>
  <c r="M133" i="69" s="1"/>
  <c r="H26" i="69"/>
  <c r="H62" i="69" s="1"/>
  <c r="H24" i="69"/>
  <c r="H25" i="69" s="1"/>
  <c r="H23" i="69"/>
  <c r="H21" i="69"/>
  <c r="H133" i="69" s="1"/>
  <c r="H20" i="69"/>
  <c r="I18" i="69"/>
  <c r="I80" i="70" s="1"/>
  <c r="J18" i="69"/>
  <c r="J80" i="70" s="1"/>
  <c r="K18" i="69"/>
  <c r="K80" i="70" s="1"/>
  <c r="L18" i="69"/>
  <c r="L80" i="70" s="1"/>
  <c r="M18" i="69"/>
  <c r="M80" i="70" s="1"/>
  <c r="I19" i="69"/>
  <c r="J19" i="69"/>
  <c r="K19" i="69"/>
  <c r="L19" i="69"/>
  <c r="M19" i="69"/>
  <c r="H19" i="69"/>
  <c r="H18" i="69"/>
  <c r="H80" i="70" s="1"/>
  <c r="I16" i="69"/>
  <c r="I53" i="70" s="1"/>
  <c r="J16" i="69"/>
  <c r="J53" i="70" s="1"/>
  <c r="K16" i="69"/>
  <c r="K53" i="70" s="1"/>
  <c r="L16" i="69"/>
  <c r="L53" i="70" s="1"/>
  <c r="M16" i="69"/>
  <c r="M53" i="70" s="1"/>
  <c r="I17" i="69"/>
  <c r="I58" i="70" s="1"/>
  <c r="J17" i="69"/>
  <c r="J58" i="70" s="1"/>
  <c r="K17" i="69"/>
  <c r="L17" i="69"/>
  <c r="M17" i="69"/>
  <c r="M58" i="70" s="1"/>
  <c r="H17" i="69"/>
  <c r="H58" i="70" s="1"/>
  <c r="H16" i="69"/>
  <c r="H53" i="70" s="1"/>
  <c r="I15" i="69"/>
  <c r="I84" i="69" s="1"/>
  <c r="J15" i="69"/>
  <c r="J84" i="69" s="1"/>
  <c r="K15" i="69"/>
  <c r="K84" i="69" s="1"/>
  <c r="L15" i="69"/>
  <c r="L84" i="69" s="1"/>
  <c r="M15" i="69"/>
  <c r="M84" i="69" s="1"/>
  <c r="H15" i="69"/>
  <c r="I11" i="70"/>
  <c r="J11" i="70" s="1"/>
  <c r="K11" i="70" s="1"/>
  <c r="L11" i="70" s="1"/>
  <c r="M11" i="70" s="1"/>
  <c r="N11" i="70" s="1"/>
  <c r="O11" i="70" s="1"/>
  <c r="P11" i="70" s="1"/>
  <c r="Q11" i="70" s="1"/>
  <c r="R11" i="70" s="1"/>
  <c r="I11" i="69"/>
  <c r="J11" i="69" s="1"/>
  <c r="K11" i="69" s="1"/>
  <c r="L11" i="69" s="1"/>
  <c r="M11" i="69" s="1"/>
  <c r="N11" i="69" s="1"/>
  <c r="O11" i="69" s="1"/>
  <c r="P11" i="69" s="1"/>
  <c r="Q11" i="69" s="1"/>
  <c r="R11" i="69" s="1"/>
  <c r="I11" i="68"/>
  <c r="J11" i="68" s="1"/>
  <c r="K11" i="68" s="1"/>
  <c r="L11" i="68" s="1"/>
  <c r="M11" i="68" s="1"/>
  <c r="N11" i="68" s="1"/>
  <c r="O11" i="68" s="1"/>
  <c r="P11" i="68" s="1"/>
  <c r="Q11" i="68" s="1"/>
  <c r="R11" i="68" s="1"/>
  <c r="Q142" i="69" l="1"/>
  <c r="L121" i="69"/>
  <c r="L108" i="69"/>
  <c r="L112" i="69" s="1"/>
  <c r="I108" i="69"/>
  <c r="H119" i="69"/>
  <c r="M132" i="69"/>
  <c r="N132" i="69" s="1"/>
  <c r="I114" i="69"/>
  <c r="I131" i="69"/>
  <c r="I132" i="69"/>
  <c r="L131" i="69"/>
  <c r="L132" i="69" s="1"/>
  <c r="K131" i="69"/>
  <c r="J131" i="69"/>
  <c r="J132" i="69" s="1"/>
  <c r="K132" i="69"/>
  <c r="N129" i="69"/>
  <c r="N131" i="69"/>
  <c r="M114" i="69"/>
  <c r="N114" i="69" s="1"/>
  <c r="O114" i="69" s="1"/>
  <c r="P114" i="69" s="1"/>
  <c r="Q114" i="69" s="1"/>
  <c r="R114" i="69" s="1"/>
  <c r="M131" i="70"/>
  <c r="N113" i="69"/>
  <c r="M139" i="70"/>
  <c r="N139" i="70" s="1"/>
  <c r="O139" i="70" s="1"/>
  <c r="P139" i="70" s="1"/>
  <c r="Q139" i="70" s="1"/>
  <c r="R139" i="70" s="1"/>
  <c r="M137" i="70"/>
  <c r="H134" i="70"/>
  <c r="M108" i="69"/>
  <c r="M112" i="69" s="1"/>
  <c r="K139" i="70"/>
  <c r="J139" i="70"/>
  <c r="K108" i="69"/>
  <c r="K112" i="69" s="1"/>
  <c r="J108" i="69"/>
  <c r="J112" i="69" s="1"/>
  <c r="J132" i="70"/>
  <c r="I112" i="69"/>
  <c r="I132" i="70"/>
  <c r="I78" i="69"/>
  <c r="H15" i="70"/>
  <c r="H63" i="70" s="1"/>
  <c r="H108" i="69"/>
  <c r="H112" i="69" s="1"/>
  <c r="N119" i="69"/>
  <c r="O119" i="69" s="1"/>
  <c r="P119" i="69" s="1"/>
  <c r="Q119" i="69" s="1"/>
  <c r="R119" i="69" s="1"/>
  <c r="L114" i="69"/>
  <c r="L131" i="70"/>
  <c r="L132" i="70" s="1"/>
  <c r="J114" i="69"/>
  <c r="I121" i="69"/>
  <c r="K114" i="69"/>
  <c r="K131" i="70"/>
  <c r="J121" i="69"/>
  <c r="H78" i="69"/>
  <c r="M78" i="69"/>
  <c r="L78" i="69"/>
  <c r="K78" i="69"/>
  <c r="J78" i="69"/>
  <c r="J137" i="70"/>
  <c r="K137" i="70"/>
  <c r="I139" i="70"/>
  <c r="I137" i="70"/>
  <c r="L137" i="70"/>
  <c r="H137" i="70"/>
  <c r="M121" i="69"/>
  <c r="N121" i="69" s="1"/>
  <c r="O121" i="69" s="1"/>
  <c r="P121" i="69" s="1"/>
  <c r="Q121" i="69" s="1"/>
  <c r="R121" i="69" s="1"/>
  <c r="N120" i="69"/>
  <c r="H132" i="70"/>
  <c r="M125" i="70"/>
  <c r="L125" i="70"/>
  <c r="N127" i="70"/>
  <c r="O127" i="70" s="1"/>
  <c r="P127" i="70" s="1"/>
  <c r="Q127" i="70" s="1"/>
  <c r="R127" i="70" s="1"/>
  <c r="K125" i="70"/>
  <c r="J125" i="70"/>
  <c r="L49" i="70"/>
  <c r="L42" i="70"/>
  <c r="M35" i="70"/>
  <c r="S100" i="70"/>
  <c r="M100" i="69"/>
  <c r="N100" i="69" s="1"/>
  <c r="O100" i="69" s="1"/>
  <c r="P100" i="69" s="1"/>
  <c r="Q100" i="69" s="1"/>
  <c r="R100" i="69" s="1"/>
  <c r="L100" i="69"/>
  <c r="K100" i="69"/>
  <c r="I100" i="69"/>
  <c r="H100" i="69"/>
  <c r="J100" i="69"/>
  <c r="M85" i="69"/>
  <c r="M101" i="69" s="1"/>
  <c r="N101" i="69" s="1"/>
  <c r="O101" i="69" s="1"/>
  <c r="P101" i="69" s="1"/>
  <c r="Q101" i="69" s="1"/>
  <c r="R101" i="69" s="1"/>
  <c r="L85" i="69"/>
  <c r="L101" i="69" s="1"/>
  <c r="K114" i="70"/>
  <c r="K85" i="69"/>
  <c r="K103" i="69" s="1"/>
  <c r="J85" i="69"/>
  <c r="J101" i="69" s="1"/>
  <c r="M15" i="70"/>
  <c r="M112" i="70" s="1"/>
  <c r="I85" i="69"/>
  <c r="I101" i="69" s="1"/>
  <c r="L15" i="70"/>
  <c r="L112" i="70" s="1"/>
  <c r="H114" i="70"/>
  <c r="H112" i="70"/>
  <c r="H85" i="69"/>
  <c r="H101" i="69" s="1"/>
  <c r="K15" i="70"/>
  <c r="K112" i="70" s="1"/>
  <c r="J15" i="70"/>
  <c r="J112" i="70" s="1"/>
  <c r="I15" i="70"/>
  <c r="I95" i="70" s="1"/>
  <c r="L46" i="69"/>
  <c r="L97" i="69" s="1"/>
  <c r="L104" i="69" s="1"/>
  <c r="H113" i="70"/>
  <c r="L116" i="70"/>
  <c r="L119" i="70" s="1"/>
  <c r="M113" i="70"/>
  <c r="N113" i="70" s="1"/>
  <c r="O113" i="70" s="1"/>
  <c r="P113" i="70" s="1"/>
  <c r="Q113" i="70" s="1"/>
  <c r="R113" i="70" s="1"/>
  <c r="L89" i="70"/>
  <c r="J85" i="70"/>
  <c r="H116" i="70"/>
  <c r="H119" i="70" s="1"/>
  <c r="K116" i="70"/>
  <c r="K119" i="70" s="1"/>
  <c r="S118" i="70"/>
  <c r="J116" i="70"/>
  <c r="J119" i="70" s="1"/>
  <c r="I116" i="70"/>
  <c r="I119" i="70" s="1"/>
  <c r="I85" i="70"/>
  <c r="M116" i="70"/>
  <c r="M119" i="70" s="1"/>
  <c r="N119" i="70" s="1"/>
  <c r="O119" i="70" s="1"/>
  <c r="P119" i="70" s="1"/>
  <c r="Q119" i="70" s="1"/>
  <c r="R119" i="70" s="1"/>
  <c r="T119" i="70" s="1"/>
  <c r="P117" i="70"/>
  <c r="H92" i="70"/>
  <c r="K85" i="70"/>
  <c r="N118" i="70"/>
  <c r="O118" i="70" s="1"/>
  <c r="P118" i="70" s="1"/>
  <c r="Q118" i="70" s="1"/>
  <c r="R118" i="70" s="1"/>
  <c r="T118" i="70" s="1"/>
  <c r="H85" i="70"/>
  <c r="H94" i="70" s="1"/>
  <c r="H96" i="70"/>
  <c r="M85" i="70"/>
  <c r="L85" i="70"/>
  <c r="S22" i="70"/>
  <c r="K35" i="70"/>
  <c r="J59" i="70"/>
  <c r="J54" i="70" s="1"/>
  <c r="K91" i="70"/>
  <c r="H90" i="70"/>
  <c r="H91" i="70"/>
  <c r="J28" i="70"/>
  <c r="J21" i="70"/>
  <c r="H89" i="70"/>
  <c r="S30" i="70"/>
  <c r="N30" i="70"/>
  <c r="O30" i="70" s="1"/>
  <c r="P30" i="70" s="1"/>
  <c r="Q30" i="70" s="1"/>
  <c r="R30" i="70" s="1"/>
  <c r="R61" i="70" s="1"/>
  <c r="S23" i="70"/>
  <c r="S17" i="70"/>
  <c r="I60" i="70"/>
  <c r="I55" i="70" s="1"/>
  <c r="H25" i="70"/>
  <c r="M48" i="70"/>
  <c r="I45" i="70"/>
  <c r="L41" i="70"/>
  <c r="J38" i="70"/>
  <c r="H28" i="70"/>
  <c r="K28" i="70"/>
  <c r="K60" i="70"/>
  <c r="K55" i="70" s="1"/>
  <c r="I28" i="70"/>
  <c r="I21" i="70"/>
  <c r="S26" i="70"/>
  <c r="S20" i="70"/>
  <c r="H59" i="70"/>
  <c r="K25" i="70"/>
  <c r="I59" i="70"/>
  <c r="L46" i="70"/>
  <c r="L39" i="70"/>
  <c r="J36" i="70"/>
  <c r="H60" i="70"/>
  <c r="H55" i="70" s="1"/>
  <c r="L59" i="70"/>
  <c r="K46" i="70"/>
  <c r="K21" i="70"/>
  <c r="J35" i="70"/>
  <c r="M60" i="70"/>
  <c r="M55" i="70" s="1"/>
  <c r="L60" i="70"/>
  <c r="J49" i="70"/>
  <c r="K42" i="70"/>
  <c r="M38" i="70"/>
  <c r="L35" i="70"/>
  <c r="J60" i="70"/>
  <c r="K45" i="70"/>
  <c r="M41" i="70"/>
  <c r="I35" i="70"/>
  <c r="M59" i="70"/>
  <c r="K59" i="70"/>
  <c r="K54" i="70" s="1"/>
  <c r="L55" i="70"/>
  <c r="J41" i="70"/>
  <c r="L28" i="70"/>
  <c r="H21" i="70"/>
  <c r="K38" i="70"/>
  <c r="M25" i="70"/>
  <c r="L48" i="70"/>
  <c r="S19" i="70"/>
  <c r="K48" i="70"/>
  <c r="M43" i="70"/>
  <c r="M18" i="70"/>
  <c r="J45" i="70"/>
  <c r="L36" i="70"/>
  <c r="J42" i="70"/>
  <c r="S29" i="70"/>
  <c r="I25" i="70"/>
  <c r="S24" i="70"/>
  <c r="M49" i="70"/>
  <c r="M42" i="70"/>
  <c r="K39" i="70"/>
  <c r="I36" i="70"/>
  <c r="L21" i="70"/>
  <c r="K49" i="70"/>
  <c r="I46" i="70"/>
  <c r="I39" i="70"/>
  <c r="M28" i="70"/>
  <c r="K43" i="70"/>
  <c r="I49" i="70"/>
  <c r="I42" i="70"/>
  <c r="K41" i="70"/>
  <c r="I48" i="70"/>
  <c r="I38" i="70"/>
  <c r="J25" i="70"/>
  <c r="L43" i="70"/>
  <c r="K18" i="70"/>
  <c r="J18" i="70"/>
  <c r="L25" i="70"/>
  <c r="I43" i="70"/>
  <c r="L18" i="70"/>
  <c r="S27" i="70"/>
  <c r="I18" i="70"/>
  <c r="M39" i="70"/>
  <c r="M36" i="70"/>
  <c r="J48" i="70"/>
  <c r="H18" i="70"/>
  <c r="I41" i="70"/>
  <c r="M21" i="70"/>
  <c r="J46" i="70"/>
  <c r="J39" i="70"/>
  <c r="L45" i="70"/>
  <c r="M45" i="70"/>
  <c r="M71" i="69"/>
  <c r="H71" i="69"/>
  <c r="L71" i="69"/>
  <c r="K71" i="69"/>
  <c r="J71" i="69"/>
  <c r="I71" i="69"/>
  <c r="H46" i="69"/>
  <c r="H97" i="69" s="1"/>
  <c r="H104" i="69" s="1"/>
  <c r="K46" i="69"/>
  <c r="K97" i="69" s="1"/>
  <c r="K104" i="69" s="1"/>
  <c r="I46" i="69"/>
  <c r="I97" i="69" s="1"/>
  <c r="I104" i="69" s="1"/>
  <c r="K36" i="69"/>
  <c r="K93" i="69" s="1"/>
  <c r="K102" i="69" s="1"/>
  <c r="H55" i="69"/>
  <c r="L55" i="69"/>
  <c r="H36" i="69"/>
  <c r="H93" i="69" s="1"/>
  <c r="H102" i="69" s="1"/>
  <c r="M46" i="69"/>
  <c r="M97" i="69" s="1"/>
  <c r="J36" i="69"/>
  <c r="J93" i="69" s="1"/>
  <c r="J102" i="69" s="1"/>
  <c r="J46" i="69"/>
  <c r="J97" i="69" s="1"/>
  <c r="J104" i="69" s="1"/>
  <c r="I36" i="69"/>
  <c r="I93" i="69" s="1"/>
  <c r="I102" i="69" s="1"/>
  <c r="I55" i="69"/>
  <c r="M55" i="69"/>
  <c r="N55" i="69" s="1"/>
  <c r="L36" i="69"/>
  <c r="L93" i="69" s="1"/>
  <c r="L102" i="69" s="1"/>
  <c r="K55" i="69"/>
  <c r="J55" i="69"/>
  <c r="M36" i="69"/>
  <c r="M93" i="69" s="1"/>
  <c r="M102" i="69" s="1"/>
  <c r="N102" i="69" s="1"/>
  <c r="O102" i="69" s="1"/>
  <c r="P102" i="69" s="1"/>
  <c r="Q102" i="69" s="1"/>
  <c r="R102" i="69" s="1"/>
  <c r="M47" i="69"/>
  <c r="M49" i="69" s="1"/>
  <c r="N49" i="69" s="1"/>
  <c r="O49" i="69" s="1"/>
  <c r="P49" i="69" s="1"/>
  <c r="Q49" i="69" s="1"/>
  <c r="R49" i="69" s="1"/>
  <c r="L47" i="69"/>
  <c r="L49" i="69" s="1"/>
  <c r="H47" i="69"/>
  <c r="H49" i="69" s="1"/>
  <c r="K47" i="69"/>
  <c r="K49" i="69" s="1"/>
  <c r="J47" i="69"/>
  <c r="J49" i="69" s="1"/>
  <c r="I47" i="69"/>
  <c r="I49" i="69" s="1"/>
  <c r="J37" i="69"/>
  <c r="J41" i="69" s="1"/>
  <c r="M37" i="69"/>
  <c r="M41" i="69" s="1"/>
  <c r="N41" i="69" s="1"/>
  <c r="O41" i="69" s="1"/>
  <c r="P41" i="69" s="1"/>
  <c r="Q41" i="69" s="1"/>
  <c r="R41" i="69" s="1"/>
  <c r="H22" i="69"/>
  <c r="I37" i="69"/>
  <c r="I41" i="69" s="1"/>
  <c r="L37" i="69"/>
  <c r="L41" i="69" s="1"/>
  <c r="L22" i="69"/>
  <c r="M22" i="69"/>
  <c r="K22" i="69"/>
  <c r="J22" i="69"/>
  <c r="K37" i="69"/>
  <c r="K41" i="69" s="1"/>
  <c r="I22" i="69"/>
  <c r="H37" i="69"/>
  <c r="H41" i="69" s="1"/>
  <c r="G62" i="8"/>
  <c r="H62" i="8"/>
  <c r="I62" i="8"/>
  <c r="J62" i="8"/>
  <c r="K62" i="8"/>
  <c r="L62" i="8"/>
  <c r="R142" i="69" l="1"/>
  <c r="L113" i="70"/>
  <c r="N133" i="69"/>
  <c r="N21" i="69" s="1"/>
  <c r="O55" i="69"/>
  <c r="N112" i="69"/>
  <c r="O112" i="69" s="1"/>
  <c r="P112" i="69" s="1"/>
  <c r="Q112" i="69" s="1"/>
  <c r="R112" i="69" s="1"/>
  <c r="O126" i="69"/>
  <c r="N48" i="69"/>
  <c r="N47" i="69" s="1"/>
  <c r="L93" i="70"/>
  <c r="M90" i="70"/>
  <c r="M93" i="70"/>
  <c r="S15" i="70"/>
  <c r="H95" i="69"/>
  <c r="L92" i="70"/>
  <c r="L91" i="70"/>
  <c r="L134" i="70"/>
  <c r="M94" i="70"/>
  <c r="N94" i="70" s="1"/>
  <c r="O94" i="70" s="1"/>
  <c r="P94" i="70" s="1"/>
  <c r="Q94" i="70" s="1"/>
  <c r="R94" i="70" s="1"/>
  <c r="M114" i="70"/>
  <c r="N64" i="69"/>
  <c r="N136" i="70"/>
  <c r="N138" i="70" s="1"/>
  <c r="N137" i="70" s="1"/>
  <c r="H95" i="70"/>
  <c r="N131" i="70"/>
  <c r="N63" i="69"/>
  <c r="H93" i="70"/>
  <c r="N112" i="70"/>
  <c r="O112" i="70" s="1"/>
  <c r="L114" i="70"/>
  <c r="M132" i="70"/>
  <c r="M134" i="70"/>
  <c r="M92" i="70"/>
  <c r="M89" i="70"/>
  <c r="M95" i="70"/>
  <c r="K134" i="70"/>
  <c r="N134" i="70" s="1"/>
  <c r="K132" i="70"/>
  <c r="I63" i="70"/>
  <c r="I92" i="70"/>
  <c r="K93" i="70"/>
  <c r="K95" i="70"/>
  <c r="M103" i="69"/>
  <c r="N103" i="69" s="1"/>
  <c r="O103" i="69" s="1"/>
  <c r="P103" i="69" s="1"/>
  <c r="Q103" i="69" s="1"/>
  <c r="R103" i="69" s="1"/>
  <c r="K89" i="70"/>
  <c r="L90" i="70"/>
  <c r="I34" i="70"/>
  <c r="K96" i="70"/>
  <c r="L95" i="70"/>
  <c r="L94" i="70"/>
  <c r="L96" i="70"/>
  <c r="M96" i="70"/>
  <c r="J114" i="70"/>
  <c r="K113" i="70"/>
  <c r="K92" i="70"/>
  <c r="J92" i="70"/>
  <c r="M34" i="70"/>
  <c r="M63" i="70"/>
  <c r="M91" i="70"/>
  <c r="S119" i="70"/>
  <c r="I114" i="70"/>
  <c r="J34" i="70"/>
  <c r="K34" i="70"/>
  <c r="I94" i="70"/>
  <c r="J94" i="70"/>
  <c r="J95" i="69"/>
  <c r="J90" i="70"/>
  <c r="I95" i="69"/>
  <c r="L95" i="69"/>
  <c r="I103" i="69"/>
  <c r="J113" i="70"/>
  <c r="I113" i="70"/>
  <c r="I112" i="70"/>
  <c r="L103" i="69"/>
  <c r="K90" i="69"/>
  <c r="L90" i="69"/>
  <c r="I91" i="70"/>
  <c r="J91" i="70"/>
  <c r="I90" i="70"/>
  <c r="H103" i="69"/>
  <c r="J103" i="69"/>
  <c r="J93" i="70"/>
  <c r="L34" i="70"/>
  <c r="K95" i="69"/>
  <c r="H90" i="69"/>
  <c r="J63" i="70"/>
  <c r="K90" i="70"/>
  <c r="I96" i="70"/>
  <c r="N96" i="70" s="1"/>
  <c r="O96" i="70" s="1"/>
  <c r="P96" i="70" s="1"/>
  <c r="Q96" i="70" s="1"/>
  <c r="R96" i="70" s="1"/>
  <c r="K101" i="69"/>
  <c r="J89" i="70"/>
  <c r="M90" i="69"/>
  <c r="K94" i="70"/>
  <c r="K63" i="70"/>
  <c r="I93" i="70"/>
  <c r="J95" i="70"/>
  <c r="M104" i="69"/>
  <c r="N104" i="69" s="1"/>
  <c r="O104" i="69" s="1"/>
  <c r="P104" i="69" s="1"/>
  <c r="Q104" i="69" s="1"/>
  <c r="R104" i="69" s="1"/>
  <c r="M95" i="69"/>
  <c r="I89" i="70"/>
  <c r="L63" i="70"/>
  <c r="J96" i="70"/>
  <c r="J90" i="69"/>
  <c r="I90" i="69"/>
  <c r="I120" i="70"/>
  <c r="J120" i="70"/>
  <c r="O116" i="70"/>
  <c r="K120" i="70"/>
  <c r="S116" i="70"/>
  <c r="M120" i="70"/>
  <c r="N116" i="70"/>
  <c r="L120" i="70"/>
  <c r="L61" i="70"/>
  <c r="L56" i="70" s="1"/>
  <c r="S25" i="70"/>
  <c r="O44" i="70" s="1"/>
  <c r="J40" i="70"/>
  <c r="P116" i="70"/>
  <c r="Q117" i="70"/>
  <c r="J61" i="70"/>
  <c r="J66" i="70" s="1"/>
  <c r="J70" i="70"/>
  <c r="J71" i="70" s="1"/>
  <c r="H61" i="70"/>
  <c r="H66" i="70" s="1"/>
  <c r="I74" i="70"/>
  <c r="I75" i="70" s="1"/>
  <c r="R56" i="70"/>
  <c r="M61" i="70"/>
  <c r="M66" i="70" s="1"/>
  <c r="K40" i="70"/>
  <c r="H70" i="70"/>
  <c r="H71" i="70" s="1"/>
  <c r="K47" i="70"/>
  <c r="J47" i="70"/>
  <c r="N48" i="70"/>
  <c r="O48" i="70" s="1"/>
  <c r="P48" i="70" s="1"/>
  <c r="Q48" i="70" s="1"/>
  <c r="R48" i="70" s="1"/>
  <c r="T30" i="70"/>
  <c r="N38" i="70"/>
  <c r="O38" i="70" s="1"/>
  <c r="P38" i="70" s="1"/>
  <c r="Q38" i="70" s="1"/>
  <c r="R38" i="70" s="1"/>
  <c r="I47" i="70"/>
  <c r="L47" i="70"/>
  <c r="I40" i="70"/>
  <c r="I70" i="70"/>
  <c r="I71" i="70" s="1"/>
  <c r="I61" i="70"/>
  <c r="I66" i="70" s="1"/>
  <c r="I54" i="70"/>
  <c r="I72" i="70" s="1"/>
  <c r="H74" i="70"/>
  <c r="H75" i="70" s="1"/>
  <c r="K74" i="70"/>
  <c r="K75" i="70" s="1"/>
  <c r="M44" i="70"/>
  <c r="M74" i="70"/>
  <c r="M76" i="70" s="1"/>
  <c r="J55" i="70"/>
  <c r="M47" i="70"/>
  <c r="J44" i="70"/>
  <c r="J74" i="70"/>
  <c r="J75" i="70" s="1"/>
  <c r="L37" i="70"/>
  <c r="L70" i="70"/>
  <c r="L71" i="70" s="1"/>
  <c r="N45" i="70"/>
  <c r="L44" i="70"/>
  <c r="L74" i="70"/>
  <c r="L75" i="70" s="1"/>
  <c r="I44" i="70"/>
  <c r="M70" i="70"/>
  <c r="M54" i="70"/>
  <c r="L54" i="70"/>
  <c r="L40" i="70"/>
  <c r="K61" i="70"/>
  <c r="N41" i="70"/>
  <c r="K70" i="70"/>
  <c r="K71" i="70" s="1"/>
  <c r="H54" i="70"/>
  <c r="M40" i="70"/>
  <c r="S28" i="70"/>
  <c r="I37" i="70"/>
  <c r="S18" i="70"/>
  <c r="K37" i="70"/>
  <c r="K44" i="70"/>
  <c r="M37" i="70"/>
  <c r="J37" i="70"/>
  <c r="S21" i="70"/>
  <c r="F3" i="64"/>
  <c r="I3" i="64"/>
  <c r="J3" i="64"/>
  <c r="J10" i="64"/>
  <c r="I10" i="64"/>
  <c r="H10" i="64"/>
  <c r="H3" i="64" s="1"/>
  <c r="G10" i="64"/>
  <c r="G3" i="64" s="1"/>
  <c r="F10" i="64"/>
  <c r="E10" i="64"/>
  <c r="E3" i="64" s="1"/>
  <c r="P112" i="70" l="1"/>
  <c r="Q112" i="70" s="1"/>
  <c r="R112" i="70" s="1"/>
  <c r="O104" i="70"/>
  <c r="J87" i="69"/>
  <c r="H87" i="69"/>
  <c r="O129" i="69"/>
  <c r="P55" i="69"/>
  <c r="N93" i="70"/>
  <c r="O93" i="70" s="1"/>
  <c r="P93" i="70" s="1"/>
  <c r="Q93" i="70" s="1"/>
  <c r="R93" i="70" s="1"/>
  <c r="N92" i="70"/>
  <c r="O92" i="70" s="1"/>
  <c r="P92" i="70" s="1"/>
  <c r="Q92" i="70" s="1"/>
  <c r="R92" i="70" s="1"/>
  <c r="N114" i="70"/>
  <c r="O114" i="70" s="1"/>
  <c r="P114" i="70" s="1"/>
  <c r="N133" i="70"/>
  <c r="N82" i="70" s="1"/>
  <c r="N91" i="70" s="1"/>
  <c r="M87" i="69"/>
  <c r="O134" i="70"/>
  <c r="N95" i="70"/>
  <c r="O95" i="70" s="1"/>
  <c r="P95" i="70" s="1"/>
  <c r="Q95" i="70" s="1"/>
  <c r="R95" i="70" s="1"/>
  <c r="I87" i="69"/>
  <c r="I88" i="69" s="1"/>
  <c r="I65" i="69" s="1"/>
  <c r="I66" i="69" s="1"/>
  <c r="L87" i="69"/>
  <c r="K87" i="69"/>
  <c r="K88" i="69" s="1"/>
  <c r="K65" i="69" s="1"/>
  <c r="K66" i="69" s="1"/>
  <c r="M72" i="70"/>
  <c r="T72" i="70" s="1"/>
  <c r="N72" i="70" s="1"/>
  <c r="O72" i="70" s="1"/>
  <c r="P72" i="70" s="1"/>
  <c r="Q72" i="70" s="1"/>
  <c r="N44" i="70"/>
  <c r="N25" i="70" s="1"/>
  <c r="O25" i="70" s="1"/>
  <c r="H72" i="70"/>
  <c r="S72" i="70" s="1"/>
  <c r="L66" i="70"/>
  <c r="R44" i="70"/>
  <c r="Q44" i="70"/>
  <c r="I76" i="70"/>
  <c r="P44" i="70"/>
  <c r="S70" i="70"/>
  <c r="Q116" i="70"/>
  <c r="R117" i="70"/>
  <c r="J72" i="70"/>
  <c r="H56" i="70"/>
  <c r="J56" i="70"/>
  <c r="N29" i="70"/>
  <c r="O29" i="70" s="1"/>
  <c r="P29" i="70" s="1"/>
  <c r="Q29" i="70" s="1"/>
  <c r="R29" i="70" s="1"/>
  <c r="T29" i="70" s="1"/>
  <c r="M56" i="70"/>
  <c r="H76" i="70"/>
  <c r="S76" i="70" s="1"/>
  <c r="K72" i="70"/>
  <c r="N19" i="70"/>
  <c r="O19" i="70" s="1"/>
  <c r="P19" i="70" s="1"/>
  <c r="Q19" i="70" s="1"/>
  <c r="R19" i="70" s="1"/>
  <c r="L76" i="70"/>
  <c r="L72" i="70"/>
  <c r="I56" i="70"/>
  <c r="K76" i="70"/>
  <c r="O41" i="70"/>
  <c r="P41" i="70" s="1"/>
  <c r="Q41" i="70" s="1"/>
  <c r="R41" i="70" s="1"/>
  <c r="N22" i="70"/>
  <c r="N76" i="70"/>
  <c r="O76" i="70" s="1"/>
  <c r="P76" i="70" s="1"/>
  <c r="Q76" i="70" s="1"/>
  <c r="T76" i="70"/>
  <c r="M71" i="70"/>
  <c r="S71" i="70" s="1"/>
  <c r="O47" i="70"/>
  <c r="P47" i="70"/>
  <c r="R47" i="70"/>
  <c r="N47" i="70"/>
  <c r="N28" i="70" s="1"/>
  <c r="Q47" i="70"/>
  <c r="K66" i="70"/>
  <c r="K56" i="70"/>
  <c r="P40" i="70"/>
  <c r="Q40" i="70"/>
  <c r="R40" i="70"/>
  <c r="N40" i="70"/>
  <c r="N21" i="70" s="1"/>
  <c r="O40" i="70"/>
  <c r="J76" i="70"/>
  <c r="O45" i="70"/>
  <c r="P45" i="70" s="1"/>
  <c r="Q45" i="70" s="1"/>
  <c r="R45" i="70" s="1"/>
  <c r="N26" i="70"/>
  <c r="O26" i="70" s="1"/>
  <c r="P26" i="70" s="1"/>
  <c r="Q26" i="70" s="1"/>
  <c r="R26" i="70" s="1"/>
  <c r="T26" i="70" s="1"/>
  <c r="S74" i="70"/>
  <c r="M75" i="70"/>
  <c r="P37" i="70"/>
  <c r="O37" i="70"/>
  <c r="Q37" i="70"/>
  <c r="R37" i="70"/>
  <c r="N37" i="70"/>
  <c r="N18" i="70" s="1"/>
  <c r="N66" i="70"/>
  <c r="N61" i="70" s="1"/>
  <c r="N56" i="70" s="1"/>
  <c r="K26" i="58"/>
  <c r="K31" i="58" s="1"/>
  <c r="K47" i="58" s="1"/>
  <c r="J26" i="58"/>
  <c r="J31" i="58" s="1"/>
  <c r="J47" i="58" s="1"/>
  <c r="I26" i="58"/>
  <c r="I31" i="58" s="1"/>
  <c r="I47" i="58" s="1"/>
  <c r="H26" i="58"/>
  <c r="H31" i="58" s="1"/>
  <c r="H47" i="58" s="1"/>
  <c r="G26" i="58"/>
  <c r="F26" i="58"/>
  <c r="E26" i="58"/>
  <c r="E31" i="58" s="1"/>
  <c r="E47" i="58" s="1"/>
  <c r="E53" i="58" s="1"/>
  <c r="D26" i="58"/>
  <c r="D31" i="58" s="1"/>
  <c r="D47" i="58" s="1"/>
  <c r="D53" i="58" s="1"/>
  <c r="C26" i="58"/>
  <c r="C31" i="58" s="1"/>
  <c r="C47" i="58" s="1"/>
  <c r="C53" i="58" s="1"/>
  <c r="B26" i="58"/>
  <c r="B31" i="58" s="1"/>
  <c r="B47" i="58" s="1"/>
  <c r="B53" i="58" s="1"/>
  <c r="Q55" i="69" l="1"/>
  <c r="P126" i="69"/>
  <c r="O48" i="69"/>
  <c r="O47" i="69" s="1"/>
  <c r="O131" i="69"/>
  <c r="O133" i="69" s="1"/>
  <c r="O21" i="69" s="1"/>
  <c r="M88" i="69"/>
  <c r="M65" i="69" s="1"/>
  <c r="M66" i="69" s="1"/>
  <c r="P134" i="70"/>
  <c r="N132" i="70"/>
  <c r="L88" i="69"/>
  <c r="L65" i="69" s="1"/>
  <c r="L66" i="69" s="1"/>
  <c r="J88" i="69"/>
  <c r="J65" i="69" s="1"/>
  <c r="J66" i="69" s="1"/>
  <c r="Q114" i="70"/>
  <c r="O22" i="70"/>
  <c r="P22" i="70" s="1"/>
  <c r="Q22" i="70" s="1"/>
  <c r="T117" i="70"/>
  <c r="R116" i="70"/>
  <c r="T116" i="70" s="1"/>
  <c r="P25" i="70"/>
  <c r="O24" i="70"/>
  <c r="O18" i="70"/>
  <c r="N70" i="70"/>
  <c r="N54" i="70" s="1"/>
  <c r="N17" i="70"/>
  <c r="O21" i="70"/>
  <c r="N20" i="70"/>
  <c r="N24" i="70"/>
  <c r="O66" i="70"/>
  <c r="O28" i="70"/>
  <c r="N27" i="70"/>
  <c r="N74" i="70"/>
  <c r="N55" i="70" s="1"/>
  <c r="S75" i="70"/>
  <c r="T19" i="70"/>
  <c r="F31" i="58"/>
  <c r="F47" i="58" s="1"/>
  <c r="G31" i="58"/>
  <c r="G47" i="58" s="1"/>
  <c r="H53" i="58"/>
  <c r="I53" i="58"/>
  <c r="J53" i="58"/>
  <c r="K53" i="58"/>
  <c r="P129" i="69" l="1"/>
  <c r="P131" i="69"/>
  <c r="P133" i="69" s="1"/>
  <c r="P21" i="69" s="1"/>
  <c r="R55" i="69"/>
  <c r="Q134" i="70"/>
  <c r="R134" i="70" s="1"/>
  <c r="R114" i="70"/>
  <c r="N16" i="70"/>
  <c r="N53" i="70"/>
  <c r="N16" i="69" s="1"/>
  <c r="N85" i="69" s="1"/>
  <c r="P28" i="70"/>
  <c r="O27" i="70"/>
  <c r="O23" i="70" s="1"/>
  <c r="P66" i="70"/>
  <c r="O61" i="70"/>
  <c r="O56" i="70" s="1"/>
  <c r="N23" i="70"/>
  <c r="P21" i="70"/>
  <c r="O20" i="70"/>
  <c r="O70" i="70"/>
  <c r="O54" i="70" s="1"/>
  <c r="P18" i="70"/>
  <c r="O17" i="70"/>
  <c r="O74" i="70"/>
  <c r="O55" i="70" s="1"/>
  <c r="Q25" i="70"/>
  <c r="P24" i="70"/>
  <c r="R22" i="70"/>
  <c r="G53" i="58"/>
  <c r="F53" i="58"/>
  <c r="Q126" i="69" l="1"/>
  <c r="P48" i="69"/>
  <c r="P47" i="69" s="1"/>
  <c r="N96" i="69"/>
  <c r="N45" i="69" s="1"/>
  <c r="N92" i="69"/>
  <c r="N35" i="69" s="1"/>
  <c r="N15" i="70"/>
  <c r="N59" i="70"/>
  <c r="N64" i="70" s="1"/>
  <c r="N71" i="70"/>
  <c r="O53" i="70"/>
  <c r="O16" i="69" s="1"/>
  <c r="O85" i="69" s="1"/>
  <c r="O75" i="70"/>
  <c r="O60" i="70"/>
  <c r="O65" i="70" s="1"/>
  <c r="O16" i="70"/>
  <c r="Q21" i="70"/>
  <c r="P20" i="70"/>
  <c r="Q28" i="70"/>
  <c r="Q74" i="70" s="1"/>
  <c r="Q55" i="70" s="1"/>
  <c r="P27" i="70"/>
  <c r="P23" i="70" s="1"/>
  <c r="Q18" i="70"/>
  <c r="P70" i="70"/>
  <c r="P54" i="70" s="1"/>
  <c r="P17" i="70"/>
  <c r="P74" i="70"/>
  <c r="P55" i="70" s="1"/>
  <c r="N60" i="70"/>
  <c r="N65" i="70" s="1"/>
  <c r="N75" i="70"/>
  <c r="R25" i="70"/>
  <c r="Q24" i="70"/>
  <c r="Q66" i="70"/>
  <c r="Q61" i="70" s="1"/>
  <c r="Q56" i="70" s="1"/>
  <c r="P61" i="70"/>
  <c r="P56" i="70" s="1"/>
  <c r="T22" i="70"/>
  <c r="Q129" i="69" l="1"/>
  <c r="Q131" i="69"/>
  <c r="Q133" i="69" s="1"/>
  <c r="Q21" i="69" s="1"/>
  <c r="N15" i="69"/>
  <c r="N106" i="70"/>
  <c r="N104" i="70"/>
  <c r="N105" i="70"/>
  <c r="O96" i="69"/>
  <c r="O92" i="69"/>
  <c r="O35" i="69" s="1"/>
  <c r="N84" i="70"/>
  <c r="N87" i="70"/>
  <c r="N85" i="70"/>
  <c r="N83" i="70"/>
  <c r="N86" i="70"/>
  <c r="N58" i="70"/>
  <c r="N63" i="70" s="1"/>
  <c r="P53" i="70"/>
  <c r="P16" i="69" s="1"/>
  <c r="P85" i="69" s="1"/>
  <c r="P16" i="70"/>
  <c r="P15" i="70" s="1"/>
  <c r="P75" i="70"/>
  <c r="P60" i="70"/>
  <c r="P65" i="70" s="1"/>
  <c r="R18" i="70"/>
  <c r="Q70" i="70"/>
  <c r="Q54" i="70" s="1"/>
  <c r="Q53" i="70" s="1"/>
  <c r="Q16" i="69" s="1"/>
  <c r="Q85" i="69" s="1"/>
  <c r="Q17" i="70"/>
  <c r="R28" i="70"/>
  <c r="Q27" i="70"/>
  <c r="Q23" i="70" s="1"/>
  <c r="R24" i="70"/>
  <c r="T25" i="70"/>
  <c r="R21" i="70"/>
  <c r="Q20" i="70"/>
  <c r="O15" i="70"/>
  <c r="O59" i="70"/>
  <c r="O71" i="70"/>
  <c r="Q48" i="69" l="1"/>
  <c r="Q47" i="69" s="1"/>
  <c r="R126" i="69"/>
  <c r="P104" i="70"/>
  <c r="P105" i="70"/>
  <c r="P106" i="70"/>
  <c r="Q96" i="69"/>
  <c r="Q45" i="69" s="1"/>
  <c r="Q92" i="69"/>
  <c r="O45" i="69"/>
  <c r="O106" i="70"/>
  <c r="O105" i="70"/>
  <c r="O102" i="70" s="1"/>
  <c r="O100" i="70" s="1"/>
  <c r="O124" i="70" s="1"/>
  <c r="N102" i="70"/>
  <c r="N100" i="70" s="1"/>
  <c r="N124" i="70" s="1"/>
  <c r="P92" i="69"/>
  <c r="P96" i="69"/>
  <c r="N84" i="69"/>
  <c r="N108" i="69"/>
  <c r="N111" i="69" s="1"/>
  <c r="O15" i="69"/>
  <c r="O85" i="70"/>
  <c r="O83" i="70"/>
  <c r="O86" i="70"/>
  <c r="O84" i="70"/>
  <c r="O87" i="70"/>
  <c r="P15" i="69"/>
  <c r="P87" i="70"/>
  <c r="P85" i="70"/>
  <c r="P83" i="70"/>
  <c r="P86" i="70"/>
  <c r="P84" i="70"/>
  <c r="N17" i="69"/>
  <c r="P71" i="70"/>
  <c r="P59" i="70"/>
  <c r="P58" i="70" s="1"/>
  <c r="Q75" i="70"/>
  <c r="Q60" i="70"/>
  <c r="Q65" i="70" s="1"/>
  <c r="R27" i="70"/>
  <c r="T27" i="70" s="1"/>
  <c r="T28" i="70"/>
  <c r="O58" i="70"/>
  <c r="O64" i="70"/>
  <c r="Q16" i="70"/>
  <c r="T21" i="70"/>
  <c r="R20" i="70"/>
  <c r="T20" i="70" s="1"/>
  <c r="R70" i="70"/>
  <c r="T18" i="70"/>
  <c r="R17" i="70"/>
  <c r="T24" i="70"/>
  <c r="R74" i="70"/>
  <c r="R129" i="69" l="1"/>
  <c r="R48" i="69" s="1"/>
  <c r="R47" i="69" s="1"/>
  <c r="P102" i="70"/>
  <c r="P100" i="70" s="1"/>
  <c r="P124" i="70" s="1"/>
  <c r="P126" i="70" s="1"/>
  <c r="N115" i="69"/>
  <c r="N118" i="69" s="1"/>
  <c r="N69" i="69"/>
  <c r="N126" i="70"/>
  <c r="N81" i="70" s="1"/>
  <c r="N80" i="70" s="1"/>
  <c r="P35" i="69"/>
  <c r="O126" i="70"/>
  <c r="O125" i="70"/>
  <c r="O84" i="69"/>
  <c r="O108" i="69"/>
  <c r="O111" i="69" s="1"/>
  <c r="O69" i="69" s="1"/>
  <c r="Q35" i="69"/>
  <c r="N91" i="69"/>
  <c r="N97" i="69"/>
  <c r="N93" i="69"/>
  <c r="N36" i="69" s="1"/>
  <c r="P84" i="69"/>
  <c r="P108" i="69"/>
  <c r="P111" i="69" s="1"/>
  <c r="P69" i="69" s="1"/>
  <c r="P45" i="69"/>
  <c r="R23" i="70"/>
  <c r="T23" i="70" s="1"/>
  <c r="P64" i="70"/>
  <c r="R54" i="70"/>
  <c r="T70" i="70"/>
  <c r="P17" i="69"/>
  <c r="P63" i="70"/>
  <c r="Q15" i="70"/>
  <c r="Q59" i="70"/>
  <c r="Q71" i="70"/>
  <c r="R55" i="70"/>
  <c r="T74" i="70"/>
  <c r="O17" i="69"/>
  <c r="O63" i="70"/>
  <c r="T17" i="70"/>
  <c r="R16" i="70"/>
  <c r="R131" i="69" l="1"/>
  <c r="R133" i="69" s="1"/>
  <c r="R21" i="69" s="1"/>
  <c r="O81" i="70"/>
  <c r="O90" i="70" s="1"/>
  <c r="P81" i="70"/>
  <c r="P125" i="70"/>
  <c r="N125" i="70"/>
  <c r="N70" i="69"/>
  <c r="N68" i="69" s="1"/>
  <c r="N122" i="69"/>
  <c r="Q104" i="70"/>
  <c r="Q106" i="70"/>
  <c r="Q105" i="70"/>
  <c r="N95" i="69"/>
  <c r="N46" i="69"/>
  <c r="N44" i="69" s="1"/>
  <c r="N43" i="69" s="1"/>
  <c r="N34" i="69"/>
  <c r="N90" i="69"/>
  <c r="N87" i="69" s="1"/>
  <c r="N88" i="69" s="1"/>
  <c r="N65" i="69" s="1"/>
  <c r="N90" i="70"/>
  <c r="N18" i="69"/>
  <c r="N19" i="69" s="1"/>
  <c r="O91" i="69"/>
  <c r="O97" i="69"/>
  <c r="O93" i="69"/>
  <c r="O36" i="69" s="1"/>
  <c r="P97" i="69"/>
  <c r="P93" i="69"/>
  <c r="P36" i="69" s="1"/>
  <c r="P91" i="69"/>
  <c r="O110" i="69"/>
  <c r="N38" i="69"/>
  <c r="R60" i="70"/>
  <c r="R65" i="70" s="1"/>
  <c r="R75" i="70"/>
  <c r="T75" i="70" s="1"/>
  <c r="Q15" i="69"/>
  <c r="Q85" i="70"/>
  <c r="Q83" i="70"/>
  <c r="Q86" i="70"/>
  <c r="Q84" i="70"/>
  <c r="Q87" i="70"/>
  <c r="R53" i="70"/>
  <c r="R16" i="69" s="1"/>
  <c r="R85" i="69" s="1"/>
  <c r="Q58" i="70"/>
  <c r="Q64" i="70"/>
  <c r="R71" i="70"/>
  <c r="T71" i="70" s="1"/>
  <c r="R59" i="70"/>
  <c r="T16" i="70"/>
  <c r="R15" i="70"/>
  <c r="P90" i="70" l="1"/>
  <c r="O117" i="69"/>
  <c r="N39" i="69"/>
  <c r="N37" i="69" s="1"/>
  <c r="P46" i="69"/>
  <c r="P44" i="69" s="1"/>
  <c r="P43" i="69" s="1"/>
  <c r="P95" i="69"/>
  <c r="O46" i="69"/>
  <c r="O44" i="69" s="1"/>
  <c r="O43" i="69" s="1"/>
  <c r="O95" i="69"/>
  <c r="R104" i="70"/>
  <c r="R105" i="70"/>
  <c r="R106" i="70"/>
  <c r="Q84" i="69"/>
  <c r="Q108" i="69"/>
  <c r="Q111" i="69" s="1"/>
  <c r="Q69" i="69" s="1"/>
  <c r="O34" i="69"/>
  <c r="O90" i="69"/>
  <c r="R96" i="69"/>
  <c r="R92" i="69"/>
  <c r="O113" i="69"/>
  <c r="O115" i="69"/>
  <c r="O118" i="69" s="1"/>
  <c r="O70" i="69" s="1"/>
  <c r="O68" i="69" s="1"/>
  <c r="P34" i="69"/>
  <c r="P90" i="69"/>
  <c r="P87" i="69" s="1"/>
  <c r="Q102" i="70"/>
  <c r="Q100" i="70" s="1"/>
  <c r="Q124" i="70" s="1"/>
  <c r="R85" i="70"/>
  <c r="R86" i="70"/>
  <c r="R83" i="70"/>
  <c r="R84" i="70"/>
  <c r="R87" i="70"/>
  <c r="T15" i="70"/>
  <c r="R15" i="69"/>
  <c r="R58" i="70"/>
  <c r="R64" i="70"/>
  <c r="Q17" i="69"/>
  <c r="Q63" i="70"/>
  <c r="O63" i="69" l="1"/>
  <c r="O131" i="70"/>
  <c r="O133" i="70" s="1"/>
  <c r="O87" i="69"/>
  <c r="O88" i="69" s="1"/>
  <c r="O65" i="69" s="1"/>
  <c r="O120" i="69"/>
  <c r="R45" i="69"/>
  <c r="Q97" i="69"/>
  <c r="Q91" i="69"/>
  <c r="Q93" i="69"/>
  <c r="Q36" i="69" s="1"/>
  <c r="Q126" i="70"/>
  <c r="Q81" i="70" s="1"/>
  <c r="R102" i="70"/>
  <c r="O38" i="69"/>
  <c r="P110" i="69"/>
  <c r="R84" i="69"/>
  <c r="R108" i="69"/>
  <c r="R111" i="69" s="1"/>
  <c r="R69" i="69" s="1"/>
  <c r="R35" i="69"/>
  <c r="R17" i="69"/>
  <c r="R63" i="70"/>
  <c r="O64" i="69" l="1"/>
  <c r="O136" i="70"/>
  <c r="O138" i="70" s="1"/>
  <c r="O137" i="70" s="1"/>
  <c r="O132" i="70"/>
  <c r="O82" i="70"/>
  <c r="P88" i="69"/>
  <c r="P65" i="69" s="1"/>
  <c r="O122" i="69"/>
  <c r="P113" i="69"/>
  <c r="T102" i="70"/>
  <c r="R100" i="70"/>
  <c r="Q90" i="70"/>
  <c r="R93" i="69"/>
  <c r="R36" i="69" s="1"/>
  <c r="R97" i="69"/>
  <c r="R91" i="69"/>
  <c r="Q125" i="70"/>
  <c r="Q34" i="69"/>
  <c r="Q90" i="69"/>
  <c r="Q95" i="69"/>
  <c r="Q46" i="69"/>
  <c r="Q44" i="69" s="1"/>
  <c r="Q43" i="69" s="1"/>
  <c r="P63" i="69" l="1"/>
  <c r="P131" i="70"/>
  <c r="P117" i="69"/>
  <c r="O39" i="69"/>
  <c r="O37" i="69" s="1"/>
  <c r="Q87" i="69"/>
  <c r="Q88" i="69" s="1"/>
  <c r="Q65" i="69" s="1"/>
  <c r="O91" i="70"/>
  <c r="O80" i="70"/>
  <c r="O18" i="69" s="1"/>
  <c r="O19" i="69" s="1"/>
  <c r="R34" i="69"/>
  <c r="R90" i="69"/>
  <c r="R87" i="69" s="1"/>
  <c r="R88" i="69" s="1"/>
  <c r="R65" i="69" s="1"/>
  <c r="R124" i="70"/>
  <c r="T100" i="70"/>
  <c r="R46" i="69"/>
  <c r="R44" i="69" s="1"/>
  <c r="R43" i="69" s="1"/>
  <c r="R95" i="69"/>
  <c r="P115" i="69"/>
  <c r="P118" i="69" s="1"/>
  <c r="P70" i="69" s="1"/>
  <c r="P68" i="69" s="1"/>
  <c r="P120" i="69" l="1"/>
  <c r="P122" i="69"/>
  <c r="P133" i="70"/>
  <c r="P132" i="70"/>
  <c r="Q110" i="69"/>
  <c r="Q113" i="69" s="1"/>
  <c r="Q131" i="70" s="1"/>
  <c r="Q133" i="70" s="1"/>
  <c r="P38" i="69"/>
  <c r="R126" i="70"/>
  <c r="R81" i="70" s="1"/>
  <c r="R125" i="70" l="1"/>
  <c r="Q117" i="69"/>
  <c r="P39" i="69"/>
  <c r="P37" i="69" s="1"/>
  <c r="P64" i="69"/>
  <c r="P136" i="70"/>
  <c r="P138" i="70" s="1"/>
  <c r="P137" i="70" s="1"/>
  <c r="Q132" i="70"/>
  <c r="Q115" i="69"/>
  <c r="Q118" i="69" s="1"/>
  <c r="Q70" i="69" s="1"/>
  <c r="Q68" i="69" s="1"/>
  <c r="Q63" i="69"/>
  <c r="R90" i="70"/>
  <c r="P82" i="70" l="1"/>
  <c r="P80" i="70" s="1"/>
  <c r="P18" i="69" s="1"/>
  <c r="P19" i="69" s="1"/>
  <c r="Q120" i="69"/>
  <c r="Q122" i="69" s="1"/>
  <c r="P91" i="70"/>
  <c r="R110" i="69"/>
  <c r="R113" i="69" s="1"/>
  <c r="R131" i="70" s="1"/>
  <c r="R133" i="70" s="1"/>
  <c r="Q38" i="69"/>
  <c r="R117" i="69" l="1"/>
  <c r="R120" i="69" s="1"/>
  <c r="Q39" i="69"/>
  <c r="Q37" i="69" s="1"/>
  <c r="R132" i="70"/>
  <c r="Q64" i="69"/>
  <c r="Q136" i="70"/>
  <c r="Q138" i="70" s="1"/>
  <c r="R115" i="69"/>
  <c r="R63" i="69"/>
  <c r="R64" i="69" l="1"/>
  <c r="R136" i="70"/>
  <c r="R138" i="70" s="1"/>
  <c r="R38" i="69"/>
  <c r="R118" i="69"/>
  <c r="R70" i="69" s="1"/>
  <c r="R68" i="69" s="1"/>
  <c r="Q137" i="70"/>
  <c r="Q82" i="70"/>
  <c r="R137" i="70" l="1"/>
  <c r="R82" i="70"/>
  <c r="Q91" i="70"/>
  <c r="Q80" i="70"/>
  <c r="Q18" i="69" s="1"/>
  <c r="Q19" i="69" s="1"/>
  <c r="R122" i="69"/>
  <c r="R39" i="69" s="1"/>
  <c r="R37" i="69" s="1"/>
  <c r="R91" i="70" l="1"/>
  <c r="R80" i="70"/>
  <c r="R18" i="69" s="1"/>
  <c r="R19" i="69" s="1"/>
  <c r="N20" i="69"/>
  <c r="O20" i="69"/>
  <c r="P20" i="69"/>
  <c r="Q20" i="69"/>
  <c r="R20" i="69"/>
  <c r="N23" i="69"/>
  <c r="O23" i="69"/>
  <c r="P23" i="69"/>
  <c r="Q23" i="69"/>
  <c r="R23" i="69"/>
  <c r="N24" i="69"/>
  <c r="O24" i="69"/>
  <c r="P24" i="69"/>
  <c r="Q24" i="69"/>
  <c r="R24" i="69"/>
  <c r="N26" i="69"/>
  <c r="O26" i="69"/>
  <c r="P26" i="69"/>
  <c r="Q26" i="69"/>
  <c r="R26" i="69"/>
  <c r="N30" i="69"/>
  <c r="O30" i="69"/>
  <c r="P30" i="69"/>
  <c r="Q30" i="69"/>
  <c r="R30" i="69"/>
  <c r="N31" i="69"/>
  <c r="O31" i="69"/>
  <c r="P31" i="69"/>
  <c r="Q31" i="69"/>
  <c r="R31" i="69"/>
  <c r="N32" i="69"/>
  <c r="O32" i="69"/>
  <c r="P32" i="69"/>
  <c r="Q32" i="69"/>
  <c r="R32" i="69"/>
  <c r="N51" i="69"/>
  <c r="O51" i="69"/>
  <c r="P51" i="69"/>
  <c r="Q51" i="69"/>
  <c r="R51" i="69"/>
  <c r="N54" i="69"/>
  <c r="O54" i="69"/>
  <c r="P54" i="69"/>
  <c r="Q54" i="69"/>
  <c r="R54" i="69"/>
  <c r="N57" i="69"/>
  <c r="O57" i="69"/>
  <c r="P57" i="69"/>
  <c r="Q57" i="69"/>
  <c r="R57" i="69"/>
  <c r="N61" i="69"/>
  <c r="O61" i="69"/>
  <c r="P61" i="69"/>
  <c r="Q61" i="69"/>
  <c r="R61" i="69"/>
  <c r="N62" i="69"/>
  <c r="O62" i="69"/>
  <c r="P62" i="69"/>
  <c r="Q62" i="69"/>
  <c r="R62" i="69"/>
  <c r="N73" i="69"/>
  <c r="O73" i="69"/>
  <c r="P73" i="69"/>
  <c r="Q73" i="69"/>
  <c r="R73" i="69"/>
  <c r="N76" i="69"/>
  <c r="O76" i="69"/>
  <c r="P76" i="69"/>
  <c r="Q76" i="69"/>
  <c r="R76" i="69"/>
  <c r="N77" i="69"/>
  <c r="O77" i="69"/>
  <c r="P77" i="69"/>
  <c r="Q77" i="69"/>
  <c r="R77" i="69"/>
  <c r="N80" i="69"/>
  <c r="O80" i="69"/>
  <c r="P80" i="69"/>
  <c r="Q80" i="69"/>
  <c r="R80" i="69"/>
  <c r="O137" i="69"/>
  <c r="P137" i="69"/>
  <c r="Q137" i="69"/>
  <c r="R137" i="69"/>
  <c r="N138" i="69"/>
  <c r="O138" i="69"/>
  <c r="P138" i="69"/>
  <c r="Q138" i="69"/>
  <c r="R138" i="69"/>
  <c r="N139" i="69"/>
  <c r="O139" i="69"/>
  <c r="P139" i="69"/>
  <c r="Q139" i="69"/>
  <c r="R139" i="69"/>
  <c r="N141" i="69"/>
  <c r="O141" i="69"/>
  <c r="P141" i="69"/>
  <c r="Q141" i="69"/>
  <c r="R141" i="69"/>
  <c r="N143" i="69"/>
  <c r="O143" i="69"/>
  <c r="P143" i="69"/>
  <c r="Q143" i="69"/>
  <c r="R143" i="69"/>
  <c r="N147" i="69"/>
  <c r="O147" i="69"/>
  <c r="P147" i="69"/>
  <c r="Q147" i="69"/>
  <c r="R147" i="69"/>
  <c r="N148" i="69"/>
  <c r="O148" i="69"/>
  <c r="P148" i="69"/>
  <c r="Q148" i="69"/>
  <c r="R148" i="69"/>
  <c r="N150" i="69"/>
  <c r="O150" i="69"/>
  <c r="P150" i="69"/>
  <c r="Q150" i="69"/>
  <c r="R150" i="69"/>
</calcChain>
</file>

<file path=xl/sharedStrings.xml><?xml version="1.0" encoding="utf-8"?>
<sst xmlns="http://schemas.openxmlformats.org/spreadsheetml/2006/main" count="727" uniqueCount="380">
  <si>
    <t>-</t>
  </si>
  <si>
    <t>Filler</t>
    <phoneticPr fontId="5" type="noConversion"/>
  </si>
  <si>
    <t>Sales</t>
  </si>
  <si>
    <t>Currency</t>
  </si>
  <si>
    <t>This page is left intentionally blank</t>
  </si>
  <si>
    <t>Net Income</t>
  </si>
  <si>
    <t>Income Statement</t>
  </si>
  <si>
    <t>Gross Profit</t>
  </si>
  <si>
    <t>Botox</t>
  </si>
  <si>
    <t>Preferred Dividend and Other Adjustments</t>
  </si>
  <si>
    <t>Net Income - (IS)</t>
  </si>
  <si>
    <t>Minority Interest (Income Statement)</t>
  </si>
  <si>
    <t>Earnings From Continuing Operations</t>
  </si>
  <si>
    <t>Income Tax Expense</t>
  </si>
  <si>
    <t>Earnings from Operations | Net Income</t>
  </si>
  <si>
    <t>EBT / Incl. Unusual Items</t>
  </si>
  <si>
    <t>Other Unusual Items / Total</t>
  </si>
  <si>
    <t>Gain (Loss) On Sale Of Investments</t>
  </si>
  <si>
    <t>Gain (Loss) On Sale Of Assets</t>
  </si>
  <si>
    <t>Impairment of Goodwill</t>
  </si>
  <si>
    <t>Restructuring Charges</t>
  </si>
  <si>
    <t>EBT / Excl. Unusual Items</t>
  </si>
  <si>
    <t>Other Non Operating Income (Expenses)</t>
  </si>
  <si>
    <t>Income (Loss) On Equity Affiliates</t>
  </si>
  <si>
    <t>Earnings Before Taxes (EBT)</t>
  </si>
  <si>
    <t>Interest And Investment Income</t>
  </si>
  <si>
    <t>Interest Expense / Total</t>
  </si>
  <si>
    <t>Net Interest Expenses</t>
  </si>
  <si>
    <t>Net Interest Expense</t>
  </si>
  <si>
    <t>Operating Income</t>
  </si>
  <si>
    <t>Operating Income &amp; Expenses</t>
  </si>
  <si>
    <t>Gross Profit / CAGR 1Y</t>
  </si>
  <si>
    <t>Cost Of Revenues</t>
  </si>
  <si>
    <t>Total Revenues / CAGR 1Y</t>
  </si>
  <si>
    <t>Other Revenues / Total</t>
  </si>
  <si>
    <t>Insurance Division Revenues</t>
  </si>
  <si>
    <t>Finance Div. Revenues</t>
  </si>
  <si>
    <t>Revenues</t>
  </si>
  <si>
    <t>Total Revenues</t>
  </si>
  <si>
    <t>Total Liabilities And Equity</t>
  </si>
  <si>
    <t>Total Equity</t>
  </si>
  <si>
    <t>Comprehensive Income and Other</t>
  </si>
  <si>
    <t>Treasury Stock</t>
  </si>
  <si>
    <t>Retained Earnings</t>
  </si>
  <si>
    <t>Additional Paid In Capital</t>
  </si>
  <si>
    <t>Common Stock / Total</t>
  </si>
  <si>
    <t>Total Common Equity</t>
  </si>
  <si>
    <t>Total Liabilities</t>
  </si>
  <si>
    <t>Other Non Current Liabilities</t>
  </si>
  <si>
    <t>Deferred Tax Liability Non Current</t>
  </si>
  <si>
    <t>Unearned Revenue Non Current</t>
  </si>
  <si>
    <t>Long Term Leases</t>
  </si>
  <si>
    <t>Long Term Debt</t>
  </si>
  <si>
    <t>Total Current Liabilities</t>
  </si>
  <si>
    <t>Other Current Liabilities</t>
  </si>
  <si>
    <t>Unearned Revenue Current / Total</t>
  </si>
  <si>
    <t>Current Income Taxes Payable</t>
  </si>
  <si>
    <t>Current Portion of Leases</t>
  </si>
  <si>
    <t>Current Portion of Long Term Debt</t>
  </si>
  <si>
    <t>Accrued Expenses / Total</t>
  </si>
  <si>
    <t>Accounts Payable / Total</t>
  </si>
  <si>
    <t>Liabilities</t>
  </si>
  <si>
    <t>Total Assets</t>
  </si>
  <si>
    <t>Other Long Term Assets / Total</t>
  </si>
  <si>
    <t>Deferred Charges Long Term</t>
  </si>
  <si>
    <t>Deferred Tax Assets Long Term</t>
  </si>
  <si>
    <t>Loans Receivable Long Term</t>
  </si>
  <si>
    <t>Other Intangibles / Total</t>
  </si>
  <si>
    <t>Goodwill</t>
  </si>
  <si>
    <t>Long term Investments</t>
  </si>
  <si>
    <t>Accumulated Depreciation</t>
  </si>
  <si>
    <t>Gross Property Plant And Equipment</t>
  </si>
  <si>
    <t>Net Property Plant And Equipment</t>
  </si>
  <si>
    <t>Total Current Assets</t>
  </si>
  <si>
    <t>Other Current Assets / Total</t>
  </si>
  <si>
    <t>Prepaid Expenses</t>
  </si>
  <si>
    <t>Restricted Cash</t>
  </si>
  <si>
    <t>Inventory</t>
  </si>
  <si>
    <t>Other Receivables</t>
  </si>
  <si>
    <t>Accounts Receivable / Total</t>
  </si>
  <si>
    <t>Total Receivables</t>
  </si>
  <si>
    <t>Short Term Investments</t>
  </si>
  <si>
    <t>Cash And Equivalents</t>
  </si>
  <si>
    <t>Total Cash And Short Term Investments</t>
  </si>
  <si>
    <t>Assets</t>
  </si>
  <si>
    <t>Net Change in Cash</t>
  </si>
  <si>
    <t>Miscellaneous Cash Flow Adjustments</t>
  </si>
  <si>
    <t>Foreign Exchange Rate Adjustments</t>
  </si>
  <si>
    <t>Cash from Financing</t>
  </si>
  <si>
    <t>Other Financing Activities / Total</t>
  </si>
  <si>
    <t>Special Dividend Paid</t>
  </si>
  <si>
    <t>Preferred Dividends Paid</t>
  </si>
  <si>
    <t>Common Dividends Paid</t>
  </si>
  <si>
    <t>Common &amp; Preferred Stock Dividends Paid</t>
  </si>
  <si>
    <t>Repurchase of Common Stock</t>
  </si>
  <si>
    <t>Issuance of Common Stock</t>
  </si>
  <si>
    <t>Long Term Debt Repaid / Total</t>
  </si>
  <si>
    <t>Short Term Debt Repaid / Total</t>
  </si>
  <si>
    <t>Total Debt Repaid</t>
  </si>
  <si>
    <t>Long Term Debt Issued / Total</t>
  </si>
  <si>
    <t>Short Term Debt Issued / Total</t>
  </si>
  <si>
    <t>Total Debt Issued</t>
  </si>
  <si>
    <t>Cash from Investing</t>
  </si>
  <si>
    <t>Other Investing Activities / Total</t>
  </si>
  <si>
    <t>Net (Increase) Decrease in Loans Originated / Sold - Investing</t>
  </si>
  <si>
    <t>Investment in Marketable and Equity Securities / Total</t>
  </si>
  <si>
    <t>Divestitures</t>
  </si>
  <si>
    <t>Cash Acquisitions</t>
  </si>
  <si>
    <t>Sale of Property / Plant / and Equipment</t>
  </si>
  <si>
    <t>Capital Expenditure</t>
  </si>
  <si>
    <t>Cash from Operations</t>
  </si>
  <si>
    <t>Other Operating Activities / Total</t>
  </si>
  <si>
    <t>Stock-Based Compensation (CF)</t>
  </si>
  <si>
    <t>Asset Writedown &amp; Restructuring Costs</t>
  </si>
  <si>
    <t>Amortization of Deferred Charges / Total - (CF)</t>
  </si>
  <si>
    <t>(Gain) Loss on Sale of Investments - (CF)</t>
  </si>
  <si>
    <t>(Gain) Loss From Sale Of Asset</t>
  </si>
  <si>
    <t>Depreciation &amp; Amortization / Total - CF</t>
  </si>
  <si>
    <t>Net Income - (CF)</t>
  </si>
  <si>
    <t xml:space="preserve">Amortization of Goodwill and Intangible Assets - (CF) </t>
  </si>
  <si>
    <t>Depreciation &amp; Amortization - CF</t>
  </si>
  <si>
    <t xml:space="preserve">For the Fiscal Period Ending
</t>
  </si>
  <si>
    <t>12 months
Dec-31-2014</t>
  </si>
  <si>
    <t>12 months
Dec-31-2015</t>
  </si>
  <si>
    <t>12 months
Dec-31-2016</t>
  </si>
  <si>
    <t>12 months
Dec-31-2017</t>
  </si>
  <si>
    <t>12 months
Dec-31-2018</t>
  </si>
  <si>
    <t>12 months
Dec-31-2019</t>
  </si>
  <si>
    <t>12 months
Dec-31-2020</t>
  </si>
  <si>
    <t>USD</t>
  </si>
  <si>
    <t>12 months
Dec-31-2021</t>
  </si>
  <si>
    <t>In Millions of the reported currency, except per share items.</t>
  </si>
  <si>
    <t>Template:</t>
  </si>
  <si>
    <t>Standard</t>
  </si>
  <si>
    <t> </t>
  </si>
  <si>
    <t>Restatement:</t>
  </si>
  <si>
    <t>Latest Filings</t>
  </si>
  <si>
    <t>Period Type:</t>
  </si>
  <si>
    <t>Annual</t>
  </si>
  <si>
    <t>Order:</t>
  </si>
  <si>
    <t>Latest on Right</t>
  </si>
  <si>
    <t>Currency:</t>
  </si>
  <si>
    <t>Conversion:</t>
  </si>
  <si>
    <t>Units:</t>
  </si>
  <si>
    <t>Decimals:</t>
  </si>
  <si>
    <t>Source:</t>
  </si>
  <si>
    <t>FillNTox (NYSE: FNTX) &gt; Financials &gt; Income Statement</t>
  </si>
  <si>
    <t>USD M</t>
  </si>
  <si>
    <t>Default</t>
  </si>
  <si>
    <t>Reported</t>
  </si>
  <si>
    <t>Proprietary</t>
  </si>
  <si>
    <t>Daily Spot Rate</t>
  </si>
  <si>
    <t>Cosmetics</t>
  </si>
  <si>
    <t>Net Sales by Reportable Segment:</t>
  </si>
  <si>
    <t>Total Net Sales</t>
  </si>
  <si>
    <t>Sales Data</t>
  </si>
  <si>
    <t>For the year ended December 31</t>
  </si>
  <si>
    <t>2018A</t>
  </si>
  <si>
    <t>2019A</t>
  </si>
  <si>
    <t>2020A</t>
  </si>
  <si>
    <t>2021A</t>
  </si>
  <si>
    <t>Gross Profit Margin by Segment</t>
  </si>
  <si>
    <t>Avearge Selling Price by Reportable Segment:</t>
  </si>
  <si>
    <t>ASP by Segment</t>
  </si>
  <si>
    <t>GPM by Reportable Segment:</t>
  </si>
  <si>
    <t>Selling, Genral &amp; Administration Expenses</t>
  </si>
  <si>
    <t>Selling, Genral &amp; Administration Expenses:</t>
  </si>
  <si>
    <t>General and administrative expenses</t>
  </si>
  <si>
    <t>Wage and pension expenses</t>
  </si>
  <si>
    <t>Depreciaion expenses</t>
  </si>
  <si>
    <t>Amortization expenses</t>
  </si>
  <si>
    <t>Marketing and promotion expenses</t>
  </si>
  <si>
    <t>Stock-based compensation expenses</t>
  </si>
  <si>
    <t>Restructuring and bad debt expenses</t>
  </si>
  <si>
    <t>Commission fees</t>
  </si>
  <si>
    <t>Total SG&amp;A Expenses</t>
  </si>
  <si>
    <t>Research and development</t>
  </si>
  <si>
    <t>Management (Strategy)</t>
  </si>
  <si>
    <t>Marketing</t>
  </si>
  <si>
    <t>Accounting/Finance/IR</t>
  </si>
  <si>
    <t>Manufacturing &amp; QC</t>
  </si>
  <si>
    <t>Buying</t>
  </si>
  <si>
    <t>Capital Expenditure - PPE</t>
  </si>
  <si>
    <t>Capital Expenditure - Intangible Assets</t>
  </si>
  <si>
    <t>Selling General &amp; Admin Expenses</t>
  </si>
  <si>
    <t>IT/HR/Compliance/Others</t>
  </si>
  <si>
    <t>Labor and Related Expenses</t>
  </si>
  <si>
    <t>Labor and related expenses include management wages, bonuses, payroll taxes, equity-based compensation, workers' compensation expense and medical benefits.</t>
  </si>
  <si>
    <t>Percentage of total revenue</t>
  </si>
  <si>
    <t>Long-Term Debt</t>
  </si>
  <si>
    <t>Our total long-term debt obligations are as follows (in millions):</t>
  </si>
  <si>
    <t>Maturities</t>
  </si>
  <si>
    <t>Stated Interest</t>
  </si>
  <si>
    <t>Effective Interest</t>
  </si>
  <si>
    <t>Total Employees</t>
  </si>
  <si>
    <t>Research and Development Expenses</t>
  </si>
  <si>
    <t>12 months
Dec-31-2023</t>
  </si>
  <si>
    <t>12 months
Dec-31-2022</t>
  </si>
  <si>
    <t>2022A</t>
  </si>
  <si>
    <t>2023A</t>
  </si>
  <si>
    <t>The following table shows net sales by reportable segment and net sales and unit sales by product for 2023, 2022, 2021, 2020, 2019 and 2018 (dollars in millions):</t>
  </si>
  <si>
    <t>The following table shows Average Selling Price by reportable segment for 2023, 2022, 2021, 2020, 2019 and 2018: (Botox - in thousand vials, Filler - in thousand syringes)</t>
  </si>
  <si>
    <t>The following table shows Gross Profit Margins by reportable segment for 2023, 2022, 2021, 2020, 2019 and 2018:</t>
  </si>
  <si>
    <t>The following table shows SG&amp;A expenses for 2023, 2022, 2021, 2020, 2019 and 2018:</t>
  </si>
  <si>
    <t>The following table shows labor and related expenses for 2023, 2022, 2021, 2020, 2019 and 2018:</t>
  </si>
  <si>
    <t>The following table shows R&amp;D expenses for 2023, 2022, 2021, 2020, 2019 and 2018:</t>
  </si>
  <si>
    <t>As of December 31, 2023, we had $</t>
  </si>
  <si>
    <t>July 2024</t>
  </si>
  <si>
    <t>September 2029</t>
  </si>
  <si>
    <t>2014 Notes issuance of $102.4 million</t>
  </si>
  <si>
    <t>2019 Notes issuance of $93.7 million</t>
  </si>
  <si>
    <t>International</t>
  </si>
  <si>
    <t>US</t>
  </si>
  <si>
    <t>N/A</t>
  </si>
  <si>
    <t>Land</t>
  </si>
  <si>
    <t>Buildings</t>
  </si>
  <si>
    <t>Construction in Progress</t>
  </si>
  <si>
    <t>Total</t>
  </si>
  <si>
    <t>Furniture, Fixtures, Other</t>
  </si>
  <si>
    <t>Machinery, Equipment</t>
  </si>
  <si>
    <t>Beginning Balance</t>
  </si>
  <si>
    <t>Capital Expentitures</t>
  </si>
  <si>
    <t>Depreciation</t>
  </si>
  <si>
    <t>Ending Balance</t>
  </si>
  <si>
    <t>Useful Life</t>
  </si>
  <si>
    <t>Substitutes / Other</t>
  </si>
  <si>
    <t>FillNTox</t>
  </si>
  <si>
    <t>XXXXXXXXXXXX</t>
  </si>
  <si>
    <t>Circuit Switch :</t>
  </si>
  <si>
    <t>Current Scenario :</t>
  </si>
  <si>
    <t>Target Price :</t>
  </si>
  <si>
    <t>Hardcode</t>
  </si>
  <si>
    <t>Calculation</t>
  </si>
  <si>
    <t>Reference</t>
  </si>
  <si>
    <t>Caution</t>
  </si>
  <si>
    <t>Assumptions</t>
  </si>
  <si>
    <t>Notes</t>
  </si>
  <si>
    <t>Historical</t>
  </si>
  <si>
    <t>Forecast</t>
  </si>
  <si>
    <t>CAGR</t>
  </si>
  <si>
    <t>18A-23A</t>
  </si>
  <si>
    <t>23A-28E</t>
  </si>
  <si>
    <t>(Units : US$ mn)</t>
  </si>
  <si>
    <t>Three Statement Model</t>
  </si>
  <si>
    <t>Operating Profit (EBIT)</t>
  </si>
  <si>
    <t>[Income Statement]</t>
  </si>
  <si>
    <t>Revenue</t>
  </si>
  <si>
    <t>COGS</t>
  </si>
  <si>
    <t>SG&amp;A</t>
  </si>
  <si>
    <t>Interest Income</t>
  </si>
  <si>
    <t>Interest Expense</t>
  </si>
  <si>
    <t>Other Income / (Expense)</t>
  </si>
  <si>
    <t>Pretax Profit (EBT)</t>
  </si>
  <si>
    <t>Income Tax</t>
  </si>
  <si>
    <t>[Balance Sheet]</t>
  </si>
  <si>
    <t>Current Assets</t>
  </si>
  <si>
    <t>Non-Current Assets</t>
  </si>
  <si>
    <t>Current Liabilities</t>
  </si>
  <si>
    <t>Non-Current Liabilities</t>
  </si>
  <si>
    <t>CHECK</t>
  </si>
  <si>
    <t>Cash and Equivalents</t>
  </si>
  <si>
    <t>Short-Term Financial Assets</t>
  </si>
  <si>
    <t>Accounts Receivables</t>
  </si>
  <si>
    <t>Inventories</t>
  </si>
  <si>
    <t>Other Current Assets</t>
  </si>
  <si>
    <t>Property, Plant &amp; Equipment (Net)</t>
  </si>
  <si>
    <t>Other Intangible Assets</t>
  </si>
  <si>
    <t>Other Non-Current Assets</t>
  </si>
  <si>
    <t>Accounts Payables</t>
  </si>
  <si>
    <t>Other Non-Current Liabilities</t>
  </si>
  <si>
    <t>Common Stock</t>
  </si>
  <si>
    <t>Additional Paid-In Capital</t>
  </si>
  <si>
    <t>Other Equity Line Items</t>
  </si>
  <si>
    <t xml:space="preserve"> </t>
  </si>
  <si>
    <t>[Cashflow Statement]</t>
  </si>
  <si>
    <t>Cashflow from Operating Activities</t>
  </si>
  <si>
    <t>Net Changes in Cash During Period</t>
  </si>
  <si>
    <t>Cashflow from Investing Activities</t>
  </si>
  <si>
    <t>Cashflow from Financing Activities</t>
  </si>
  <si>
    <t>Amortization</t>
  </si>
  <si>
    <t>(Increase) / Decrease in Net Working Capital</t>
  </si>
  <si>
    <t>Other Cashflow from Operating Activities</t>
  </si>
  <si>
    <t>Capital  Exenditure - PPE</t>
  </si>
  <si>
    <t>Capital  Exenditure - Intangible Assets</t>
  </si>
  <si>
    <t>Other Cashflow from Investing Activities</t>
  </si>
  <si>
    <t>Increase in Long-Term Debt</t>
  </si>
  <si>
    <t>Common Dividends</t>
  </si>
  <si>
    <t>Share Repurchases</t>
  </si>
  <si>
    <t>Other Cashflow from Financing Activities</t>
  </si>
  <si>
    <t>Decrease in Long-Term Debt</t>
  </si>
  <si>
    <t>[Revenue]</t>
  </si>
  <si>
    <t>Total Revenue</t>
  </si>
  <si>
    <t>1. Botox</t>
  </si>
  <si>
    <t>2. Filler</t>
  </si>
  <si>
    <t>3. Cosmetics</t>
  </si>
  <si>
    <t>1) US</t>
  </si>
  <si>
    <t>2) International</t>
  </si>
  <si>
    <t>&gt; ASP (USD)</t>
  </si>
  <si>
    <t xml:space="preserve"> &gt; Vials Sold (Vials K)</t>
  </si>
  <si>
    <t xml:space="preserve"> &gt; Syringes Sold (Syringes K)</t>
  </si>
  <si>
    <t>[Revenue Growth Analysis]</t>
  </si>
  <si>
    <t>yoy growth (%)</t>
  </si>
  <si>
    <t>[COGS]</t>
  </si>
  <si>
    <t>GPM (%)</t>
  </si>
  <si>
    <t>[Cost per Unit Analysis]</t>
  </si>
  <si>
    <t>Total Units Sold - Botox</t>
  </si>
  <si>
    <t>&gt; Cost per Unit (USD)</t>
  </si>
  <si>
    <t>Total Units Sold - Filler</t>
  </si>
  <si>
    <t>x</t>
  </si>
  <si>
    <t>[SG&amp;A]</t>
  </si>
  <si>
    <t>1. Labor Cost</t>
  </si>
  <si>
    <t>2. Depreciation &amp; Amortization</t>
  </si>
  <si>
    <t>3. Research &amp; Development</t>
  </si>
  <si>
    <t>4. Sales &amp; Marketing</t>
  </si>
  <si>
    <t>5. General &amp; Administration</t>
  </si>
  <si>
    <t xml:space="preserve">% of Sales </t>
  </si>
  <si>
    <t>6. Comission Fees</t>
  </si>
  <si>
    <t xml:space="preserve">7. Restructuring &amp; Bad Debt </t>
  </si>
  <si>
    <t>Variable Costs</t>
  </si>
  <si>
    <t>Fixed Costs</t>
  </si>
  <si>
    <t>[Labor Cost]</t>
  </si>
  <si>
    <t>Total Labor Cost</t>
  </si>
  <si>
    <t>Labor Cost per Employee (USD)</t>
  </si>
  <si>
    <t>Daily Working Hours (Hours)</t>
  </si>
  <si>
    <t>Annual Working Days (Days)</t>
  </si>
  <si>
    <t>Hourly Wage (USD)</t>
  </si>
  <si>
    <t>growth(%)</t>
  </si>
  <si>
    <t>F</t>
  </si>
  <si>
    <t>V</t>
  </si>
  <si>
    <t>[A] x [B] = Total Labor Cost</t>
  </si>
  <si>
    <t>[A] Number of Employees</t>
  </si>
  <si>
    <t>[B] Drivers per Headcount</t>
  </si>
  <si>
    <t>[Labor Cost Allocation]</t>
  </si>
  <si>
    <t>&gt; COGS</t>
  </si>
  <si>
    <t>% in SG&amp;A</t>
  </si>
  <si>
    <t>&gt; SG&amp;A</t>
  </si>
  <si>
    <t>[Working Capital Schedule]</t>
  </si>
  <si>
    <t>Net Working Capital</t>
  </si>
  <si>
    <t>Current Assets (Operating-Related)</t>
  </si>
  <si>
    <t>Current Liabilities (Operating-Related)</t>
  </si>
  <si>
    <t>[Analysis]</t>
  </si>
  <si>
    <t>Days Sales Outstanding</t>
  </si>
  <si>
    <t>Days Inventories Outstanding</t>
  </si>
  <si>
    <t>Other Current Assets (as % of Sales)</t>
  </si>
  <si>
    <t>Other Current Liabilities (as % of Sales)</t>
  </si>
  <si>
    <t>Days Payables Outstanding</t>
  </si>
  <si>
    <t>[PPE / Intangible Assets Schedule]</t>
  </si>
  <si>
    <t>PPE (BOP)</t>
  </si>
  <si>
    <t>(+) Capital Expenditures - PPE</t>
  </si>
  <si>
    <t>(-) Depreciation</t>
  </si>
  <si>
    <t>PPE (EOP)</t>
  </si>
  <si>
    <t>% of Sales</t>
  </si>
  <si>
    <t>% of PPE (BOP)</t>
  </si>
  <si>
    <t>[D&amp;A Allocation]</t>
  </si>
  <si>
    <t>Total Depreciation</t>
  </si>
  <si>
    <t>Intangible Assets (BOP)</t>
  </si>
  <si>
    <t>(+) Capital Expenditures - Intangible Assets</t>
  </si>
  <si>
    <t>% of Intangible Assets (BOP)</t>
  </si>
  <si>
    <t>Intangible Assets (EOP)</t>
  </si>
  <si>
    <t>(-) Amortization</t>
  </si>
  <si>
    <t>Total Amortization</t>
  </si>
  <si>
    <t>Tax Rate (%)</t>
  </si>
  <si>
    <t>[Debt &amp; Interest Expense]</t>
  </si>
  <si>
    <t>Long-Term Debt (BOP)</t>
  </si>
  <si>
    <t>(+) Issuances</t>
  </si>
  <si>
    <t>(-) Repayments</t>
  </si>
  <si>
    <t>Long-Term Debt (EOP)</t>
  </si>
  <si>
    <t>Long-Term Debt (Average)</t>
  </si>
  <si>
    <t>(x) Interest Rate (%)</t>
  </si>
  <si>
    <t xml:space="preserve">Retained Earnings (BOP) </t>
  </si>
  <si>
    <t>(+) Net Income</t>
  </si>
  <si>
    <t>(-) Common Dividends</t>
  </si>
  <si>
    <t>(-) Share Repurchases</t>
  </si>
  <si>
    <t>Retained Earnings (EOP)</t>
  </si>
  <si>
    <t>% of Net Income (Payout Ratio)</t>
  </si>
  <si>
    <t>% of Net Income</t>
  </si>
  <si>
    <t>[Retained Earnings]</t>
  </si>
  <si>
    <t>[Circularity &amp; Interest Income]</t>
  </si>
  <si>
    <t>Cash &amp; Equivalents / S-T Financial Assets (EOP)</t>
  </si>
  <si>
    <t>Cash &amp; Equivalents / S-T Financial Assets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</si>
</sst>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0.0%"/>
    <numFmt numFmtId="166" formatCode="0.0"/>
    <numFmt numFmtId="167" formatCode="0&quot;A&quot;"/>
    <numFmt numFmtId="168" formatCode="0&quot;E&quot;"/>
    <numFmt numFmtId="169" formatCode="0.0%&quot;pt&quot;"/>
    <numFmt numFmtId="170" formatCode="#,##0.000"/>
  </numFmts>
  <fonts count="5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2"/>
    </font>
    <font>
      <sz val="11"/>
      <color indexed="8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i/>
      <sz val="26"/>
      <color theme="1" tint="0.34998626667073579"/>
      <name val="Calibri"/>
      <family val="2"/>
      <scheme val="minor"/>
    </font>
    <font>
      <sz val="10"/>
      <color theme="1"/>
      <name val="Arial"/>
      <family val="2"/>
    </font>
    <font>
      <b/>
      <sz val="8"/>
      <color indexed="9"/>
      <name val="Verdana"/>
      <family val="2"/>
    </font>
    <font>
      <sz val="1"/>
      <color indexed="9"/>
      <name val="Symbol"/>
      <family val="1"/>
      <charset val="2"/>
    </font>
    <font>
      <sz val="8"/>
      <name val="Arial"/>
      <family val="2"/>
    </font>
    <font>
      <b/>
      <sz val="8"/>
      <color indexed="8"/>
      <name val="Arial"/>
      <family val="2"/>
    </font>
    <font>
      <b/>
      <i/>
      <sz val="8"/>
      <color indexed="8"/>
      <name val="Arial"/>
      <family val="2"/>
    </font>
    <font>
      <b/>
      <sz val="13"/>
      <color indexed="8"/>
      <name val="Verdana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u val="singleAccounting"/>
      <sz val="10"/>
      <name val="Calibri"/>
      <family val="2"/>
      <scheme val="minor"/>
    </font>
    <font>
      <b/>
      <u val="singleAccounting"/>
      <sz val="10"/>
      <color theme="1"/>
      <name val="Calibri"/>
      <family val="2"/>
      <scheme val="minor"/>
    </font>
    <font>
      <b/>
      <u val="singleAccounting"/>
      <sz val="10"/>
      <color theme="1"/>
      <name val="맑은 고딕"/>
      <family val="3"/>
      <charset val="129"/>
    </font>
    <font>
      <u val="singleAccounting"/>
      <sz val="10"/>
      <color theme="1"/>
      <name val="맑은 고딕"/>
      <family val="3"/>
      <charset val="129"/>
    </font>
    <font>
      <i/>
      <u val="singleAccounting"/>
      <sz val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b/>
      <sz val="1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0"/>
      <color rgb="FF0000FF"/>
      <name val="Calibri"/>
      <family val="2"/>
      <charset val="129"/>
      <scheme val="minor"/>
    </font>
    <font>
      <sz val="10"/>
      <color rgb="FF00643C"/>
      <name val="Calibri"/>
      <family val="2"/>
      <charset val="129"/>
      <scheme val="minor"/>
    </font>
    <font>
      <sz val="10"/>
      <color rgb="FFFF0000"/>
      <name val="Calibri"/>
      <family val="2"/>
      <charset val="129"/>
      <scheme val="minor"/>
    </font>
    <font>
      <b/>
      <sz val="12"/>
      <color theme="0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rgb="FF0000FF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i/>
      <sz val="10"/>
      <color theme="0" tint="-0.14999847407452621"/>
      <name val="Calibri"/>
      <family val="2"/>
      <scheme val="minor"/>
    </font>
    <font>
      <i/>
      <sz val="10"/>
      <color theme="0" tint="-0.14999847407452621"/>
      <name val="Calibri"/>
      <family val="2"/>
      <scheme val="minor"/>
    </font>
    <font>
      <sz val="10"/>
      <name val="Calibri"/>
      <family val="2"/>
      <charset val="129"/>
      <scheme val="minor"/>
    </font>
    <font>
      <b/>
      <sz val="10"/>
      <color theme="1"/>
      <name val="Calibri"/>
      <family val="2"/>
    </font>
    <font>
      <sz val="10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AFFD9"/>
        <bgColor indexed="64"/>
      </patternFill>
    </fill>
    <fill>
      <patternFill patternType="solid">
        <fgColor rgb="FFD9EFFA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medium">
        <color theme="3" tint="-0.24994659260841701"/>
      </top>
      <bottom/>
      <diagonal/>
    </border>
    <border>
      <left/>
      <right/>
      <top/>
      <bottom style="medium">
        <color theme="3" tint="-0.2499465926084170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0">
    <xf numFmtId="0" fontId="0" fillId="0" borderId="0">
      <alignment vertical="center"/>
    </xf>
    <xf numFmtId="0" fontId="3" fillId="0" borderId="0"/>
    <xf numFmtId="0" fontId="7" fillId="0" borderId="0">
      <alignment vertical="center"/>
    </xf>
    <xf numFmtId="0" fontId="7" fillId="0" borderId="0"/>
    <xf numFmtId="0" fontId="7" fillId="0" borderId="0"/>
    <xf numFmtId="0" fontId="2" fillId="0" borderId="0"/>
    <xf numFmtId="0" fontId="15" fillId="0" borderId="0" applyAlignment="0"/>
    <xf numFmtId="0" fontId="32" fillId="0" borderId="0"/>
    <xf numFmtId="0" fontId="1" fillId="0" borderId="0"/>
    <xf numFmtId="0" fontId="4" fillId="0" borderId="0">
      <alignment vertical="center"/>
    </xf>
  </cellStyleXfs>
  <cellXfs count="162">
    <xf numFmtId="0" fontId="0" fillId="0" borderId="0" xfId="0">
      <alignment vertical="center"/>
    </xf>
    <xf numFmtId="0" fontId="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3" fontId="9" fillId="2" borderId="0" xfId="0" applyNumberFormat="1" applyFont="1" applyFill="1">
      <alignment vertical="center"/>
    </xf>
    <xf numFmtId="0" fontId="10" fillId="2" borderId="2" xfId="0" applyFont="1" applyFill="1" applyBorder="1">
      <alignment vertical="center"/>
    </xf>
    <xf numFmtId="0" fontId="13" fillId="0" borderId="0" xfId="5" applyFont="1"/>
    <xf numFmtId="0" fontId="14" fillId="4" borderId="0" xfId="0" applyFont="1" applyFill="1" applyAlignment="1"/>
    <xf numFmtId="0" fontId="15" fillId="0" borderId="0" xfId="6" applyAlignment="1"/>
    <xf numFmtId="0" fontId="16" fillId="0" borderId="0" xfId="0" applyFont="1" applyAlignment="1"/>
    <xf numFmtId="0" fontId="17" fillId="5" borderId="0" xfId="0" applyFont="1" applyFill="1" applyAlignment="1">
      <alignment wrapText="1"/>
    </xf>
    <xf numFmtId="0" fontId="17" fillId="5" borderId="0" xfId="0" applyFont="1" applyFill="1" applyAlignment="1">
      <alignment horizontal="right" wrapText="1"/>
    </xf>
    <xf numFmtId="0" fontId="18" fillId="5" borderId="0" xfId="0" applyFont="1" applyFill="1" applyAlignment="1">
      <alignment wrapText="1"/>
    </xf>
    <xf numFmtId="0" fontId="18" fillId="5" borderId="0" xfId="0" applyFont="1" applyFill="1" applyAlignment="1">
      <alignment horizontal="right" wrapText="1"/>
    </xf>
    <xf numFmtId="0" fontId="19" fillId="0" borderId="0" xfId="0" applyFont="1" applyAlignment="1"/>
    <xf numFmtId="0" fontId="20" fillId="0" borderId="0" xfId="0" applyFont="1" applyAlignment="1">
      <alignment wrapText="1"/>
    </xf>
    <xf numFmtId="0" fontId="21" fillId="0" borderId="0" xfId="0" applyFont="1" applyAlignment="1"/>
    <xf numFmtId="0" fontId="22" fillId="0" borderId="0" xfId="0" applyFont="1" applyAlignment="1">
      <alignment horizontal="left" vertical="top"/>
    </xf>
    <xf numFmtId="49" fontId="16" fillId="0" borderId="0" xfId="0" applyNumberFormat="1" applyFont="1" applyAlignment="1"/>
    <xf numFmtId="0" fontId="22" fillId="0" borderId="0" xfId="0" applyFont="1" applyAlignment="1">
      <alignment horizontal="left" vertical="center"/>
    </xf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165" fontId="11" fillId="0" borderId="0" xfId="0" applyNumberFormat="1" applyFont="1" applyAlignment="1"/>
    <xf numFmtId="0" fontId="23" fillId="0" borderId="0" xfId="0" applyFont="1" applyAlignment="1">
      <alignment horizontal="left"/>
    </xf>
    <xf numFmtId="164" fontId="23" fillId="0" borderId="0" xfId="0" applyNumberFormat="1" applyFont="1" applyAlignment="1"/>
    <xf numFmtId="0" fontId="26" fillId="0" borderId="0" xfId="0" applyFont="1" applyAlignment="1">
      <alignment horizontal="center"/>
    </xf>
    <xf numFmtId="0" fontId="27" fillId="0" borderId="0" xfId="0" applyFont="1" applyAlignment="1"/>
    <xf numFmtId="0" fontId="27" fillId="0" borderId="0" xfId="0" applyFont="1" applyAlignment="1">
      <alignment horizontal="center"/>
    </xf>
    <xf numFmtId="0" fontId="28" fillId="2" borderId="0" xfId="0" applyFont="1" applyFill="1" applyAlignment="1">
      <alignment horizontal="center"/>
    </xf>
    <xf numFmtId="0" fontId="11" fillId="0" borderId="0" xfId="0" applyFont="1" applyAlignment="1"/>
    <xf numFmtId="0" fontId="23" fillId="0" borderId="0" xfId="0" applyFont="1" applyAlignment="1">
      <alignment horizontal="centerContinuous"/>
    </xf>
    <xf numFmtId="0" fontId="29" fillId="2" borderId="0" xfId="0" applyFont="1" applyFill="1" applyAlignment="1">
      <alignment horizontal="centerContinuous"/>
    </xf>
    <xf numFmtId="164" fontId="25" fillId="0" borderId="6" xfId="0" applyNumberFormat="1" applyFont="1" applyBorder="1" applyAlignment="1"/>
    <xf numFmtId="165" fontId="24" fillId="0" borderId="0" xfId="0" applyNumberFormat="1" applyFont="1" applyAlignment="1"/>
    <xf numFmtId="0" fontId="3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23" fillId="6" borderId="0" xfId="0" applyFont="1" applyFill="1" applyAlignment="1">
      <alignment horizontal="left"/>
    </xf>
    <xf numFmtId="164" fontId="23" fillId="6" borderId="0" xfId="0" applyNumberFormat="1" applyFont="1" applyFill="1" applyAlignment="1"/>
    <xf numFmtId="0" fontId="23" fillId="6" borderId="0" xfId="0" applyFont="1" applyFill="1" applyAlignment="1"/>
    <xf numFmtId="0" fontId="25" fillId="6" borderId="0" xfId="0" applyFont="1" applyFill="1" applyAlignment="1"/>
    <xf numFmtId="0" fontId="11" fillId="6" borderId="0" xfId="0" applyFont="1" applyFill="1" applyAlignment="1">
      <alignment horizontal="left"/>
    </xf>
    <xf numFmtId="165" fontId="11" fillId="6" borderId="0" xfId="0" applyNumberFormat="1" applyFont="1" applyFill="1" applyAlignment="1"/>
    <xf numFmtId="0" fontId="23" fillId="0" borderId="2" xfId="0" applyFont="1" applyBorder="1" applyAlignment="1"/>
    <xf numFmtId="164" fontId="25" fillId="0" borderId="0" xfId="0" applyNumberFormat="1" applyFont="1" applyAlignment="1"/>
    <xf numFmtId="0" fontId="23" fillId="0" borderId="1" xfId="0" applyFont="1" applyBorder="1" applyAlignment="1"/>
    <xf numFmtId="0" fontId="23" fillId="0" borderId="0" xfId="0" applyFont="1">
      <alignment vertical="center"/>
    </xf>
    <xf numFmtId="0" fontId="11" fillId="6" borderId="0" xfId="0" applyFont="1" applyFill="1" applyAlignment="1"/>
    <xf numFmtId="0" fontId="24" fillId="0" borderId="0" xfId="0" applyFont="1">
      <alignment vertical="center"/>
    </xf>
    <xf numFmtId="49" fontId="23" fillId="0" borderId="0" xfId="0" applyNumberFormat="1" applyFont="1" applyAlignment="1">
      <alignment horizontal="center"/>
    </xf>
    <xf numFmtId="49" fontId="23" fillId="6" borderId="0" xfId="0" applyNumberFormat="1" applyFont="1" applyFill="1" applyAlignment="1">
      <alignment horizontal="center"/>
    </xf>
    <xf numFmtId="10" fontId="11" fillId="6" borderId="0" xfId="0" applyNumberFormat="1" applyFont="1" applyFill="1" applyAlignment="1">
      <alignment horizontal="center"/>
    </xf>
    <xf numFmtId="10" fontId="11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3" fontId="8" fillId="2" borderId="0" xfId="0" applyNumberFormat="1" applyFont="1" applyFill="1">
      <alignment vertical="center"/>
    </xf>
    <xf numFmtId="0" fontId="10" fillId="2" borderId="0" xfId="0" applyFont="1" applyFill="1" applyAlignment="1">
      <alignment vertical="center" wrapText="1"/>
    </xf>
    <xf numFmtId="0" fontId="10" fillId="2" borderId="5" xfId="0" applyFont="1" applyFill="1" applyBorder="1">
      <alignment vertical="center"/>
    </xf>
    <xf numFmtId="3" fontId="8" fillId="2" borderId="4" xfId="0" applyNumberFormat="1" applyFont="1" applyFill="1" applyBorder="1">
      <alignment vertical="center"/>
    </xf>
    <xf numFmtId="3" fontId="9" fillId="2" borderId="4" xfId="0" applyNumberFormat="1" applyFont="1" applyFill="1" applyBorder="1">
      <alignment vertical="center"/>
    </xf>
    <xf numFmtId="164" fontId="13" fillId="0" borderId="0" xfId="5" applyNumberFormat="1" applyFont="1"/>
    <xf numFmtId="0" fontId="31" fillId="0" borderId="0" xfId="5" applyFont="1"/>
    <xf numFmtId="166" fontId="13" fillId="0" borderId="0" xfId="5" applyNumberFormat="1" applyFont="1"/>
    <xf numFmtId="0" fontId="23" fillId="2" borderId="0" xfId="0" applyFont="1" applyFill="1" applyAlignment="1"/>
    <xf numFmtId="0" fontId="23" fillId="2" borderId="0" xfId="0" applyFont="1" applyFill="1" applyAlignment="1">
      <alignment horizontal="left"/>
    </xf>
    <xf numFmtId="164" fontId="23" fillId="2" borderId="0" xfId="0" applyNumberFormat="1" applyFont="1" applyFill="1" applyAlignment="1"/>
    <xf numFmtId="165" fontId="11" fillId="2" borderId="0" xfId="0" applyNumberFormat="1" applyFont="1" applyFill="1" applyAlignment="1"/>
    <xf numFmtId="0" fontId="25" fillId="2" borderId="0" xfId="0" applyFont="1" applyFill="1" applyAlignment="1"/>
    <xf numFmtId="0" fontId="10" fillId="0" borderId="0" xfId="9" applyFont="1">
      <alignment vertical="center"/>
    </xf>
    <xf numFmtId="0" fontId="10" fillId="0" borderId="3" xfId="9" applyFont="1" applyBorder="1">
      <alignment vertical="center"/>
    </xf>
    <xf numFmtId="0" fontId="33" fillId="0" borderId="3" xfId="9" applyFont="1" applyBorder="1" applyAlignment="1">
      <alignment vertical="top"/>
    </xf>
    <xf numFmtId="0" fontId="34" fillId="7" borderId="3" xfId="9" applyFont="1" applyFill="1" applyBorder="1" applyAlignment="1">
      <alignment horizontal="left" vertical="center"/>
    </xf>
    <xf numFmtId="0" fontId="34" fillId="7" borderId="3" xfId="9" applyFont="1" applyFill="1" applyBorder="1" applyAlignment="1">
      <alignment horizontal="right" vertical="center"/>
    </xf>
    <xf numFmtId="0" fontId="10" fillId="0" borderId="3" xfId="9" applyFont="1" applyBorder="1" applyAlignment="1">
      <alignment horizontal="right" vertical="center"/>
    </xf>
    <xf numFmtId="0" fontId="33" fillId="0" borderId="3" xfId="9" applyFont="1" applyBorder="1" applyAlignment="1">
      <alignment horizontal="right" vertical="top"/>
    </xf>
    <xf numFmtId="0" fontId="10" fillId="0" borderId="0" xfId="9" applyFont="1" applyAlignment="1">
      <alignment horizontal="right" vertical="center"/>
    </xf>
    <xf numFmtId="3" fontId="10" fillId="0" borderId="3" xfId="9" applyNumberFormat="1" applyFont="1" applyBorder="1" applyAlignment="1">
      <alignment horizontal="right" vertical="center"/>
    </xf>
    <xf numFmtId="0" fontId="9" fillId="0" borderId="3" xfId="9" applyFont="1" applyBorder="1">
      <alignment vertical="center"/>
    </xf>
    <xf numFmtId="3" fontId="9" fillId="0" borderId="3" xfId="9" applyNumberFormat="1" applyFont="1" applyBorder="1" applyAlignment="1">
      <alignment horizontal="right" vertical="center"/>
    </xf>
    <xf numFmtId="0" fontId="9" fillId="0" borderId="0" xfId="9" applyFont="1">
      <alignment vertical="center"/>
    </xf>
    <xf numFmtId="3" fontId="35" fillId="2" borderId="0" xfId="0" applyNumberFormat="1" applyFont="1" applyFill="1">
      <alignment vertical="center"/>
    </xf>
    <xf numFmtId="3" fontId="36" fillId="8" borderId="0" xfId="0" applyNumberFormat="1" applyFont="1" applyFill="1">
      <alignment vertical="center"/>
    </xf>
    <xf numFmtId="3" fontId="38" fillId="2" borderId="7" xfId="0" applyNumberFormat="1" applyFont="1" applyFill="1" applyBorder="1" applyAlignment="1">
      <alignment horizontal="centerContinuous" vertical="center"/>
    </xf>
    <xf numFmtId="3" fontId="35" fillId="2" borderId="8" xfId="0" applyNumberFormat="1" applyFont="1" applyFill="1" applyBorder="1" applyAlignment="1">
      <alignment horizontal="centerContinuous" vertical="center"/>
    </xf>
    <xf numFmtId="3" fontId="35" fillId="2" borderId="10" xfId="0" applyNumberFormat="1" applyFont="1" applyFill="1" applyBorder="1" applyAlignment="1">
      <alignment horizontal="centerContinuous" vertical="center"/>
    </xf>
    <xf numFmtId="3" fontId="35" fillId="2" borderId="11" xfId="0" applyNumberFormat="1" applyFont="1" applyFill="1" applyBorder="1" applyAlignment="1">
      <alignment horizontal="centerContinuous" vertical="center"/>
    </xf>
    <xf numFmtId="3" fontId="39" fillId="2" borderId="13" xfId="0" applyNumberFormat="1" applyFont="1" applyFill="1" applyBorder="1" applyAlignment="1">
      <alignment horizontal="centerContinuous" vertical="center"/>
    </xf>
    <xf numFmtId="3" fontId="35" fillId="2" borderId="14" xfId="0" applyNumberFormat="1" applyFont="1" applyFill="1" applyBorder="1" applyAlignment="1">
      <alignment horizontal="centerContinuous" vertical="center"/>
    </xf>
    <xf numFmtId="3" fontId="40" fillId="2" borderId="8" xfId="0" applyNumberFormat="1" applyFont="1" applyFill="1" applyBorder="1" applyAlignment="1">
      <alignment horizontal="centerContinuous" vertical="center"/>
    </xf>
    <xf numFmtId="3" fontId="35" fillId="2" borderId="9" xfId="0" applyNumberFormat="1" applyFont="1" applyFill="1" applyBorder="1" applyAlignment="1">
      <alignment horizontal="centerContinuous" vertical="center"/>
    </xf>
    <xf numFmtId="3" fontId="35" fillId="10" borderId="11" xfId="0" applyNumberFormat="1" applyFont="1" applyFill="1" applyBorder="1" applyAlignment="1">
      <alignment horizontal="centerContinuous" vertical="center"/>
    </xf>
    <xf numFmtId="3" fontId="35" fillId="10" borderId="12" xfId="0" applyNumberFormat="1" applyFont="1" applyFill="1" applyBorder="1" applyAlignment="1">
      <alignment horizontal="centerContinuous" vertical="center"/>
    </xf>
    <xf numFmtId="3" fontId="35" fillId="11" borderId="14" xfId="0" applyNumberFormat="1" applyFont="1" applyFill="1" applyBorder="1" applyAlignment="1">
      <alignment horizontal="centerContinuous" vertical="center"/>
    </xf>
    <xf numFmtId="3" fontId="35" fillId="11" borderId="15" xfId="0" applyNumberFormat="1" applyFont="1" applyFill="1" applyBorder="1" applyAlignment="1">
      <alignment horizontal="centerContinuous" vertical="center"/>
    </xf>
    <xf numFmtId="3" fontId="35" fillId="8" borderId="0" xfId="0" applyNumberFormat="1" applyFont="1" applyFill="1">
      <alignment vertical="center"/>
    </xf>
    <xf numFmtId="3" fontId="35" fillId="9" borderId="0" xfId="0" applyNumberFormat="1" applyFont="1" applyFill="1">
      <alignment vertical="center"/>
    </xf>
    <xf numFmtId="3" fontId="9" fillId="9" borderId="0" xfId="0" applyNumberFormat="1" applyFont="1" applyFill="1">
      <alignment vertical="center"/>
    </xf>
    <xf numFmtId="3" fontId="35" fillId="9" borderId="0" xfId="0" applyNumberFormat="1" applyFont="1" applyFill="1" applyAlignment="1">
      <alignment horizontal="center" vertical="center"/>
    </xf>
    <xf numFmtId="3" fontId="35" fillId="8" borderId="16" xfId="0" applyNumberFormat="1" applyFont="1" applyFill="1" applyBorder="1">
      <alignment vertical="center"/>
    </xf>
    <xf numFmtId="3" fontId="35" fillId="8" borderId="17" xfId="0" applyNumberFormat="1" applyFont="1" applyFill="1" applyBorder="1">
      <alignment vertical="center"/>
    </xf>
    <xf numFmtId="3" fontId="35" fillId="9" borderId="17" xfId="0" applyNumberFormat="1" applyFont="1" applyFill="1" applyBorder="1">
      <alignment vertical="center"/>
    </xf>
    <xf numFmtId="167" fontId="36" fillId="8" borderId="20" xfId="0" applyNumberFormat="1" applyFont="1" applyFill="1" applyBorder="1">
      <alignment vertical="center"/>
    </xf>
    <xf numFmtId="168" fontId="36" fillId="8" borderId="20" xfId="0" applyNumberFormat="1" applyFont="1" applyFill="1" applyBorder="1">
      <alignment vertical="center"/>
    </xf>
    <xf numFmtId="3" fontId="36" fillId="8" borderId="19" xfId="0" applyNumberFormat="1" applyFont="1" applyFill="1" applyBorder="1" applyAlignment="1">
      <alignment horizontal="centerContinuous" vertical="center"/>
    </xf>
    <xf numFmtId="3" fontId="36" fillId="8" borderId="20" xfId="0" applyNumberFormat="1" applyFont="1" applyFill="1" applyBorder="1" applyAlignment="1">
      <alignment horizontal="right" vertical="center"/>
    </xf>
    <xf numFmtId="3" fontId="41" fillId="8" borderId="0" xfId="0" applyNumberFormat="1" applyFont="1" applyFill="1">
      <alignment vertical="center"/>
    </xf>
    <xf numFmtId="0" fontId="31" fillId="12" borderId="0" xfId="5" applyFont="1" applyFill="1"/>
    <xf numFmtId="0" fontId="13" fillId="12" borderId="0" xfId="5" applyFont="1" applyFill="1"/>
    <xf numFmtId="164" fontId="31" fillId="12" borderId="0" xfId="5" applyNumberFormat="1" applyFont="1" applyFill="1"/>
    <xf numFmtId="166" fontId="31" fillId="12" borderId="0" xfId="5" applyNumberFormat="1" applyFont="1" applyFill="1"/>
    <xf numFmtId="3" fontId="42" fillId="9" borderId="0" xfId="0" applyNumberFormat="1" applyFont="1" applyFill="1">
      <alignment vertical="center"/>
    </xf>
    <xf numFmtId="3" fontId="35" fillId="2" borderId="0" xfId="0" applyNumberFormat="1" applyFont="1" applyFill="1" applyAlignment="1">
      <alignment horizontal="left" vertical="center" indent="1"/>
    </xf>
    <xf numFmtId="3" fontId="35" fillId="2" borderId="0" xfId="0" applyNumberFormat="1" applyFont="1" applyFill="1" applyAlignment="1">
      <alignment horizontal="left" vertical="center" indent="2"/>
    </xf>
    <xf numFmtId="3" fontId="43" fillId="2" borderId="0" xfId="0" applyNumberFormat="1" applyFont="1" applyFill="1">
      <alignment vertical="center"/>
    </xf>
    <xf numFmtId="3" fontId="43" fillId="2" borderId="0" xfId="0" applyNumberFormat="1" applyFont="1" applyFill="1" applyAlignment="1">
      <alignment horizontal="right" vertical="center"/>
    </xf>
    <xf numFmtId="164" fontId="13" fillId="12" borderId="0" xfId="5" applyNumberFormat="1" applyFont="1" applyFill="1"/>
    <xf numFmtId="166" fontId="13" fillId="12" borderId="0" xfId="5" applyNumberFormat="1" applyFont="1" applyFill="1"/>
    <xf numFmtId="0" fontId="13" fillId="2" borderId="0" xfId="5" applyFont="1" applyFill="1"/>
    <xf numFmtId="3" fontId="10" fillId="2" borderId="0" xfId="0" applyNumberFormat="1" applyFont="1" applyFill="1">
      <alignment vertical="center"/>
    </xf>
    <xf numFmtId="3" fontId="10" fillId="2" borderId="0" xfId="0" applyNumberFormat="1" applyFont="1" applyFill="1" applyAlignment="1">
      <alignment horizontal="left" vertical="center" indent="1"/>
    </xf>
    <xf numFmtId="3" fontId="35" fillId="2" borderId="0" xfId="0" applyNumberFormat="1" applyFont="1" applyFill="1" applyAlignment="1">
      <alignment vertical="center" wrapText="1"/>
    </xf>
    <xf numFmtId="165" fontId="9" fillId="2" borderId="0" xfId="0" applyNumberFormat="1" applyFont="1" applyFill="1">
      <alignment vertical="center"/>
    </xf>
    <xf numFmtId="165" fontId="10" fillId="2" borderId="0" xfId="0" applyNumberFormat="1" applyFont="1" applyFill="1">
      <alignment vertical="center"/>
    </xf>
    <xf numFmtId="3" fontId="44" fillId="2" borderId="0" xfId="0" applyNumberFormat="1" applyFont="1" applyFill="1">
      <alignment vertical="center"/>
    </xf>
    <xf numFmtId="165" fontId="44" fillId="2" borderId="0" xfId="0" applyNumberFormat="1" applyFont="1" applyFill="1">
      <alignment vertical="center"/>
    </xf>
    <xf numFmtId="3" fontId="44" fillId="2" borderId="0" xfId="0" applyNumberFormat="1" applyFont="1" applyFill="1" applyAlignment="1">
      <alignment horizontal="left" vertical="center" indent="1"/>
    </xf>
    <xf numFmtId="3" fontId="44" fillId="2" borderId="0" xfId="0" applyNumberFormat="1" applyFont="1" applyFill="1" applyAlignment="1">
      <alignment horizontal="left" vertical="center" indent="2"/>
    </xf>
    <xf numFmtId="3" fontId="45" fillId="2" borderId="0" xfId="0" applyNumberFormat="1" applyFont="1" applyFill="1">
      <alignment vertical="center"/>
    </xf>
    <xf numFmtId="165" fontId="45" fillId="2" borderId="0" xfId="0" applyNumberFormat="1" applyFont="1" applyFill="1">
      <alignment vertical="center"/>
    </xf>
    <xf numFmtId="165" fontId="44" fillId="10" borderId="11" xfId="0" applyNumberFormat="1" applyFont="1" applyFill="1" applyBorder="1">
      <alignment vertical="center"/>
    </xf>
    <xf numFmtId="165" fontId="46" fillId="10" borderId="11" xfId="0" applyNumberFormat="1" applyFont="1" applyFill="1" applyBorder="1">
      <alignment vertical="center"/>
    </xf>
    <xf numFmtId="165" fontId="35" fillId="2" borderId="0" xfId="0" applyNumberFormat="1" applyFont="1" applyFill="1">
      <alignment vertical="center"/>
    </xf>
    <xf numFmtId="164" fontId="35" fillId="2" borderId="0" xfId="0" applyNumberFormat="1" applyFont="1" applyFill="1">
      <alignment vertical="center"/>
    </xf>
    <xf numFmtId="164" fontId="38" fillId="10" borderId="11" xfId="0" applyNumberFormat="1" applyFont="1" applyFill="1" applyBorder="1">
      <alignment vertical="center"/>
    </xf>
    <xf numFmtId="3" fontId="47" fillId="2" borderId="0" xfId="0" applyNumberFormat="1" applyFont="1" applyFill="1">
      <alignment vertical="center"/>
    </xf>
    <xf numFmtId="3" fontId="48" fillId="2" borderId="0" xfId="0" applyNumberFormat="1" applyFont="1" applyFill="1">
      <alignment vertical="center"/>
    </xf>
    <xf numFmtId="3" fontId="49" fillId="2" borderId="0" xfId="0" applyNumberFormat="1" applyFont="1" applyFill="1">
      <alignment vertical="center"/>
    </xf>
    <xf numFmtId="3" fontId="50" fillId="2" borderId="0" xfId="0" applyNumberFormat="1" applyFont="1" applyFill="1">
      <alignment vertical="center"/>
    </xf>
    <xf numFmtId="169" fontId="44" fillId="10" borderId="11" xfId="0" applyNumberFormat="1" applyFont="1" applyFill="1" applyBorder="1">
      <alignment vertical="center"/>
    </xf>
    <xf numFmtId="3" fontId="38" fillId="2" borderId="0" xfId="0" applyNumberFormat="1" applyFont="1" applyFill="1">
      <alignment vertical="center"/>
    </xf>
    <xf numFmtId="3" fontId="38" fillId="10" borderId="11" xfId="0" applyNumberFormat="1" applyFont="1" applyFill="1" applyBorder="1">
      <alignment vertical="center"/>
    </xf>
    <xf numFmtId="3" fontId="51" fillId="2" borderId="0" xfId="0" applyNumberFormat="1" applyFont="1" applyFill="1">
      <alignment vertical="center"/>
    </xf>
    <xf numFmtId="0" fontId="52" fillId="2" borderId="0" xfId="0" applyFont="1" applyFill="1" applyAlignment="1">
      <alignment horizontal="left" vertical="center"/>
    </xf>
    <xf numFmtId="3" fontId="25" fillId="2" borderId="0" xfId="0" applyNumberFormat="1" applyFont="1" applyFill="1">
      <alignment vertical="center"/>
    </xf>
    <xf numFmtId="164" fontId="35" fillId="10" borderId="11" xfId="0" applyNumberFormat="1" applyFont="1" applyFill="1" applyBorder="1">
      <alignment vertical="center"/>
    </xf>
    <xf numFmtId="0" fontId="35" fillId="2" borderId="0" xfId="0" applyFont="1" applyFill="1">
      <alignment vertical="center"/>
    </xf>
    <xf numFmtId="3" fontId="47" fillId="2" borderId="0" xfId="0" applyNumberFormat="1" applyFont="1" applyFill="1" applyAlignment="1">
      <alignment horizontal="center" vertical="center"/>
    </xf>
    <xf numFmtId="3" fontId="48" fillId="2" borderId="0" xfId="0" applyNumberFormat="1" applyFont="1" applyFill="1" applyAlignment="1">
      <alignment horizontal="center" vertical="center"/>
    </xf>
    <xf numFmtId="3" fontId="50" fillId="2" borderId="0" xfId="0" applyNumberFormat="1" applyFont="1" applyFill="1" applyAlignment="1">
      <alignment horizontal="center" vertical="center"/>
    </xf>
    <xf numFmtId="3" fontId="35" fillId="2" borderId="0" xfId="0" applyNumberFormat="1" applyFont="1" applyFill="1" applyAlignment="1">
      <alignment horizontal="left" vertical="center"/>
    </xf>
    <xf numFmtId="3" fontId="49" fillId="2" borderId="0" xfId="0" applyNumberFormat="1" applyFont="1" applyFill="1" applyAlignment="1">
      <alignment horizontal="center" vertical="center"/>
    </xf>
    <xf numFmtId="3" fontId="44" fillId="10" borderId="11" xfId="0" applyNumberFormat="1" applyFont="1" applyFill="1" applyBorder="1">
      <alignment vertical="center"/>
    </xf>
    <xf numFmtId="3" fontId="9" fillId="2" borderId="0" xfId="0" applyNumberFormat="1" applyFont="1" applyFill="1" applyAlignment="1">
      <alignment horizontal="left" vertical="center" indent="1"/>
    </xf>
    <xf numFmtId="3" fontId="10" fillId="10" borderId="11" xfId="0" applyNumberFormat="1" applyFont="1" applyFill="1" applyBorder="1">
      <alignment vertical="center"/>
    </xf>
    <xf numFmtId="3" fontId="53" fillId="10" borderId="11" xfId="0" applyNumberFormat="1" applyFont="1" applyFill="1" applyBorder="1">
      <alignment vertical="center"/>
    </xf>
    <xf numFmtId="170" fontId="44" fillId="2" borderId="0" xfId="0" applyNumberFormat="1" applyFont="1" applyFill="1" applyAlignment="1">
      <alignment horizontal="left" vertical="center" indent="1"/>
    </xf>
    <xf numFmtId="3" fontId="23" fillId="10" borderId="11" xfId="0" applyNumberFormat="1" applyFont="1" applyFill="1" applyBorder="1">
      <alignment vertical="center"/>
    </xf>
    <xf numFmtId="3" fontId="37" fillId="8" borderId="0" xfId="0" applyNumberFormat="1" applyFont="1" applyFill="1">
      <alignment vertical="center"/>
    </xf>
    <xf numFmtId="3" fontId="36" fillId="8" borderId="18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3" fontId="50" fillId="2" borderId="0" xfId="0" applyNumberFormat="1" applyFont="1" applyFill="1" applyAlignment="1">
      <alignment horizontal="left" vertical="center" indent="1"/>
    </xf>
    <xf numFmtId="165" fontId="44" fillId="2" borderId="0" xfId="0" applyNumberFormat="1" applyFont="1" applyFill="1" applyAlignment="1">
      <alignment horizontal="left" vertical="center" indent="1"/>
    </xf>
  </cellXfs>
  <cellStyles count="10">
    <cellStyle name="Invisible" xfId="6" xr:uid="{90F2611E-A193-4A36-80F9-F52FC977347B}"/>
    <cellStyle name="Normal" xfId="0" builtinId="0"/>
    <cellStyle name="Normal 148" xfId="1" xr:uid="{22F3A036-6069-4929-AAFE-C57449E9D6D6}"/>
    <cellStyle name="Normal 2" xfId="2" xr:uid="{F9049E5C-B482-4577-B4E5-75AFD0207BD0}"/>
    <cellStyle name="Normal 2 2" xfId="4" xr:uid="{4E7B1974-B174-4752-A96C-3E50838DCE7B}"/>
    <cellStyle name="Normal 2 3" xfId="9" xr:uid="{D593CDBB-8672-4E7E-89B7-0CCACA54D03C}"/>
    <cellStyle name="Normal 3" xfId="3" xr:uid="{65DE5210-F8BA-4828-91EB-AB1FBD9D0863}"/>
    <cellStyle name="Normal 4" xfId="5" xr:uid="{BC3D4968-D8F8-4797-9B7A-D9DFAB407435}"/>
    <cellStyle name="Normal 5" xfId="7" xr:uid="{3C85CC86-C349-4B53-AE84-E5B604B7EECD}"/>
    <cellStyle name="Normal 6" xfId="8" xr:uid="{6E877403-EE0A-4DDB-9DF4-EDCCCB4E31CF}"/>
  </cellStyles>
  <dxfs count="0"/>
  <tableStyles count="0" defaultTableStyle="TableStyleMedium2" defaultPivotStyle="PivotStyleLight16"/>
  <colors>
    <mruColors>
      <color rgb="FF0000FF"/>
      <color rgb="FF00643C"/>
      <color rgb="FF99FF66"/>
      <color rgb="FF47FFB5"/>
      <color rgb="FF006600"/>
      <color rgb="FFD26F3A"/>
      <color rgb="FFD9EFFA"/>
      <color rgb="FFFAFFD9"/>
      <color rgb="FFF6FFB7"/>
      <color rgb="FFEFF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</xdr:colOff>
      <xdr:row>0</xdr:row>
      <xdr:rowOff>8965</xdr:rowOff>
    </xdr:from>
    <xdr:to>
      <xdr:col>3</xdr:col>
      <xdr:colOff>37679</xdr:colOff>
      <xdr:row>8</xdr:row>
      <xdr:rowOff>131080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C03052-9D79-452A-8686-12EE5C37E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99464" y="8965"/>
          <a:ext cx="1171715" cy="15516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</xdr:colOff>
      <xdr:row>0</xdr:row>
      <xdr:rowOff>8965</xdr:rowOff>
    </xdr:from>
    <xdr:to>
      <xdr:col>3</xdr:col>
      <xdr:colOff>37679</xdr:colOff>
      <xdr:row>8</xdr:row>
      <xdr:rowOff>131080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2BCF68-16DA-4A5E-882E-11D2665BE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99464" y="8965"/>
          <a:ext cx="1171715" cy="15516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</xdr:colOff>
      <xdr:row>0</xdr:row>
      <xdr:rowOff>8965</xdr:rowOff>
    </xdr:from>
    <xdr:to>
      <xdr:col>3</xdr:col>
      <xdr:colOff>37679</xdr:colOff>
      <xdr:row>8</xdr:row>
      <xdr:rowOff>125365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8AE258-7D42-4852-BA46-B8B721968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97223" y="8965"/>
          <a:ext cx="1176197" cy="1568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ldgfinrp/2015%20Report%20Format/IRR/Q1/Q1_15%20IR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ldgfinrp/2006%20Report%20Format/IRR/Q4/Supporting%20Files/Open_Close_Q4_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alsheet/2001%20Fiscal%20Year/0009/Closing/StmtOpResultsP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Units Input"/>
      <sheetName val="Rooms Input"/>
      <sheetName val="Lodging Products - Props"/>
      <sheetName val="Lodging Products - Rooms"/>
      <sheetName val="Rolling Activity"/>
      <sheetName val="YTD Conversions &amp; Gross Opening"/>
      <sheetName val="Worldwide by Owner"/>
      <sheetName val="NALO by Owner"/>
      <sheetName val="INTL by Owner"/>
      <sheetName val="Canadian Reconciliation"/>
      <sheetName val="MHR"/>
      <sheetName val="MEA"/>
      <sheetName val="RHR"/>
      <sheetName val="AUTO"/>
      <sheetName val="GAYLORD"/>
      <sheetName val="PROTEA"/>
      <sheetName val="DELTA"/>
      <sheetName val="RITZ-CARLTON"/>
      <sheetName val="BULGARI"/>
      <sheetName val="EDITION"/>
      <sheetName val="CY"/>
      <sheetName val="RI"/>
      <sheetName val="TPS"/>
      <sheetName val="FFIS"/>
      <sheetName val="SHS"/>
      <sheetName val="ACBM"/>
      <sheetName val="MOXY"/>
      <sheetName val="MVW"/>
    </sheetNames>
    <sheetDataSet>
      <sheetData sheetId="0">
        <row r="2">
          <cell r="C2">
            <v>2015</v>
          </cell>
        </row>
        <row r="4">
          <cell r="C4" t="str">
            <v>1st Qtr</v>
          </cell>
        </row>
        <row r="5">
          <cell r="C5" t="str">
            <v>4th Qtr</v>
          </cell>
        </row>
        <row r="6">
          <cell r="C6">
            <v>2014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F7">
            <v>2</v>
          </cell>
        </row>
      </sheetData>
      <sheetData sheetId="9">
        <row r="7">
          <cell r="F7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Q4"/>
      <sheetName val="Tm"/>
      <sheetName val="Brand"/>
    </sheetNames>
    <sheetDataSet>
      <sheetData sheetId="0">
        <row r="4">
          <cell r="A4" t="str">
            <v>Opened</v>
          </cell>
          <cell r="C4" t="str">
            <v>Franchised</v>
          </cell>
        </row>
        <row r="5">
          <cell r="A5" t="str">
            <v>Closed</v>
          </cell>
          <cell r="C5" t="str">
            <v>Managed</v>
          </cell>
        </row>
        <row r="6">
          <cell r="A6" t="str">
            <v>Transfer To</v>
          </cell>
          <cell r="C6" t="str">
            <v>Owned</v>
          </cell>
        </row>
        <row r="7">
          <cell r="A7" t="str">
            <v>Transfer Fr</v>
          </cell>
          <cell r="C7" t="str">
            <v xml:space="preserve">Leased </v>
          </cell>
        </row>
        <row r="8">
          <cell r="A8" t="str">
            <v>Misc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isclaimer"/>
      <sheetName val="Table "/>
      <sheetName val="Results"/>
      <sheetName val="Stats"/>
      <sheetName val="MHRS Q3"/>
      <sheetName val="RITZ Q3"/>
      <sheetName val="REN Q3"/>
      <sheetName val="Int'l MHRS Q3"/>
      <sheetName val="Int'l CY &amp; Ren Q3"/>
      <sheetName val="CY Q3"/>
      <sheetName val="FFI Q3"/>
      <sheetName val="SHS Q3"/>
      <sheetName val="RI Q3"/>
      <sheetName val="TPS Q3"/>
      <sheetName val="CL &amp; Other Q3"/>
      <sheetName val="MVCI Q3"/>
      <sheetName val="SLS Q3"/>
      <sheetName val="MDS Q3"/>
      <sheetName val="Int Exp &amp; Inc"/>
      <sheetName val="CorpExp Q3"/>
      <sheetName val="YTD Results"/>
      <sheetName val="YTD Stats"/>
      <sheetName val="MHRS YTD"/>
      <sheetName val="RITZ YTD"/>
      <sheetName val="REN YTD"/>
      <sheetName val="Int'l MHRS YTD"/>
      <sheetName val="Int'l CY &amp; Ren YTD"/>
      <sheetName val="CY YTD"/>
      <sheetName val="FFI YTD"/>
      <sheetName val="SHS YTD"/>
      <sheetName val="RI YTD"/>
      <sheetName val="TPS YTD"/>
      <sheetName val="CL &amp; Other Q3 YTD"/>
      <sheetName val="MVCI YTD"/>
      <sheetName val="SLS YTD"/>
      <sheetName val="MDS YTD"/>
      <sheetName val="Int Exp YTD"/>
      <sheetName val="CorpExp YTD"/>
      <sheetName val="MHRS Q2"/>
      <sheetName val="Ren Q2"/>
      <sheetName val="CY Q2"/>
      <sheetName val="RI Q2"/>
      <sheetName val="TPS Q2"/>
      <sheetName val="FFI Q2"/>
      <sheetName val="SHS Q2"/>
      <sheetName val="Int'l MHRS Q2"/>
      <sheetName val="Int'l CY &amp; Ren Q2"/>
      <sheetName val="Ritz Q2 "/>
      <sheetName val="MVCI Q2"/>
      <sheetName val="CL &amp; Other Q2"/>
      <sheetName val="MDS Q2"/>
      <sheetName val="SLS Q2"/>
      <sheetName val="Int Exp &amp; Inc "/>
      <sheetName val="CorpExp Q2"/>
      <sheetName val="CL &amp; Other Q2YTD"/>
      <sheetName val="Int Exp &amp; Inc YTD"/>
    </sheetNames>
    <sheetDataSet>
      <sheetData sheetId="0">
        <row r="1">
          <cell r="J1" t="str">
            <v>THIRD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535D-4F66-404F-AF56-DC2C4F34B874}">
  <dimension ref="A1:U150"/>
  <sheetViews>
    <sheetView tabSelected="1" zoomScale="140" zoomScaleNormal="140" workbookViewId="0">
      <pane xSplit="7" ySplit="11" topLeftCell="H72" activePane="bottomRight" state="frozen"/>
      <selection pane="topRight" activeCell="H1" sqref="H1"/>
      <selection pane="bottomLeft" activeCell="A12" sqref="A12"/>
      <selection pane="bottomRight" activeCell="U25" sqref="U25"/>
    </sheetView>
  </sheetViews>
  <sheetFormatPr baseColWidth="10" defaultColWidth="8.88671875" defaultRowHeight="13.8"/>
  <cols>
    <col min="1" max="1" width="2.88671875" style="146" customWidth="1"/>
    <col min="2" max="20" width="8.33203125" style="80" customWidth="1"/>
    <col min="21" max="21" width="30.88671875" style="80" customWidth="1"/>
    <col min="22" max="16384" width="8.88671875" style="80"/>
  </cols>
  <sheetData>
    <row r="1" spans="1:21" ht="14.4" thickBot="1"/>
    <row r="2" spans="1:21"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</row>
    <row r="3" spans="1:21"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</row>
    <row r="4" spans="1:21">
      <c r="B4" s="94"/>
      <c r="C4" s="94"/>
      <c r="D4" s="157" t="s">
        <v>226</v>
      </c>
      <c r="E4" s="157"/>
      <c r="F4" s="157"/>
      <c r="G4" s="157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1:21">
      <c r="B5" s="94"/>
      <c r="C5" s="94"/>
      <c r="D5" s="157"/>
      <c r="E5" s="157"/>
      <c r="F5" s="157"/>
      <c r="G5" s="157"/>
      <c r="H5" s="95"/>
      <c r="I5" s="96" t="s">
        <v>228</v>
      </c>
      <c r="J5" s="95"/>
      <c r="K5" s="95"/>
      <c r="L5" s="97" t="s">
        <v>213</v>
      </c>
      <c r="M5" s="95"/>
      <c r="N5" s="95"/>
      <c r="O5" s="82" t="s">
        <v>231</v>
      </c>
      <c r="P5" s="83"/>
      <c r="Q5" s="88" t="s">
        <v>234</v>
      </c>
      <c r="R5" s="89"/>
      <c r="S5" s="95"/>
      <c r="T5" s="95"/>
      <c r="U5" s="95"/>
    </row>
    <row r="6" spans="1:21" ht="15.6">
      <c r="B6" s="94"/>
      <c r="C6" s="94"/>
      <c r="D6" s="105" t="s">
        <v>243</v>
      </c>
      <c r="E6" s="94"/>
      <c r="F6" s="94"/>
      <c r="G6" s="94"/>
      <c r="H6" s="95"/>
      <c r="I6" s="96" t="s">
        <v>229</v>
      </c>
      <c r="J6" s="95"/>
      <c r="K6" s="95"/>
      <c r="L6" s="97" t="s">
        <v>213</v>
      </c>
      <c r="M6" s="95"/>
      <c r="N6" s="95"/>
      <c r="O6" s="84" t="s">
        <v>232</v>
      </c>
      <c r="P6" s="85"/>
      <c r="Q6" s="90" t="s">
        <v>235</v>
      </c>
      <c r="R6" s="91"/>
      <c r="S6" s="95"/>
      <c r="T6" s="95"/>
      <c r="U6" s="95"/>
    </row>
    <row r="7" spans="1:21">
      <c r="B7" s="94"/>
      <c r="C7" s="94"/>
      <c r="D7" s="94"/>
      <c r="E7" s="94"/>
      <c r="F7" s="94"/>
      <c r="G7" s="94"/>
      <c r="H7" s="95"/>
      <c r="I7" s="96" t="s">
        <v>230</v>
      </c>
      <c r="J7" s="95"/>
      <c r="K7" s="95"/>
      <c r="L7" s="97" t="s">
        <v>213</v>
      </c>
      <c r="M7" s="95"/>
      <c r="N7" s="95"/>
      <c r="O7" s="86" t="s">
        <v>233</v>
      </c>
      <c r="P7" s="87"/>
      <c r="Q7" s="92" t="s">
        <v>236</v>
      </c>
      <c r="R7" s="93"/>
      <c r="S7" s="95"/>
      <c r="T7" s="95"/>
      <c r="U7" s="95"/>
    </row>
    <row r="8" spans="1:21" ht="14.4" thickBot="1">
      <c r="B8" s="99"/>
      <c r="C8" s="99"/>
      <c r="D8" s="99"/>
      <c r="E8" s="99"/>
      <c r="F8" s="99"/>
      <c r="G8" s="99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</row>
    <row r="10" spans="1:21">
      <c r="B10" s="81"/>
      <c r="C10" s="81"/>
      <c r="D10" s="81"/>
      <c r="E10" s="81"/>
      <c r="F10" s="81"/>
      <c r="G10" s="81"/>
      <c r="H10" s="103" t="s">
        <v>237</v>
      </c>
      <c r="I10" s="103"/>
      <c r="J10" s="103"/>
      <c r="K10" s="103"/>
      <c r="L10" s="103"/>
      <c r="M10" s="103"/>
      <c r="N10" s="103" t="s">
        <v>238</v>
      </c>
      <c r="O10" s="103"/>
      <c r="P10" s="103"/>
      <c r="Q10" s="103"/>
      <c r="R10" s="103"/>
      <c r="S10" s="103" t="s">
        <v>239</v>
      </c>
      <c r="T10" s="103"/>
      <c r="U10" s="158" t="s">
        <v>236</v>
      </c>
    </row>
    <row r="11" spans="1:21">
      <c r="B11" s="81" t="s">
        <v>242</v>
      </c>
      <c r="C11" s="81"/>
      <c r="D11" s="81"/>
      <c r="E11" s="81"/>
      <c r="F11" s="81"/>
      <c r="G11" s="81"/>
      <c r="H11" s="101">
        <v>2018</v>
      </c>
      <c r="I11" s="101">
        <f>H11+1</f>
        <v>2019</v>
      </c>
      <c r="J11" s="101">
        <f t="shared" ref="J11:R11" si="0">I11+1</f>
        <v>2020</v>
      </c>
      <c r="K11" s="101">
        <f t="shared" si="0"/>
        <v>2021</v>
      </c>
      <c r="L11" s="101">
        <f t="shared" si="0"/>
        <v>2022</v>
      </c>
      <c r="M11" s="101">
        <f t="shared" si="0"/>
        <v>2023</v>
      </c>
      <c r="N11" s="102">
        <f t="shared" si="0"/>
        <v>2024</v>
      </c>
      <c r="O11" s="102">
        <f t="shared" si="0"/>
        <v>2025</v>
      </c>
      <c r="P11" s="102">
        <f t="shared" si="0"/>
        <v>2026</v>
      </c>
      <c r="Q11" s="102">
        <f t="shared" si="0"/>
        <v>2027</v>
      </c>
      <c r="R11" s="102">
        <f t="shared" si="0"/>
        <v>2028</v>
      </c>
      <c r="S11" s="104" t="s">
        <v>240</v>
      </c>
      <c r="T11" s="104" t="s">
        <v>241</v>
      </c>
      <c r="U11" s="158"/>
    </row>
    <row r="13" spans="1:21">
      <c r="A13" s="146" t="s">
        <v>308</v>
      </c>
      <c r="B13" s="110" t="s">
        <v>245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</row>
    <row r="15" spans="1:21" s="5" customFormat="1">
      <c r="A15" s="147"/>
      <c r="B15" s="5" t="s">
        <v>246</v>
      </c>
      <c r="H15" s="5">
        <f>+IS_A!F17</f>
        <v>102.9</v>
      </c>
      <c r="I15" s="5">
        <f>+IS_A!G17</f>
        <v>130.69999999999999</v>
      </c>
      <c r="J15" s="5">
        <f>+IS_A!H17</f>
        <v>157.80000000000001</v>
      </c>
      <c r="K15" s="5">
        <f>+IS_A!I17</f>
        <v>177.1</v>
      </c>
      <c r="L15" s="5">
        <f>+IS_A!J17</f>
        <v>194</v>
      </c>
      <c r="M15" s="5">
        <f>+IS_A!K17</f>
        <v>205.9</v>
      </c>
      <c r="N15" s="5">
        <f>EBIT!N15</f>
        <v>225.3894989132026</v>
      </c>
      <c r="O15" s="5">
        <f>EBIT!O15</f>
        <v>247.48618495391187</v>
      </c>
      <c r="P15" s="5">
        <f>EBIT!P15</f>
        <v>272.56156991495709</v>
      </c>
      <c r="Q15" s="5">
        <f>EBIT!Q15</f>
        <v>301.04257626188661</v>
      </c>
      <c r="R15" s="5">
        <f>EBIT!R15</f>
        <v>333.4200724181029</v>
      </c>
    </row>
    <row r="16" spans="1:21">
      <c r="B16" s="80" t="s">
        <v>247</v>
      </c>
      <c r="H16" s="80">
        <f>+IS_A!F25</f>
        <v>24.8</v>
      </c>
      <c r="I16" s="80">
        <f>+IS_A!G25</f>
        <v>28.69271261089628</v>
      </c>
      <c r="J16" s="80">
        <f>+IS_A!H25</f>
        <v>44.130096299431344</v>
      </c>
      <c r="K16" s="80">
        <f>+IS_A!I25</f>
        <v>52.5</v>
      </c>
      <c r="L16" s="80">
        <f>+IS_A!J25</f>
        <v>57.2</v>
      </c>
      <c r="M16" s="80">
        <f>+IS_A!K25</f>
        <v>61.77000000000001</v>
      </c>
      <c r="N16" s="80">
        <f>EBIT!N53</f>
        <v>67.418347976036145</v>
      </c>
      <c r="O16" s="80">
        <f>EBIT!O53</f>
        <v>73.626122593493989</v>
      </c>
      <c r="P16" s="80">
        <f>EBIT!P53</f>
        <v>80.441460980623162</v>
      </c>
      <c r="Q16" s="80">
        <f>EBIT!Q53</f>
        <v>87.914655738722885</v>
      </c>
      <c r="R16" s="80">
        <f>EBIT!R53</f>
        <v>96.097736314010731</v>
      </c>
    </row>
    <row r="17" spans="1:21" s="5" customFormat="1">
      <c r="A17" s="147"/>
      <c r="B17" s="5" t="s">
        <v>7</v>
      </c>
      <c r="H17" s="5">
        <f>+IS_A!F26</f>
        <v>78.100000000000009</v>
      </c>
      <c r="I17" s="5">
        <f>+IS_A!G26</f>
        <v>102.00728738910371</v>
      </c>
      <c r="J17" s="5">
        <f>+IS_A!H26</f>
        <v>113.66990370056867</v>
      </c>
      <c r="K17" s="5">
        <f>+IS_A!I26</f>
        <v>124.6</v>
      </c>
      <c r="L17" s="5">
        <f>+IS_A!J26</f>
        <v>136.80000000000001</v>
      </c>
      <c r="M17" s="5">
        <f>+IS_A!K26</f>
        <v>144.13</v>
      </c>
      <c r="N17" s="5">
        <f>EBIT!N58</f>
        <v>157.97115093716641</v>
      </c>
      <c r="O17" s="5">
        <f>EBIT!O58</f>
        <v>173.86006236041786</v>
      </c>
      <c r="P17" s="5">
        <f>EBIT!P58</f>
        <v>192.12010893433393</v>
      </c>
      <c r="Q17" s="5">
        <f>EBIT!Q58</f>
        <v>213.12792052316371</v>
      </c>
      <c r="R17" s="5">
        <f>EBIT!R58</f>
        <v>237.32233610409216</v>
      </c>
    </row>
    <row r="18" spans="1:21">
      <c r="B18" s="80" t="s">
        <v>248</v>
      </c>
      <c r="H18" s="80">
        <f>+IS_A!F30</f>
        <v>22.760952361439593</v>
      </c>
      <c r="I18" s="80">
        <f>+IS_A!G30</f>
        <v>32.981276879302328</v>
      </c>
      <c r="J18" s="80">
        <f>+IS_A!H30</f>
        <v>61.760066819988992</v>
      </c>
      <c r="K18" s="80">
        <f>+IS_A!I30</f>
        <v>65.472656067038784</v>
      </c>
      <c r="L18" s="80">
        <f>+IS_A!J30</f>
        <v>64.837956049840869</v>
      </c>
      <c r="M18" s="80">
        <f>+IS_A!K30</f>
        <v>68.985230856390771</v>
      </c>
      <c r="N18" s="80">
        <f>+EBIT!N80</f>
        <v>79.968847082106137</v>
      </c>
      <c r="O18" s="80">
        <f>+EBIT!O80</f>
        <v>88.122621875629761</v>
      </c>
      <c r="P18" s="80">
        <f>+EBIT!P80</f>
        <v>97.282587176456232</v>
      </c>
      <c r="Q18" s="80">
        <f>+EBIT!Q80</f>
        <v>107.52998987644173</v>
      </c>
      <c r="R18" s="80">
        <f>+EBIT!R80</f>
        <v>119.02919822498228</v>
      </c>
    </row>
    <row r="19" spans="1:21" s="5" customFormat="1">
      <c r="A19" s="147"/>
      <c r="B19" s="5" t="s">
        <v>244</v>
      </c>
      <c r="H19" s="5">
        <f>+IS_A!F31</f>
        <v>55.339047638560416</v>
      </c>
      <c r="I19" s="5">
        <f>+IS_A!G31</f>
        <v>69.026010509801381</v>
      </c>
      <c r="J19" s="5">
        <f>+IS_A!H31</f>
        <v>51.909836880579675</v>
      </c>
      <c r="K19" s="5">
        <f>+IS_A!I31</f>
        <v>59.12734393296121</v>
      </c>
      <c r="L19" s="5">
        <f>+IS_A!J31</f>
        <v>71.962043950159142</v>
      </c>
      <c r="M19" s="5">
        <f>+IS_A!K31</f>
        <v>75.144769143609224</v>
      </c>
      <c r="N19" s="5">
        <f>N17-N18</f>
        <v>78.002303855060276</v>
      </c>
      <c r="O19" s="5">
        <f t="shared" ref="O19:R19" si="1">O17-O18</f>
        <v>85.737440484788095</v>
      </c>
      <c r="P19" s="5">
        <f t="shared" si="1"/>
        <v>94.837521757877695</v>
      </c>
      <c r="Q19" s="5">
        <f t="shared" si="1"/>
        <v>105.59793064672198</v>
      </c>
      <c r="R19" s="5">
        <f t="shared" si="1"/>
        <v>118.29313787910988</v>
      </c>
    </row>
    <row r="20" spans="1:21">
      <c r="B20" s="80" t="s">
        <v>249</v>
      </c>
      <c r="H20" s="80">
        <f>+IS_A!F36</f>
        <v>1.0344</v>
      </c>
      <c r="I20" s="80">
        <f>+IS_A!G36</f>
        <v>3.3468750000000003</v>
      </c>
      <c r="J20" s="80">
        <f>+IS_A!H36</f>
        <v>5.5396199999999993</v>
      </c>
      <c r="K20" s="80">
        <f>+IS_A!I36</f>
        <v>4.7113199999999997</v>
      </c>
      <c r="L20" s="80">
        <f>+IS_A!J36</f>
        <v>4.6606499999999995</v>
      </c>
      <c r="M20" s="80">
        <f>+IS_A!K36</f>
        <v>4.2533399999999997</v>
      </c>
      <c r="N20" s="80">
        <f ca="1">N150</f>
        <v>3.5609943831441617</v>
      </c>
      <c r="O20" s="80">
        <f t="shared" ref="O20:R20" ca="1" si="2">O150</f>
        <v>3.2933441537276331</v>
      </c>
      <c r="P20" s="80">
        <f t="shared" ca="1" si="2"/>
        <v>3.4854888315446781</v>
      </c>
      <c r="Q20" s="80">
        <f t="shared" ca="1" si="2"/>
        <v>3.711092394472657</v>
      </c>
      <c r="R20" s="80">
        <f t="shared" ca="1" si="2"/>
        <v>3.9751849266890775</v>
      </c>
      <c r="T20" s="80" t="s">
        <v>273</v>
      </c>
    </row>
    <row r="21" spans="1:21">
      <c r="B21" s="80" t="s">
        <v>250</v>
      </c>
      <c r="H21" s="80">
        <f>+IS_A!F35</f>
        <v>3.5840000000000005</v>
      </c>
      <c r="I21" s="80">
        <f>+IS_A!G35</f>
        <v>6.2685000000000004</v>
      </c>
      <c r="J21" s="80">
        <f>+IS_A!H35</f>
        <v>8.8245000000000005</v>
      </c>
      <c r="K21" s="80">
        <f>+IS_A!I35</f>
        <v>8.8245000000000005</v>
      </c>
      <c r="L21" s="80">
        <f>+IS_A!J35</f>
        <v>8.8245000000000005</v>
      </c>
      <c r="M21" s="80">
        <f>+IS_A!K35</f>
        <v>8.8245000000000005</v>
      </c>
      <c r="N21" s="80">
        <f>+N133</f>
        <v>6.5295000000000005</v>
      </c>
      <c r="O21" s="80">
        <f t="shared" ref="O21:R21" si="3">+O133</f>
        <v>5.1755000000000013</v>
      </c>
      <c r="P21" s="80">
        <f t="shared" si="3"/>
        <v>5.1755000000000013</v>
      </c>
      <c r="Q21" s="80">
        <f t="shared" si="3"/>
        <v>5.1755000000000013</v>
      </c>
      <c r="R21" s="80">
        <f t="shared" si="3"/>
        <v>5.1755000000000013</v>
      </c>
    </row>
    <row r="22" spans="1:21">
      <c r="B22" s="80" t="s">
        <v>251</v>
      </c>
      <c r="H22" s="80">
        <f>H23-H19-H20+H21</f>
        <v>6.7680000000000033</v>
      </c>
      <c r="I22" s="80">
        <f t="shared" ref="I22:L22" si="4">I23-I19-I20+I21</f>
        <v>10.636999999999993</v>
      </c>
      <c r="J22" s="80">
        <f t="shared" si="4"/>
        <v>45.649000000000001</v>
      </c>
      <c r="K22" s="80">
        <f t="shared" si="4"/>
        <v>22.248999999999981</v>
      </c>
      <c r="L22" s="80">
        <f t="shared" si="4"/>
        <v>5.2489999999999997</v>
      </c>
      <c r="M22" s="80">
        <f>M23-M19-M20+M21</f>
        <v>12.14900000000001</v>
      </c>
      <c r="N22" s="154">
        <v>0</v>
      </c>
      <c r="O22" s="154">
        <v>0</v>
      </c>
      <c r="P22" s="154">
        <v>0</v>
      </c>
      <c r="Q22" s="154">
        <v>0</v>
      </c>
      <c r="R22" s="154">
        <v>0</v>
      </c>
    </row>
    <row r="23" spans="1:21" s="5" customFormat="1">
      <c r="A23" s="147"/>
      <c r="B23" s="5" t="s">
        <v>252</v>
      </c>
      <c r="H23" s="5">
        <f>+IS_A!F47</f>
        <v>59.557447638560419</v>
      </c>
      <c r="I23" s="5">
        <f>+IS_A!G47</f>
        <v>76.741385509801376</v>
      </c>
      <c r="J23" s="5">
        <f>+IS_A!H47</f>
        <v>94.273956880579675</v>
      </c>
      <c r="K23" s="5">
        <f>+IS_A!I47</f>
        <v>77.263163932961191</v>
      </c>
      <c r="L23" s="5">
        <f>+IS_A!J47</f>
        <v>73.047193950159141</v>
      </c>
      <c r="M23" s="5">
        <f>+IS_A!K47</f>
        <v>82.722609143609233</v>
      </c>
      <c r="N23" s="5">
        <f ca="1">N19+N20-N21+N22</f>
        <v>75.03379823820444</v>
      </c>
      <c r="O23" s="5">
        <f t="shared" ref="O23:R23" ca="1" si="5">O19+O20-O21+O22</f>
        <v>83.855284638515727</v>
      </c>
      <c r="P23" s="5">
        <f t="shared" ca="1" si="5"/>
        <v>93.147510589422367</v>
      </c>
      <c r="Q23" s="5">
        <f t="shared" ca="1" si="5"/>
        <v>104.13352304119464</v>
      </c>
      <c r="R23" s="5">
        <f t="shared" ca="1" si="5"/>
        <v>117.09282280579896</v>
      </c>
    </row>
    <row r="24" spans="1:21">
      <c r="B24" s="80" t="s">
        <v>253</v>
      </c>
      <c r="H24" s="80">
        <f>+IS_A!F50</f>
        <v>11.1</v>
      </c>
      <c r="I24" s="80">
        <f>+IS_A!G50</f>
        <v>20.8</v>
      </c>
      <c r="J24" s="80">
        <f>+IS_A!H50</f>
        <v>21.4</v>
      </c>
      <c r="K24" s="80">
        <f>+IS_A!I50</f>
        <v>16.8</v>
      </c>
      <c r="L24" s="80">
        <f>+IS_A!J50</f>
        <v>22.1</v>
      </c>
      <c r="M24" s="80">
        <f>+IS_A!K50</f>
        <v>24</v>
      </c>
      <c r="N24" s="80">
        <f ca="1">N23*N25</f>
        <v>18.75844955955111</v>
      </c>
      <c r="O24" s="80">
        <f t="shared" ref="O24:R24" ca="1" si="6">O23*O25</f>
        <v>20.963821159628932</v>
      </c>
      <c r="P24" s="80">
        <f t="shared" ca="1" si="6"/>
        <v>23.286877647355592</v>
      </c>
      <c r="Q24" s="80">
        <f t="shared" ca="1" si="6"/>
        <v>26.033380760298659</v>
      </c>
      <c r="R24" s="80">
        <f t="shared" ca="1" si="6"/>
        <v>29.27320570144974</v>
      </c>
    </row>
    <row r="25" spans="1:21" s="123" customFormat="1">
      <c r="A25" s="148"/>
      <c r="B25" s="155" t="s">
        <v>361</v>
      </c>
      <c r="H25" s="124">
        <f>H24/H23</f>
        <v>0.1863746758820691</v>
      </c>
      <c r="I25" s="124">
        <f t="shared" ref="I25:M25" si="7">I24/I23</f>
        <v>0.27104019378622546</v>
      </c>
      <c r="J25" s="124">
        <f t="shared" si="7"/>
        <v>0.22699800356431601</v>
      </c>
      <c r="K25" s="124">
        <f t="shared" si="7"/>
        <v>0.21743867510495468</v>
      </c>
      <c r="L25" s="124">
        <f t="shared" si="7"/>
        <v>0.30254413352385667</v>
      </c>
      <c r="M25" s="124">
        <f t="shared" si="7"/>
        <v>0.29012624539362863</v>
      </c>
      <c r="N25" s="130">
        <v>0.25</v>
      </c>
      <c r="O25" s="130">
        <v>0.25</v>
      </c>
      <c r="P25" s="130">
        <v>0.25</v>
      </c>
      <c r="Q25" s="130">
        <v>0.25</v>
      </c>
      <c r="R25" s="130">
        <v>0.25</v>
      </c>
    </row>
    <row r="26" spans="1:21" s="5" customFormat="1">
      <c r="A26" s="147"/>
      <c r="B26" s="5" t="s">
        <v>5</v>
      </c>
      <c r="H26" s="5">
        <f>+IS_A!F53</f>
        <v>48.457447638560417</v>
      </c>
      <c r="I26" s="5">
        <f>+IS_A!G53</f>
        <v>55.941385509801378</v>
      </c>
      <c r="J26" s="5">
        <f>+IS_A!H53</f>
        <v>72.873956880579669</v>
      </c>
      <c r="K26" s="5">
        <f>+IS_A!I53</f>
        <v>60.463163932961194</v>
      </c>
      <c r="L26" s="5">
        <f>+IS_A!J53</f>
        <v>50.947193950159139</v>
      </c>
      <c r="M26" s="5">
        <f>+IS_A!K53</f>
        <v>58.722609143609233</v>
      </c>
      <c r="N26" s="5">
        <f ca="1">N23-N24</f>
        <v>56.27534867865333</v>
      </c>
      <c r="O26" s="5">
        <f t="shared" ref="O26:R26" ca="1" si="8">O23-O24</f>
        <v>62.891463478886791</v>
      </c>
      <c r="P26" s="5">
        <f t="shared" ca="1" si="8"/>
        <v>69.860632942066772</v>
      </c>
      <c r="Q26" s="5">
        <f t="shared" ca="1" si="8"/>
        <v>78.10014228089598</v>
      </c>
      <c r="R26" s="5">
        <f t="shared" ca="1" si="8"/>
        <v>87.81961710434922</v>
      </c>
    </row>
    <row r="28" spans="1:21">
      <c r="A28" s="146" t="s">
        <v>308</v>
      </c>
      <c r="B28" s="110" t="s">
        <v>254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30" spans="1:21" s="5" customFormat="1">
      <c r="A30" s="147"/>
      <c r="B30" s="5" t="s">
        <v>62</v>
      </c>
      <c r="H30" s="5">
        <f>BS_A!F38</f>
        <v>346.3</v>
      </c>
      <c r="I30" s="5">
        <f>BS_A!G38</f>
        <v>871.9</v>
      </c>
      <c r="J30" s="5">
        <f>BS_A!H38</f>
        <v>927.3</v>
      </c>
      <c r="K30" s="5">
        <f>BS_A!I38</f>
        <v>876.8</v>
      </c>
      <c r="L30" s="5">
        <f>BS_A!J38</f>
        <v>981.6</v>
      </c>
      <c r="M30" s="5">
        <f>BS_A!K38</f>
        <v>950.5</v>
      </c>
      <c r="N30" s="5">
        <f ca="1">N31+N37</f>
        <v>890.08993353258722</v>
      </c>
      <c r="O30" s="5">
        <f t="shared" ref="O30:R30" ca="1" si="9">O31+O37</f>
        <v>936.62038923818432</v>
      </c>
      <c r="P30" s="5">
        <f t="shared" ca="1" si="9"/>
        <v>988.40141779298165</v>
      </c>
      <c r="Q30" s="5">
        <f t="shared" ca="1" si="9"/>
        <v>1046.3620999344284</v>
      </c>
      <c r="R30" s="5">
        <f t="shared" ca="1" si="9"/>
        <v>1111.5829618929233</v>
      </c>
    </row>
    <row r="31" spans="1:21" s="5" customFormat="1">
      <c r="A31" s="147"/>
      <c r="B31" s="152" t="s">
        <v>255</v>
      </c>
      <c r="H31" s="5">
        <f>BS_A!F27</f>
        <v>125.3</v>
      </c>
      <c r="I31" s="5">
        <f>BS_A!G27</f>
        <v>629.70000000000005</v>
      </c>
      <c r="J31" s="5">
        <f>BS_A!H27</f>
        <v>609.29999999999995</v>
      </c>
      <c r="K31" s="5">
        <f>BS_A!I27</f>
        <v>550</v>
      </c>
      <c r="L31" s="5">
        <f>BS_A!J27</f>
        <v>608.80000000000007</v>
      </c>
      <c r="M31" s="5">
        <f>BS_A!K27</f>
        <v>516.79999999999995</v>
      </c>
      <c r="N31" s="5">
        <f ca="1">SUM(N32:N36)</f>
        <v>436.76197953484302</v>
      </c>
      <c r="O31" s="5">
        <f t="shared" ref="O31:R31" ca="1" si="10">SUM(O32:O36)</f>
        <v>463.04262078264827</v>
      </c>
      <c r="P31" s="5">
        <f t="shared" ca="1" si="10"/>
        <v>493.66015681774644</v>
      </c>
      <c r="Q31" s="5">
        <f t="shared" ca="1" si="10"/>
        <v>529.23106694896296</v>
      </c>
      <c r="R31" s="5">
        <f t="shared" ca="1" si="10"/>
        <v>570.49719060648499</v>
      </c>
    </row>
    <row r="32" spans="1:21">
      <c r="B32" s="112" t="s">
        <v>260</v>
      </c>
      <c r="H32" s="80">
        <f>BS_A!F18</f>
        <v>53.7</v>
      </c>
      <c r="I32" s="80">
        <f>BS_A!G18</f>
        <v>22.299999999999969</v>
      </c>
      <c r="J32" s="80">
        <f>BS_A!H18</f>
        <v>20.299999999999972</v>
      </c>
      <c r="K32" s="80">
        <f>BS_A!I18</f>
        <v>8.4999999999999751</v>
      </c>
      <c r="L32" s="80">
        <f>BS_A!J18</f>
        <v>51.699999999999974</v>
      </c>
      <c r="M32" s="80">
        <f>BS_A!K18</f>
        <v>246.39999999999998</v>
      </c>
      <c r="N32" s="80">
        <f ca="1">M32+N80</f>
        <v>161.65580551051477</v>
      </c>
      <c r="O32" s="80">
        <f t="shared" ref="O32:R32" ca="1" si="11">N32+O80</f>
        <v>182.6737548892761</v>
      </c>
      <c r="P32" s="80">
        <f t="shared" ca="1" si="11"/>
        <v>207.40453823155394</v>
      </c>
      <c r="Q32" s="80">
        <f t="shared" ca="1" si="11"/>
        <v>236.38888854878593</v>
      </c>
      <c r="R32" s="80">
        <f t="shared" ca="1" si="11"/>
        <v>270.28371154572358</v>
      </c>
    </row>
    <row r="33" spans="1:18">
      <c r="B33" s="112" t="s">
        <v>261</v>
      </c>
      <c r="H33" s="80">
        <f>BS_A!F19</f>
        <v>32.5</v>
      </c>
      <c r="I33" s="80">
        <f>BS_A!G19</f>
        <v>529</v>
      </c>
      <c r="J33" s="80">
        <f>BS_A!H19</f>
        <v>514.6</v>
      </c>
      <c r="K33" s="80">
        <f>BS_A!I19</f>
        <v>480.8</v>
      </c>
      <c r="L33" s="80">
        <f>BS_A!J19</f>
        <v>494.7</v>
      </c>
      <c r="M33" s="80">
        <f>BS_A!K19</f>
        <v>219.9</v>
      </c>
      <c r="N33" s="153">
        <f>+M33</f>
        <v>219.9</v>
      </c>
      <c r="O33" s="153">
        <f t="shared" ref="O33" si="12">+N33</f>
        <v>219.9</v>
      </c>
      <c r="P33" s="153">
        <f t="shared" ref="P33" si="13">+O33</f>
        <v>219.9</v>
      </c>
      <c r="Q33" s="153">
        <f t="shared" ref="Q33" si="14">+P33</f>
        <v>219.9</v>
      </c>
      <c r="R33" s="153">
        <f t="shared" ref="R33" si="15">+Q33</f>
        <v>219.9</v>
      </c>
    </row>
    <row r="34" spans="1:18">
      <c r="B34" s="112" t="s">
        <v>262</v>
      </c>
      <c r="H34" s="80">
        <f>BS_A!F20</f>
        <v>26.8</v>
      </c>
      <c r="I34" s="80">
        <f>BS_A!G20</f>
        <v>62.1</v>
      </c>
      <c r="J34" s="80">
        <f>BS_A!H20</f>
        <v>50.4</v>
      </c>
      <c r="K34" s="80">
        <f>BS_A!I20</f>
        <v>33.1</v>
      </c>
      <c r="L34" s="80">
        <f>BS_A!J20</f>
        <v>40.200000000000003</v>
      </c>
      <c r="M34" s="80">
        <f>BS_A!K20</f>
        <v>25.4</v>
      </c>
      <c r="N34" s="80">
        <f>+N91</f>
        <v>27.804241245242093</v>
      </c>
      <c r="O34" s="80">
        <f t="shared" ref="O34:R34" si="16">+O91</f>
        <v>30.530107323114915</v>
      </c>
      <c r="P34" s="80">
        <f t="shared" si="16"/>
        <v>33.623428245944197</v>
      </c>
      <c r="Q34" s="80">
        <f t="shared" si="16"/>
        <v>37.136869534006415</v>
      </c>
      <c r="R34" s="80">
        <f t="shared" si="16"/>
        <v>41.130985135598905</v>
      </c>
    </row>
    <row r="35" spans="1:18">
      <c r="B35" s="112" t="s">
        <v>263</v>
      </c>
      <c r="H35" s="80">
        <f>BS_A!F23</f>
        <v>11.2</v>
      </c>
      <c r="I35" s="80">
        <f>BS_A!G23</f>
        <v>14.6</v>
      </c>
      <c r="J35" s="80">
        <f>BS_A!H23</f>
        <v>19.600000000000001</v>
      </c>
      <c r="K35" s="80">
        <f>BS_A!I23</f>
        <v>25</v>
      </c>
      <c r="L35" s="80">
        <f>BS_A!J23</f>
        <v>21.3</v>
      </c>
      <c r="M35" s="80">
        <f>BS_A!K23</f>
        <v>23</v>
      </c>
      <c r="N35" s="80">
        <f t="shared" ref="N35:R36" si="17">+N92</f>
        <v>25.103156928101523</v>
      </c>
      <c r="O35" s="80">
        <f t="shared" si="17"/>
        <v>27.414615827268278</v>
      </c>
      <c r="P35" s="80">
        <f t="shared" si="17"/>
        <v>29.952300510835883</v>
      </c>
      <c r="Q35" s="80">
        <f t="shared" si="17"/>
        <v>32.734937380453722</v>
      </c>
      <c r="R35" s="80">
        <f t="shared" si="17"/>
        <v>35.781899550303493</v>
      </c>
    </row>
    <row r="36" spans="1:18">
      <c r="B36" s="112" t="s">
        <v>264</v>
      </c>
      <c r="H36" s="80">
        <f>H31-SUM(H32:H35)</f>
        <v>1.0999999999999943</v>
      </c>
      <c r="I36" s="80">
        <f t="shared" ref="I36:M36" si="18">I31-SUM(I32:I35)</f>
        <v>1.7000000000000455</v>
      </c>
      <c r="J36" s="80">
        <f t="shared" si="18"/>
        <v>4.3999999999999773</v>
      </c>
      <c r="K36" s="80">
        <f t="shared" si="18"/>
        <v>2.6000000000000227</v>
      </c>
      <c r="L36" s="80">
        <f t="shared" si="18"/>
        <v>0.90000000000009095</v>
      </c>
      <c r="M36" s="80">
        <f t="shared" si="18"/>
        <v>2.1000000000000227</v>
      </c>
      <c r="N36" s="80">
        <f t="shared" si="17"/>
        <v>2.2987758509846068</v>
      </c>
      <c r="O36" s="80">
        <f t="shared" si="17"/>
        <v>2.524142731438662</v>
      </c>
      <c r="P36" s="80">
        <f t="shared" si="17"/>
        <v>2.779889736869432</v>
      </c>
      <c r="Q36" s="80">
        <f t="shared" si="17"/>
        <v>3.0703711032052876</v>
      </c>
      <c r="R36" s="80">
        <f t="shared" si="17"/>
        <v>3.4005932592424655</v>
      </c>
    </row>
    <row r="37" spans="1:18" s="5" customFormat="1">
      <c r="A37" s="147"/>
      <c r="B37" s="152" t="s">
        <v>256</v>
      </c>
      <c r="H37" s="5">
        <f>H30-H31</f>
        <v>221</v>
      </c>
      <c r="I37" s="5">
        <f t="shared" ref="I37:M37" si="19">I30-I31</f>
        <v>242.19999999999993</v>
      </c>
      <c r="J37" s="5">
        <f t="shared" si="19"/>
        <v>318</v>
      </c>
      <c r="K37" s="5">
        <f t="shared" si="19"/>
        <v>326.79999999999995</v>
      </c>
      <c r="L37" s="5">
        <f t="shared" si="19"/>
        <v>372.79999999999995</v>
      </c>
      <c r="M37" s="5">
        <f t="shared" si="19"/>
        <v>433.70000000000005</v>
      </c>
      <c r="N37" s="5">
        <f>+SUM(N38:N41)</f>
        <v>453.3279539977442</v>
      </c>
      <c r="O37" s="5">
        <f t="shared" ref="O37:R37" si="20">+SUM(O38:O41)</f>
        <v>473.57776850802907</v>
      </c>
      <c r="P37" s="5">
        <f t="shared" si="20"/>
        <v>494.74126139802308</v>
      </c>
      <c r="Q37" s="5">
        <f t="shared" si="20"/>
        <v>517.13103474384502</v>
      </c>
      <c r="R37" s="5">
        <f t="shared" si="20"/>
        <v>541.08577645046228</v>
      </c>
    </row>
    <row r="38" spans="1:18">
      <c r="B38" s="112" t="s">
        <v>265</v>
      </c>
      <c r="H38" s="80">
        <f>BS_A!F28</f>
        <v>48.7</v>
      </c>
      <c r="I38" s="80">
        <f>BS_A!G28</f>
        <v>50.900000000000006</v>
      </c>
      <c r="J38" s="80">
        <f>BS_A!H28</f>
        <v>52.70000000000001</v>
      </c>
      <c r="K38" s="80">
        <f>BS_A!I28</f>
        <v>59.79999999999999</v>
      </c>
      <c r="L38" s="80">
        <f>BS_A!J28</f>
        <v>71.3</v>
      </c>
      <c r="M38" s="80">
        <f>BS_A!K28</f>
        <v>64.899999999999991</v>
      </c>
      <c r="N38" s="80">
        <f>N115</f>
        <v>71.348066650111917</v>
      </c>
      <c r="O38" s="80">
        <f t="shared" ref="O38:R38" si="21">O115</f>
        <v>78.418224550417975</v>
      </c>
      <c r="P38" s="80">
        <f t="shared" si="21"/>
        <v>86.223448024937284</v>
      </c>
      <c r="Q38" s="80">
        <f t="shared" si="21"/>
        <v>94.890098000481046</v>
      </c>
      <c r="R38" s="80">
        <f t="shared" si="21"/>
        <v>104.5603435757908</v>
      </c>
    </row>
    <row r="39" spans="1:18">
      <c r="B39" s="112" t="s">
        <v>266</v>
      </c>
      <c r="H39" s="80">
        <f>BS_A!F33</f>
        <v>6.5</v>
      </c>
      <c r="I39" s="80">
        <f>BS_A!G33</f>
        <v>7</v>
      </c>
      <c r="J39" s="80">
        <f>BS_A!H33</f>
        <v>26</v>
      </c>
      <c r="K39" s="80">
        <f>BS_A!I33</f>
        <v>24.6</v>
      </c>
      <c r="L39" s="80">
        <f>BS_A!J33</f>
        <v>30.3</v>
      </c>
      <c r="M39" s="80">
        <f>BS_A!K33</f>
        <v>32</v>
      </c>
      <c r="N39" s="80">
        <f>+N122</f>
        <v>45.179887347632281</v>
      </c>
      <c r="O39" s="80">
        <f t="shared" ref="O39:R39" si="22">+O122</f>
        <v>58.359543957611095</v>
      </c>
      <c r="P39" s="80">
        <f t="shared" si="22"/>
        <v>71.717813373085747</v>
      </c>
      <c r="Q39" s="80">
        <f t="shared" si="22"/>
        <v>85.440936743363977</v>
      </c>
      <c r="R39" s="80">
        <f t="shared" si="22"/>
        <v>99.725432874671469</v>
      </c>
    </row>
    <row r="40" spans="1:18">
      <c r="B40" s="112" t="s">
        <v>68</v>
      </c>
      <c r="H40" s="80">
        <f>BS_A!F32</f>
        <v>145.6</v>
      </c>
      <c r="I40" s="80">
        <f>BS_A!G32</f>
        <v>151.6</v>
      </c>
      <c r="J40" s="80">
        <f>BS_A!H32</f>
        <v>167.8</v>
      </c>
      <c r="K40" s="80">
        <f>BS_A!I32</f>
        <v>166</v>
      </c>
      <c r="L40" s="80">
        <f>BS_A!J32</f>
        <v>185</v>
      </c>
      <c r="M40" s="80">
        <f>BS_A!K32</f>
        <v>180.1</v>
      </c>
      <c r="N40" s="153">
        <f>+M40</f>
        <v>180.1</v>
      </c>
      <c r="O40" s="153">
        <f t="shared" ref="O40:R40" si="23">+N40</f>
        <v>180.1</v>
      </c>
      <c r="P40" s="153">
        <f t="shared" si="23"/>
        <v>180.1</v>
      </c>
      <c r="Q40" s="153">
        <f t="shared" si="23"/>
        <v>180.1</v>
      </c>
      <c r="R40" s="153">
        <f t="shared" si="23"/>
        <v>180.1</v>
      </c>
    </row>
    <row r="41" spans="1:18">
      <c r="B41" s="112" t="s">
        <v>267</v>
      </c>
      <c r="H41" s="80">
        <f>H37-H38-H39-H40</f>
        <v>20.200000000000017</v>
      </c>
      <c r="I41" s="80">
        <f t="shared" ref="I41:M41" si="24">I37-I38-I39-I40</f>
        <v>32.699999999999932</v>
      </c>
      <c r="J41" s="80">
        <f t="shared" si="24"/>
        <v>71.5</v>
      </c>
      <c r="K41" s="80">
        <f t="shared" si="24"/>
        <v>76.399999999999949</v>
      </c>
      <c r="L41" s="80">
        <f t="shared" si="24"/>
        <v>86.199999999999932</v>
      </c>
      <c r="M41" s="80">
        <f t="shared" si="24"/>
        <v>156.70000000000007</v>
      </c>
      <c r="N41" s="156">
        <f>M41</f>
        <v>156.70000000000007</v>
      </c>
      <c r="O41" s="156">
        <f t="shared" ref="O41:R41" si="25">N41</f>
        <v>156.70000000000007</v>
      </c>
      <c r="P41" s="156">
        <f t="shared" si="25"/>
        <v>156.70000000000007</v>
      </c>
      <c r="Q41" s="156">
        <f t="shared" si="25"/>
        <v>156.70000000000007</v>
      </c>
      <c r="R41" s="156">
        <f t="shared" si="25"/>
        <v>156.70000000000007</v>
      </c>
    </row>
    <row r="43" spans="1:18" s="5" customFormat="1">
      <c r="A43" s="147"/>
      <c r="B43" s="5" t="s">
        <v>47</v>
      </c>
      <c r="H43" s="5">
        <f>BS_A!F54</f>
        <v>118.60000000000001</v>
      </c>
      <c r="I43" s="5">
        <f>BS_A!G54</f>
        <v>217.70000000000002</v>
      </c>
      <c r="J43" s="5">
        <f>BS_A!H54</f>
        <v>240.9</v>
      </c>
      <c r="K43" s="5">
        <f>BS_A!I54</f>
        <v>249.70000000000002</v>
      </c>
      <c r="L43" s="5">
        <f>BS_A!J54</f>
        <v>261</v>
      </c>
      <c r="M43" s="5">
        <f>BS_A!K54</f>
        <v>268.20000000000005</v>
      </c>
      <c r="N43" s="5">
        <f>+N44+N47</f>
        <v>170.47870593087032</v>
      </c>
      <c r="O43" s="5">
        <f t="shared" ref="O43:R43" si="26">+O44+O47</f>
        <v>175.31137102630308</v>
      </c>
      <c r="P43" s="5">
        <f t="shared" si="26"/>
        <v>180.77396671972329</v>
      </c>
      <c r="Q43" s="5">
        <f t="shared" si="26"/>
        <v>186.95332377004709</v>
      </c>
      <c r="R43" s="5">
        <f t="shared" si="26"/>
        <v>193.94873451430027</v>
      </c>
    </row>
    <row r="44" spans="1:18" s="5" customFormat="1">
      <c r="A44" s="147"/>
      <c r="B44" s="152" t="s">
        <v>257</v>
      </c>
      <c r="H44" s="5">
        <f>BS_A!F48</f>
        <v>16.2</v>
      </c>
      <c r="I44" s="5">
        <f>BS_A!G48</f>
        <v>21.200000000000003</v>
      </c>
      <c r="J44" s="5">
        <f>BS_A!H48</f>
        <v>20.7</v>
      </c>
      <c r="K44" s="5">
        <f>BS_A!I48</f>
        <v>32.200000000000003</v>
      </c>
      <c r="L44" s="5">
        <f>BS_A!J48</f>
        <v>40.299999999999997</v>
      </c>
      <c r="M44" s="5">
        <f>BS_A!K48</f>
        <v>45.400000000000006</v>
      </c>
      <c r="N44" s="5">
        <f>+SUM(N45:N46)</f>
        <v>49.678705930870279</v>
      </c>
      <c r="O44" s="5">
        <f t="shared" ref="O44:R44" si="27">+SUM(O45:O46)</f>
        <v>54.511371026303038</v>
      </c>
      <c r="P44" s="5">
        <f t="shared" si="27"/>
        <v>59.973966719723244</v>
      </c>
      <c r="Q44" s="5">
        <f t="shared" si="27"/>
        <v>66.153323770047052</v>
      </c>
      <c r="R44" s="5">
        <f t="shared" si="27"/>
        <v>73.14873451430023</v>
      </c>
    </row>
    <row r="45" spans="1:18">
      <c r="B45" s="112" t="s">
        <v>268</v>
      </c>
      <c r="H45" s="80">
        <f>BS_A!F41</f>
        <v>2.7</v>
      </c>
      <c r="I45" s="80">
        <f>BS_A!G41</f>
        <v>4.4000000000000004</v>
      </c>
      <c r="J45" s="80">
        <f>BS_A!H41</f>
        <v>5.4</v>
      </c>
      <c r="K45" s="80">
        <f>BS_A!I41</f>
        <v>4.9000000000000004</v>
      </c>
      <c r="L45" s="80">
        <f>BS_A!J41</f>
        <v>4.4000000000000004</v>
      </c>
      <c r="M45" s="80">
        <f>BS_A!K41</f>
        <v>5.8</v>
      </c>
      <c r="N45" s="80">
        <f>+N96</f>
        <v>6.3303613123038618</v>
      </c>
      <c r="O45" s="80">
        <f t="shared" ref="O45:R45" si="28">+O96</f>
        <v>6.9132509477459134</v>
      </c>
      <c r="P45" s="80">
        <f t="shared" si="28"/>
        <v>7.5531888244716567</v>
      </c>
      <c r="Q45" s="80">
        <f t="shared" si="28"/>
        <v>8.254897252462241</v>
      </c>
      <c r="R45" s="80">
        <f t="shared" si="28"/>
        <v>9.0232616257287059</v>
      </c>
    </row>
    <row r="46" spans="1:18">
      <c r="B46" s="112" t="s">
        <v>54</v>
      </c>
      <c r="H46" s="80">
        <f>H44-H45</f>
        <v>13.5</v>
      </c>
      <c r="I46" s="80">
        <f t="shared" ref="I46:M46" si="29">I44-I45</f>
        <v>16.800000000000004</v>
      </c>
      <c r="J46" s="80">
        <f t="shared" si="29"/>
        <v>15.299999999999999</v>
      </c>
      <c r="K46" s="80">
        <f t="shared" si="29"/>
        <v>27.300000000000004</v>
      </c>
      <c r="L46" s="80">
        <f t="shared" si="29"/>
        <v>35.9</v>
      </c>
      <c r="M46" s="80">
        <f t="shared" si="29"/>
        <v>39.600000000000009</v>
      </c>
      <c r="N46" s="80">
        <f>+N97</f>
        <v>43.348344618566415</v>
      </c>
      <c r="O46" s="80">
        <f t="shared" ref="O46:R46" si="30">+O97</f>
        <v>47.598120078557123</v>
      </c>
      <c r="P46" s="80">
        <f t="shared" si="30"/>
        <v>52.420777895251589</v>
      </c>
      <c r="Q46" s="80">
        <f t="shared" si="30"/>
        <v>57.898426517584809</v>
      </c>
      <c r="R46" s="80">
        <f t="shared" si="30"/>
        <v>64.125472888571522</v>
      </c>
    </row>
    <row r="47" spans="1:18" s="5" customFormat="1">
      <c r="A47" s="147"/>
      <c r="B47" s="152" t="s">
        <v>258</v>
      </c>
      <c r="H47" s="5">
        <f>H43-H44</f>
        <v>102.4</v>
      </c>
      <c r="I47" s="5">
        <f t="shared" ref="I47:M47" si="31">I43-I44</f>
        <v>196.5</v>
      </c>
      <c r="J47" s="5">
        <f t="shared" si="31"/>
        <v>220.20000000000002</v>
      </c>
      <c r="K47" s="5">
        <f t="shared" si="31"/>
        <v>217.5</v>
      </c>
      <c r="L47" s="5">
        <f t="shared" si="31"/>
        <v>220.7</v>
      </c>
      <c r="M47" s="5">
        <f t="shared" si="31"/>
        <v>222.80000000000004</v>
      </c>
      <c r="N47" s="5">
        <f>+SUM(N48:N49)</f>
        <v>120.80000000000004</v>
      </c>
      <c r="O47" s="5">
        <f t="shared" ref="O47:R47" si="32">+SUM(O48:O49)</f>
        <v>120.80000000000004</v>
      </c>
      <c r="P47" s="5">
        <f t="shared" si="32"/>
        <v>120.80000000000004</v>
      </c>
      <c r="Q47" s="5">
        <f t="shared" si="32"/>
        <v>120.80000000000004</v>
      </c>
      <c r="R47" s="5">
        <f t="shared" si="32"/>
        <v>120.80000000000004</v>
      </c>
    </row>
    <row r="48" spans="1:18">
      <c r="B48" s="112" t="s">
        <v>189</v>
      </c>
      <c r="H48" s="80">
        <f>BS_A!F49</f>
        <v>102.4</v>
      </c>
      <c r="I48" s="80">
        <f>BS_A!G49</f>
        <v>196.10000000000002</v>
      </c>
      <c r="J48" s="80">
        <f>BS_A!H49</f>
        <v>196.10000000000002</v>
      </c>
      <c r="K48" s="80">
        <f>BS_A!I49</f>
        <v>196.10000000000002</v>
      </c>
      <c r="L48" s="80">
        <f>BS_A!J49</f>
        <v>196.10000000000002</v>
      </c>
      <c r="M48" s="80">
        <f>BS_A!K49</f>
        <v>196.10000000000002</v>
      </c>
      <c r="N48" s="80">
        <f>+N129</f>
        <v>94.100000000000023</v>
      </c>
      <c r="O48" s="80">
        <f t="shared" ref="O48:R48" si="33">+O129</f>
        <v>94.100000000000023</v>
      </c>
      <c r="P48" s="80">
        <f t="shared" si="33"/>
        <v>94.100000000000023</v>
      </c>
      <c r="Q48" s="80">
        <f t="shared" si="33"/>
        <v>94.100000000000023</v>
      </c>
      <c r="R48" s="80">
        <f t="shared" si="33"/>
        <v>94.100000000000023</v>
      </c>
    </row>
    <row r="49" spans="1:21">
      <c r="B49" s="112" t="s">
        <v>269</v>
      </c>
      <c r="H49" s="80">
        <f>H47-H48</f>
        <v>0</v>
      </c>
      <c r="I49" s="80">
        <f t="shared" ref="I49:M49" si="34">I47-I48</f>
        <v>0.39999999999997726</v>
      </c>
      <c r="J49" s="80">
        <f t="shared" si="34"/>
        <v>24.099999999999994</v>
      </c>
      <c r="K49" s="80">
        <f t="shared" si="34"/>
        <v>21.399999999999977</v>
      </c>
      <c r="L49" s="80">
        <f t="shared" si="34"/>
        <v>24.599999999999966</v>
      </c>
      <c r="M49" s="80">
        <f t="shared" si="34"/>
        <v>26.700000000000017</v>
      </c>
      <c r="N49" s="156">
        <f>M49</f>
        <v>26.700000000000017</v>
      </c>
      <c r="O49" s="156">
        <f t="shared" ref="O49:R49" si="35">N49</f>
        <v>26.700000000000017</v>
      </c>
      <c r="P49" s="156">
        <f t="shared" si="35"/>
        <v>26.700000000000017</v>
      </c>
      <c r="Q49" s="156">
        <f t="shared" si="35"/>
        <v>26.700000000000017</v>
      </c>
      <c r="R49" s="156">
        <f t="shared" si="35"/>
        <v>26.700000000000017</v>
      </c>
    </row>
    <row r="50" spans="1:21">
      <c r="B50" s="111"/>
    </row>
    <row r="51" spans="1:21" s="5" customFormat="1">
      <c r="A51" s="147"/>
      <c r="B51" s="5" t="s">
        <v>40</v>
      </c>
      <c r="H51" s="5">
        <f>BS_A!F61</f>
        <v>227.7</v>
      </c>
      <c r="I51" s="5">
        <f>BS_A!G61</f>
        <v>654.19999999999993</v>
      </c>
      <c r="J51" s="5">
        <f>BS_A!H61</f>
        <v>686.4</v>
      </c>
      <c r="K51" s="5">
        <f>BS_A!I61</f>
        <v>627.09999999999991</v>
      </c>
      <c r="L51" s="5">
        <f>BS_A!J61</f>
        <v>720.6</v>
      </c>
      <c r="M51" s="5">
        <f>BS_A!K61</f>
        <v>682.3</v>
      </c>
      <c r="N51" s="5">
        <f ca="1">+SUM(N52:N55)</f>
        <v>719.61122760171702</v>
      </c>
      <c r="O51" s="5">
        <f t="shared" ref="O51:R51" ca="1" si="36">+SUM(O52:O55)</f>
        <v>761.30901825373576</v>
      </c>
      <c r="P51" s="5">
        <f t="shared" ca="1" si="36"/>
        <v>807.62745141247706</v>
      </c>
      <c r="Q51" s="5">
        <f t="shared" ca="1" si="36"/>
        <v>859.4087775660339</v>
      </c>
      <c r="R51" s="5">
        <f t="shared" ca="1" si="36"/>
        <v>917.63423147842173</v>
      </c>
    </row>
    <row r="52" spans="1:21">
      <c r="B52" s="111" t="s">
        <v>270</v>
      </c>
      <c r="H52" s="80">
        <f>BS_A!F56</f>
        <v>1.4</v>
      </c>
      <c r="I52" s="80">
        <f>BS_A!G56</f>
        <v>2</v>
      </c>
      <c r="J52" s="80">
        <f>BS_A!H56</f>
        <v>2</v>
      </c>
      <c r="K52" s="80">
        <f>BS_A!I56</f>
        <v>1.9</v>
      </c>
      <c r="L52" s="80">
        <f>BS_A!J56</f>
        <v>5.9</v>
      </c>
      <c r="M52" s="80">
        <f>BS_A!K56</f>
        <v>5.3</v>
      </c>
      <c r="N52" s="156">
        <f>M52</f>
        <v>5.3</v>
      </c>
      <c r="O52" s="156">
        <f t="shared" ref="O52:R52" si="37">N52</f>
        <v>5.3</v>
      </c>
      <c r="P52" s="156">
        <f t="shared" si="37"/>
        <v>5.3</v>
      </c>
      <c r="Q52" s="156">
        <f t="shared" si="37"/>
        <v>5.3</v>
      </c>
      <c r="R52" s="156">
        <f t="shared" si="37"/>
        <v>5.3</v>
      </c>
    </row>
    <row r="53" spans="1:21">
      <c r="B53" s="111" t="s">
        <v>271</v>
      </c>
      <c r="H53" s="80">
        <f>BS_A!F57</f>
        <v>120</v>
      </c>
      <c r="I53" s="80">
        <f>BS_A!G57</f>
        <v>471.7</v>
      </c>
      <c r="J53" s="80">
        <f>BS_A!H57</f>
        <v>0.8</v>
      </c>
      <c r="K53" s="80">
        <f>BS_A!I57</f>
        <v>283.7</v>
      </c>
      <c r="L53" s="80">
        <f>BS_A!J57</f>
        <v>297.39999999999998</v>
      </c>
      <c r="M53" s="80">
        <f>BS_A!K57</f>
        <v>264.89999999999998</v>
      </c>
      <c r="N53" s="156">
        <f>M53</f>
        <v>264.89999999999998</v>
      </c>
      <c r="O53" s="156">
        <f t="shared" ref="O53:R53" si="38">N53</f>
        <v>264.89999999999998</v>
      </c>
      <c r="P53" s="156">
        <f t="shared" si="38"/>
        <v>264.89999999999998</v>
      </c>
      <c r="Q53" s="156">
        <f t="shared" si="38"/>
        <v>264.89999999999998</v>
      </c>
      <c r="R53" s="156">
        <f t="shared" si="38"/>
        <v>264.89999999999998</v>
      </c>
    </row>
    <row r="54" spans="1:21">
      <c r="B54" s="111" t="s">
        <v>43</v>
      </c>
      <c r="H54" s="80">
        <f>BS_A!F58</f>
        <v>88.2</v>
      </c>
      <c r="I54" s="80">
        <f>BS_A!G58</f>
        <v>167.9</v>
      </c>
      <c r="J54" s="80">
        <f>BS_A!H58</f>
        <v>683.2</v>
      </c>
      <c r="K54" s="80">
        <f>BS_A!I58</f>
        <v>665</v>
      </c>
      <c r="L54" s="80">
        <f>BS_A!J58</f>
        <v>743.3</v>
      </c>
      <c r="M54" s="80">
        <f>BS_A!K58</f>
        <v>706.6</v>
      </c>
      <c r="N54" s="80">
        <f ca="1">+N143</f>
        <v>743.91122760171697</v>
      </c>
      <c r="O54" s="80">
        <f t="shared" ref="O54:S54" ca="1" si="39">+O143</f>
        <v>785.60901825351891</v>
      </c>
      <c r="P54" s="80">
        <f t="shared" ca="1" si="39"/>
        <v>831.92745140871932</v>
      </c>
      <c r="Q54" s="80">
        <f t="shared" ca="1" si="39"/>
        <v>883.70877756209165</v>
      </c>
      <c r="R54" s="80">
        <f t="shared" ca="1" si="39"/>
        <v>941.93423147788747</v>
      </c>
    </row>
    <row r="55" spans="1:21">
      <c r="B55" s="111" t="s">
        <v>272</v>
      </c>
      <c r="H55" s="80">
        <f>H51-SUM(H52:H54)</f>
        <v>18.099999999999966</v>
      </c>
      <c r="I55" s="80">
        <f t="shared" ref="I55:M55" si="40">I51-SUM(I52:I54)</f>
        <v>12.599999999999909</v>
      </c>
      <c r="J55" s="80">
        <f t="shared" si="40"/>
        <v>0.39999999999997726</v>
      </c>
      <c r="K55" s="80">
        <f t="shared" si="40"/>
        <v>-323.5</v>
      </c>
      <c r="L55" s="80">
        <f t="shared" si="40"/>
        <v>-325.99999999999989</v>
      </c>
      <c r="M55" s="80">
        <f t="shared" si="40"/>
        <v>-294.5</v>
      </c>
      <c r="N55" s="156">
        <f>M55</f>
        <v>-294.5</v>
      </c>
      <c r="O55" s="156">
        <f t="shared" ref="O55:R55" si="41">N55</f>
        <v>-294.5</v>
      </c>
      <c r="P55" s="156">
        <f t="shared" si="41"/>
        <v>-294.5</v>
      </c>
      <c r="Q55" s="156">
        <f t="shared" si="41"/>
        <v>-294.5</v>
      </c>
      <c r="R55" s="156">
        <f t="shared" si="41"/>
        <v>-294.5</v>
      </c>
    </row>
    <row r="57" spans="1:21" s="113" customFormat="1">
      <c r="A57" s="148"/>
      <c r="B57" s="113" t="s">
        <v>259</v>
      </c>
      <c r="H57" s="114" t="str">
        <f>IF(H30=H43+H51,"TRUE",H30-H43-H51)</f>
        <v>TRUE</v>
      </c>
      <c r="I57" s="114" t="str">
        <f t="shared" ref="I57:R57" si="42">IF(I30=I43+I51,"TRUE",I30-I43-I51)</f>
        <v>TRUE</v>
      </c>
      <c r="J57" s="114" t="str">
        <f t="shared" si="42"/>
        <v>TRUE</v>
      </c>
      <c r="K57" s="114" t="str">
        <f t="shared" si="42"/>
        <v>TRUE</v>
      </c>
      <c r="L57" s="114" t="str">
        <f t="shared" si="42"/>
        <v>TRUE</v>
      </c>
      <c r="M57" s="114" t="str">
        <f t="shared" si="42"/>
        <v>TRUE</v>
      </c>
      <c r="N57" s="114" t="str">
        <f t="shared" ca="1" si="42"/>
        <v>TRUE</v>
      </c>
      <c r="O57" s="114">
        <f t="shared" ca="1" si="42"/>
        <v>-4.1854491428239271E-8</v>
      </c>
      <c r="P57" s="114">
        <f t="shared" ca="1" si="42"/>
        <v>-3.3921867270692019E-7</v>
      </c>
      <c r="Q57" s="114">
        <f t="shared" ca="1" si="42"/>
        <v>-1.4016525256010937E-6</v>
      </c>
      <c r="R57" s="114">
        <f t="shared" ca="1" si="42"/>
        <v>-4.0997986161528388E-6</v>
      </c>
    </row>
    <row r="59" spans="1:21">
      <c r="A59" s="146" t="s">
        <v>308</v>
      </c>
      <c r="B59" s="110" t="s">
        <v>274</v>
      </c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</row>
    <row r="61" spans="1:21" s="5" customFormat="1">
      <c r="A61" s="147"/>
      <c r="B61" s="5" t="s">
        <v>275</v>
      </c>
      <c r="H61" s="5">
        <f>+CFS_A!F31</f>
        <v>37.4</v>
      </c>
      <c r="I61" s="5">
        <f>+CFS_A!G31</f>
        <v>60.2</v>
      </c>
      <c r="J61" s="5">
        <f>+CFS_A!H31</f>
        <v>59.1</v>
      </c>
      <c r="K61" s="5">
        <f>+CFS_A!I31</f>
        <v>66.599999999999994</v>
      </c>
      <c r="L61" s="5">
        <f>+CFS_A!J31</f>
        <v>68.3</v>
      </c>
      <c r="M61" s="5">
        <f>+CFS_A!K31</f>
        <v>72.2</v>
      </c>
      <c r="N61" s="5">
        <f ca="1">SUM(N62:N66)</f>
        <v>67.670260449059356</v>
      </c>
      <c r="O61" s="5">
        <f t="shared" ref="O61:R61" ca="1" si="43">SUM(O62:O66)</f>
        <v>76.763607205262673</v>
      </c>
      <c r="P61" s="5">
        <f t="shared" ca="1" si="43"/>
        <v>86.291696874277648</v>
      </c>
      <c r="Q61" s="5">
        <f t="shared" ca="1" si="43"/>
        <v>97.211121682480496</v>
      </c>
      <c r="R61" s="5">
        <f t="shared" ca="1" si="43"/>
        <v>109.77397498380293</v>
      </c>
    </row>
    <row r="62" spans="1:21">
      <c r="B62" s="111" t="s">
        <v>5</v>
      </c>
      <c r="H62" s="80">
        <f>H26</f>
        <v>48.457447638560417</v>
      </c>
      <c r="I62" s="80">
        <f t="shared" ref="I62:M62" si="44">I26</f>
        <v>55.941385509801378</v>
      </c>
      <c r="J62" s="80">
        <f t="shared" si="44"/>
        <v>72.873956880579669</v>
      </c>
      <c r="K62" s="80">
        <f t="shared" si="44"/>
        <v>60.463163932961194</v>
      </c>
      <c r="L62" s="80">
        <f t="shared" si="44"/>
        <v>50.947193950159139</v>
      </c>
      <c r="M62" s="80">
        <f t="shared" si="44"/>
        <v>58.722609143609233</v>
      </c>
      <c r="N62" s="80">
        <f ca="1">+N26</f>
        <v>56.27534867865333</v>
      </c>
      <c r="O62" s="80">
        <f t="shared" ref="O62:R62" ca="1" si="45">+O26</f>
        <v>62.891463478886791</v>
      </c>
      <c r="P62" s="80">
        <f t="shared" ca="1" si="45"/>
        <v>69.860632942066772</v>
      </c>
      <c r="Q62" s="80">
        <f t="shared" ca="1" si="45"/>
        <v>78.10014228089598</v>
      </c>
      <c r="R62" s="80">
        <f t="shared" ca="1" si="45"/>
        <v>87.81961710434922</v>
      </c>
    </row>
    <row r="63" spans="1:21">
      <c r="B63" s="111" t="s">
        <v>222</v>
      </c>
      <c r="H63" s="80">
        <f>+CFS_A!F18</f>
        <v>3.2</v>
      </c>
      <c r="I63" s="80">
        <f>+CFS_A!G18</f>
        <v>5</v>
      </c>
      <c r="J63" s="80">
        <f>+CFS_A!H18</f>
        <v>5.4</v>
      </c>
      <c r="K63" s="80">
        <f>+CFS_A!I18</f>
        <v>5.9</v>
      </c>
      <c r="L63" s="80">
        <f>+CFS_A!J18</f>
        <v>6.9</v>
      </c>
      <c r="M63" s="80">
        <f>+CFS_A!K18</f>
        <v>8.4</v>
      </c>
      <c r="N63" s="80">
        <f>N113</f>
        <v>7.646002805049088</v>
      </c>
      <c r="O63" s="80">
        <f t="shared" ref="O63:R63" si="46">O113</f>
        <v>8.4056628311492307</v>
      </c>
      <c r="P63" s="80">
        <f t="shared" si="46"/>
        <v>9.2386127100071675</v>
      </c>
      <c r="Q63" s="80">
        <f t="shared" si="46"/>
        <v>10.158162179656006</v>
      </c>
      <c r="R63" s="80">
        <f t="shared" si="46"/>
        <v>11.179198081403097</v>
      </c>
    </row>
    <row r="64" spans="1:21">
      <c r="B64" s="111" t="s">
        <v>279</v>
      </c>
      <c r="H64" s="80">
        <f>+CFS_A!F19</f>
        <v>0.6</v>
      </c>
      <c r="I64" s="80">
        <f>+CFS_A!G19</f>
        <v>0.62358704239592899</v>
      </c>
      <c r="J64" s="80">
        <f>+CFS_A!H19</f>
        <v>0.74646269825153022</v>
      </c>
      <c r="K64" s="80">
        <f>+CFS_A!I19</f>
        <v>3.3327044810532498</v>
      </c>
      <c r="L64" s="80">
        <f>+CFS_A!J19</f>
        <v>3.0287264342739486</v>
      </c>
      <c r="M64" s="80">
        <f>+CFS_A!K19</f>
        <v>3.9545070275653336</v>
      </c>
      <c r="N64" s="80">
        <f>N120</f>
        <v>4.1763770588148734</v>
      </c>
      <c r="O64" s="80">
        <f t="shared" ref="O64:R64" si="47">O120</f>
        <v>5.8965076574528696</v>
      </c>
      <c r="P64" s="80">
        <f t="shared" si="47"/>
        <v>7.6166081421082854</v>
      </c>
      <c r="Q64" s="80">
        <f t="shared" si="47"/>
        <v>9.3600197024913072</v>
      </c>
      <c r="R64" s="80">
        <f t="shared" si="47"/>
        <v>11.151049003082441</v>
      </c>
    </row>
    <row r="65" spans="1:18">
      <c r="B65" s="111" t="s">
        <v>280</v>
      </c>
      <c r="I65" s="80">
        <f>-I88</f>
        <v>-34.300000000000054</v>
      </c>
      <c r="J65" s="80">
        <f t="shared" ref="J65:R65" si="48">-J88</f>
        <v>3.5000000000000711</v>
      </c>
      <c r="K65" s="80">
        <f t="shared" si="48"/>
        <v>25.199999999999953</v>
      </c>
      <c r="L65" s="80">
        <f t="shared" si="48"/>
        <v>6.3999999999999275</v>
      </c>
      <c r="M65" s="80">
        <f t="shared" si="48"/>
        <v>17.000000000000078</v>
      </c>
      <c r="N65" s="80">
        <f t="shared" si="48"/>
        <v>-0.42746809345792514</v>
      </c>
      <c r="O65" s="80">
        <f t="shared" si="48"/>
        <v>-0.43002676206087642</v>
      </c>
      <c r="P65" s="80">
        <f t="shared" si="48"/>
        <v>-0.42415691840745495</v>
      </c>
      <c r="Q65" s="80">
        <f t="shared" si="48"/>
        <v>-0.40720247369210227</v>
      </c>
      <c r="R65" s="80">
        <f t="shared" si="48"/>
        <v>-0.37588918322626341</v>
      </c>
    </row>
    <row r="66" spans="1:18">
      <c r="B66" s="111" t="s">
        <v>281</v>
      </c>
      <c r="H66" s="80">
        <f>+H61-SUM(H62:H65)</f>
        <v>-14.857447638560423</v>
      </c>
      <c r="I66" s="80">
        <f t="shared" ref="I66:M66" si="49">+I61-SUM(I62:I65)</f>
        <v>32.935027447802753</v>
      </c>
      <c r="J66" s="80">
        <f t="shared" si="49"/>
        <v>-23.420419578831279</v>
      </c>
      <c r="K66" s="80">
        <f t="shared" si="49"/>
        <v>-28.295868414014421</v>
      </c>
      <c r="L66" s="80">
        <f t="shared" si="49"/>
        <v>1.0240796155669756</v>
      </c>
      <c r="M66" s="80">
        <f t="shared" si="49"/>
        <v>-15.877116171174649</v>
      </c>
      <c r="N66" s="154">
        <v>0</v>
      </c>
      <c r="O66" s="154">
        <v>0</v>
      </c>
      <c r="P66" s="154">
        <v>0</v>
      </c>
      <c r="Q66" s="154">
        <v>0</v>
      </c>
      <c r="R66" s="154">
        <v>0</v>
      </c>
    </row>
    <row r="68" spans="1:18" s="5" customFormat="1">
      <c r="A68" s="147"/>
      <c r="B68" s="5" t="s">
        <v>277</v>
      </c>
      <c r="H68" s="5">
        <f>CFS_A!F43</f>
        <v>-44.166173476443134</v>
      </c>
      <c r="I68" s="5">
        <f>CFS_A!G43</f>
        <v>-521.11277930014694</v>
      </c>
      <c r="J68" s="5">
        <f>CFS_A!H43</f>
        <v>-27.452009552753879</v>
      </c>
      <c r="K68" s="5">
        <f>CFS_A!I43</f>
        <v>-3.3642061254171223</v>
      </c>
      <c r="L68" s="5">
        <f>CFS_A!J43</f>
        <v>-20.013745250050068</v>
      </c>
      <c r="M68" s="5">
        <f>CFS_A!K43</f>
        <v>161.06742211998568</v>
      </c>
      <c r="N68" s="5">
        <f>+SUM(N69:N71)</f>
        <v>-31.450333861608172</v>
      </c>
      <c r="O68" s="5">
        <f t="shared" ref="O68:R68" si="50">+SUM(O69:O71)</f>
        <v>-34.551984998886979</v>
      </c>
      <c r="P68" s="5">
        <f t="shared" si="50"/>
        <v>-38.018713742109419</v>
      </c>
      <c r="Q68" s="5">
        <f t="shared" si="50"/>
        <v>-41.90795522796931</v>
      </c>
      <c r="R68" s="5">
        <f t="shared" si="50"/>
        <v>-46.284988791102784</v>
      </c>
    </row>
    <row r="69" spans="1:18">
      <c r="B69" s="111" t="s">
        <v>282</v>
      </c>
      <c r="H69" s="80">
        <f>+CFS_A!F35</f>
        <v>-12.523626627322429</v>
      </c>
      <c r="I69" s="80">
        <f>+CFS_A!G35</f>
        <v>-7.2</v>
      </c>
      <c r="J69" s="80">
        <f>+CFS_A!H35</f>
        <v>-7.5</v>
      </c>
      <c r="K69" s="80">
        <f>+CFS_A!I35</f>
        <v>-8.6</v>
      </c>
      <c r="L69" s="80">
        <f>+CFS_A!J35</f>
        <v>-22</v>
      </c>
      <c r="M69" s="80">
        <f>+CFS_A!K35</f>
        <v>-9.9</v>
      </c>
      <c r="N69" s="80">
        <f>-N111</f>
        <v>-14.094069455161025</v>
      </c>
      <c r="O69" s="80">
        <f t="shared" ref="O69:R69" si="51">-O111</f>
        <v>-15.475820731455293</v>
      </c>
      <c r="P69" s="80">
        <f t="shared" si="51"/>
        <v>-17.043836184526473</v>
      </c>
      <c r="Q69" s="80">
        <f t="shared" si="51"/>
        <v>-18.824812155199758</v>
      </c>
      <c r="R69" s="80">
        <f t="shared" si="51"/>
        <v>-20.849443656712854</v>
      </c>
    </row>
    <row r="70" spans="1:18">
      <c r="B70" s="111" t="s">
        <v>283</v>
      </c>
      <c r="H70" s="80">
        <f>+CFS_A!F36</f>
        <v>-0.24254684912070568</v>
      </c>
      <c r="I70" s="80">
        <f>+CFS_A!G36</f>
        <v>-0.11277930014699855</v>
      </c>
      <c r="J70" s="80">
        <f>+CFS_A!H36</f>
        <v>-5.952009552753883</v>
      </c>
      <c r="K70" s="80">
        <f>+CFS_A!I36</f>
        <v>-18.464206125417121</v>
      </c>
      <c r="L70" s="80">
        <f>+CFS_A!J36</f>
        <v>-16.313745250050065</v>
      </c>
      <c r="M70" s="80">
        <f>+CFS_A!K36</f>
        <v>-20.932577880014335</v>
      </c>
      <c r="N70" s="80">
        <f>-N118</f>
        <v>-17.356264406447149</v>
      </c>
      <c r="O70" s="80">
        <f t="shared" ref="O70:R70" si="52">-O118</f>
        <v>-19.07616426743169</v>
      </c>
      <c r="P70" s="80">
        <f t="shared" si="52"/>
        <v>-20.974877557582946</v>
      </c>
      <c r="Q70" s="80">
        <f t="shared" si="52"/>
        <v>-23.083143072769548</v>
      </c>
      <c r="R70" s="80">
        <f t="shared" si="52"/>
        <v>-25.43554513438993</v>
      </c>
    </row>
    <row r="71" spans="1:18">
      <c r="B71" s="111" t="s">
        <v>284</v>
      </c>
      <c r="H71" s="80">
        <f>H68-SUM(H69:H70)</f>
        <v>-31.4</v>
      </c>
      <c r="I71" s="80">
        <f t="shared" ref="I71:M71" si="53">I68-SUM(I69:I70)</f>
        <v>-513.79999999999995</v>
      </c>
      <c r="J71" s="80">
        <f t="shared" si="53"/>
        <v>-13.999999999999996</v>
      </c>
      <c r="K71" s="80">
        <f t="shared" si="53"/>
        <v>23.7</v>
      </c>
      <c r="L71" s="80">
        <f t="shared" si="53"/>
        <v>18.299999999999994</v>
      </c>
      <c r="M71" s="80">
        <f t="shared" si="53"/>
        <v>191.9</v>
      </c>
      <c r="N71" s="154">
        <v>0</v>
      </c>
      <c r="O71" s="154">
        <v>0</v>
      </c>
      <c r="P71" s="154">
        <v>0</v>
      </c>
      <c r="Q71" s="154">
        <v>0</v>
      </c>
      <c r="R71" s="154">
        <v>0</v>
      </c>
    </row>
    <row r="73" spans="1:18" s="5" customFormat="1">
      <c r="A73" s="147"/>
      <c r="B73" s="5" t="s">
        <v>278</v>
      </c>
      <c r="H73" s="5">
        <f>CFS_A!F59</f>
        <v>0.56617347644314009</v>
      </c>
      <c r="I73" s="5">
        <f>CFS_A!G59</f>
        <v>429.51277930014692</v>
      </c>
      <c r="J73" s="5">
        <f>CFS_A!H59</f>
        <v>-33.647990447246116</v>
      </c>
      <c r="K73" s="5">
        <f>CFS_A!I59</f>
        <v>-75.035793874582865</v>
      </c>
      <c r="L73" s="5">
        <f>CFS_A!J59</f>
        <v>-5.08625474994993</v>
      </c>
      <c r="M73" s="5">
        <f>CFS_A!K59</f>
        <v>-38.567422119985693</v>
      </c>
      <c r="N73" s="5">
        <f ca="1">+SUM(N74:N78)</f>
        <v>-120.96412107693638</v>
      </c>
      <c r="O73" s="5">
        <f t="shared" ref="O73:R73" ca="1" si="54">+SUM(O74:O78)</f>
        <v>-21.19367282702974</v>
      </c>
      <c r="P73" s="5">
        <f t="shared" ca="1" si="54"/>
        <v>-23.542199786584135</v>
      </c>
      <c r="Q73" s="5">
        <f t="shared" ca="1" si="54"/>
        <v>-26.318816128991099</v>
      </c>
      <c r="R73" s="5">
        <f t="shared" ca="1" si="54"/>
        <v>-29.594163185227174</v>
      </c>
    </row>
    <row r="74" spans="1:18" s="118" customFormat="1">
      <c r="A74" s="146"/>
      <c r="B74" s="119" t="s">
        <v>285</v>
      </c>
      <c r="H74" s="118">
        <f>+CFS_A!F48</f>
        <v>0</v>
      </c>
      <c r="I74" s="118">
        <f>+CFS_A!G48</f>
        <v>93.7</v>
      </c>
      <c r="J74" s="118">
        <f>+CFS_A!H48</f>
        <v>0</v>
      </c>
      <c r="K74" s="118">
        <f>+CFS_A!I48</f>
        <v>0</v>
      </c>
      <c r="L74" s="118">
        <f>+CFS_A!J48</f>
        <v>0</v>
      </c>
      <c r="M74" s="118">
        <f>+CFS_A!K48</f>
        <v>0</v>
      </c>
      <c r="N74" s="118">
        <f>+N127</f>
        <v>0</v>
      </c>
      <c r="O74" s="118">
        <f t="shared" ref="O74:R74" si="55">+O127</f>
        <v>0</v>
      </c>
      <c r="P74" s="118">
        <f t="shared" si="55"/>
        <v>0</v>
      </c>
      <c r="Q74" s="118">
        <f t="shared" si="55"/>
        <v>0</v>
      </c>
      <c r="R74" s="118">
        <f t="shared" si="55"/>
        <v>0</v>
      </c>
    </row>
    <row r="75" spans="1:18" s="118" customFormat="1">
      <c r="A75" s="146"/>
      <c r="B75" s="119" t="s">
        <v>289</v>
      </c>
      <c r="H75" s="118">
        <f>+CFS_A!F51</f>
        <v>0</v>
      </c>
      <c r="I75" s="118">
        <f>+CFS_A!G51</f>
        <v>0</v>
      </c>
      <c r="J75" s="118">
        <f>+CFS_A!H51</f>
        <v>0</v>
      </c>
      <c r="K75" s="118">
        <f>+CFS_A!I51</f>
        <v>0</v>
      </c>
      <c r="L75" s="118">
        <f>+CFS_A!J51</f>
        <v>0</v>
      </c>
      <c r="M75" s="118">
        <f>+CFS_A!K51</f>
        <v>0</v>
      </c>
      <c r="N75" s="118">
        <f>-N128</f>
        <v>-102</v>
      </c>
      <c r="O75" s="118">
        <f t="shared" ref="O75:R75" si="56">-O128</f>
        <v>0</v>
      </c>
      <c r="P75" s="118">
        <f t="shared" si="56"/>
        <v>0</v>
      </c>
      <c r="Q75" s="118">
        <f t="shared" si="56"/>
        <v>0</v>
      </c>
      <c r="R75" s="118">
        <f t="shared" si="56"/>
        <v>0</v>
      </c>
    </row>
    <row r="76" spans="1:18" s="118" customFormat="1">
      <c r="A76" s="146"/>
      <c r="B76" s="119" t="s">
        <v>286</v>
      </c>
      <c r="H76" s="118">
        <f>+CFS_A!F55</f>
        <v>0</v>
      </c>
      <c r="I76" s="118">
        <f>+CFS_A!G55</f>
        <v>0</v>
      </c>
      <c r="J76" s="118">
        <f>+CFS_A!H55</f>
        <v>0</v>
      </c>
      <c r="K76" s="118">
        <f>+CFS_A!I55</f>
        <v>0</v>
      </c>
      <c r="L76" s="118">
        <f>+CFS_A!J55</f>
        <v>0</v>
      </c>
      <c r="M76" s="118">
        <f>+CFS_A!K55</f>
        <v>0</v>
      </c>
      <c r="N76" s="118">
        <f ca="1">-N139</f>
        <v>0</v>
      </c>
      <c r="O76" s="118">
        <f t="shared" ref="O76:R76" ca="1" si="57">-O139</f>
        <v>0</v>
      </c>
      <c r="P76" s="118">
        <f t="shared" ca="1" si="57"/>
        <v>0</v>
      </c>
      <c r="Q76" s="118">
        <f t="shared" ca="1" si="57"/>
        <v>0</v>
      </c>
      <c r="R76" s="118">
        <f t="shared" ca="1" si="57"/>
        <v>0</v>
      </c>
    </row>
    <row r="77" spans="1:18" s="118" customFormat="1">
      <c r="A77" s="146"/>
      <c r="B77" s="119" t="s">
        <v>287</v>
      </c>
      <c r="H77" s="118">
        <f>+CFS_A!F53</f>
        <v>-4.9000000000000004</v>
      </c>
      <c r="I77" s="118">
        <f>+CFS_A!G53</f>
        <v>0</v>
      </c>
      <c r="J77" s="118">
        <f>+CFS_A!H53</f>
        <v>-37.1</v>
      </c>
      <c r="K77" s="118">
        <f>+CFS_A!I53</f>
        <v>-40</v>
      </c>
      <c r="L77" s="118">
        <f>+CFS_A!J53</f>
        <v>0</v>
      </c>
      <c r="M77" s="118">
        <f>+CFS_A!K53</f>
        <v>-30.2</v>
      </c>
      <c r="N77" s="118">
        <f ca="1">-N141</f>
        <v>-18.964121076936372</v>
      </c>
      <c r="O77" s="118">
        <f t="shared" ref="O77:R77" ca="1" si="58">-O141</f>
        <v>-21.193672826919506</v>
      </c>
      <c r="P77" s="118">
        <f t="shared" ca="1" si="58"/>
        <v>-23.542199785586043</v>
      </c>
      <c r="Q77" s="118">
        <f t="shared" ca="1" si="58"/>
        <v>-26.318816124410649</v>
      </c>
      <c r="R77" s="118">
        <f t="shared" ca="1" si="58"/>
        <v>-29.594163170690123</v>
      </c>
    </row>
    <row r="78" spans="1:18" s="118" customFormat="1">
      <c r="A78" s="146"/>
      <c r="B78" s="119" t="s">
        <v>288</v>
      </c>
      <c r="H78" s="118">
        <f>+H73-SUM(H74:H77)</f>
        <v>5.4661734764431404</v>
      </c>
      <c r="I78" s="118">
        <f t="shared" ref="I78:M78" si="59">+I73-SUM(I74:I77)</f>
        <v>335.81277930014693</v>
      </c>
      <c r="J78" s="118">
        <f t="shared" si="59"/>
        <v>3.4520095527538857</v>
      </c>
      <c r="K78" s="118">
        <f t="shared" si="59"/>
        <v>-35.035793874582865</v>
      </c>
      <c r="L78" s="118">
        <f t="shared" si="59"/>
        <v>-5.08625474994993</v>
      </c>
      <c r="M78" s="118">
        <f t="shared" si="59"/>
        <v>-8.3674221199856937</v>
      </c>
      <c r="N78" s="154">
        <v>0</v>
      </c>
      <c r="O78" s="154">
        <v>0</v>
      </c>
      <c r="P78" s="154">
        <v>0</v>
      </c>
      <c r="Q78" s="154">
        <v>0</v>
      </c>
      <c r="R78" s="154">
        <v>0</v>
      </c>
    </row>
    <row r="79" spans="1:18" s="5" customFormat="1">
      <c r="A79" s="147"/>
    </row>
    <row r="80" spans="1:18" s="5" customFormat="1">
      <c r="A80" s="147"/>
      <c r="B80" s="5" t="s">
        <v>276</v>
      </c>
      <c r="H80" s="5">
        <f>CFS_A!F64</f>
        <v>-6.1999999999999957</v>
      </c>
      <c r="I80" s="5">
        <f>CFS_A!G64</f>
        <v>-31.400000000000034</v>
      </c>
      <c r="J80" s="5">
        <f>CFS_A!H64</f>
        <v>-1.9999999999999964</v>
      </c>
      <c r="K80" s="5">
        <f>CFS_A!I64</f>
        <v>-11.799999999999997</v>
      </c>
      <c r="L80" s="5">
        <f>CFS_A!J64</f>
        <v>43.2</v>
      </c>
      <c r="M80" s="5">
        <f>CFS_A!K64</f>
        <v>194.7</v>
      </c>
      <c r="N80" s="5">
        <f ca="1">+N61+N68+N73</f>
        <v>-84.744194489485196</v>
      </c>
      <c r="O80" s="5">
        <f t="shared" ref="O80:R80" ca="1" si="60">+O61+O68+O73</f>
        <v>21.017949379345954</v>
      </c>
      <c r="P80" s="5">
        <f t="shared" ca="1" si="60"/>
        <v>24.730783345584094</v>
      </c>
      <c r="Q80" s="5">
        <f t="shared" ca="1" si="60"/>
        <v>28.984350325520086</v>
      </c>
      <c r="R80" s="5">
        <f t="shared" ca="1" si="60"/>
        <v>33.894823007472972</v>
      </c>
    </row>
    <row r="82" spans="1:21">
      <c r="A82" s="146" t="s">
        <v>308</v>
      </c>
      <c r="B82" s="110" t="s">
        <v>336</v>
      </c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</row>
    <row r="84" spans="1:21" s="5" customFormat="1">
      <c r="A84" s="147"/>
      <c r="B84" s="5" t="s">
        <v>246</v>
      </c>
      <c r="H84" s="5">
        <f t="shared" ref="H84:R84" si="61">H15</f>
        <v>102.9</v>
      </c>
      <c r="I84" s="5">
        <f t="shared" si="61"/>
        <v>130.69999999999999</v>
      </c>
      <c r="J84" s="5">
        <f t="shared" si="61"/>
        <v>157.80000000000001</v>
      </c>
      <c r="K84" s="5">
        <f t="shared" si="61"/>
        <v>177.1</v>
      </c>
      <c r="L84" s="5">
        <f t="shared" si="61"/>
        <v>194</v>
      </c>
      <c r="M84" s="5">
        <f t="shared" si="61"/>
        <v>205.9</v>
      </c>
      <c r="N84" s="5">
        <f t="shared" si="61"/>
        <v>225.3894989132026</v>
      </c>
      <c r="O84" s="5">
        <f t="shared" si="61"/>
        <v>247.48618495391187</v>
      </c>
      <c r="P84" s="5">
        <f t="shared" si="61"/>
        <v>272.56156991495709</v>
      </c>
      <c r="Q84" s="5">
        <f t="shared" si="61"/>
        <v>301.04257626188661</v>
      </c>
      <c r="R84" s="5">
        <f t="shared" si="61"/>
        <v>333.4200724181029</v>
      </c>
    </row>
    <row r="85" spans="1:21">
      <c r="B85" s="80" t="s">
        <v>247</v>
      </c>
      <c r="H85" s="80">
        <f t="shared" ref="H85:R85" si="62">H16</f>
        <v>24.8</v>
      </c>
      <c r="I85" s="80">
        <f t="shared" si="62"/>
        <v>28.69271261089628</v>
      </c>
      <c r="J85" s="80">
        <f t="shared" si="62"/>
        <v>44.130096299431344</v>
      </c>
      <c r="K85" s="80">
        <f t="shared" si="62"/>
        <v>52.5</v>
      </c>
      <c r="L85" s="80">
        <f t="shared" si="62"/>
        <v>57.2</v>
      </c>
      <c r="M85" s="80">
        <f t="shared" si="62"/>
        <v>61.77000000000001</v>
      </c>
      <c r="N85" s="80">
        <f t="shared" si="62"/>
        <v>67.418347976036145</v>
      </c>
      <c r="O85" s="80">
        <f t="shared" si="62"/>
        <v>73.626122593493989</v>
      </c>
      <c r="P85" s="80">
        <f t="shared" si="62"/>
        <v>80.441460980623162</v>
      </c>
      <c r="Q85" s="80">
        <f t="shared" si="62"/>
        <v>87.914655738722885</v>
      </c>
      <c r="R85" s="80">
        <f t="shared" si="62"/>
        <v>96.097736314010731</v>
      </c>
    </row>
    <row r="87" spans="1:21" s="5" customFormat="1">
      <c r="A87" s="147"/>
      <c r="B87" s="5" t="s">
        <v>337</v>
      </c>
      <c r="H87" s="5">
        <f>H90-H95</f>
        <v>22.899999999999995</v>
      </c>
      <c r="I87" s="5">
        <f t="shared" ref="I87:R87" si="63">I90-I95</f>
        <v>57.200000000000045</v>
      </c>
      <c r="J87" s="5">
        <f t="shared" si="63"/>
        <v>53.699999999999974</v>
      </c>
      <c r="K87" s="5">
        <f t="shared" si="63"/>
        <v>28.500000000000021</v>
      </c>
      <c r="L87" s="5">
        <f>L90-L95</f>
        <v>22.100000000000094</v>
      </c>
      <c r="M87" s="5">
        <f t="shared" si="63"/>
        <v>5.1000000000000156</v>
      </c>
      <c r="N87" s="5">
        <f t="shared" si="63"/>
        <v>5.5274680934579408</v>
      </c>
      <c r="O87" s="5">
        <f>O90-O95</f>
        <v>5.9574948555188172</v>
      </c>
      <c r="P87" s="5">
        <f t="shared" si="63"/>
        <v>6.3816517739262721</v>
      </c>
      <c r="Q87" s="5">
        <f t="shared" si="63"/>
        <v>6.7888542476183744</v>
      </c>
      <c r="R87" s="5">
        <f t="shared" si="63"/>
        <v>7.1647434308446378</v>
      </c>
    </row>
    <row r="88" spans="1:21">
      <c r="B88" s="149" t="s">
        <v>280</v>
      </c>
      <c r="I88" s="80">
        <f>+I87-H87</f>
        <v>34.300000000000054</v>
      </c>
      <c r="J88" s="80">
        <f t="shared" ref="J88:L88" si="64">+J87-I87</f>
        <v>-3.5000000000000711</v>
      </c>
      <c r="K88" s="80">
        <f t="shared" si="64"/>
        <v>-25.199999999999953</v>
      </c>
      <c r="L88" s="80">
        <f t="shared" si="64"/>
        <v>-6.3999999999999275</v>
      </c>
      <c r="M88" s="80">
        <f>+M87-L87</f>
        <v>-17.000000000000078</v>
      </c>
      <c r="N88" s="132">
        <f t="shared" ref="N88:R88" si="65">+N87-M87</f>
        <v>0.42746809345792514</v>
      </c>
      <c r="O88" s="132">
        <f>+O87-N87</f>
        <v>0.43002676206087642</v>
      </c>
      <c r="P88" s="132">
        <f t="shared" si="65"/>
        <v>0.42415691840745495</v>
      </c>
      <c r="Q88" s="132">
        <f t="shared" si="65"/>
        <v>0.40720247369210227</v>
      </c>
      <c r="R88" s="132">
        <f t="shared" si="65"/>
        <v>0.37588918322626341</v>
      </c>
    </row>
    <row r="90" spans="1:21" s="5" customFormat="1">
      <c r="A90" s="147"/>
      <c r="B90" s="5" t="s">
        <v>338</v>
      </c>
      <c r="H90" s="5">
        <f>SUM(H91:H93)</f>
        <v>39.099999999999994</v>
      </c>
      <c r="I90" s="5">
        <f t="shared" ref="I90:R90" si="66">SUM(I91:I93)</f>
        <v>78.400000000000048</v>
      </c>
      <c r="J90" s="5">
        <f t="shared" si="66"/>
        <v>74.399999999999977</v>
      </c>
      <c r="K90" s="5">
        <f t="shared" si="66"/>
        <v>60.700000000000024</v>
      </c>
      <c r="L90" s="5">
        <f t="shared" si="66"/>
        <v>62.400000000000091</v>
      </c>
      <c r="M90" s="5">
        <f t="shared" si="66"/>
        <v>50.500000000000021</v>
      </c>
      <c r="N90" s="5">
        <f t="shared" si="66"/>
        <v>55.20617402432822</v>
      </c>
      <c r="O90" s="5">
        <f t="shared" si="66"/>
        <v>60.468865881821856</v>
      </c>
      <c r="P90" s="5">
        <f t="shared" si="66"/>
        <v>66.355618493649516</v>
      </c>
      <c r="Q90" s="5">
        <f t="shared" si="66"/>
        <v>72.942178017665427</v>
      </c>
      <c r="R90" s="5">
        <f t="shared" si="66"/>
        <v>80.313477945144868</v>
      </c>
    </row>
    <row r="91" spans="1:21">
      <c r="B91" s="111" t="s">
        <v>262</v>
      </c>
      <c r="H91" s="80">
        <f>+H34</f>
        <v>26.8</v>
      </c>
      <c r="I91" s="80">
        <f t="shared" ref="I91:M91" si="67">+I34</f>
        <v>62.1</v>
      </c>
      <c r="J91" s="80">
        <f t="shared" si="67"/>
        <v>50.4</v>
      </c>
      <c r="K91" s="80">
        <f t="shared" si="67"/>
        <v>33.1</v>
      </c>
      <c r="L91" s="80">
        <f t="shared" si="67"/>
        <v>40.200000000000003</v>
      </c>
      <c r="M91" s="80">
        <f t="shared" si="67"/>
        <v>25.4</v>
      </c>
      <c r="N91" s="80">
        <f>+N84*N100/365</f>
        <v>27.804241245242093</v>
      </c>
      <c r="O91" s="80">
        <f t="shared" ref="O91:R91" si="68">+O84*O100/365</f>
        <v>30.530107323114915</v>
      </c>
      <c r="P91" s="80">
        <f t="shared" si="68"/>
        <v>33.623428245944197</v>
      </c>
      <c r="Q91" s="80">
        <f t="shared" si="68"/>
        <v>37.136869534006415</v>
      </c>
      <c r="R91" s="80">
        <f t="shared" si="68"/>
        <v>41.130985135598905</v>
      </c>
    </row>
    <row r="92" spans="1:21">
      <c r="B92" s="111" t="s">
        <v>263</v>
      </c>
      <c r="H92" s="80">
        <f t="shared" ref="H92:M92" si="69">+H35</f>
        <v>11.2</v>
      </c>
      <c r="I92" s="80">
        <f t="shared" si="69"/>
        <v>14.6</v>
      </c>
      <c r="J92" s="80">
        <f t="shared" si="69"/>
        <v>19.600000000000001</v>
      </c>
      <c r="K92" s="80">
        <f t="shared" si="69"/>
        <v>25</v>
      </c>
      <c r="L92" s="80">
        <f t="shared" si="69"/>
        <v>21.3</v>
      </c>
      <c r="M92" s="80">
        <f t="shared" si="69"/>
        <v>23</v>
      </c>
      <c r="N92" s="80">
        <f>+N85*N101/365</f>
        <v>25.103156928101523</v>
      </c>
      <c r="O92" s="80">
        <f t="shared" ref="O92:R92" si="70">+O85*O101/365</f>
        <v>27.414615827268278</v>
      </c>
      <c r="P92" s="80">
        <f t="shared" si="70"/>
        <v>29.952300510835883</v>
      </c>
      <c r="Q92" s="80">
        <f t="shared" si="70"/>
        <v>32.734937380453722</v>
      </c>
      <c r="R92" s="80">
        <f t="shared" si="70"/>
        <v>35.781899550303493</v>
      </c>
    </row>
    <row r="93" spans="1:21">
      <c r="B93" s="111" t="s">
        <v>264</v>
      </c>
      <c r="H93" s="80">
        <f t="shared" ref="H93:M93" si="71">+H36</f>
        <v>1.0999999999999943</v>
      </c>
      <c r="I93" s="80">
        <f t="shared" si="71"/>
        <v>1.7000000000000455</v>
      </c>
      <c r="J93" s="80">
        <f t="shared" si="71"/>
        <v>4.3999999999999773</v>
      </c>
      <c r="K93" s="80">
        <f t="shared" si="71"/>
        <v>2.6000000000000227</v>
      </c>
      <c r="L93" s="80">
        <f t="shared" si="71"/>
        <v>0.90000000000009095</v>
      </c>
      <c r="M93" s="80">
        <f t="shared" si="71"/>
        <v>2.1000000000000227</v>
      </c>
      <c r="N93" s="80">
        <f>+N84*N102</f>
        <v>2.2987758509846068</v>
      </c>
      <c r="O93" s="80">
        <f t="shared" ref="O93:R93" si="72">+O84*O102</f>
        <v>2.524142731438662</v>
      </c>
      <c r="P93" s="80">
        <f t="shared" si="72"/>
        <v>2.779889736869432</v>
      </c>
      <c r="Q93" s="80">
        <f t="shared" si="72"/>
        <v>3.0703711032052876</v>
      </c>
      <c r="R93" s="80">
        <f t="shared" si="72"/>
        <v>3.4005932592424655</v>
      </c>
    </row>
    <row r="95" spans="1:21" s="5" customFormat="1">
      <c r="A95" s="147"/>
      <c r="B95" s="5" t="s">
        <v>339</v>
      </c>
      <c r="H95" s="5">
        <f>SUM(H96:H97)</f>
        <v>16.2</v>
      </c>
      <c r="I95" s="5">
        <f t="shared" ref="I95:M95" si="73">SUM(I96:I97)</f>
        <v>21.200000000000003</v>
      </c>
      <c r="J95" s="5">
        <f t="shared" si="73"/>
        <v>20.7</v>
      </c>
      <c r="K95" s="5">
        <f t="shared" si="73"/>
        <v>32.200000000000003</v>
      </c>
      <c r="L95" s="5">
        <f>SUM(L96:L97)</f>
        <v>40.299999999999997</v>
      </c>
      <c r="M95" s="5">
        <f t="shared" si="73"/>
        <v>45.400000000000006</v>
      </c>
      <c r="N95" s="5">
        <f t="shared" ref="N95" si="74">SUM(N96:N97)</f>
        <v>49.678705930870279</v>
      </c>
      <c r="O95" s="5">
        <f t="shared" ref="O95" si="75">SUM(O96:O97)</f>
        <v>54.511371026303038</v>
      </c>
      <c r="P95" s="5">
        <f t="shared" ref="P95" si="76">SUM(P96:P97)</f>
        <v>59.973966719723244</v>
      </c>
      <c r="Q95" s="5">
        <f t="shared" ref="Q95" si="77">SUM(Q96:Q97)</f>
        <v>66.153323770047052</v>
      </c>
      <c r="R95" s="5">
        <f t="shared" ref="R95" si="78">SUM(R96:R97)</f>
        <v>73.14873451430023</v>
      </c>
    </row>
    <row r="96" spans="1:21">
      <c r="B96" s="111" t="s">
        <v>268</v>
      </c>
      <c r="H96" s="80">
        <f>+H45</f>
        <v>2.7</v>
      </c>
      <c r="I96" s="80">
        <f t="shared" ref="I96:M97" si="79">+I45</f>
        <v>4.4000000000000004</v>
      </c>
      <c r="J96" s="80">
        <f t="shared" si="79"/>
        <v>5.4</v>
      </c>
      <c r="K96" s="80">
        <f t="shared" si="79"/>
        <v>4.9000000000000004</v>
      </c>
      <c r="L96" s="80">
        <f t="shared" si="79"/>
        <v>4.4000000000000004</v>
      </c>
      <c r="M96" s="80">
        <f t="shared" si="79"/>
        <v>5.8</v>
      </c>
      <c r="N96" s="80">
        <f>+N85*N103/365</f>
        <v>6.3303613123038618</v>
      </c>
      <c r="O96" s="80">
        <f t="shared" ref="O96:R96" si="80">+O85*O103/365</f>
        <v>6.9132509477459134</v>
      </c>
      <c r="P96" s="80">
        <f t="shared" si="80"/>
        <v>7.5531888244716567</v>
      </c>
      <c r="Q96" s="80">
        <f t="shared" si="80"/>
        <v>8.254897252462241</v>
      </c>
      <c r="R96" s="80">
        <f t="shared" si="80"/>
        <v>9.0232616257287059</v>
      </c>
    </row>
    <row r="97" spans="1:21">
      <c r="B97" s="111" t="s">
        <v>54</v>
      </c>
      <c r="H97" s="80">
        <f>+H46</f>
        <v>13.5</v>
      </c>
      <c r="I97" s="80">
        <f t="shared" si="79"/>
        <v>16.800000000000004</v>
      </c>
      <c r="J97" s="80">
        <f t="shared" si="79"/>
        <v>15.299999999999999</v>
      </c>
      <c r="K97" s="80">
        <f t="shared" si="79"/>
        <v>27.300000000000004</v>
      </c>
      <c r="L97" s="80">
        <f t="shared" si="79"/>
        <v>35.9</v>
      </c>
      <c r="M97" s="80">
        <f t="shared" si="79"/>
        <v>39.600000000000009</v>
      </c>
      <c r="N97" s="80">
        <f>+N84*N104</f>
        <v>43.348344618566415</v>
      </c>
      <c r="O97" s="80">
        <f t="shared" ref="O97:R97" si="81">+O84*O104</f>
        <v>47.598120078557123</v>
      </c>
      <c r="P97" s="80">
        <f t="shared" si="81"/>
        <v>52.420777895251589</v>
      </c>
      <c r="Q97" s="80">
        <f t="shared" si="81"/>
        <v>57.898426517584809</v>
      </c>
      <c r="R97" s="80">
        <f t="shared" si="81"/>
        <v>64.125472888571522</v>
      </c>
    </row>
    <row r="99" spans="1:21" s="127" customFormat="1">
      <c r="A99" s="150"/>
      <c r="B99" s="127" t="s">
        <v>340</v>
      </c>
    </row>
    <row r="100" spans="1:21" s="123" customFormat="1">
      <c r="A100" s="148"/>
      <c r="B100" s="125" t="s">
        <v>341</v>
      </c>
      <c r="H100" s="123">
        <f>365*H91/H84</f>
        <v>95.063168124392604</v>
      </c>
      <c r="I100" s="123">
        <f t="shared" ref="I100:M100" si="82">365*I91/I84</f>
        <v>173.42387146136193</v>
      </c>
      <c r="J100" s="123">
        <f t="shared" si="82"/>
        <v>116.57794676806083</v>
      </c>
      <c r="K100" s="123">
        <f t="shared" si="82"/>
        <v>68.218520609824964</v>
      </c>
      <c r="L100" s="123">
        <f t="shared" si="82"/>
        <v>75.634020618556704</v>
      </c>
      <c r="M100" s="123">
        <f t="shared" si="82"/>
        <v>45.026711996114621</v>
      </c>
      <c r="N100" s="151">
        <f>+M100</f>
        <v>45.026711996114621</v>
      </c>
      <c r="O100" s="151">
        <f t="shared" ref="O100:R100" si="83">+N100</f>
        <v>45.026711996114621</v>
      </c>
      <c r="P100" s="151">
        <f t="shared" si="83"/>
        <v>45.026711996114621</v>
      </c>
      <c r="Q100" s="151">
        <f t="shared" si="83"/>
        <v>45.026711996114621</v>
      </c>
      <c r="R100" s="151">
        <f t="shared" si="83"/>
        <v>45.026711996114621</v>
      </c>
    </row>
    <row r="101" spans="1:21" s="123" customFormat="1">
      <c r="A101" s="148"/>
      <c r="B101" s="125" t="s">
        <v>342</v>
      </c>
      <c r="H101" s="123">
        <f>365*H92/H85</f>
        <v>164.83870967741933</v>
      </c>
      <c r="I101" s="123">
        <f t="shared" ref="I101:M101" si="84">365*I92/I85</f>
        <v>185.72660146382503</v>
      </c>
      <c r="J101" s="123">
        <f t="shared" si="84"/>
        <v>162.1115882335427</v>
      </c>
      <c r="K101" s="123">
        <f t="shared" si="84"/>
        <v>173.8095238095238</v>
      </c>
      <c r="L101" s="123">
        <f t="shared" si="84"/>
        <v>135.91783216783216</v>
      </c>
      <c r="M101" s="123">
        <f t="shared" si="84"/>
        <v>135.90739841346931</v>
      </c>
      <c r="N101" s="151">
        <f>+M101</f>
        <v>135.90739841346931</v>
      </c>
      <c r="O101" s="151">
        <f t="shared" ref="O101:R101" si="85">+N101</f>
        <v>135.90739841346931</v>
      </c>
      <c r="P101" s="151">
        <f t="shared" si="85"/>
        <v>135.90739841346931</v>
      </c>
      <c r="Q101" s="151">
        <f t="shared" si="85"/>
        <v>135.90739841346931</v>
      </c>
      <c r="R101" s="151">
        <f t="shared" si="85"/>
        <v>135.90739841346931</v>
      </c>
    </row>
    <row r="102" spans="1:21" s="123" customFormat="1">
      <c r="A102" s="148"/>
      <c r="B102" s="125" t="s">
        <v>343</v>
      </c>
      <c r="H102" s="124">
        <f>H93/H84</f>
        <v>1.0689990281826961E-2</v>
      </c>
      <c r="I102" s="124">
        <f t="shared" ref="I102:M102" si="86">I93/I84</f>
        <v>1.3006885998470127E-2</v>
      </c>
      <c r="J102" s="124">
        <f t="shared" si="86"/>
        <v>2.7883396704689336E-2</v>
      </c>
      <c r="K102" s="124">
        <f t="shared" si="86"/>
        <v>1.4680971202710462E-2</v>
      </c>
      <c r="L102" s="124">
        <f t="shared" si="86"/>
        <v>4.639175257732428E-3</v>
      </c>
      <c r="M102" s="124">
        <f t="shared" si="86"/>
        <v>1.0199125789218177E-2</v>
      </c>
      <c r="N102" s="129">
        <f>+M102</f>
        <v>1.0199125789218177E-2</v>
      </c>
      <c r="O102" s="129">
        <f t="shared" ref="O102:R102" si="87">+N102</f>
        <v>1.0199125789218177E-2</v>
      </c>
      <c r="P102" s="129">
        <f t="shared" si="87"/>
        <v>1.0199125789218177E-2</v>
      </c>
      <c r="Q102" s="129">
        <f t="shared" si="87"/>
        <v>1.0199125789218177E-2</v>
      </c>
      <c r="R102" s="129">
        <f t="shared" si="87"/>
        <v>1.0199125789218177E-2</v>
      </c>
    </row>
    <row r="103" spans="1:21" s="123" customFormat="1">
      <c r="A103" s="148"/>
      <c r="B103" s="125" t="s">
        <v>345</v>
      </c>
      <c r="H103" s="123">
        <f>365*H96/H85</f>
        <v>39.737903225806456</v>
      </c>
      <c r="I103" s="123">
        <f t="shared" ref="I103:M103" si="88">365*I96/I85</f>
        <v>55.972400441152757</v>
      </c>
      <c r="J103" s="123">
        <f t="shared" si="88"/>
        <v>44.663396758220948</v>
      </c>
      <c r="K103" s="123">
        <f t="shared" si="88"/>
        <v>34.06666666666667</v>
      </c>
      <c r="L103" s="123">
        <f t="shared" si="88"/>
        <v>28.07692307692308</v>
      </c>
      <c r="M103" s="123">
        <f t="shared" si="88"/>
        <v>34.272300469483561</v>
      </c>
      <c r="N103" s="151">
        <f>+M103</f>
        <v>34.272300469483561</v>
      </c>
      <c r="O103" s="151">
        <f t="shared" ref="O103:R104" si="89">+N103</f>
        <v>34.272300469483561</v>
      </c>
      <c r="P103" s="151">
        <f t="shared" si="89"/>
        <v>34.272300469483561</v>
      </c>
      <c r="Q103" s="151">
        <f t="shared" si="89"/>
        <v>34.272300469483561</v>
      </c>
      <c r="R103" s="151">
        <f t="shared" si="89"/>
        <v>34.272300469483561</v>
      </c>
    </row>
    <row r="104" spans="1:21" s="123" customFormat="1">
      <c r="A104" s="148"/>
      <c r="B104" s="125" t="s">
        <v>344</v>
      </c>
      <c r="H104" s="124">
        <f>+H97/H84</f>
        <v>0.13119533527696792</v>
      </c>
      <c r="I104" s="124">
        <f t="shared" ref="I104:M104" si="90">+I97/I84</f>
        <v>0.12853863810252492</v>
      </c>
      <c r="J104" s="124">
        <f t="shared" si="90"/>
        <v>9.6958174904942948E-2</v>
      </c>
      <c r="K104" s="124">
        <f t="shared" si="90"/>
        <v>0.15415019762845852</v>
      </c>
      <c r="L104" s="124">
        <f t="shared" si="90"/>
        <v>0.18505154639175256</v>
      </c>
      <c r="M104" s="124">
        <f t="shared" si="90"/>
        <v>0.19232637202525502</v>
      </c>
      <c r="N104" s="129">
        <f>+M104</f>
        <v>0.19232637202525502</v>
      </c>
      <c r="O104" s="129">
        <f t="shared" si="89"/>
        <v>0.19232637202525502</v>
      </c>
      <c r="P104" s="129">
        <f t="shared" si="89"/>
        <v>0.19232637202525502</v>
      </c>
      <c r="Q104" s="129">
        <f t="shared" si="89"/>
        <v>0.19232637202525502</v>
      </c>
      <c r="R104" s="129">
        <f t="shared" si="89"/>
        <v>0.19232637202525502</v>
      </c>
    </row>
    <row r="106" spans="1:21">
      <c r="A106" s="146" t="s">
        <v>308</v>
      </c>
      <c r="B106" s="110" t="s">
        <v>346</v>
      </c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</row>
    <row r="108" spans="1:21" s="5" customFormat="1">
      <c r="A108" s="147"/>
      <c r="B108" s="5" t="s">
        <v>246</v>
      </c>
      <c r="H108" s="5">
        <f>H15</f>
        <v>102.9</v>
      </c>
      <c r="I108" s="5">
        <f t="shared" ref="I108:R108" si="91">I15</f>
        <v>130.69999999999999</v>
      </c>
      <c r="J108" s="5">
        <f t="shared" si="91"/>
        <v>157.80000000000001</v>
      </c>
      <c r="K108" s="5">
        <f t="shared" si="91"/>
        <v>177.1</v>
      </c>
      <c r="L108" s="5">
        <f t="shared" si="91"/>
        <v>194</v>
      </c>
      <c r="M108" s="5">
        <f t="shared" si="91"/>
        <v>205.9</v>
      </c>
      <c r="N108" s="5">
        <f t="shared" si="91"/>
        <v>225.3894989132026</v>
      </c>
      <c r="O108" s="5">
        <f t="shared" si="91"/>
        <v>247.48618495391187</v>
      </c>
      <c r="P108" s="5">
        <f t="shared" si="91"/>
        <v>272.56156991495709</v>
      </c>
      <c r="Q108" s="5">
        <f t="shared" si="91"/>
        <v>301.04257626188661</v>
      </c>
      <c r="R108" s="5">
        <f t="shared" si="91"/>
        <v>333.4200724181029</v>
      </c>
    </row>
    <row r="110" spans="1:21" s="5" customFormat="1">
      <c r="A110" s="147" t="s">
        <v>273</v>
      </c>
      <c r="B110" s="5" t="s">
        <v>347</v>
      </c>
      <c r="I110" s="5">
        <f>H115</f>
        <v>48.7</v>
      </c>
      <c r="J110" s="5">
        <f t="shared" ref="J110:R110" si="92">I115</f>
        <v>50.900000000000006</v>
      </c>
      <c r="K110" s="5">
        <f t="shared" si="92"/>
        <v>52.70000000000001</v>
      </c>
      <c r="L110" s="5">
        <f t="shared" si="92"/>
        <v>59.79999999999999</v>
      </c>
      <c r="M110" s="5">
        <f t="shared" si="92"/>
        <v>71.3</v>
      </c>
      <c r="N110" s="5">
        <f t="shared" si="92"/>
        <v>64.899999999999991</v>
      </c>
      <c r="O110" s="5">
        <f t="shared" si="92"/>
        <v>71.348066650111917</v>
      </c>
      <c r="P110" s="5">
        <f t="shared" si="92"/>
        <v>78.418224550417975</v>
      </c>
      <c r="Q110" s="5">
        <f t="shared" si="92"/>
        <v>86.223448024937284</v>
      </c>
      <c r="R110" s="5">
        <f t="shared" si="92"/>
        <v>94.890098000481046</v>
      </c>
    </row>
    <row r="111" spans="1:21">
      <c r="B111" s="80" t="s">
        <v>348</v>
      </c>
      <c r="H111" s="80">
        <f>-H69</f>
        <v>12.523626627322429</v>
      </c>
      <c r="I111" s="80">
        <f t="shared" ref="I111:M111" si="93">-I69</f>
        <v>7.2</v>
      </c>
      <c r="J111" s="80">
        <f t="shared" si="93"/>
        <v>7.5</v>
      </c>
      <c r="K111" s="80">
        <f t="shared" si="93"/>
        <v>8.6</v>
      </c>
      <c r="L111" s="80">
        <f t="shared" si="93"/>
        <v>22</v>
      </c>
      <c r="M111" s="80">
        <f t="shared" si="93"/>
        <v>9.9</v>
      </c>
      <c r="N111" s="80">
        <f>+N108*N112</f>
        <v>14.094069455161025</v>
      </c>
      <c r="O111" s="80">
        <f t="shared" ref="O111:R111" si="94">+O108*O112</f>
        <v>15.475820731455293</v>
      </c>
      <c r="P111" s="80">
        <f t="shared" si="94"/>
        <v>17.043836184526473</v>
      </c>
      <c r="Q111" s="80">
        <f t="shared" si="94"/>
        <v>18.824812155199758</v>
      </c>
      <c r="R111" s="80">
        <f t="shared" si="94"/>
        <v>20.849443656712854</v>
      </c>
    </row>
    <row r="112" spans="1:21" s="123" customFormat="1">
      <c r="A112" s="148"/>
      <c r="B112" s="125" t="s">
        <v>351</v>
      </c>
      <c r="H112" s="124">
        <f>H111/H108</f>
        <v>0.12170676994482438</v>
      </c>
      <c r="I112" s="124">
        <f t="shared" ref="I112:M112" si="95">I111/I108</f>
        <v>5.5087987758224946E-2</v>
      </c>
      <c r="J112" s="124">
        <f t="shared" si="95"/>
        <v>4.7528517110266157E-2</v>
      </c>
      <c r="K112" s="124">
        <f t="shared" si="95"/>
        <v>4.8560135516657256E-2</v>
      </c>
      <c r="L112" s="124">
        <f t="shared" si="95"/>
        <v>0.1134020618556701</v>
      </c>
      <c r="M112" s="124">
        <f t="shared" si="95"/>
        <v>4.8081593006313747E-2</v>
      </c>
      <c r="N112" s="129">
        <f>AVERAGE(I112:M112)</f>
        <v>6.253205904942645E-2</v>
      </c>
      <c r="O112" s="129">
        <f>+N112</f>
        <v>6.253205904942645E-2</v>
      </c>
      <c r="P112" s="129">
        <f t="shared" ref="P112:R112" si="96">+O112</f>
        <v>6.253205904942645E-2</v>
      </c>
      <c r="Q112" s="129">
        <f t="shared" si="96"/>
        <v>6.253205904942645E-2</v>
      </c>
      <c r="R112" s="129">
        <f t="shared" si="96"/>
        <v>6.253205904942645E-2</v>
      </c>
    </row>
    <row r="113" spans="1:21">
      <c r="B113" s="80" t="s">
        <v>349</v>
      </c>
      <c r="H113" s="80">
        <f>+H63</f>
        <v>3.2</v>
      </c>
      <c r="I113" s="80">
        <f t="shared" ref="I113:M113" si="97">+I63</f>
        <v>5</v>
      </c>
      <c r="J113" s="80">
        <f t="shared" si="97"/>
        <v>5.4</v>
      </c>
      <c r="K113" s="80">
        <f t="shared" si="97"/>
        <v>5.9</v>
      </c>
      <c r="L113" s="80">
        <f t="shared" si="97"/>
        <v>6.9</v>
      </c>
      <c r="M113" s="80">
        <f t="shared" si="97"/>
        <v>8.4</v>
      </c>
      <c r="N113" s="80">
        <f>N110*N114</f>
        <v>7.646002805049088</v>
      </c>
      <c r="O113" s="80">
        <f t="shared" ref="O113:R113" si="98">O110*O114</f>
        <v>8.4056628311492307</v>
      </c>
      <c r="P113" s="80">
        <f t="shared" si="98"/>
        <v>9.2386127100071675</v>
      </c>
      <c r="Q113" s="80">
        <f t="shared" si="98"/>
        <v>10.158162179656006</v>
      </c>
      <c r="R113" s="80">
        <f t="shared" si="98"/>
        <v>11.179198081403097</v>
      </c>
    </row>
    <row r="114" spans="1:21" s="123" customFormat="1">
      <c r="A114" s="148"/>
      <c r="B114" s="125" t="s">
        <v>352</v>
      </c>
      <c r="I114" s="124">
        <f>+I113/I110</f>
        <v>0.10266940451745379</v>
      </c>
      <c r="J114" s="124">
        <f t="shared" ref="J114:M114" si="99">+J113/J110</f>
        <v>0.10609037328094302</v>
      </c>
      <c r="K114" s="124">
        <f t="shared" si="99"/>
        <v>0.11195445920303604</v>
      </c>
      <c r="L114" s="124">
        <f t="shared" si="99"/>
        <v>0.1153846153846154</v>
      </c>
      <c r="M114" s="124">
        <f t="shared" si="99"/>
        <v>0.11781206171107995</v>
      </c>
      <c r="N114" s="129">
        <f>+M114</f>
        <v>0.11781206171107995</v>
      </c>
      <c r="O114" s="129">
        <f t="shared" ref="O114:R114" si="100">+N114</f>
        <v>0.11781206171107995</v>
      </c>
      <c r="P114" s="129">
        <f t="shared" si="100"/>
        <v>0.11781206171107995</v>
      </c>
      <c r="Q114" s="129">
        <f t="shared" si="100"/>
        <v>0.11781206171107995</v>
      </c>
      <c r="R114" s="129">
        <f t="shared" si="100"/>
        <v>0.11781206171107995</v>
      </c>
    </row>
    <row r="115" spans="1:21" s="5" customFormat="1">
      <c r="A115" s="147"/>
      <c r="B115" s="5" t="s">
        <v>350</v>
      </c>
      <c r="H115" s="5">
        <f>H38</f>
        <v>48.7</v>
      </c>
      <c r="I115" s="5">
        <f t="shared" ref="I115:M115" si="101">I38</f>
        <v>50.900000000000006</v>
      </c>
      <c r="J115" s="5">
        <f t="shared" si="101"/>
        <v>52.70000000000001</v>
      </c>
      <c r="K115" s="5">
        <f t="shared" si="101"/>
        <v>59.79999999999999</v>
      </c>
      <c r="L115" s="5">
        <f t="shared" si="101"/>
        <v>71.3</v>
      </c>
      <c r="M115" s="5">
        <f t="shared" si="101"/>
        <v>64.899999999999991</v>
      </c>
      <c r="N115" s="5">
        <f>N110+N111-N113</f>
        <v>71.348066650111917</v>
      </c>
      <c r="O115" s="5">
        <f t="shared" ref="O115:R115" si="102">O110+O111-O113</f>
        <v>78.418224550417975</v>
      </c>
      <c r="P115" s="5">
        <f t="shared" si="102"/>
        <v>86.223448024937284</v>
      </c>
      <c r="Q115" s="5">
        <f t="shared" si="102"/>
        <v>94.890098000481046</v>
      </c>
      <c r="R115" s="5">
        <f t="shared" si="102"/>
        <v>104.5603435757908</v>
      </c>
    </row>
    <row r="117" spans="1:21" s="5" customFormat="1">
      <c r="A117" s="147" t="s">
        <v>273</v>
      </c>
      <c r="B117" s="5" t="s">
        <v>355</v>
      </c>
      <c r="I117" s="5">
        <f>H122</f>
        <v>6.5</v>
      </c>
      <c r="J117" s="5">
        <f t="shared" ref="J117:R117" si="103">I122</f>
        <v>7</v>
      </c>
      <c r="K117" s="5">
        <f t="shared" si="103"/>
        <v>26</v>
      </c>
      <c r="L117" s="5">
        <f t="shared" si="103"/>
        <v>24.6</v>
      </c>
      <c r="M117" s="5">
        <f t="shared" si="103"/>
        <v>30.3</v>
      </c>
      <c r="N117" s="5">
        <f t="shared" si="103"/>
        <v>32</v>
      </c>
      <c r="O117" s="5">
        <f t="shared" si="103"/>
        <v>45.179887347632281</v>
      </c>
      <c r="P117" s="5">
        <f t="shared" si="103"/>
        <v>58.359543957611095</v>
      </c>
      <c r="Q117" s="5">
        <f t="shared" si="103"/>
        <v>71.717813373085747</v>
      </c>
      <c r="R117" s="5">
        <f t="shared" si="103"/>
        <v>85.440936743363977</v>
      </c>
    </row>
    <row r="118" spans="1:21">
      <c r="B118" s="80" t="s">
        <v>356</v>
      </c>
      <c r="H118" s="80">
        <f>-H70</f>
        <v>0.24254684912070568</v>
      </c>
      <c r="I118" s="80">
        <f t="shared" ref="I118:M118" si="104">-I70</f>
        <v>0.11277930014699855</v>
      </c>
      <c r="J118" s="80">
        <f t="shared" si="104"/>
        <v>5.952009552753883</v>
      </c>
      <c r="K118" s="80">
        <f t="shared" si="104"/>
        <v>18.464206125417121</v>
      </c>
      <c r="L118" s="80">
        <f t="shared" si="104"/>
        <v>16.313745250050065</v>
      </c>
      <c r="M118" s="80">
        <f t="shared" si="104"/>
        <v>20.932577880014335</v>
      </c>
      <c r="N118" s="80">
        <f>+N115*N119</f>
        <v>17.356264406447149</v>
      </c>
      <c r="O118" s="80">
        <f t="shared" ref="O118" si="105">+O115*O119</f>
        <v>19.07616426743169</v>
      </c>
      <c r="P118" s="80">
        <f t="shared" ref="P118" si="106">+P115*P119</f>
        <v>20.974877557582946</v>
      </c>
      <c r="Q118" s="80">
        <f t="shared" ref="Q118" si="107">+Q115*Q119</f>
        <v>23.083143072769548</v>
      </c>
      <c r="R118" s="80">
        <f t="shared" ref="R118" si="108">+R115*R119</f>
        <v>25.43554513438993</v>
      </c>
    </row>
    <row r="119" spans="1:21" s="123" customFormat="1">
      <c r="A119" s="148"/>
      <c r="B119" s="125" t="s">
        <v>351</v>
      </c>
      <c r="H119" s="124">
        <f>H118/H115</f>
        <v>4.9804281133615123E-3</v>
      </c>
      <c r="I119" s="124">
        <f t="shared" ref="I119" si="109">I118/I115</f>
        <v>2.215703342770109E-3</v>
      </c>
      <c r="J119" s="124">
        <f t="shared" ref="J119" si="110">J118/J115</f>
        <v>0.11294135773726531</v>
      </c>
      <c r="K119" s="124">
        <f t="shared" ref="K119" si="111">K118/K115</f>
        <v>0.3087659887193499</v>
      </c>
      <c r="L119" s="124">
        <f t="shared" ref="L119" si="112">L118/L115</f>
        <v>0.22880428120687329</v>
      </c>
      <c r="M119" s="124">
        <f t="shared" ref="M119" si="113">M118/M115</f>
        <v>0.32253586872133033</v>
      </c>
      <c r="N119" s="129">
        <f>AVERAGE(J119:M119)</f>
        <v>0.24326187409620473</v>
      </c>
      <c r="O119" s="129">
        <f>+N119</f>
        <v>0.24326187409620473</v>
      </c>
      <c r="P119" s="129">
        <f t="shared" ref="P119:R119" si="114">+O119</f>
        <v>0.24326187409620473</v>
      </c>
      <c r="Q119" s="129">
        <f t="shared" si="114"/>
        <v>0.24326187409620473</v>
      </c>
      <c r="R119" s="129">
        <f t="shared" si="114"/>
        <v>0.24326187409620473</v>
      </c>
    </row>
    <row r="120" spans="1:21">
      <c r="B120" s="80" t="s">
        <v>359</v>
      </c>
      <c r="H120" s="80">
        <f>+H64</f>
        <v>0.6</v>
      </c>
      <c r="I120" s="80">
        <f t="shared" ref="I120:M120" si="115">+I64</f>
        <v>0.62358704239592899</v>
      </c>
      <c r="J120" s="80">
        <f t="shared" si="115"/>
        <v>0.74646269825153022</v>
      </c>
      <c r="K120" s="80">
        <f t="shared" si="115"/>
        <v>3.3327044810532498</v>
      </c>
      <c r="L120" s="80">
        <f t="shared" si="115"/>
        <v>3.0287264342739486</v>
      </c>
      <c r="M120" s="80">
        <f t="shared" si="115"/>
        <v>3.9545070275653336</v>
      </c>
      <c r="N120" s="80">
        <f>N117*N121</f>
        <v>4.1763770588148734</v>
      </c>
      <c r="O120" s="80">
        <f t="shared" ref="O120" si="116">O117*O121</f>
        <v>5.8965076574528696</v>
      </c>
      <c r="P120" s="80">
        <f t="shared" ref="P120" si="117">P117*P121</f>
        <v>7.6166081421082854</v>
      </c>
      <c r="Q120" s="80">
        <f t="shared" ref="Q120" si="118">Q117*Q121</f>
        <v>9.3600197024913072</v>
      </c>
      <c r="R120" s="80">
        <f t="shared" ref="R120" si="119">R117*R121</f>
        <v>11.151049003082441</v>
      </c>
    </row>
    <row r="121" spans="1:21" s="123" customFormat="1">
      <c r="A121" s="148"/>
      <c r="B121" s="125" t="s">
        <v>357</v>
      </c>
      <c r="I121" s="124">
        <f>+I120/I117</f>
        <v>9.5936468060912147E-2</v>
      </c>
      <c r="J121" s="124">
        <f t="shared" ref="J121" si="120">+J120/J117</f>
        <v>0.10663752832164718</v>
      </c>
      <c r="K121" s="124">
        <f t="shared" ref="K121" si="121">+K120/K117</f>
        <v>0.12818094157897114</v>
      </c>
      <c r="L121" s="124">
        <f t="shared" ref="L121" si="122">+L120/L117</f>
        <v>0.12311896074284344</v>
      </c>
      <c r="M121" s="124">
        <f t="shared" ref="M121" si="123">+M120/M117</f>
        <v>0.13051178308796479</v>
      </c>
      <c r="N121" s="129">
        <f>+M121</f>
        <v>0.13051178308796479</v>
      </c>
      <c r="O121" s="129">
        <f t="shared" ref="O121:R121" si="124">+N121</f>
        <v>0.13051178308796479</v>
      </c>
      <c r="P121" s="129">
        <f t="shared" si="124"/>
        <v>0.13051178308796479</v>
      </c>
      <c r="Q121" s="129">
        <f t="shared" si="124"/>
        <v>0.13051178308796479</v>
      </c>
      <c r="R121" s="129">
        <f t="shared" si="124"/>
        <v>0.13051178308796479</v>
      </c>
    </row>
    <row r="122" spans="1:21" s="5" customFormat="1">
      <c r="A122" s="147"/>
      <c r="B122" s="5" t="s">
        <v>358</v>
      </c>
      <c r="H122" s="5">
        <f>+H39</f>
        <v>6.5</v>
      </c>
      <c r="I122" s="5">
        <f t="shared" ref="I122:M122" si="125">+I39</f>
        <v>7</v>
      </c>
      <c r="J122" s="5">
        <f t="shared" si="125"/>
        <v>26</v>
      </c>
      <c r="K122" s="5">
        <f t="shared" si="125"/>
        <v>24.6</v>
      </c>
      <c r="L122" s="5">
        <f t="shared" si="125"/>
        <v>30.3</v>
      </c>
      <c r="M122" s="5">
        <f t="shared" si="125"/>
        <v>32</v>
      </c>
      <c r="N122" s="5">
        <f>N117+N118-N120</f>
        <v>45.179887347632281</v>
      </c>
      <c r="O122" s="5">
        <f t="shared" ref="O122:R122" si="126">O117+O118-O120</f>
        <v>58.359543957611095</v>
      </c>
      <c r="P122" s="5">
        <f t="shared" si="126"/>
        <v>71.717813373085747</v>
      </c>
      <c r="Q122" s="5">
        <f t="shared" si="126"/>
        <v>85.440936743363977</v>
      </c>
      <c r="R122" s="5">
        <f t="shared" si="126"/>
        <v>99.725432874671469</v>
      </c>
    </row>
    <row r="124" spans="1:21">
      <c r="A124" s="146" t="s">
        <v>308</v>
      </c>
      <c r="B124" s="110" t="s">
        <v>362</v>
      </c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</row>
    <row r="126" spans="1:21" s="5" customFormat="1">
      <c r="A126" s="147"/>
      <c r="B126" s="5" t="s">
        <v>363</v>
      </c>
      <c r="I126" s="5">
        <f>H129</f>
        <v>102.4</v>
      </c>
      <c r="J126" s="5">
        <f t="shared" ref="J126:R126" si="127">I129</f>
        <v>196.10000000000002</v>
      </c>
      <c r="K126" s="5">
        <f t="shared" si="127"/>
        <v>196.10000000000002</v>
      </c>
      <c r="L126" s="5">
        <f t="shared" si="127"/>
        <v>196.10000000000002</v>
      </c>
      <c r="M126" s="5">
        <f t="shared" si="127"/>
        <v>196.10000000000002</v>
      </c>
      <c r="N126" s="5">
        <f t="shared" si="127"/>
        <v>196.10000000000002</v>
      </c>
      <c r="O126" s="5">
        <f t="shared" si="127"/>
        <v>94.100000000000023</v>
      </c>
      <c r="P126" s="5">
        <f t="shared" si="127"/>
        <v>94.100000000000023</v>
      </c>
      <c r="Q126" s="5">
        <f t="shared" si="127"/>
        <v>94.100000000000023</v>
      </c>
      <c r="R126" s="5">
        <f t="shared" si="127"/>
        <v>94.100000000000023</v>
      </c>
    </row>
    <row r="127" spans="1:21">
      <c r="B127" s="80" t="s">
        <v>364</v>
      </c>
      <c r="H127" s="80">
        <f>H74</f>
        <v>0</v>
      </c>
      <c r="I127" s="80">
        <f t="shared" ref="I127:M127" si="128">I74</f>
        <v>93.7</v>
      </c>
      <c r="J127" s="80">
        <f t="shared" si="128"/>
        <v>0</v>
      </c>
      <c r="K127" s="80">
        <f t="shared" si="128"/>
        <v>0</v>
      </c>
      <c r="L127" s="80">
        <f t="shared" si="128"/>
        <v>0</v>
      </c>
      <c r="M127" s="80">
        <f t="shared" si="128"/>
        <v>0</v>
      </c>
      <c r="N127" s="154">
        <v>0</v>
      </c>
      <c r="O127" s="154">
        <v>0</v>
      </c>
      <c r="P127" s="154">
        <v>0</v>
      </c>
      <c r="Q127" s="154">
        <v>0</v>
      </c>
      <c r="R127" s="154">
        <v>0</v>
      </c>
    </row>
    <row r="128" spans="1:21">
      <c r="B128" s="80" t="s">
        <v>365</v>
      </c>
      <c r="H128" s="80">
        <f>-H75</f>
        <v>0</v>
      </c>
      <c r="I128" s="80">
        <f t="shared" ref="I128:M128" si="129">-I75</f>
        <v>0</v>
      </c>
      <c r="J128" s="80">
        <f t="shared" si="129"/>
        <v>0</v>
      </c>
      <c r="K128" s="80">
        <f t="shared" si="129"/>
        <v>0</v>
      </c>
      <c r="L128" s="80">
        <f t="shared" si="129"/>
        <v>0</v>
      </c>
      <c r="M128" s="80">
        <f t="shared" si="129"/>
        <v>0</v>
      </c>
      <c r="N128" s="154">
        <v>102</v>
      </c>
      <c r="O128" s="154">
        <v>0</v>
      </c>
      <c r="P128" s="154">
        <v>0</v>
      </c>
      <c r="Q128" s="154">
        <v>0</v>
      </c>
      <c r="R128" s="154">
        <v>0</v>
      </c>
    </row>
    <row r="129" spans="1:21" s="5" customFormat="1">
      <c r="A129" s="147"/>
      <c r="B129" s="5" t="s">
        <v>366</v>
      </c>
      <c r="H129" s="5">
        <f>H48</f>
        <v>102.4</v>
      </c>
      <c r="I129" s="5">
        <f t="shared" ref="I129:M129" si="130">I48</f>
        <v>196.10000000000002</v>
      </c>
      <c r="J129" s="5">
        <f t="shared" si="130"/>
        <v>196.10000000000002</v>
      </c>
      <c r="K129" s="5">
        <f t="shared" si="130"/>
        <v>196.10000000000002</v>
      </c>
      <c r="L129" s="5">
        <f t="shared" si="130"/>
        <v>196.10000000000002</v>
      </c>
      <c r="M129" s="5">
        <f t="shared" si="130"/>
        <v>196.10000000000002</v>
      </c>
      <c r="N129" s="5">
        <f>N126+N127-N128</f>
        <v>94.100000000000023</v>
      </c>
      <c r="O129" s="5">
        <f t="shared" ref="O129:R129" si="131">O126+O127-O128</f>
        <v>94.100000000000023</v>
      </c>
      <c r="P129" s="5">
        <f t="shared" si="131"/>
        <v>94.100000000000023</v>
      </c>
      <c r="Q129" s="5">
        <f t="shared" si="131"/>
        <v>94.100000000000023</v>
      </c>
      <c r="R129" s="5">
        <f t="shared" si="131"/>
        <v>94.100000000000023</v>
      </c>
    </row>
    <row r="131" spans="1:21" s="5" customFormat="1">
      <c r="A131" s="147"/>
      <c r="B131" s="5" t="s">
        <v>367</v>
      </c>
      <c r="I131" s="5">
        <f>AVERAGE(I126,I129)</f>
        <v>149.25</v>
      </c>
      <c r="J131" s="5">
        <f t="shared" ref="J131:R131" si="132">AVERAGE(J126,J129)</f>
        <v>196.10000000000002</v>
      </c>
      <c r="K131" s="5">
        <f t="shared" si="132"/>
        <v>196.10000000000002</v>
      </c>
      <c r="L131" s="5">
        <f t="shared" si="132"/>
        <v>196.10000000000002</v>
      </c>
      <c r="M131" s="5">
        <f t="shared" si="132"/>
        <v>196.10000000000002</v>
      </c>
      <c r="N131" s="5">
        <f t="shared" si="132"/>
        <v>145.10000000000002</v>
      </c>
      <c r="O131" s="5">
        <f t="shared" si="132"/>
        <v>94.100000000000023</v>
      </c>
      <c r="P131" s="5">
        <f t="shared" si="132"/>
        <v>94.100000000000023</v>
      </c>
      <c r="Q131" s="5">
        <f t="shared" si="132"/>
        <v>94.100000000000023</v>
      </c>
      <c r="R131" s="5">
        <f t="shared" si="132"/>
        <v>94.100000000000023</v>
      </c>
    </row>
    <row r="132" spans="1:21" s="125" customFormat="1">
      <c r="A132" s="160"/>
      <c r="B132" s="125" t="s">
        <v>368</v>
      </c>
      <c r="I132" s="161">
        <f>+I133/I131</f>
        <v>4.2000000000000003E-2</v>
      </c>
      <c r="J132" s="161">
        <f t="shared" ref="J132:M132" si="133">+J133/J131</f>
        <v>4.4999999999999998E-2</v>
      </c>
      <c r="K132" s="161">
        <f t="shared" si="133"/>
        <v>4.4999999999999998E-2</v>
      </c>
      <c r="L132" s="161">
        <f t="shared" si="133"/>
        <v>4.4999999999999998E-2</v>
      </c>
      <c r="M132" s="161">
        <f t="shared" si="133"/>
        <v>4.4999999999999998E-2</v>
      </c>
      <c r="N132" s="129">
        <f>+M132</f>
        <v>4.4999999999999998E-2</v>
      </c>
      <c r="O132" s="130">
        <v>5.5E-2</v>
      </c>
      <c r="P132" s="130">
        <v>5.5E-2</v>
      </c>
      <c r="Q132" s="130">
        <v>5.5E-2</v>
      </c>
      <c r="R132" s="130">
        <v>5.5E-2</v>
      </c>
    </row>
    <row r="133" spans="1:21" s="5" customFormat="1">
      <c r="A133" s="147"/>
      <c r="B133" s="5" t="s">
        <v>250</v>
      </c>
      <c r="H133" s="5">
        <f>H21</f>
        <v>3.5840000000000005</v>
      </c>
      <c r="I133" s="5">
        <f t="shared" ref="I133:M133" si="134">I21</f>
        <v>6.2685000000000004</v>
      </c>
      <c r="J133" s="5">
        <f t="shared" si="134"/>
        <v>8.8245000000000005</v>
      </c>
      <c r="K133" s="5">
        <f t="shared" si="134"/>
        <v>8.8245000000000005</v>
      </c>
      <c r="L133" s="5">
        <f t="shared" si="134"/>
        <v>8.8245000000000005</v>
      </c>
      <c r="M133" s="5">
        <f t="shared" si="134"/>
        <v>8.8245000000000005</v>
      </c>
      <c r="N133" s="5">
        <f>+N131*N132</f>
        <v>6.5295000000000005</v>
      </c>
      <c r="O133" s="5">
        <f t="shared" ref="O133:R133" si="135">+O131*O132</f>
        <v>5.1755000000000013</v>
      </c>
      <c r="P133" s="5">
        <f t="shared" si="135"/>
        <v>5.1755000000000013</v>
      </c>
      <c r="Q133" s="5">
        <f t="shared" si="135"/>
        <v>5.1755000000000013</v>
      </c>
      <c r="R133" s="5">
        <f t="shared" si="135"/>
        <v>5.1755000000000013</v>
      </c>
    </row>
    <row r="134" spans="1:21" s="5" customFormat="1">
      <c r="A134" s="147"/>
    </row>
    <row r="135" spans="1:21">
      <c r="A135" s="146" t="s">
        <v>308</v>
      </c>
      <c r="B135" s="110" t="s">
        <v>376</v>
      </c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</row>
    <row r="137" spans="1:21" s="5" customFormat="1">
      <c r="A137" s="147"/>
      <c r="B137" s="5" t="s">
        <v>369</v>
      </c>
      <c r="I137" s="5">
        <f>H143</f>
        <v>88.2</v>
      </c>
      <c r="J137" s="5">
        <f t="shared" ref="J137:R137" si="136">I143</f>
        <v>167.9</v>
      </c>
      <c r="K137" s="5">
        <f t="shared" si="136"/>
        <v>683.2</v>
      </c>
      <c r="L137" s="5">
        <f t="shared" si="136"/>
        <v>665</v>
      </c>
      <c r="M137" s="5">
        <f t="shared" si="136"/>
        <v>743.3</v>
      </c>
      <c r="N137" s="5">
        <f t="shared" si="136"/>
        <v>706.6</v>
      </c>
      <c r="O137" s="5">
        <f t="shared" ca="1" si="136"/>
        <v>743.91122760171697</v>
      </c>
      <c r="P137" s="5">
        <f t="shared" ca="1" si="136"/>
        <v>785.60901825351891</v>
      </c>
      <c r="Q137" s="5">
        <f t="shared" ca="1" si="136"/>
        <v>831.92745140871932</v>
      </c>
      <c r="R137" s="5">
        <f t="shared" ca="1" si="136"/>
        <v>883.70877756209165</v>
      </c>
    </row>
    <row r="138" spans="1:21">
      <c r="B138" s="80" t="s">
        <v>370</v>
      </c>
      <c r="H138" s="80">
        <f>H26</f>
        <v>48.457447638560417</v>
      </c>
      <c r="I138" s="80">
        <f t="shared" ref="I138:R138" si="137">I26</f>
        <v>55.941385509801378</v>
      </c>
      <c r="J138" s="80">
        <f t="shared" si="137"/>
        <v>72.873956880579669</v>
      </c>
      <c r="K138" s="80">
        <f t="shared" si="137"/>
        <v>60.463163932961194</v>
      </c>
      <c r="L138" s="80">
        <f t="shared" si="137"/>
        <v>50.947193950159139</v>
      </c>
      <c r="M138" s="80">
        <f t="shared" si="137"/>
        <v>58.722609143609233</v>
      </c>
      <c r="N138" s="80">
        <f t="shared" ca="1" si="137"/>
        <v>56.27534867865333</v>
      </c>
      <c r="O138" s="80">
        <f t="shared" ca="1" si="137"/>
        <v>62.891463478886791</v>
      </c>
      <c r="P138" s="80">
        <f t="shared" ca="1" si="137"/>
        <v>69.860632942066772</v>
      </c>
      <c r="Q138" s="80">
        <f t="shared" ca="1" si="137"/>
        <v>78.10014228089598</v>
      </c>
      <c r="R138" s="80">
        <f t="shared" ca="1" si="137"/>
        <v>87.81961710434922</v>
      </c>
    </row>
    <row r="139" spans="1:21">
      <c r="B139" s="80" t="s">
        <v>371</v>
      </c>
      <c r="H139" s="80">
        <f>+H76</f>
        <v>0</v>
      </c>
      <c r="I139" s="80">
        <f t="shared" ref="I139:M139" si="138">+I76</f>
        <v>0</v>
      </c>
      <c r="J139" s="80">
        <f t="shared" si="138"/>
        <v>0</v>
      </c>
      <c r="K139" s="80">
        <f t="shared" si="138"/>
        <v>0</v>
      </c>
      <c r="L139" s="80">
        <f t="shared" si="138"/>
        <v>0</v>
      </c>
      <c r="M139" s="80">
        <f t="shared" si="138"/>
        <v>0</v>
      </c>
      <c r="N139" s="80">
        <f ca="1">+N138*N140</f>
        <v>0</v>
      </c>
      <c r="O139" s="80">
        <f t="shared" ref="O139:R139" ca="1" si="139">+O138*O140</f>
        <v>0</v>
      </c>
      <c r="P139" s="80">
        <f t="shared" ca="1" si="139"/>
        <v>0</v>
      </c>
      <c r="Q139" s="80">
        <f t="shared" ca="1" si="139"/>
        <v>0</v>
      </c>
      <c r="R139" s="80">
        <f t="shared" ca="1" si="139"/>
        <v>0</v>
      </c>
    </row>
    <row r="140" spans="1:21" s="123" customFormat="1">
      <c r="A140" s="148"/>
      <c r="B140" s="125" t="s">
        <v>374</v>
      </c>
      <c r="H140" s="124">
        <v>0</v>
      </c>
      <c r="I140" s="124">
        <v>0</v>
      </c>
      <c r="J140" s="124">
        <v>0</v>
      </c>
      <c r="K140" s="124">
        <v>0</v>
      </c>
      <c r="L140" s="124">
        <v>0</v>
      </c>
      <c r="M140" s="124">
        <v>0</v>
      </c>
      <c r="N140" s="129">
        <f>M140</f>
        <v>0</v>
      </c>
      <c r="O140" s="129">
        <f t="shared" ref="O140:R140" si="140">N140</f>
        <v>0</v>
      </c>
      <c r="P140" s="129">
        <f t="shared" si="140"/>
        <v>0</v>
      </c>
      <c r="Q140" s="129">
        <f t="shared" si="140"/>
        <v>0</v>
      </c>
      <c r="R140" s="129">
        <f t="shared" si="140"/>
        <v>0</v>
      </c>
    </row>
    <row r="141" spans="1:21">
      <c r="B141" s="80" t="s">
        <v>372</v>
      </c>
      <c r="H141" s="80">
        <f>-H77</f>
        <v>4.9000000000000004</v>
      </c>
      <c r="I141" s="80">
        <f t="shared" ref="I141:M141" si="141">-I77</f>
        <v>0</v>
      </c>
      <c r="J141" s="80">
        <f t="shared" si="141"/>
        <v>37.1</v>
      </c>
      <c r="K141" s="80">
        <f t="shared" si="141"/>
        <v>40</v>
      </c>
      <c r="L141" s="80">
        <f t="shared" si="141"/>
        <v>0</v>
      </c>
      <c r="M141" s="80">
        <f t="shared" si="141"/>
        <v>30.2</v>
      </c>
      <c r="N141" s="80">
        <f ca="1">+N138*N142</f>
        <v>18.964121076936372</v>
      </c>
      <c r="O141" s="80">
        <f t="shared" ref="O141:R141" ca="1" si="142">+O138*O142</f>
        <v>21.193672826975224</v>
      </c>
      <c r="P141" s="80">
        <f t="shared" ca="1" si="142"/>
        <v>23.54219978609056</v>
      </c>
      <c r="Q141" s="80">
        <f t="shared" ca="1" si="142"/>
        <v>26.318816126725984</v>
      </c>
      <c r="R141" s="80">
        <f t="shared" ca="1" si="142"/>
        <v>29.594163178038343</v>
      </c>
    </row>
    <row r="142" spans="1:21" s="123" customFormat="1">
      <c r="A142" s="148"/>
      <c r="B142" s="125" t="s">
        <v>375</v>
      </c>
      <c r="H142" s="124">
        <f>H141/H138</f>
        <v>0.10111964700552624</v>
      </c>
      <c r="I142" s="124">
        <f t="shared" ref="I142:M142" si="143">I141/I138</f>
        <v>0</v>
      </c>
      <c r="J142" s="124">
        <f t="shared" si="143"/>
        <v>0.50909819622937003</v>
      </c>
      <c r="K142" s="124">
        <f t="shared" si="143"/>
        <v>0.66155982251193768</v>
      </c>
      <c r="L142" s="124">
        <f t="shared" si="143"/>
        <v>0</v>
      </c>
      <c r="M142" s="124">
        <f t="shared" si="143"/>
        <v>0.51428232567364829</v>
      </c>
      <c r="N142" s="129">
        <f>AVERAGE(I142:M142)</f>
        <v>0.33698806888299115</v>
      </c>
      <c r="O142" s="129">
        <f>N142</f>
        <v>0.33698806888299115</v>
      </c>
      <c r="P142" s="129">
        <f t="shared" ref="P142:R142" si="144">O142</f>
        <v>0.33698806888299115</v>
      </c>
      <c r="Q142" s="129">
        <f t="shared" si="144"/>
        <v>0.33698806888299115</v>
      </c>
      <c r="R142" s="129">
        <f t="shared" si="144"/>
        <v>0.33698806888299115</v>
      </c>
    </row>
    <row r="143" spans="1:21" s="5" customFormat="1">
      <c r="A143" s="147"/>
      <c r="B143" s="5" t="s">
        <v>373</v>
      </c>
      <c r="H143" s="5">
        <f>H54</f>
        <v>88.2</v>
      </c>
      <c r="I143" s="5">
        <f t="shared" ref="I143:M143" si="145">I54</f>
        <v>167.9</v>
      </c>
      <c r="J143" s="5">
        <f t="shared" si="145"/>
        <v>683.2</v>
      </c>
      <c r="K143" s="5">
        <f t="shared" si="145"/>
        <v>665</v>
      </c>
      <c r="L143" s="5">
        <f t="shared" si="145"/>
        <v>743.3</v>
      </c>
      <c r="M143" s="5">
        <f t="shared" si="145"/>
        <v>706.6</v>
      </c>
      <c r="N143" s="5">
        <f ca="1">+N137+N138-N139-N141</f>
        <v>743.91122760171697</v>
      </c>
      <c r="O143" s="5">
        <f t="shared" ref="O143:R143" ca="1" si="146">+O137+O138-O139-O141</f>
        <v>785.60901825362851</v>
      </c>
      <c r="P143" s="5">
        <f t="shared" ca="1" si="146"/>
        <v>831.92745140949512</v>
      </c>
      <c r="Q143" s="5">
        <f t="shared" ca="1" si="146"/>
        <v>883.70877756288928</v>
      </c>
      <c r="R143" s="5">
        <f t="shared" ca="1" si="146"/>
        <v>941.93423148840247</v>
      </c>
    </row>
    <row r="145" spans="1:21">
      <c r="A145" s="146" t="s">
        <v>308</v>
      </c>
      <c r="B145" s="110" t="s">
        <v>377</v>
      </c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</row>
    <row r="147" spans="1:21">
      <c r="B147" s="80" t="s">
        <v>378</v>
      </c>
      <c r="H147" s="80">
        <f>H32+H33</f>
        <v>86.2</v>
      </c>
      <c r="I147" s="80">
        <f t="shared" ref="I147:R147" si="147">I32+I33</f>
        <v>551.29999999999995</v>
      </c>
      <c r="J147" s="80">
        <f t="shared" si="147"/>
        <v>534.9</v>
      </c>
      <c r="K147" s="80">
        <f t="shared" si="147"/>
        <v>489.3</v>
      </c>
      <c r="L147" s="80">
        <f t="shared" si="147"/>
        <v>546.4</v>
      </c>
      <c r="M147" s="80">
        <f t="shared" si="147"/>
        <v>466.29999999999995</v>
      </c>
      <c r="N147" s="80">
        <f t="shared" ca="1" si="147"/>
        <v>381.5558055105148</v>
      </c>
      <c r="O147" s="80">
        <f t="shared" ca="1" si="147"/>
        <v>402.57375488927607</v>
      </c>
      <c r="P147" s="80">
        <f t="shared" ca="1" si="147"/>
        <v>427.30453823155392</v>
      </c>
      <c r="Q147" s="80">
        <f t="shared" ca="1" si="147"/>
        <v>456.28888854878596</v>
      </c>
      <c r="R147" s="80">
        <f t="shared" ca="1" si="147"/>
        <v>490.18371154572355</v>
      </c>
    </row>
    <row r="148" spans="1:21" s="5" customFormat="1">
      <c r="A148" s="147"/>
      <c r="B148" s="5" t="s">
        <v>379</v>
      </c>
      <c r="I148" s="5">
        <f>AVERAGE(H147,I147)</f>
        <v>318.75</v>
      </c>
      <c r="J148" s="5">
        <f t="shared" ref="J148:R148" si="148">AVERAGE(I147,J147)</f>
        <v>543.09999999999991</v>
      </c>
      <c r="K148" s="5">
        <f t="shared" si="148"/>
        <v>512.1</v>
      </c>
      <c r="L148" s="5">
        <f t="shared" si="148"/>
        <v>517.85</v>
      </c>
      <c r="M148" s="5">
        <f t="shared" si="148"/>
        <v>506.34999999999997</v>
      </c>
      <c r="N148" s="5">
        <f t="shared" ca="1" si="148"/>
        <v>423.92790275525738</v>
      </c>
      <c r="O148" s="5">
        <f t="shared" ca="1" si="148"/>
        <v>392.06478019989544</v>
      </c>
      <c r="P148" s="5">
        <f t="shared" ca="1" si="148"/>
        <v>414.939146560415</v>
      </c>
      <c r="Q148" s="5">
        <f t="shared" ca="1" si="148"/>
        <v>441.79671339016994</v>
      </c>
      <c r="R148" s="5">
        <f t="shared" ca="1" si="148"/>
        <v>473.23630004725476</v>
      </c>
    </row>
    <row r="149" spans="1:21" s="123" customFormat="1">
      <c r="A149" s="148"/>
      <c r="B149" s="125" t="s">
        <v>368</v>
      </c>
      <c r="I149" s="124">
        <f>I150/I148</f>
        <v>1.0500000000000001E-2</v>
      </c>
      <c r="J149" s="124">
        <f t="shared" ref="J149:M149" si="149">J150/J148</f>
        <v>1.0200000000000001E-2</v>
      </c>
      <c r="K149" s="124">
        <f t="shared" si="149"/>
        <v>9.1999999999999998E-3</v>
      </c>
      <c r="L149" s="124">
        <f t="shared" si="149"/>
        <v>8.9999999999999993E-3</v>
      </c>
      <c r="M149" s="124">
        <f t="shared" si="149"/>
        <v>8.3999999999999995E-3</v>
      </c>
      <c r="N149" s="129">
        <f>M149</f>
        <v>8.3999999999999995E-3</v>
      </c>
      <c r="O149" s="129">
        <f t="shared" ref="O149:R149" si="150">N149</f>
        <v>8.3999999999999995E-3</v>
      </c>
      <c r="P149" s="129">
        <f t="shared" si="150"/>
        <v>8.3999999999999995E-3</v>
      </c>
      <c r="Q149" s="129">
        <f t="shared" si="150"/>
        <v>8.3999999999999995E-3</v>
      </c>
      <c r="R149" s="129">
        <f t="shared" si="150"/>
        <v>8.3999999999999995E-3</v>
      </c>
    </row>
    <row r="150" spans="1:21" s="5" customFormat="1">
      <c r="A150" s="147"/>
      <c r="B150" s="5" t="s">
        <v>249</v>
      </c>
      <c r="H150" s="5">
        <v>0</v>
      </c>
      <c r="I150" s="5">
        <f>+I20</f>
        <v>3.3468750000000003</v>
      </c>
      <c r="J150" s="5">
        <f t="shared" ref="I150:M150" si="151">+J20</f>
        <v>5.5396199999999993</v>
      </c>
      <c r="K150" s="5">
        <f t="shared" si="151"/>
        <v>4.7113199999999997</v>
      </c>
      <c r="L150" s="5">
        <f t="shared" si="151"/>
        <v>4.6606499999999995</v>
      </c>
      <c r="M150" s="5">
        <f t="shared" si="151"/>
        <v>4.2533399999999997</v>
      </c>
      <c r="N150" s="5">
        <f ca="1">N148*N149</f>
        <v>3.5609943831441617</v>
      </c>
      <c r="O150" s="5">
        <f t="shared" ref="O150:R150" ca="1" si="152">O148*O149</f>
        <v>3.2933441536791213</v>
      </c>
      <c r="P150" s="5">
        <f t="shared" ca="1" si="152"/>
        <v>3.4854888311074856</v>
      </c>
      <c r="Q150" s="5">
        <f t="shared" ca="1" si="152"/>
        <v>3.7110923924774273</v>
      </c>
      <c r="R150" s="5">
        <f t="shared" ca="1" si="152"/>
        <v>3.9751849203969396</v>
      </c>
    </row>
  </sheetData>
  <mergeCells count="2">
    <mergeCell ref="D4:G5"/>
    <mergeCell ref="U10:U11"/>
  </mergeCells>
  <pageMargins left="0.7" right="0.7" top="0.75" bottom="0.75" header="0.3" footer="0.3"/>
  <ignoredErrors>
    <ignoredError sqref="O113 P113:R113 O120:R120 O141:R141 N54:R54" formula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F495-FEAC-4B90-A235-CA9FBC5697FC}">
  <dimension ref="B1:U11"/>
  <sheetViews>
    <sheetView zoomScale="85" zoomScaleNormal="85" workbookViewId="0">
      <selection activeCell="D6" sqref="D6"/>
    </sheetView>
  </sheetViews>
  <sheetFormatPr baseColWidth="10" defaultColWidth="8.88671875" defaultRowHeight="13.8"/>
  <cols>
    <col min="1" max="1" width="2.88671875" style="80" customWidth="1"/>
    <col min="2" max="20" width="8.33203125" style="80" customWidth="1"/>
    <col min="21" max="21" width="30.88671875" style="80" customWidth="1"/>
    <col min="22" max="16384" width="8.88671875" style="80"/>
  </cols>
  <sheetData>
    <row r="1" spans="2:21" ht="14.4" thickBot="1"/>
    <row r="2" spans="2:21"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</row>
    <row r="3" spans="2:21"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</row>
    <row r="4" spans="2:21">
      <c r="B4" s="94"/>
      <c r="C4" s="94"/>
      <c r="D4" s="157" t="s">
        <v>226</v>
      </c>
      <c r="E4" s="157"/>
      <c r="F4" s="157"/>
      <c r="G4" s="157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2:21">
      <c r="B5" s="94"/>
      <c r="C5" s="94"/>
      <c r="D5" s="157"/>
      <c r="E5" s="157"/>
      <c r="F5" s="157"/>
      <c r="G5" s="157"/>
      <c r="H5" s="95"/>
      <c r="I5" s="96" t="s">
        <v>228</v>
      </c>
      <c r="J5" s="95"/>
      <c r="K5" s="95"/>
      <c r="L5" s="97" t="s">
        <v>213</v>
      </c>
      <c r="M5" s="95"/>
      <c r="N5" s="95"/>
      <c r="O5" s="82" t="s">
        <v>231</v>
      </c>
      <c r="P5" s="83"/>
      <c r="Q5" s="88" t="s">
        <v>234</v>
      </c>
      <c r="R5" s="89"/>
      <c r="S5" s="95"/>
      <c r="T5" s="95"/>
      <c r="U5" s="95"/>
    </row>
    <row r="6" spans="2:21" ht="15.6">
      <c r="B6" s="94"/>
      <c r="C6" s="94"/>
      <c r="D6" s="105" t="s">
        <v>227</v>
      </c>
      <c r="E6" s="94"/>
      <c r="F6" s="94"/>
      <c r="G6" s="94"/>
      <c r="H6" s="95"/>
      <c r="I6" s="96" t="s">
        <v>229</v>
      </c>
      <c r="J6" s="95"/>
      <c r="K6" s="95"/>
      <c r="L6" s="97" t="s">
        <v>213</v>
      </c>
      <c r="M6" s="95"/>
      <c r="N6" s="95"/>
      <c r="O6" s="84" t="s">
        <v>232</v>
      </c>
      <c r="P6" s="85"/>
      <c r="Q6" s="90" t="s">
        <v>235</v>
      </c>
      <c r="R6" s="91"/>
      <c r="S6" s="95"/>
      <c r="T6" s="95"/>
      <c r="U6" s="95"/>
    </row>
    <row r="7" spans="2:21">
      <c r="B7" s="94"/>
      <c r="C7" s="94"/>
      <c r="D7" s="94"/>
      <c r="E7" s="94"/>
      <c r="F7" s="94"/>
      <c r="G7" s="94"/>
      <c r="H7" s="95"/>
      <c r="I7" s="96" t="s">
        <v>230</v>
      </c>
      <c r="J7" s="95"/>
      <c r="K7" s="95"/>
      <c r="L7" s="97" t="s">
        <v>213</v>
      </c>
      <c r="M7" s="95"/>
      <c r="N7" s="95"/>
      <c r="O7" s="86" t="s">
        <v>233</v>
      </c>
      <c r="P7" s="87"/>
      <c r="Q7" s="92" t="s">
        <v>236</v>
      </c>
      <c r="R7" s="93"/>
      <c r="S7" s="95"/>
      <c r="T7" s="95"/>
      <c r="U7" s="95"/>
    </row>
    <row r="8" spans="2:21" ht="14.4" thickBot="1">
      <c r="B8" s="99"/>
      <c r="C8" s="99"/>
      <c r="D8" s="99"/>
      <c r="E8" s="99"/>
      <c r="F8" s="99"/>
      <c r="G8" s="99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</row>
    <row r="10" spans="2:21">
      <c r="B10" s="81"/>
      <c r="C10" s="81"/>
      <c r="D10" s="81"/>
      <c r="E10" s="81"/>
      <c r="F10" s="81"/>
      <c r="G10" s="81"/>
      <c r="H10" s="103" t="s">
        <v>237</v>
      </c>
      <c r="I10" s="103"/>
      <c r="J10" s="103"/>
      <c r="K10" s="103"/>
      <c r="L10" s="103"/>
      <c r="M10" s="103"/>
      <c r="N10" s="103" t="s">
        <v>238</v>
      </c>
      <c r="O10" s="103"/>
      <c r="P10" s="103"/>
      <c r="Q10" s="103"/>
      <c r="R10" s="103"/>
      <c r="S10" s="103" t="s">
        <v>239</v>
      </c>
      <c r="T10" s="103"/>
      <c r="U10" s="158" t="s">
        <v>236</v>
      </c>
    </row>
    <row r="11" spans="2:21">
      <c r="B11" s="81" t="s">
        <v>242</v>
      </c>
      <c r="C11" s="81"/>
      <c r="D11" s="81"/>
      <c r="E11" s="81"/>
      <c r="F11" s="81"/>
      <c r="G11" s="81"/>
      <c r="H11" s="101">
        <v>2018</v>
      </c>
      <c r="I11" s="101">
        <f>H11+1</f>
        <v>2019</v>
      </c>
      <c r="J11" s="101">
        <f t="shared" ref="J11:R11" si="0">I11+1</f>
        <v>2020</v>
      </c>
      <c r="K11" s="101">
        <f t="shared" si="0"/>
        <v>2021</v>
      </c>
      <c r="L11" s="101">
        <f t="shared" si="0"/>
        <v>2022</v>
      </c>
      <c r="M11" s="101">
        <f t="shared" si="0"/>
        <v>2023</v>
      </c>
      <c r="N11" s="102">
        <f t="shared" si="0"/>
        <v>2024</v>
      </c>
      <c r="O11" s="102">
        <f t="shared" si="0"/>
        <v>2025</v>
      </c>
      <c r="P11" s="102">
        <f t="shared" si="0"/>
        <v>2026</v>
      </c>
      <c r="Q11" s="102">
        <f t="shared" si="0"/>
        <v>2027</v>
      </c>
      <c r="R11" s="102">
        <f t="shared" si="0"/>
        <v>2028</v>
      </c>
      <c r="S11" s="104" t="s">
        <v>240</v>
      </c>
      <c r="T11" s="104" t="s">
        <v>241</v>
      </c>
      <c r="U11" s="158"/>
    </row>
  </sheetData>
  <mergeCells count="2">
    <mergeCell ref="D4:G5"/>
    <mergeCell ref="U10:U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B95E-3C2D-4B39-A2F5-DC7937B20A56}">
  <dimension ref="A1:U139"/>
  <sheetViews>
    <sheetView zoomScale="130" zoomScaleNormal="130" workbookViewId="0">
      <pane xSplit="7" ySplit="11" topLeftCell="H33" activePane="bottomRight" state="frozen"/>
      <selection pane="topRight" activeCell="H1" sqref="H1"/>
      <selection pane="bottomLeft" activeCell="A12" sqref="A12"/>
      <selection pane="bottomRight" activeCell="T89" sqref="T89"/>
    </sheetView>
  </sheetViews>
  <sheetFormatPr baseColWidth="10" defaultColWidth="8.88671875" defaultRowHeight="13.8"/>
  <cols>
    <col min="1" max="1" width="2.88671875" style="134" customWidth="1"/>
    <col min="2" max="20" width="8.33203125" style="80" customWidth="1"/>
    <col min="21" max="21" width="30.88671875" style="80" customWidth="1"/>
    <col min="22" max="16384" width="8.88671875" style="80"/>
  </cols>
  <sheetData>
    <row r="1" spans="1:21" ht="14.4" thickBot="1"/>
    <row r="2" spans="1:21"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</row>
    <row r="3" spans="1:21"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</row>
    <row r="4" spans="1:21">
      <c r="B4" s="94"/>
      <c r="C4" s="94"/>
      <c r="D4" s="157" t="s">
        <v>226</v>
      </c>
      <c r="E4" s="157"/>
      <c r="F4" s="157"/>
      <c r="G4" s="157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1:21">
      <c r="B5" s="94"/>
      <c r="C5" s="94"/>
      <c r="D5" s="157"/>
      <c r="E5" s="157"/>
      <c r="F5" s="157"/>
      <c r="G5" s="157"/>
      <c r="H5" s="95"/>
      <c r="I5" s="96" t="s">
        <v>228</v>
      </c>
      <c r="J5" s="95"/>
      <c r="K5" s="95"/>
      <c r="L5" s="97" t="s">
        <v>213</v>
      </c>
      <c r="M5" s="95"/>
      <c r="N5" s="95"/>
      <c r="O5" s="82" t="s">
        <v>231</v>
      </c>
      <c r="P5" s="83"/>
      <c r="Q5" s="88" t="s">
        <v>234</v>
      </c>
      <c r="R5" s="89"/>
      <c r="S5" s="95"/>
      <c r="T5" s="95"/>
      <c r="U5" s="95"/>
    </row>
    <row r="6" spans="1:21" ht="15.6">
      <c r="B6" s="94"/>
      <c r="C6" s="94"/>
      <c r="D6" s="105" t="s">
        <v>244</v>
      </c>
      <c r="E6" s="94"/>
      <c r="F6" s="94"/>
      <c r="G6" s="94"/>
      <c r="H6" s="95"/>
      <c r="I6" s="96" t="s">
        <v>229</v>
      </c>
      <c r="J6" s="95"/>
      <c r="K6" s="95"/>
      <c r="L6" s="97" t="s">
        <v>213</v>
      </c>
      <c r="M6" s="95"/>
      <c r="N6" s="95"/>
      <c r="O6" s="84" t="s">
        <v>232</v>
      </c>
      <c r="P6" s="85"/>
      <c r="Q6" s="90" t="s">
        <v>235</v>
      </c>
      <c r="R6" s="91"/>
      <c r="S6" s="95"/>
      <c r="T6" s="95"/>
      <c r="U6" s="95"/>
    </row>
    <row r="7" spans="1:21">
      <c r="B7" s="94"/>
      <c r="C7" s="94"/>
      <c r="D7" s="94"/>
      <c r="E7" s="94"/>
      <c r="F7" s="94"/>
      <c r="G7" s="94"/>
      <c r="H7" s="95"/>
      <c r="I7" s="96" t="s">
        <v>230</v>
      </c>
      <c r="J7" s="95"/>
      <c r="K7" s="95"/>
      <c r="L7" s="97" t="s">
        <v>213</v>
      </c>
      <c r="M7" s="95"/>
      <c r="N7" s="95"/>
      <c r="O7" s="86" t="s">
        <v>233</v>
      </c>
      <c r="P7" s="87"/>
      <c r="Q7" s="92" t="s">
        <v>236</v>
      </c>
      <c r="R7" s="93"/>
      <c r="S7" s="95"/>
      <c r="T7" s="95"/>
      <c r="U7" s="95"/>
    </row>
    <row r="8" spans="1:21" ht="14.4" thickBot="1">
      <c r="B8" s="99"/>
      <c r="C8" s="99"/>
      <c r="D8" s="99"/>
      <c r="E8" s="99"/>
      <c r="F8" s="99"/>
      <c r="G8" s="99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</row>
    <row r="10" spans="1:21">
      <c r="B10" s="81"/>
      <c r="C10" s="81"/>
      <c r="D10" s="81"/>
      <c r="E10" s="81"/>
      <c r="F10" s="81"/>
      <c r="G10" s="81"/>
      <c r="H10" s="103" t="s">
        <v>237</v>
      </c>
      <c r="I10" s="103"/>
      <c r="J10" s="103"/>
      <c r="K10" s="103"/>
      <c r="L10" s="103"/>
      <c r="M10" s="103"/>
      <c r="N10" s="103" t="s">
        <v>238</v>
      </c>
      <c r="O10" s="103"/>
      <c r="P10" s="103"/>
      <c r="Q10" s="103"/>
      <c r="R10" s="103"/>
      <c r="S10" s="103" t="s">
        <v>239</v>
      </c>
      <c r="T10" s="103"/>
      <c r="U10" s="158" t="s">
        <v>236</v>
      </c>
    </row>
    <row r="11" spans="1:21">
      <c r="B11" s="81" t="s">
        <v>242</v>
      </c>
      <c r="C11" s="81"/>
      <c r="D11" s="81"/>
      <c r="E11" s="81"/>
      <c r="F11" s="81"/>
      <c r="G11" s="81"/>
      <c r="H11" s="101">
        <v>2018</v>
      </c>
      <c r="I11" s="101">
        <f>H11+1</f>
        <v>2019</v>
      </c>
      <c r="J11" s="101">
        <f t="shared" ref="J11:R11" si="0">I11+1</f>
        <v>2020</v>
      </c>
      <c r="K11" s="101">
        <f t="shared" si="0"/>
        <v>2021</v>
      </c>
      <c r="L11" s="101">
        <f t="shared" si="0"/>
        <v>2022</v>
      </c>
      <c r="M11" s="101">
        <f t="shared" si="0"/>
        <v>2023</v>
      </c>
      <c r="N11" s="102">
        <f t="shared" si="0"/>
        <v>2024</v>
      </c>
      <c r="O11" s="102">
        <f t="shared" si="0"/>
        <v>2025</v>
      </c>
      <c r="P11" s="102">
        <f t="shared" si="0"/>
        <v>2026</v>
      </c>
      <c r="Q11" s="102">
        <f t="shared" si="0"/>
        <v>2027</v>
      </c>
      <c r="R11" s="102">
        <f t="shared" si="0"/>
        <v>2028</v>
      </c>
      <c r="S11" s="104" t="s">
        <v>240</v>
      </c>
      <c r="T11" s="104" t="s">
        <v>241</v>
      </c>
      <c r="U11" s="158"/>
    </row>
    <row r="12" spans="1:21">
      <c r="H12" s="120"/>
    </row>
    <row r="13" spans="1:21" s="5" customFormat="1">
      <c r="A13" s="135" t="s">
        <v>308</v>
      </c>
      <c r="B13" s="110" t="s">
        <v>290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5" spans="1:21" s="5" customFormat="1">
      <c r="A15" s="135"/>
      <c r="B15" s="5" t="s">
        <v>291</v>
      </c>
      <c r="H15" s="5">
        <f>+Model!H15</f>
        <v>102.9</v>
      </c>
      <c r="I15" s="5">
        <f>+Model!I15</f>
        <v>130.69999999999999</v>
      </c>
      <c r="J15" s="5">
        <f>+Model!J15</f>
        <v>157.80000000000001</v>
      </c>
      <c r="K15" s="5">
        <f>+Model!K15</f>
        <v>177.1</v>
      </c>
      <c r="L15" s="5">
        <f>+Model!L15</f>
        <v>194</v>
      </c>
      <c r="M15" s="5">
        <f>+Model!M15</f>
        <v>205.9</v>
      </c>
      <c r="N15" s="5">
        <f>N16+N23+N30</f>
        <v>225.3894989132026</v>
      </c>
      <c r="O15" s="5">
        <f t="shared" ref="O15:R15" si="1">O16+O23+O30</f>
        <v>247.48618495391187</v>
      </c>
      <c r="P15" s="5">
        <f t="shared" si="1"/>
        <v>272.56156991495709</v>
      </c>
      <c r="Q15" s="5">
        <f t="shared" si="1"/>
        <v>301.04257626188661</v>
      </c>
      <c r="R15" s="5">
        <f t="shared" si="1"/>
        <v>333.4200724181029</v>
      </c>
      <c r="S15" s="121">
        <f>RATE(5,0,-H15,M15)</f>
        <v>0.14880996579926389</v>
      </c>
      <c r="T15" s="121">
        <f>RATE(5,0,-M15,R15)</f>
        <v>0.10120222183877602</v>
      </c>
    </row>
    <row r="16" spans="1:21" s="5" customFormat="1">
      <c r="A16" s="135"/>
      <c r="B16" s="5" t="s">
        <v>292</v>
      </c>
      <c r="H16" s="5">
        <f>+'r10-K'!G8</f>
        <v>48.671700000000001</v>
      </c>
      <c r="I16" s="5">
        <f>+'r10-K'!H8</f>
        <v>65.611399999999989</v>
      </c>
      <c r="J16" s="5">
        <f>+'r10-K'!I8</f>
        <v>80.951400000000007</v>
      </c>
      <c r="K16" s="5">
        <f>+'r10-K'!J8</f>
        <v>96.342399999999998</v>
      </c>
      <c r="L16" s="5">
        <f>+'r10-K'!K8</f>
        <v>110.77399999999999</v>
      </c>
      <c r="M16" s="5">
        <f>+'r10-K'!L8</f>
        <v>115</v>
      </c>
      <c r="N16" s="5">
        <f>N17+N20</f>
        <v>129.41933336766181</v>
      </c>
      <c r="O16" s="5">
        <f t="shared" ref="O16:R16" si="2">O17+O20</f>
        <v>145.81389641534756</v>
      </c>
      <c r="P16" s="5">
        <f t="shared" si="2"/>
        <v>164.47385201129879</v>
      </c>
      <c r="Q16" s="5">
        <f t="shared" si="2"/>
        <v>185.73408764552102</v>
      </c>
      <c r="R16" s="5">
        <f t="shared" si="2"/>
        <v>209.9813189654368</v>
      </c>
      <c r="S16" s="121">
        <f t="shared" ref="S16:S30" si="3">RATE(5,0,-H16,M16)</f>
        <v>0.18763849227799492</v>
      </c>
      <c r="T16" s="121">
        <f t="shared" ref="T16:T30" si="4">RATE(5,0,-M16,R16)</f>
        <v>0.12796744091019852</v>
      </c>
    </row>
    <row r="17" spans="1:21">
      <c r="B17" s="111" t="s">
        <v>295</v>
      </c>
      <c r="H17" s="80">
        <f>+'r10-K'!G9</f>
        <v>29.264759999999999</v>
      </c>
      <c r="I17" s="80">
        <f>+'r10-K'!H9</f>
        <v>37.648135000000003</v>
      </c>
      <c r="J17" s="80">
        <f>+'r10-K'!I9</f>
        <v>46.641735000000011</v>
      </c>
      <c r="K17" s="80">
        <f>+'r10-K'!J9</f>
        <v>52.775800000000004</v>
      </c>
      <c r="L17" s="80">
        <f>+'r10-K'!K9</f>
        <v>58.001149999999996</v>
      </c>
      <c r="M17" s="80">
        <f>+'r10-K'!L9</f>
        <v>60</v>
      </c>
      <c r="N17" s="80">
        <f>N18*N19/10^3</f>
        <v>65.332361248965114</v>
      </c>
      <c r="O17" s="80">
        <f t="shared" ref="O17:R17" si="5">O18*O19/10^3</f>
        <v>71.13862377275467</v>
      </c>
      <c r="P17" s="80">
        <f t="shared" si="5"/>
        <v>77.460904451263772</v>
      </c>
      <c r="Q17" s="80">
        <f t="shared" si="5"/>
        <v>84.345063204692266</v>
      </c>
      <c r="R17" s="80">
        <f t="shared" si="5"/>
        <v>91.841035647595874</v>
      </c>
      <c r="S17" s="122">
        <f t="shared" si="3"/>
        <v>0.1544131274605961</v>
      </c>
      <c r="T17" s="122">
        <f t="shared" si="4"/>
        <v>8.887268748277552E-2</v>
      </c>
    </row>
    <row r="18" spans="1:21">
      <c r="B18" s="112" t="s">
        <v>298</v>
      </c>
      <c r="H18" s="80">
        <f>+H17/H19*10^3</f>
        <v>585.29520000000002</v>
      </c>
      <c r="I18" s="80">
        <f t="shared" ref="I18:M18" si="6">+I17/I19*10^3</f>
        <v>752.96270000000004</v>
      </c>
      <c r="J18" s="80">
        <f t="shared" si="6"/>
        <v>1227.4140789473686</v>
      </c>
      <c r="K18" s="80">
        <f t="shared" si="6"/>
        <v>1507.88</v>
      </c>
      <c r="L18" s="80">
        <f t="shared" si="6"/>
        <v>1757.6106060606055</v>
      </c>
      <c r="M18" s="80">
        <f t="shared" si="6"/>
        <v>1818.181818181818</v>
      </c>
      <c r="N18" s="80">
        <f>M18*(1+N37)</f>
        <v>2049.4976728434044</v>
      </c>
      <c r="O18" s="80">
        <f>N18*(1+O37)</f>
        <v>2310.2423910447919</v>
      </c>
      <c r="P18" s="80">
        <f t="shared" ref="O18:R22" si="7">O18*(1+P37)</f>
        <v>2604.1600222827665</v>
      </c>
      <c r="Q18" s="80">
        <f t="shared" si="7"/>
        <v>2935.4709479591975</v>
      </c>
      <c r="R18" s="80">
        <f t="shared" si="7"/>
        <v>3308.9324820979891</v>
      </c>
      <c r="S18" s="122">
        <f t="shared" si="3"/>
        <v>0.25444744012774512</v>
      </c>
      <c r="T18" s="122">
        <f t="shared" si="4"/>
        <v>0.12722372006387267</v>
      </c>
    </row>
    <row r="19" spans="1:21">
      <c r="B19" s="112" t="s">
        <v>297</v>
      </c>
      <c r="H19" s="80">
        <f>+'r10-K'!G26</f>
        <v>50</v>
      </c>
      <c r="I19" s="80">
        <f>+'r10-K'!H26</f>
        <v>50</v>
      </c>
      <c r="J19" s="80">
        <f>+'r10-K'!I26</f>
        <v>38</v>
      </c>
      <c r="K19" s="80">
        <f>+'r10-K'!J26</f>
        <v>35</v>
      </c>
      <c r="L19" s="80">
        <f>+'r10-K'!K26</f>
        <v>33.000000000000007</v>
      </c>
      <c r="M19" s="80">
        <f>+'r10-K'!L26</f>
        <v>33</v>
      </c>
      <c r="N19" s="80">
        <f>M19*(1+N38)</f>
        <v>31.877255639097747</v>
      </c>
      <c r="O19" s="80">
        <f t="shared" si="7"/>
        <v>30.792709911526941</v>
      </c>
      <c r="P19" s="80">
        <f t="shared" si="7"/>
        <v>29.745063202131007</v>
      </c>
      <c r="Q19" s="80">
        <f t="shared" si="7"/>
        <v>28.733060111983317</v>
      </c>
      <c r="R19" s="80">
        <f t="shared" si="7"/>
        <v>27.755487954038021</v>
      </c>
      <c r="S19" s="122">
        <f t="shared" si="3"/>
        <v>-7.9743725777909197E-2</v>
      </c>
      <c r="T19" s="122">
        <f t="shared" si="4"/>
        <v>-3.4022556390921603E-2</v>
      </c>
    </row>
    <row r="20" spans="1:21">
      <c r="B20" s="111" t="s">
        <v>296</v>
      </c>
      <c r="H20" s="80">
        <f>+'r10-K'!G10</f>
        <v>19.406940000000002</v>
      </c>
      <c r="I20" s="80">
        <f>+'r10-K'!H10</f>
        <v>27.963265</v>
      </c>
      <c r="J20" s="80">
        <f>+'r10-K'!I10</f>
        <v>34.309665000000003</v>
      </c>
      <c r="K20" s="80">
        <f>+'r10-K'!J10</f>
        <v>43.566599999999994</v>
      </c>
      <c r="L20" s="80">
        <f>+'r10-K'!K10</f>
        <v>52.772850000000005</v>
      </c>
      <c r="M20" s="80">
        <f>+'r10-K'!L10</f>
        <v>55</v>
      </c>
      <c r="N20" s="80">
        <f>N21*N22/10^3</f>
        <v>64.086972118696707</v>
      </c>
      <c r="O20" s="80">
        <f t="shared" ref="O20" si="8">O21*O22/10^3</f>
        <v>74.675272642592887</v>
      </c>
      <c r="P20" s="80">
        <f t="shared" ref="P20" si="9">P21*P22/10^3</f>
        <v>87.012947560035016</v>
      </c>
      <c r="Q20" s="80">
        <f t="shared" ref="Q20" si="10">Q21*Q22/10^3</f>
        <v>101.38902444082876</v>
      </c>
      <c r="R20" s="80">
        <f t="shared" ref="R20" si="11">R21*R22/10^3</f>
        <v>118.14028331784094</v>
      </c>
      <c r="S20" s="122">
        <f t="shared" si="3"/>
        <v>0.2316324569879008</v>
      </c>
      <c r="T20" s="122">
        <f t="shared" si="4"/>
        <v>0.16521767488480632</v>
      </c>
    </row>
    <row r="21" spans="1:21">
      <c r="B21" s="112" t="s">
        <v>298</v>
      </c>
      <c r="H21" s="80">
        <f>+H20/H22*10^3</f>
        <v>473.34000000000003</v>
      </c>
      <c r="I21" s="80">
        <f t="shared" ref="I21" si="12">+I20/I22*10^3</f>
        <v>699.08162500000003</v>
      </c>
      <c r="J21" s="80">
        <f t="shared" ref="J21" si="13">+J20/J22*10^3</f>
        <v>1429.569375</v>
      </c>
      <c r="K21" s="80">
        <f t="shared" ref="K21" si="14">+K20/K22*10^3</f>
        <v>1980.2999999999995</v>
      </c>
      <c r="L21" s="80">
        <f t="shared" ref="L21" si="15">+L20/L22*10^3</f>
        <v>2398.7659090909092</v>
      </c>
      <c r="M21" s="80">
        <f t="shared" ref="M21" si="16">+M20/M22*10^3</f>
        <v>2500</v>
      </c>
      <c r="N21" s="80">
        <f>M21*(1+N40)</f>
        <v>2993.6662978778804</v>
      </c>
      <c r="O21" s="80">
        <f t="shared" si="7"/>
        <v>3584.8151612199417</v>
      </c>
      <c r="P21" s="80">
        <f t="shared" si="7"/>
        <v>4292.6961329063206</v>
      </c>
      <c r="Q21" s="80">
        <f t="shared" si="7"/>
        <v>5140.3598960449435</v>
      </c>
      <c r="R21" s="80">
        <f t="shared" si="7"/>
        <v>6155.408871901117</v>
      </c>
      <c r="S21" s="122">
        <f t="shared" si="3"/>
        <v>0.39493303830230464</v>
      </c>
      <c r="T21" s="122">
        <f t="shared" si="4"/>
        <v>0.19746651915115207</v>
      </c>
    </row>
    <row r="22" spans="1:21">
      <c r="B22" s="112" t="s">
        <v>297</v>
      </c>
      <c r="H22" s="80">
        <f>+'r10-K'!G27</f>
        <v>41</v>
      </c>
      <c r="I22" s="80">
        <f>+'r10-K'!H27</f>
        <v>40</v>
      </c>
      <c r="J22" s="80">
        <f>+'r10-K'!I27</f>
        <v>24</v>
      </c>
      <c r="K22" s="80">
        <f>+'r10-K'!J27</f>
        <v>22.000000000000004</v>
      </c>
      <c r="L22" s="80">
        <f>+'r10-K'!K27</f>
        <v>22</v>
      </c>
      <c r="M22" s="80">
        <f>+'r10-K'!L27</f>
        <v>22</v>
      </c>
      <c r="N22" s="80">
        <f>M22*(1+N41)</f>
        <v>21.407520325203254</v>
      </c>
      <c r="O22" s="80">
        <f t="shared" si="7"/>
        <v>20.830996657908656</v>
      </c>
      <c r="P22" s="80">
        <f t="shared" si="7"/>
        <v>20.269999288564573</v>
      </c>
      <c r="Q22" s="80">
        <f t="shared" si="7"/>
        <v>19.724110080081889</v>
      </c>
      <c r="R22" s="80">
        <f t="shared" si="7"/>
        <v>19.192922156177247</v>
      </c>
      <c r="S22" s="122">
        <f t="shared" si="3"/>
        <v>-0.11706696796936726</v>
      </c>
      <c r="T22" s="122">
        <f t="shared" si="4"/>
        <v>-2.6930894308924546E-2</v>
      </c>
    </row>
    <row r="23" spans="1:21" s="5" customFormat="1">
      <c r="A23" s="135"/>
      <c r="B23" s="5" t="s">
        <v>293</v>
      </c>
      <c r="H23" s="5">
        <f>+'r10-K'!G11</f>
        <v>53.713800000000006</v>
      </c>
      <c r="I23" s="5">
        <f>+'r10-K'!H11</f>
        <v>63.78159999999999</v>
      </c>
      <c r="J23" s="5">
        <f>+'r10-K'!I11</f>
        <v>68.327399999999997</v>
      </c>
      <c r="K23" s="5">
        <f>+'r10-K'!J11</f>
        <v>67.120899999999992</v>
      </c>
      <c r="L23" s="5">
        <f>+'r10-K'!K11</f>
        <v>74.496000000000009</v>
      </c>
      <c r="M23" s="5">
        <f>+'r10-K'!L11</f>
        <v>78.900000000000006</v>
      </c>
      <c r="N23" s="5">
        <f>+N24+N27</f>
        <v>82.170165545540783</v>
      </c>
      <c r="O23" s="5">
        <f t="shared" ref="O23:R23" si="17">+O24+O27</f>
        <v>85.802288538564312</v>
      </c>
      <c r="P23" s="5">
        <f t="shared" si="17"/>
        <v>89.837217903658299</v>
      </c>
      <c r="Q23" s="5">
        <f t="shared" si="17"/>
        <v>94.320413616365613</v>
      </c>
      <c r="R23" s="5">
        <f t="shared" si="17"/>
        <v>99.302467202666094</v>
      </c>
      <c r="S23" s="121">
        <f t="shared" si="3"/>
        <v>7.9936513081259111E-2</v>
      </c>
      <c r="T23" s="121">
        <f t="shared" si="4"/>
        <v>4.7072146941401376E-2</v>
      </c>
    </row>
    <row r="24" spans="1:21">
      <c r="B24" s="111" t="s">
        <v>295</v>
      </c>
      <c r="H24" s="80">
        <f>+'r10-K'!G12</f>
        <v>44.313884999999999</v>
      </c>
      <c r="I24" s="80">
        <f>+'r10-K'!H12</f>
        <v>49.430739999999993</v>
      </c>
      <c r="J24" s="80">
        <f>+'r10-K'!I12</f>
        <v>51.245550000000009</v>
      </c>
      <c r="K24" s="80">
        <f>+'r10-K'!J12</f>
        <v>46.984629999999996</v>
      </c>
      <c r="L24" s="80">
        <f>+'r10-K'!K12</f>
        <v>48.794880000000006</v>
      </c>
      <c r="M24" s="80">
        <f>+'r10-K'!L12</f>
        <v>50.5</v>
      </c>
      <c r="N24" s="80">
        <f>N25*N26/10^3</f>
        <v>50.564348510856064</v>
      </c>
      <c r="O24" s="80">
        <f t="shared" ref="O24" si="18">O25*O26/10^3</f>
        <v>50.62877901638241</v>
      </c>
      <c r="P24" s="80">
        <f t="shared" ref="P24" si="19">P25*P26/10^3</f>
        <v>50.693291621058947</v>
      </c>
      <c r="Q24" s="80">
        <f t="shared" ref="Q24" si="20">Q25*Q26/10^3</f>
        <v>50.75788642949869</v>
      </c>
      <c r="R24" s="80">
        <f t="shared" ref="R24" si="21">R25*R26/10^3</f>
        <v>50.822563546447988</v>
      </c>
      <c r="S24" s="122">
        <f t="shared" si="3"/>
        <v>2.6479570762424937E-2</v>
      </c>
      <c r="T24" s="122">
        <f t="shared" si="4"/>
        <v>1.2742279377438515E-3</v>
      </c>
    </row>
    <row r="25" spans="1:21">
      <c r="B25" s="112" t="s">
        <v>299</v>
      </c>
      <c r="E25" s="112"/>
      <c r="H25" s="80">
        <f>+H24/H26*10^3</f>
        <v>709.02215999999999</v>
      </c>
      <c r="I25" s="80">
        <f t="shared" ref="I25" si="22">+I24/I26*10^3</f>
        <v>859.66504347826083</v>
      </c>
      <c r="J25" s="80">
        <f t="shared" ref="J25" si="23">+J24/J26*10^3</f>
        <v>931.73727272727297</v>
      </c>
      <c r="K25" s="80">
        <f t="shared" ref="K25" si="24">+K24/K26*10^3</f>
        <v>894.94533333333322</v>
      </c>
      <c r="L25" s="80">
        <f t="shared" ref="L25" si="25">+L24/L26*10^3</f>
        <v>975.89760000000012</v>
      </c>
      <c r="M25" s="80">
        <f t="shared" ref="M25" si="26">+M24/M26*10^3</f>
        <v>1010</v>
      </c>
      <c r="N25" s="80">
        <f>M25*(1+N44)</f>
        <v>1047.0304577523816</v>
      </c>
      <c r="O25" s="80">
        <f t="shared" ref="O25:R26" si="27">N25*(1+O44)</f>
        <v>1085.4185935259027</v>
      </c>
      <c r="P25" s="80">
        <f t="shared" si="27"/>
        <v>1125.2141849825466</v>
      </c>
      <c r="Q25" s="80">
        <f t="shared" si="27"/>
        <v>1166.4688348235136</v>
      </c>
      <c r="R25" s="80">
        <f t="shared" si="27"/>
        <v>1209.2360377021294</v>
      </c>
      <c r="S25" s="122">
        <f t="shared" si="3"/>
        <v>7.3327639113626664E-2</v>
      </c>
      <c r="T25" s="122">
        <f t="shared" si="4"/>
        <v>3.6663819557167521E-2</v>
      </c>
    </row>
    <row r="26" spans="1:21">
      <c r="B26" s="112" t="s">
        <v>297</v>
      </c>
      <c r="H26" s="80">
        <f>+'r10-K'!G29</f>
        <v>62.5</v>
      </c>
      <c r="I26" s="80">
        <f>+'r10-K'!H29</f>
        <v>57.5</v>
      </c>
      <c r="J26" s="80">
        <f>+'r10-K'!I29</f>
        <v>55</v>
      </c>
      <c r="K26" s="80">
        <f>+'r10-K'!J29</f>
        <v>52.5</v>
      </c>
      <c r="L26" s="80">
        <f>+'r10-K'!K29</f>
        <v>50</v>
      </c>
      <c r="M26" s="80">
        <f>+'r10-K'!L29</f>
        <v>50</v>
      </c>
      <c r="N26" s="80">
        <f>M26*(1+N45)</f>
        <v>48.293101825710522</v>
      </c>
      <c r="O26" s="80">
        <f t="shared" si="27"/>
        <v>46.6444736789689</v>
      </c>
      <c r="P26" s="80">
        <f t="shared" si="27"/>
        <v>45.05212633970239</v>
      </c>
      <c r="Q26" s="80">
        <f t="shared" si="27"/>
        <v>43.514138495760449</v>
      </c>
      <c r="R26" s="80">
        <f t="shared" si="27"/>
        <v>42.028654424676589</v>
      </c>
      <c r="S26" s="122">
        <f t="shared" si="3"/>
        <v>-4.3647500209735325E-2</v>
      </c>
      <c r="T26" s="122">
        <f t="shared" si="4"/>
        <v>-3.4137963485732795E-2</v>
      </c>
    </row>
    <row r="27" spans="1:21">
      <c r="B27" s="111" t="s">
        <v>296</v>
      </c>
      <c r="H27" s="80">
        <f>+'r10-K'!G13</f>
        <v>9.399915</v>
      </c>
      <c r="I27" s="80">
        <f>+'r10-K'!H13</f>
        <v>14.350860000000001</v>
      </c>
      <c r="J27" s="80">
        <f>+'r10-K'!I13</f>
        <v>17.081849999999999</v>
      </c>
      <c r="K27" s="80">
        <f>+'r10-K'!J13</f>
        <v>20.136269999999996</v>
      </c>
      <c r="L27" s="80">
        <f>+'r10-K'!K13</f>
        <v>25.701120000000003</v>
      </c>
      <c r="M27" s="80">
        <f>+'r10-K'!L13</f>
        <v>28.400000000000006</v>
      </c>
      <c r="N27" s="80">
        <f>N28*N29/10^3</f>
        <v>31.605817034684716</v>
      </c>
      <c r="O27" s="80">
        <f t="shared" ref="O27" si="28">O28*O29/10^3</f>
        <v>35.173509522181909</v>
      </c>
      <c r="P27" s="80">
        <f t="shared" ref="P27" si="29">P28*P29/10^3</f>
        <v>39.143926282599352</v>
      </c>
      <c r="Q27" s="80">
        <f t="shared" ref="Q27" si="30">Q28*Q29/10^3</f>
        <v>43.56252718686693</v>
      </c>
      <c r="R27" s="80">
        <f t="shared" ref="R27" si="31">R28*R29/10^3</f>
        <v>48.479903656218106</v>
      </c>
      <c r="S27" s="122">
        <f t="shared" si="3"/>
        <v>0.24749519844797491</v>
      </c>
      <c r="T27" s="122">
        <f t="shared" si="4"/>
        <v>0.11288088150305592</v>
      </c>
    </row>
    <row r="28" spans="1:21">
      <c r="B28" s="112" t="s">
        <v>299</v>
      </c>
      <c r="H28" s="80">
        <f>+H27/H29*10^3</f>
        <v>375.9966</v>
      </c>
      <c r="I28" s="80">
        <f t="shared" ref="I28" si="32">+I27/I29*10^3</f>
        <v>623.95043478260868</v>
      </c>
      <c r="J28" s="80">
        <f t="shared" ref="J28" si="33">+J27/J29*10^3</f>
        <v>776.44772727272721</v>
      </c>
      <c r="K28" s="80">
        <f t="shared" ref="K28" si="34">+K27/K29*10^3</f>
        <v>958.86999999999978</v>
      </c>
      <c r="L28" s="80">
        <f t="shared" ref="L28" si="35">+L27/L29*10^3</f>
        <v>1285.0560000000003</v>
      </c>
      <c r="M28" s="80">
        <f t="shared" ref="M28" si="36">+M27/M29*10^3</f>
        <v>1420.0000000000005</v>
      </c>
      <c r="N28" s="80">
        <f>M28*(1+N47)</f>
        <v>1636.1455280274756</v>
      </c>
      <c r="O28" s="80">
        <f t="shared" ref="O28:R30" si="37">N28*(1+O47)</f>
        <v>1885.1916823128915</v>
      </c>
      <c r="P28" s="80">
        <f t="shared" si="37"/>
        <v>2172.1464369653731</v>
      </c>
      <c r="Q28" s="80">
        <f t="shared" si="37"/>
        <v>2502.78005567726</v>
      </c>
      <c r="R28" s="80">
        <f t="shared" si="37"/>
        <v>2883.7411237554252</v>
      </c>
      <c r="S28" s="122">
        <f t="shared" si="3"/>
        <v>0.30443032116545765</v>
      </c>
      <c r="T28" s="122">
        <f t="shared" si="4"/>
        <v>0.15221516058269524</v>
      </c>
    </row>
    <row r="29" spans="1:21">
      <c r="B29" s="112" t="s">
        <v>297</v>
      </c>
      <c r="H29" s="80">
        <f>+'r10-K'!G30</f>
        <v>25</v>
      </c>
      <c r="I29" s="80">
        <f>+'r10-K'!H30</f>
        <v>23</v>
      </c>
      <c r="J29" s="80">
        <f>+'r10-K'!I30</f>
        <v>22</v>
      </c>
      <c r="K29" s="80">
        <f>+'r10-K'!J30</f>
        <v>21</v>
      </c>
      <c r="L29" s="80">
        <f>+'r10-K'!K30</f>
        <v>20</v>
      </c>
      <c r="M29" s="80">
        <f>+'r10-K'!L30</f>
        <v>20</v>
      </c>
      <c r="N29" s="80">
        <f>M29*(1+N48)</f>
        <v>19.317240730284208</v>
      </c>
      <c r="O29" s="80">
        <f t="shared" si="37"/>
        <v>18.657789471587559</v>
      </c>
      <c r="P29" s="80">
        <f t="shared" si="37"/>
        <v>18.020850535880953</v>
      </c>
      <c r="Q29" s="80">
        <f t="shared" si="37"/>
        <v>17.405655398304177</v>
      </c>
      <c r="R29" s="80">
        <f t="shared" si="37"/>
        <v>16.811461769870633</v>
      </c>
      <c r="S29" s="122">
        <f t="shared" si="3"/>
        <v>-4.364750020973529E-2</v>
      </c>
      <c r="T29" s="122">
        <f t="shared" si="4"/>
        <v>-3.4137963485732864E-2</v>
      </c>
    </row>
    <row r="30" spans="1:21" s="5" customFormat="1">
      <c r="A30" s="135"/>
      <c r="B30" s="5" t="s">
        <v>294</v>
      </c>
      <c r="H30" s="5">
        <f>+'r10-K'!G14</f>
        <v>0.51450000000000007</v>
      </c>
      <c r="I30" s="5">
        <f>+'r10-K'!H14</f>
        <v>1.3069999999999999</v>
      </c>
      <c r="J30" s="5">
        <f>+'r10-K'!I14</f>
        <v>8.5212000000000003</v>
      </c>
      <c r="K30" s="5">
        <f>+'r10-K'!J14</f>
        <v>13.636699999999999</v>
      </c>
      <c r="L30" s="5">
        <f>+'r10-K'!K14</f>
        <v>8.73</v>
      </c>
      <c r="M30" s="5">
        <f>+'r10-K'!L14</f>
        <v>12</v>
      </c>
      <c r="N30" s="5">
        <f>M30*(1+N49)</f>
        <v>13.799999999999999</v>
      </c>
      <c r="O30" s="5">
        <f t="shared" si="37"/>
        <v>15.869999999999997</v>
      </c>
      <c r="P30" s="5">
        <f t="shared" si="37"/>
        <v>18.250499999999995</v>
      </c>
      <c r="Q30" s="5">
        <f t="shared" si="37"/>
        <v>20.988074999999991</v>
      </c>
      <c r="R30" s="5">
        <f t="shared" si="37"/>
        <v>24.136286249999987</v>
      </c>
      <c r="S30" s="121">
        <f t="shared" si="3"/>
        <v>0.87741020140338222</v>
      </c>
      <c r="T30" s="121">
        <f t="shared" si="4"/>
        <v>0.14999999999998062</v>
      </c>
    </row>
    <row r="31" spans="1:21">
      <c r="B31" s="112"/>
    </row>
    <row r="32" spans="1:21" s="5" customFormat="1">
      <c r="A32" s="135" t="s">
        <v>308</v>
      </c>
      <c r="B32" s="110" t="s">
        <v>300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</row>
    <row r="34" spans="1:18" s="127" customFormat="1">
      <c r="A34" s="136"/>
      <c r="B34" s="127" t="s">
        <v>301</v>
      </c>
      <c r="I34" s="128">
        <f>I15/H15-1</f>
        <v>0.27016520894071894</v>
      </c>
      <c r="J34" s="128">
        <f t="shared" ref="J34:M34" si="38">J15/I15-1</f>
        <v>0.20734506503443018</v>
      </c>
      <c r="K34" s="128">
        <f t="shared" si="38"/>
        <v>0.12230671736375154</v>
      </c>
      <c r="L34" s="128">
        <f t="shared" si="38"/>
        <v>9.5426312817617154E-2</v>
      </c>
      <c r="M34" s="128">
        <f t="shared" si="38"/>
        <v>6.1340206185567014E-2</v>
      </c>
    </row>
    <row r="35" spans="1:18" s="127" customFormat="1">
      <c r="A35" s="136"/>
      <c r="B35" s="127" t="s">
        <v>292</v>
      </c>
      <c r="I35" s="128">
        <f t="shared" ref="I35:M39" si="39">I16/H16-1</f>
        <v>0.34804003147619644</v>
      </c>
      <c r="J35" s="128">
        <f t="shared" si="39"/>
        <v>0.2338008333917585</v>
      </c>
      <c r="K35" s="128">
        <f t="shared" si="39"/>
        <v>0.19012642153193138</v>
      </c>
      <c r="L35" s="128">
        <f t="shared" si="39"/>
        <v>0.14979489819643255</v>
      </c>
      <c r="M35" s="128">
        <f t="shared" si="39"/>
        <v>3.8149746330366385E-2</v>
      </c>
    </row>
    <row r="36" spans="1:18" s="123" customFormat="1">
      <c r="A36" s="137"/>
      <c r="B36" s="125" t="s">
        <v>295</v>
      </c>
      <c r="I36" s="124">
        <f t="shared" ref="I36:M36" si="40">I17/H17-1</f>
        <v>0.28646655567993751</v>
      </c>
      <c r="J36" s="124">
        <f t="shared" si="40"/>
        <v>0.23888567122913273</v>
      </c>
      <c r="K36" s="124">
        <f t="shared" si="39"/>
        <v>0.13151451162783689</v>
      </c>
      <c r="L36" s="124">
        <f t="shared" si="40"/>
        <v>9.9010341861231588E-2</v>
      </c>
      <c r="M36" s="124">
        <f t="shared" si="40"/>
        <v>3.4462247731295026E-2</v>
      </c>
    </row>
    <row r="37" spans="1:18" s="123" customFormat="1">
      <c r="A37" s="137"/>
      <c r="B37" s="126" t="s">
        <v>298</v>
      </c>
      <c r="I37" s="124">
        <f t="shared" ref="I37:M37" si="41">I18/H18-1</f>
        <v>0.28646655567993728</v>
      </c>
      <c r="J37" s="124">
        <f t="shared" si="41"/>
        <v>0.63011272530149043</v>
      </c>
      <c r="K37" s="124">
        <f t="shared" si="39"/>
        <v>0.22850146976736596</v>
      </c>
      <c r="L37" s="124">
        <f t="shared" si="41"/>
        <v>0.16561702924676069</v>
      </c>
      <c r="M37" s="124">
        <f t="shared" si="41"/>
        <v>3.4462247731295248E-2</v>
      </c>
      <c r="N37" s="129">
        <f>+$S$18/2</f>
        <v>0.12722372006387256</v>
      </c>
      <c r="O37" s="129">
        <f t="shared" ref="O37:R37" si="42">+$S$18/2</f>
        <v>0.12722372006387256</v>
      </c>
      <c r="P37" s="129">
        <f t="shared" si="42"/>
        <v>0.12722372006387256</v>
      </c>
      <c r="Q37" s="129">
        <f t="shared" si="42"/>
        <v>0.12722372006387256</v>
      </c>
      <c r="R37" s="129">
        <f t="shared" si="42"/>
        <v>0.12722372006387256</v>
      </c>
    </row>
    <row r="38" spans="1:18" s="123" customFormat="1">
      <c r="A38" s="137"/>
      <c r="B38" s="126" t="s">
        <v>297</v>
      </c>
      <c r="I38" s="124">
        <f t="shared" ref="I38:M38" si="43">I19/H19-1</f>
        <v>0</v>
      </c>
      <c r="J38" s="124">
        <f t="shared" si="43"/>
        <v>-0.24</v>
      </c>
      <c r="K38" s="124">
        <f t="shared" si="39"/>
        <v>-7.8947368421052655E-2</v>
      </c>
      <c r="L38" s="124">
        <f t="shared" si="43"/>
        <v>-5.714285714285694E-2</v>
      </c>
      <c r="M38" s="124">
        <f t="shared" si="43"/>
        <v>0</v>
      </c>
      <c r="N38" s="129">
        <f>AVERAGE(I38,K38,L38,M38)</f>
        <v>-3.4022556390977399E-2</v>
      </c>
      <c r="O38" s="129">
        <f>N38</f>
        <v>-3.4022556390977399E-2</v>
      </c>
      <c r="P38" s="129">
        <f t="shared" ref="P38:R38" si="44">O38</f>
        <v>-3.4022556390977399E-2</v>
      </c>
      <c r="Q38" s="129">
        <f t="shared" si="44"/>
        <v>-3.4022556390977399E-2</v>
      </c>
      <c r="R38" s="129">
        <f t="shared" si="44"/>
        <v>-3.4022556390977399E-2</v>
      </c>
    </row>
    <row r="39" spans="1:18" s="123" customFormat="1">
      <c r="A39" s="137"/>
      <c r="B39" s="125" t="s">
        <v>296</v>
      </c>
      <c r="I39" s="124">
        <f t="shared" ref="I39:M39" si="45">I20/H20-1</f>
        <v>0.44088995998338731</v>
      </c>
      <c r="J39" s="124">
        <f t="shared" si="45"/>
        <v>0.22695489957985959</v>
      </c>
      <c r="K39" s="124">
        <f t="shared" si="39"/>
        <v>0.26980546152228513</v>
      </c>
      <c r="L39" s="124">
        <f t="shared" si="45"/>
        <v>0.21131440139923741</v>
      </c>
      <c r="M39" s="124">
        <f t="shared" si="45"/>
        <v>4.2202571966456048E-2</v>
      </c>
    </row>
    <row r="40" spans="1:18" s="123" customFormat="1">
      <c r="A40" s="137"/>
      <c r="B40" s="126" t="s">
        <v>298</v>
      </c>
      <c r="I40" s="124">
        <f t="shared" ref="I40:M49" si="46">I21/H21-1</f>
        <v>0.47691220898297204</v>
      </c>
      <c r="J40" s="124">
        <f t="shared" si="46"/>
        <v>1.0449248326330993</v>
      </c>
      <c r="K40" s="124">
        <f t="shared" si="46"/>
        <v>0.38524232166067462</v>
      </c>
      <c r="L40" s="124">
        <f t="shared" si="46"/>
        <v>0.21131440139923741</v>
      </c>
      <c r="M40" s="124">
        <f t="shared" si="46"/>
        <v>4.220257196645627E-2</v>
      </c>
      <c r="N40" s="129">
        <f>+$S$21/2</f>
        <v>0.19746651915115232</v>
      </c>
      <c r="O40" s="129">
        <f t="shared" ref="O40:R40" si="47">+$S$21/2</f>
        <v>0.19746651915115232</v>
      </c>
      <c r="P40" s="129">
        <f t="shared" si="47"/>
        <v>0.19746651915115232</v>
      </c>
      <c r="Q40" s="129">
        <f t="shared" si="47"/>
        <v>0.19746651915115232</v>
      </c>
      <c r="R40" s="129">
        <f t="shared" si="47"/>
        <v>0.19746651915115232</v>
      </c>
    </row>
    <row r="41" spans="1:18" s="123" customFormat="1">
      <c r="A41" s="137"/>
      <c r="B41" s="126" t="s">
        <v>297</v>
      </c>
      <c r="I41" s="124">
        <f t="shared" si="46"/>
        <v>-2.4390243902439046E-2</v>
      </c>
      <c r="J41" s="124">
        <f t="shared" si="46"/>
        <v>-0.4</v>
      </c>
      <c r="K41" s="124">
        <f t="shared" si="46"/>
        <v>-8.3333333333333148E-2</v>
      </c>
      <c r="L41" s="124">
        <f t="shared" si="46"/>
        <v>0</v>
      </c>
      <c r="M41" s="124">
        <f t="shared" si="46"/>
        <v>0</v>
      </c>
      <c r="N41" s="129">
        <f>AVERAGE(I41,K41,L41,M41)</f>
        <v>-2.6930894308943049E-2</v>
      </c>
      <c r="O41" s="129">
        <f>N41</f>
        <v>-2.6930894308943049E-2</v>
      </c>
      <c r="P41" s="129">
        <f t="shared" ref="P41:R41" si="48">O41</f>
        <v>-2.6930894308943049E-2</v>
      </c>
      <c r="Q41" s="129">
        <f t="shared" si="48"/>
        <v>-2.6930894308943049E-2</v>
      </c>
      <c r="R41" s="129">
        <f t="shared" si="48"/>
        <v>-2.6930894308943049E-2</v>
      </c>
    </row>
    <row r="42" spans="1:18" s="127" customFormat="1">
      <c r="A42" s="136"/>
      <c r="B42" s="127" t="s">
        <v>293</v>
      </c>
      <c r="I42" s="128">
        <f t="shared" si="46"/>
        <v>0.18743414169170647</v>
      </c>
      <c r="J42" s="128">
        <f t="shared" si="46"/>
        <v>7.1271338442434828E-2</v>
      </c>
      <c r="K42" s="128">
        <f t="shared" si="46"/>
        <v>-1.765763076013438E-2</v>
      </c>
      <c r="L42" s="128">
        <f t="shared" si="46"/>
        <v>0.10987784728750682</v>
      </c>
      <c r="M42" s="128">
        <f t="shared" si="46"/>
        <v>5.911726804123707E-2</v>
      </c>
    </row>
    <row r="43" spans="1:18" s="123" customFormat="1">
      <c r="A43" s="137"/>
      <c r="B43" s="125" t="s">
        <v>295</v>
      </c>
      <c r="I43" s="124">
        <f t="shared" si="46"/>
        <v>0.11546843613463342</v>
      </c>
      <c r="J43" s="124">
        <f t="shared" si="46"/>
        <v>3.6714198492679095E-2</v>
      </c>
      <c r="K43" s="124">
        <f t="shared" si="46"/>
        <v>-8.3147122042792287E-2</v>
      </c>
      <c r="L43" s="124">
        <f t="shared" si="46"/>
        <v>3.8528557104738459E-2</v>
      </c>
      <c r="M43" s="124">
        <f t="shared" si="46"/>
        <v>3.4944649930484406E-2</v>
      </c>
    </row>
    <row r="44" spans="1:18" s="123" customFormat="1">
      <c r="A44" s="137"/>
      <c r="B44" s="126" t="s">
        <v>299</v>
      </c>
      <c r="I44" s="124">
        <f t="shared" si="46"/>
        <v>0.21246569145068861</v>
      </c>
      <c r="J44" s="124">
        <f t="shared" si="46"/>
        <v>8.3837571151437418E-2</v>
      </c>
      <c r="K44" s="124">
        <f t="shared" si="46"/>
        <v>-3.9487461187687201E-2</v>
      </c>
      <c r="L44" s="124">
        <f t="shared" si="46"/>
        <v>9.0454984959975393E-2</v>
      </c>
      <c r="M44" s="124">
        <f t="shared" si="46"/>
        <v>3.4944649930484406E-2</v>
      </c>
      <c r="N44" s="129">
        <f>+$S$25/2</f>
        <v>3.6663819556813332E-2</v>
      </c>
      <c r="O44" s="129">
        <f t="shared" ref="O44:R44" si="49">+$S$25/2</f>
        <v>3.6663819556813332E-2</v>
      </c>
      <c r="P44" s="129">
        <f t="shared" si="49"/>
        <v>3.6663819556813332E-2</v>
      </c>
      <c r="Q44" s="129">
        <f t="shared" si="49"/>
        <v>3.6663819556813332E-2</v>
      </c>
      <c r="R44" s="129">
        <f t="shared" si="49"/>
        <v>3.6663819556813332E-2</v>
      </c>
    </row>
    <row r="45" spans="1:18" s="123" customFormat="1">
      <c r="A45" s="137"/>
      <c r="B45" s="126" t="s">
        <v>297</v>
      </c>
      <c r="I45" s="124">
        <f t="shared" si="46"/>
        <v>-7.999999999999996E-2</v>
      </c>
      <c r="J45" s="124">
        <f t="shared" si="46"/>
        <v>-4.3478260869565188E-2</v>
      </c>
      <c r="K45" s="124">
        <f t="shared" si="46"/>
        <v>-4.5454545454545414E-2</v>
      </c>
      <c r="L45" s="124">
        <f t="shared" si="46"/>
        <v>-4.7619047619047672E-2</v>
      </c>
      <c r="M45" s="124">
        <f t="shared" si="46"/>
        <v>0</v>
      </c>
      <c r="N45" s="129">
        <f>AVERAGE(J45,K45,L45,M45)</f>
        <v>-3.4137963485789569E-2</v>
      </c>
      <c r="O45" s="129">
        <f>N45</f>
        <v>-3.4137963485789569E-2</v>
      </c>
      <c r="P45" s="129">
        <f t="shared" ref="P45:R45" si="50">O45</f>
        <v>-3.4137963485789569E-2</v>
      </c>
      <c r="Q45" s="129">
        <f t="shared" si="50"/>
        <v>-3.4137963485789569E-2</v>
      </c>
      <c r="R45" s="129">
        <f t="shared" si="50"/>
        <v>-3.4137963485789569E-2</v>
      </c>
    </row>
    <row r="46" spans="1:18" s="123" customFormat="1">
      <c r="A46" s="137"/>
      <c r="B46" s="125" t="s">
        <v>296</v>
      </c>
      <c r="I46" s="124">
        <f t="shared" si="46"/>
        <v>0.52670103931790879</v>
      </c>
      <c r="J46" s="124">
        <f t="shared" si="46"/>
        <v>0.19030148715826067</v>
      </c>
      <c r="K46" s="124">
        <f t="shared" si="46"/>
        <v>0.17881084308783857</v>
      </c>
      <c r="L46" s="124">
        <f t="shared" si="46"/>
        <v>0.27635952438063294</v>
      </c>
      <c r="M46" s="124">
        <f t="shared" si="46"/>
        <v>0.10501020967179642</v>
      </c>
    </row>
    <row r="47" spans="1:18" s="123" customFormat="1">
      <c r="A47" s="137"/>
      <c r="B47" s="126" t="s">
        <v>299</v>
      </c>
      <c r="I47" s="124">
        <f t="shared" si="46"/>
        <v>0.65945765143250945</v>
      </c>
      <c r="J47" s="124">
        <f t="shared" si="46"/>
        <v>0.24440610021090903</v>
      </c>
      <c r="K47" s="124">
        <f t="shared" si="46"/>
        <v>0.23494469275868823</v>
      </c>
      <c r="L47" s="124">
        <f t="shared" si="46"/>
        <v>0.34017750059966478</v>
      </c>
      <c r="M47" s="124">
        <f t="shared" si="46"/>
        <v>0.10501020967179642</v>
      </c>
      <c r="N47" s="129">
        <f>+$S$28/2</f>
        <v>0.15221516058272883</v>
      </c>
      <c r="O47" s="129">
        <f t="shared" ref="O47:R47" si="51">+$S$28/2</f>
        <v>0.15221516058272883</v>
      </c>
      <c r="P47" s="129">
        <f t="shared" si="51"/>
        <v>0.15221516058272883</v>
      </c>
      <c r="Q47" s="129">
        <f t="shared" si="51"/>
        <v>0.15221516058272883</v>
      </c>
      <c r="R47" s="129">
        <f t="shared" si="51"/>
        <v>0.15221516058272883</v>
      </c>
    </row>
    <row r="48" spans="1:18" s="123" customFormat="1">
      <c r="A48" s="137"/>
      <c r="B48" s="126" t="s">
        <v>297</v>
      </c>
      <c r="I48" s="124">
        <f t="shared" si="46"/>
        <v>-7.999999999999996E-2</v>
      </c>
      <c r="J48" s="124">
        <f t="shared" si="46"/>
        <v>-4.3478260869565188E-2</v>
      </c>
      <c r="K48" s="124">
        <f t="shared" si="46"/>
        <v>-4.5454545454545414E-2</v>
      </c>
      <c r="L48" s="124">
        <f t="shared" si="46"/>
        <v>-4.7619047619047672E-2</v>
      </c>
      <c r="M48" s="124">
        <f t="shared" si="46"/>
        <v>0</v>
      </c>
      <c r="N48" s="129">
        <f>AVERAGE(J48,K48,L48,M48)</f>
        <v>-3.4137963485789569E-2</v>
      </c>
      <c r="O48" s="129">
        <f>N48</f>
        <v>-3.4137963485789569E-2</v>
      </c>
      <c r="P48" s="129">
        <f t="shared" ref="P48:R48" si="52">O48</f>
        <v>-3.4137963485789569E-2</v>
      </c>
      <c r="Q48" s="129">
        <f t="shared" si="52"/>
        <v>-3.4137963485789569E-2</v>
      </c>
      <c r="R48" s="129">
        <f t="shared" si="52"/>
        <v>-3.4137963485789569E-2</v>
      </c>
    </row>
    <row r="49" spans="1:21" s="127" customFormat="1">
      <c r="A49" s="136"/>
      <c r="B49" s="127" t="s">
        <v>294</v>
      </c>
      <c r="I49" s="128">
        <f t="shared" si="46"/>
        <v>1.5403304178814379</v>
      </c>
      <c r="J49" s="128">
        <f t="shared" si="46"/>
        <v>5.5196633511859226</v>
      </c>
      <c r="K49" s="128">
        <f t="shared" si="46"/>
        <v>0.60032624512979371</v>
      </c>
      <c r="L49" s="128">
        <f t="shared" si="46"/>
        <v>-0.35981579121048346</v>
      </c>
      <c r="M49" s="128">
        <f t="shared" si="46"/>
        <v>0.37457044673539519</v>
      </c>
      <c r="N49" s="130">
        <v>0.15</v>
      </c>
      <c r="O49" s="130">
        <v>0.15</v>
      </c>
      <c r="P49" s="130">
        <v>0.15</v>
      </c>
      <c r="Q49" s="130">
        <v>0.15</v>
      </c>
      <c r="R49" s="130">
        <v>0.15</v>
      </c>
    </row>
    <row r="51" spans="1:21" s="5" customFormat="1">
      <c r="A51" s="135" t="s">
        <v>308</v>
      </c>
      <c r="B51" s="110" t="s">
        <v>302</v>
      </c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3" spans="1:21" s="5" customFormat="1">
      <c r="A53" s="135"/>
      <c r="B53" s="5" t="s">
        <v>247</v>
      </c>
      <c r="H53" s="5">
        <f>Model!H16</f>
        <v>24.8</v>
      </c>
      <c r="I53" s="5">
        <f>Model!I16</f>
        <v>28.69271261089628</v>
      </c>
      <c r="J53" s="5">
        <f>Model!J16</f>
        <v>44.130096299431344</v>
      </c>
      <c r="K53" s="5">
        <f>Model!K16</f>
        <v>52.5</v>
      </c>
      <c r="L53" s="5">
        <f>Model!L16</f>
        <v>57.2</v>
      </c>
      <c r="M53" s="5">
        <f>Model!M16</f>
        <v>61.77000000000001</v>
      </c>
      <c r="N53" s="5">
        <f>+SUM(N54:N56)</f>
        <v>67.418347976036145</v>
      </c>
      <c r="O53" s="5">
        <f t="shared" ref="O53:R53" si="53">+SUM(O54:O56)</f>
        <v>73.626122593493989</v>
      </c>
      <c r="P53" s="5">
        <f t="shared" si="53"/>
        <v>80.441460980623162</v>
      </c>
      <c r="Q53" s="5">
        <f t="shared" si="53"/>
        <v>87.914655738722885</v>
      </c>
      <c r="R53" s="5">
        <f t="shared" si="53"/>
        <v>96.097736314010731</v>
      </c>
    </row>
    <row r="54" spans="1:21">
      <c r="B54" s="111" t="s">
        <v>292</v>
      </c>
      <c r="H54" s="80">
        <f>H16-H59</f>
        <v>9.9147814243902417</v>
      </c>
      <c r="I54" s="80">
        <f t="shared" ref="I54:M54" si="54">I16-I59</f>
        <v>12.914530668198523</v>
      </c>
      <c r="J54" s="80">
        <f t="shared" si="54"/>
        <v>21.775926600000005</v>
      </c>
      <c r="K54" s="80">
        <f t="shared" si="54"/>
        <v>28.421008</v>
      </c>
      <c r="L54" s="80">
        <f t="shared" si="54"/>
        <v>34.339939999999999</v>
      </c>
      <c r="M54" s="80">
        <f t="shared" si="54"/>
        <v>35.075000000000003</v>
      </c>
      <c r="N54" s="80">
        <f>N70*N72/10^3</f>
        <v>39.17808140812047</v>
      </c>
      <c r="O54" s="80">
        <f t="shared" ref="O54:R54" si="55">O70*O72/10^3</f>
        <v>43.799731194221934</v>
      </c>
      <c r="P54" s="80">
        <f t="shared" si="55"/>
        <v>49.009230569058325</v>
      </c>
      <c r="Q54" s="80">
        <f t="shared" si="55"/>
        <v>54.885452619051698</v>
      </c>
      <c r="R54" s="80">
        <f t="shared" si="55"/>
        <v>61.518218800994184</v>
      </c>
    </row>
    <row r="55" spans="1:21">
      <c r="B55" s="111" t="s">
        <v>293</v>
      </c>
      <c r="H55" s="80">
        <f>H23-H60</f>
        <v>12.736616255999998</v>
      </c>
      <c r="I55" s="80">
        <f t="shared" ref="I55:M55" si="56">I23-I60</f>
        <v>13.450432648864947</v>
      </c>
      <c r="J55" s="80">
        <f t="shared" si="56"/>
        <v>15.578647199999999</v>
      </c>
      <c r="K55" s="80">
        <f t="shared" si="56"/>
        <v>14.229630799999995</v>
      </c>
      <c r="L55" s="80">
        <f t="shared" si="56"/>
        <v>16.612608000000002</v>
      </c>
      <c r="M55" s="80">
        <f t="shared" si="56"/>
        <v>17.752499999999998</v>
      </c>
      <c r="N55" s="80">
        <f>N74*N76/10^3</f>
        <v>18.633166567915669</v>
      </c>
      <c r="O55" s="80">
        <f t="shared" ref="O55:R55" si="57">O74*O76/10^3</f>
        <v>19.556517649272056</v>
      </c>
      <c r="P55" s="80">
        <f t="shared" si="57"/>
        <v>20.516910536564829</v>
      </c>
      <c r="Q55" s="80">
        <f t="shared" si="57"/>
        <v>21.505875441546195</v>
      </c>
      <c r="R55" s="80">
        <f t="shared" si="57"/>
        <v>22.511374388016549</v>
      </c>
    </row>
    <row r="56" spans="1:21">
      <c r="B56" s="111" t="s">
        <v>294</v>
      </c>
      <c r="H56" s="80">
        <f>+H30-H61</f>
        <v>2.1486023196097594</v>
      </c>
      <c r="I56" s="80">
        <f t="shared" ref="I56:M56" si="58">+I30-I61</f>
        <v>2.3277492938328002</v>
      </c>
      <c r="J56" s="80">
        <f t="shared" si="58"/>
        <v>6.7755224994313323</v>
      </c>
      <c r="K56" s="80">
        <f t="shared" si="58"/>
        <v>9.8493611999999988</v>
      </c>
      <c r="L56" s="80">
        <f t="shared" si="58"/>
        <v>6.2474519999999849</v>
      </c>
      <c r="M56" s="80">
        <f t="shared" si="58"/>
        <v>8.9425000000000097</v>
      </c>
      <c r="N56" s="80">
        <f>+N30-N61</f>
        <v>9.607100000000008</v>
      </c>
      <c r="O56" s="80">
        <f t="shared" ref="O56:R56" si="59">+O30-O61</f>
        <v>10.269873750000006</v>
      </c>
      <c r="P56" s="80">
        <f t="shared" si="59"/>
        <v>10.915319875000003</v>
      </c>
      <c r="Q56" s="80">
        <f t="shared" si="59"/>
        <v>11.523327678125</v>
      </c>
      <c r="R56" s="80">
        <f t="shared" si="59"/>
        <v>12.068143124999994</v>
      </c>
    </row>
    <row r="58" spans="1:21" s="5" customFormat="1">
      <c r="A58" s="135"/>
      <c r="B58" s="5" t="s">
        <v>7</v>
      </c>
      <c r="H58" s="5">
        <f>Model!H17</f>
        <v>78.100000000000009</v>
      </c>
      <c r="I58" s="5">
        <f>Model!I17</f>
        <v>102.00728738910371</v>
      </c>
      <c r="J58" s="5">
        <f>Model!J17</f>
        <v>113.66990370056867</v>
      </c>
      <c r="K58" s="5">
        <f>Model!K17</f>
        <v>124.6</v>
      </c>
      <c r="L58" s="5">
        <f>Model!L17</f>
        <v>136.80000000000001</v>
      </c>
      <c r="M58" s="5">
        <f>Model!M17</f>
        <v>144.13</v>
      </c>
      <c r="N58" s="5">
        <f>SUM(N59:N61)</f>
        <v>157.97115093716641</v>
      </c>
      <c r="O58" s="5">
        <f t="shared" ref="O58:R58" si="60">SUM(O59:O61)</f>
        <v>173.86006236041786</v>
      </c>
      <c r="P58" s="5">
        <f t="shared" si="60"/>
        <v>192.12010893433393</v>
      </c>
      <c r="Q58" s="5">
        <f t="shared" si="60"/>
        <v>213.12792052316371</v>
      </c>
      <c r="R58" s="5">
        <f t="shared" si="60"/>
        <v>237.32233610409216</v>
      </c>
    </row>
    <row r="59" spans="1:21">
      <c r="B59" s="111" t="s">
        <v>292</v>
      </c>
      <c r="H59" s="80">
        <f>H16*H64</f>
        <v>38.75691857560976</v>
      </c>
      <c r="I59" s="80">
        <f t="shared" ref="I59:M59" si="61">I16*I64</f>
        <v>52.696869331801466</v>
      </c>
      <c r="J59" s="80">
        <f t="shared" si="61"/>
        <v>59.175473400000001</v>
      </c>
      <c r="K59" s="80">
        <f t="shared" si="61"/>
        <v>67.921391999999997</v>
      </c>
      <c r="L59" s="80">
        <f t="shared" si="61"/>
        <v>76.434059999999988</v>
      </c>
      <c r="M59" s="80">
        <f t="shared" si="61"/>
        <v>79.924999999999997</v>
      </c>
      <c r="N59" s="80">
        <f>N16-N54</f>
        <v>90.24125195954133</v>
      </c>
      <c r="O59" s="80">
        <f t="shared" ref="O59:R59" si="62">O16-O54</f>
        <v>102.01416522112562</v>
      </c>
      <c r="P59" s="80">
        <f t="shared" si="62"/>
        <v>115.46462144224046</v>
      </c>
      <c r="Q59" s="80">
        <f t="shared" si="62"/>
        <v>130.84863502646931</v>
      </c>
      <c r="R59" s="80">
        <f t="shared" si="62"/>
        <v>148.46310016444261</v>
      </c>
    </row>
    <row r="60" spans="1:21">
      <c r="B60" s="111" t="s">
        <v>293</v>
      </c>
      <c r="H60" s="80">
        <f>H23*H65</f>
        <v>40.977183744000008</v>
      </c>
      <c r="I60" s="80">
        <f t="shared" ref="I60:M60" si="63">I23*I65</f>
        <v>50.331167351135043</v>
      </c>
      <c r="J60" s="80">
        <f t="shared" si="63"/>
        <v>52.748752799999998</v>
      </c>
      <c r="K60" s="80">
        <f t="shared" si="63"/>
        <v>52.891269199999996</v>
      </c>
      <c r="L60" s="80">
        <f t="shared" si="63"/>
        <v>57.883392000000008</v>
      </c>
      <c r="M60" s="80">
        <f t="shared" si="63"/>
        <v>61.147500000000008</v>
      </c>
      <c r="N60" s="80">
        <f>N23-N55</f>
        <v>63.536998977625117</v>
      </c>
      <c r="O60" s="80">
        <f t="shared" ref="O60:R60" si="64">O23-O55</f>
        <v>66.24577088929226</v>
      </c>
      <c r="P60" s="80">
        <f t="shared" si="64"/>
        <v>69.320307367093477</v>
      </c>
      <c r="Q60" s="80">
        <f t="shared" si="64"/>
        <v>72.814538174819418</v>
      </c>
      <c r="R60" s="80">
        <f t="shared" si="64"/>
        <v>76.791092814649545</v>
      </c>
    </row>
    <row r="61" spans="1:21">
      <c r="B61" s="111" t="s">
        <v>294</v>
      </c>
      <c r="H61" s="80">
        <f>H58-H59-H60</f>
        <v>-1.6341023196097595</v>
      </c>
      <c r="I61" s="80">
        <f t="shared" ref="I61:M61" si="65">I58-I59-I60</f>
        <v>-1.0207492938328002</v>
      </c>
      <c r="J61" s="80">
        <f t="shared" si="65"/>
        <v>1.745677500568668</v>
      </c>
      <c r="K61" s="80">
        <f t="shared" si="65"/>
        <v>3.7873388000000006</v>
      </c>
      <c r="L61" s="80">
        <f t="shared" si="65"/>
        <v>2.4825480000000155</v>
      </c>
      <c r="M61" s="80">
        <f t="shared" si="65"/>
        <v>3.0574999999999903</v>
      </c>
      <c r="N61" s="80">
        <f>N30*N66</f>
        <v>4.192899999999991</v>
      </c>
      <c r="O61" s="80">
        <f t="shared" ref="O61:R61" si="66">O30*O66</f>
        <v>5.6001262499999909</v>
      </c>
      <c r="P61" s="80">
        <f t="shared" si="66"/>
        <v>7.3351801249999919</v>
      </c>
      <c r="Q61" s="80">
        <f t="shared" si="66"/>
        <v>9.4647473218749916</v>
      </c>
      <c r="R61" s="80">
        <f t="shared" si="66"/>
        <v>12.068143124999994</v>
      </c>
    </row>
    <row r="63" spans="1:21" s="127" customFormat="1">
      <c r="A63" s="136"/>
      <c r="B63" s="127" t="s">
        <v>303</v>
      </c>
      <c r="H63" s="128">
        <f>H58/H15</f>
        <v>0.75898931000971825</v>
      </c>
      <c r="I63" s="128">
        <f t="shared" ref="I63:M63" si="67">I58/I15</f>
        <v>0.78046891651953876</v>
      </c>
      <c r="J63" s="128">
        <f t="shared" si="67"/>
        <v>0.72034159506063788</v>
      </c>
      <c r="K63" s="128">
        <f t="shared" si="67"/>
        <v>0.70355731225296436</v>
      </c>
      <c r="L63" s="128">
        <f t="shared" si="67"/>
        <v>0.70515463917525778</v>
      </c>
      <c r="M63" s="128">
        <f t="shared" si="67"/>
        <v>0.7</v>
      </c>
      <c r="N63" s="128">
        <f>+N58/N15</f>
        <v>0.7008807051742949</v>
      </c>
      <c r="O63" s="128">
        <f t="shared" ref="O63:R63" si="68">+O58/O15</f>
        <v>0.70250411105894639</v>
      </c>
      <c r="P63" s="128">
        <f t="shared" si="68"/>
        <v>0.70486866139741566</v>
      </c>
      <c r="Q63" s="128">
        <f t="shared" si="68"/>
        <v>0.70796603978620243</v>
      </c>
      <c r="R63" s="128">
        <f t="shared" si="68"/>
        <v>0.71178179040910927</v>
      </c>
    </row>
    <row r="64" spans="1:21">
      <c r="B64" s="111" t="s">
        <v>292</v>
      </c>
      <c r="H64" s="124">
        <f>'r10-K'!G41</f>
        <v>0.79629268292682931</v>
      </c>
      <c r="I64" s="124">
        <f>'r10-K'!H41</f>
        <v>0.8031663602941177</v>
      </c>
      <c r="J64" s="124">
        <f>'r10-K'!I41</f>
        <v>0.73099999999999998</v>
      </c>
      <c r="K64" s="124">
        <f>'r10-K'!J41</f>
        <v>0.70499999999999996</v>
      </c>
      <c r="L64" s="124">
        <f>'r10-K'!K41</f>
        <v>0.69</v>
      </c>
      <c r="M64" s="124">
        <f>'r10-K'!L41</f>
        <v>0.69499999999999995</v>
      </c>
      <c r="N64" s="131">
        <f>N59/N16</f>
        <v>0.69727798475965597</v>
      </c>
      <c r="O64" s="131">
        <f t="shared" ref="O64:R64" si="69">O59/O16</f>
        <v>0.69961895079286962</v>
      </c>
      <c r="P64" s="131">
        <f t="shared" si="69"/>
        <v>0.70202418214360562</v>
      </c>
      <c r="Q64" s="131">
        <f t="shared" si="69"/>
        <v>0.70449445594606086</v>
      </c>
      <c r="R64" s="131">
        <f t="shared" si="69"/>
        <v>0.70703003912876572</v>
      </c>
    </row>
    <row r="65" spans="1:21">
      <c r="B65" s="111" t="s">
        <v>293</v>
      </c>
      <c r="H65" s="124">
        <f>'r10-K'!G42</f>
        <v>0.76288</v>
      </c>
      <c r="I65" s="124">
        <f>'r10-K'!H42</f>
        <v>0.78911735282801077</v>
      </c>
      <c r="J65" s="124">
        <f>'r10-K'!I42</f>
        <v>0.77200000000000002</v>
      </c>
      <c r="K65" s="124">
        <f>'r10-K'!J42</f>
        <v>0.78800000000000003</v>
      </c>
      <c r="L65" s="124">
        <f>'r10-K'!K42</f>
        <v>0.77700000000000002</v>
      </c>
      <c r="M65" s="124">
        <f>'r10-K'!L42</f>
        <v>0.77500000000000002</v>
      </c>
      <c r="N65" s="131">
        <f>N60/N23</f>
        <v>0.77323683791790954</v>
      </c>
      <c r="O65" s="131">
        <f t="shared" ref="O65:R65" si="70">O60/O23</f>
        <v>0.77207463830661971</v>
      </c>
      <c r="P65" s="131">
        <f t="shared" si="70"/>
        <v>0.77162126103941442</v>
      </c>
      <c r="Q65" s="131">
        <f t="shared" si="70"/>
        <v>0.77199129417500034</v>
      </c>
      <c r="R65" s="131">
        <f t="shared" si="70"/>
        <v>0.77330498403354719</v>
      </c>
    </row>
    <row r="66" spans="1:21">
      <c r="B66" s="111" t="s">
        <v>294</v>
      </c>
      <c r="H66" s="124">
        <f>H61/H30</f>
        <v>-3.1760978029344202</v>
      </c>
      <c r="I66" s="124">
        <f t="shared" ref="I66:M66" si="71">I61/I30</f>
        <v>-0.78098645281775081</v>
      </c>
      <c r="J66" s="124">
        <f t="shared" si="71"/>
        <v>0.2048628714932953</v>
      </c>
      <c r="K66" s="124">
        <f t="shared" si="71"/>
        <v>0.27773132796057703</v>
      </c>
      <c r="L66" s="124">
        <f t="shared" si="71"/>
        <v>0.28436975945017356</v>
      </c>
      <c r="M66" s="124">
        <f t="shared" si="71"/>
        <v>0.25479166666666586</v>
      </c>
      <c r="N66" s="131">
        <f>($R$66-$M$66)/5+M66</f>
        <v>0.30383333333333268</v>
      </c>
      <c r="O66" s="131">
        <f t="shared" ref="O66:Q66" si="72">($R$66-$M$66)/5+N66</f>
        <v>0.35287499999999949</v>
      </c>
      <c r="P66" s="131">
        <f t="shared" si="72"/>
        <v>0.40191666666666631</v>
      </c>
      <c r="Q66" s="131">
        <f t="shared" si="72"/>
        <v>0.45095833333333313</v>
      </c>
      <c r="R66" s="130">
        <v>0.5</v>
      </c>
    </row>
    <row r="68" spans="1:21" s="5" customFormat="1">
      <c r="A68" s="135" t="s">
        <v>308</v>
      </c>
      <c r="B68" s="110" t="s">
        <v>304</v>
      </c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70" spans="1:21" s="5" customFormat="1">
      <c r="A70" s="135"/>
      <c r="B70" s="5" t="s">
        <v>305</v>
      </c>
      <c r="H70" s="5">
        <f>H18+H21</f>
        <v>1058.6352000000002</v>
      </c>
      <c r="I70" s="5">
        <f t="shared" ref="I70:R70" si="73">I18+I21</f>
        <v>1452.0443250000001</v>
      </c>
      <c r="J70" s="5">
        <f t="shared" si="73"/>
        <v>2656.9834539473686</v>
      </c>
      <c r="K70" s="5">
        <f t="shared" si="73"/>
        <v>3488.1799999999994</v>
      </c>
      <c r="L70" s="5">
        <f t="shared" si="73"/>
        <v>4156.3765151515145</v>
      </c>
      <c r="M70" s="5">
        <f t="shared" si="73"/>
        <v>4318.181818181818</v>
      </c>
      <c r="N70" s="5">
        <f t="shared" si="73"/>
        <v>5043.1639707212853</v>
      </c>
      <c r="O70" s="5">
        <f t="shared" si="73"/>
        <v>5895.0575522647341</v>
      </c>
      <c r="P70" s="5">
        <f t="shared" si="73"/>
        <v>6896.8561551890871</v>
      </c>
      <c r="Q70" s="5">
        <f t="shared" si="73"/>
        <v>8075.830844004141</v>
      </c>
      <c r="R70" s="5">
        <f t="shared" si="73"/>
        <v>9464.3413539991052</v>
      </c>
      <c r="S70" s="121">
        <f t="shared" ref="S70:S76" si="74">RATE(5,0,-H70,M70)</f>
        <v>0.32467981526240325</v>
      </c>
      <c r="T70" s="121">
        <f t="shared" ref="T70:T76" si="75">RATE(5,0,-M70,R70)</f>
        <v>0.16992465732993814</v>
      </c>
    </row>
    <row r="71" spans="1:21">
      <c r="B71" s="111" t="s">
        <v>297</v>
      </c>
      <c r="H71" s="132">
        <f>H16/H70*10^3</f>
        <v>45.975894245723168</v>
      </c>
      <c r="I71" s="132">
        <f t="shared" ref="I71:R71" si="76">I16/I70*10^3</f>
        <v>45.185535228065426</v>
      </c>
      <c r="J71" s="132">
        <f t="shared" si="76"/>
        <v>30.467408398698879</v>
      </c>
      <c r="K71" s="132">
        <f t="shared" si="76"/>
        <v>27.619675590135834</v>
      </c>
      <c r="L71" s="132">
        <f t="shared" si="76"/>
        <v>26.651579710401158</v>
      </c>
      <c r="M71" s="132">
        <f t="shared" si="76"/>
        <v>26.631578947368421</v>
      </c>
      <c r="N71" s="132">
        <f t="shared" si="76"/>
        <v>25.662329069413929</v>
      </c>
      <c r="O71" s="132">
        <f t="shared" si="76"/>
        <v>24.734940265227692</v>
      </c>
      <c r="P71" s="132">
        <f t="shared" si="76"/>
        <v>23.847655846432467</v>
      </c>
      <c r="Q71" s="132">
        <f t="shared" si="76"/>
        <v>22.99875904203941</v>
      </c>
      <c r="R71" s="132">
        <f t="shared" si="76"/>
        <v>22.186574967175119</v>
      </c>
      <c r="S71" s="122">
        <f t="shared" si="74"/>
        <v>-0.10345241273057816</v>
      </c>
      <c r="T71" s="122">
        <f t="shared" si="75"/>
        <v>-3.5863178161234355E-2</v>
      </c>
    </row>
    <row r="72" spans="1:21">
      <c r="B72" s="111" t="s">
        <v>306</v>
      </c>
      <c r="H72" s="132">
        <f>H54/H70*10^3</f>
        <v>9.3656260668360929</v>
      </c>
      <c r="I72" s="132">
        <f t="shared" ref="I72:M72" si="77">I54/I70*10^3</f>
        <v>8.8940333609984812</v>
      </c>
      <c r="J72" s="132">
        <f t="shared" si="77"/>
        <v>8.1957328592499987</v>
      </c>
      <c r="K72" s="132">
        <f t="shared" si="77"/>
        <v>8.1478042990900725</v>
      </c>
      <c r="L72" s="132">
        <f t="shared" si="77"/>
        <v>8.2619897102243609</v>
      </c>
      <c r="M72" s="132">
        <f t="shared" si="77"/>
        <v>8.1226315789473684</v>
      </c>
      <c r="N72" s="132">
        <f>M72*(1+$T$72)</f>
        <v>7.7685519716538431</v>
      </c>
      <c r="O72" s="132">
        <f t="shared" ref="O72:Q72" si="78">N72*(1+$T$72)</f>
        <v>7.4299073089447898</v>
      </c>
      <c r="P72" s="132">
        <f t="shared" si="78"/>
        <v>7.1060247547985389</v>
      </c>
      <c r="Q72" s="132">
        <f t="shared" si="78"/>
        <v>6.7962608032833076</v>
      </c>
      <c r="R72" s="133">
        <v>6.5</v>
      </c>
      <c r="S72" s="122">
        <f t="shared" si="74"/>
        <v>-2.8076712087821535E-2</v>
      </c>
      <c r="T72" s="122">
        <f t="shared" si="75"/>
        <v>-4.3591735492626113E-2</v>
      </c>
    </row>
    <row r="73" spans="1:21">
      <c r="S73" s="122"/>
      <c r="T73" s="122"/>
    </row>
    <row r="74" spans="1:21" s="5" customFormat="1">
      <c r="A74" s="135"/>
      <c r="B74" s="5" t="s">
        <v>307</v>
      </c>
      <c r="H74" s="5">
        <f>H25+H28</f>
        <v>1085.0187599999999</v>
      </c>
      <c r="I74" s="5">
        <f t="shared" ref="I74:R74" si="79">I25+I28</f>
        <v>1483.6154782608696</v>
      </c>
      <c r="J74" s="5">
        <f t="shared" si="79"/>
        <v>1708.1850000000002</v>
      </c>
      <c r="K74" s="5">
        <f t="shared" si="79"/>
        <v>1853.815333333333</v>
      </c>
      <c r="L74" s="5">
        <f t="shared" si="79"/>
        <v>2260.9536000000003</v>
      </c>
      <c r="M74" s="5">
        <f t="shared" si="79"/>
        <v>2430.0000000000005</v>
      </c>
      <c r="N74" s="5">
        <f t="shared" si="79"/>
        <v>2683.175985779857</v>
      </c>
      <c r="O74" s="5">
        <f t="shared" si="79"/>
        <v>2970.6102758387942</v>
      </c>
      <c r="P74" s="5">
        <f t="shared" si="79"/>
        <v>3297.3606219479198</v>
      </c>
      <c r="Q74" s="5">
        <f t="shared" si="79"/>
        <v>3669.2488905007735</v>
      </c>
      <c r="R74" s="5">
        <f t="shared" si="79"/>
        <v>4092.9771614575548</v>
      </c>
      <c r="S74" s="121">
        <f t="shared" si="74"/>
        <v>0.17498901196631192</v>
      </c>
      <c r="T74" s="121">
        <f t="shared" si="75"/>
        <v>0.10990704885531197</v>
      </c>
    </row>
    <row r="75" spans="1:21">
      <c r="B75" s="111" t="s">
        <v>297</v>
      </c>
      <c r="H75" s="132">
        <f>H23/H74*10^3</f>
        <v>49.504950495049513</v>
      </c>
      <c r="I75" s="132">
        <f t="shared" ref="I75:R75" si="80">I23/I74*10^3</f>
        <v>42.99065420560747</v>
      </c>
      <c r="J75" s="132">
        <f t="shared" si="80"/>
        <v>39.999999999999993</v>
      </c>
      <c r="K75" s="132">
        <f t="shared" si="80"/>
        <v>36.206896551724142</v>
      </c>
      <c r="L75" s="132">
        <f t="shared" si="80"/>
        <v>32.948929159802304</v>
      </c>
      <c r="M75" s="132">
        <f t="shared" si="80"/>
        <v>32.469135802469125</v>
      </c>
      <c r="N75" s="132">
        <f t="shared" si="80"/>
        <v>30.624217711034063</v>
      </c>
      <c r="O75" s="132">
        <f t="shared" si="80"/>
        <v>28.883724410579848</v>
      </c>
      <c r="P75" s="132">
        <f t="shared" si="80"/>
        <v>27.245190382175078</v>
      </c>
      <c r="Q75" s="132">
        <f t="shared" si="80"/>
        <v>25.705646150237826</v>
      </c>
      <c r="R75" s="132">
        <f t="shared" si="80"/>
        <v>24.261671464422093</v>
      </c>
      <c r="S75" s="122">
        <f t="shared" si="74"/>
        <v>-8.0896500241643798E-2</v>
      </c>
      <c r="T75" s="122">
        <f t="shared" si="75"/>
        <v>-5.6612760480523681E-2</v>
      </c>
    </row>
    <row r="76" spans="1:21">
      <c r="B76" s="111" t="s">
        <v>306</v>
      </c>
      <c r="H76" s="132">
        <f>H55/H74*10^3</f>
        <v>11.738613861386138</v>
      </c>
      <c r="I76" s="132">
        <f t="shared" ref="I76:M76" si="81">I55/I74*10^3</f>
        <v>9.0659829625341146</v>
      </c>
      <c r="J76" s="132">
        <f t="shared" si="81"/>
        <v>9.1199999999999974</v>
      </c>
      <c r="K76" s="132">
        <f t="shared" si="81"/>
        <v>7.6758620689655155</v>
      </c>
      <c r="L76" s="132">
        <f t="shared" si="81"/>
        <v>7.3476112026359148</v>
      </c>
      <c r="M76" s="132">
        <f t="shared" si="81"/>
        <v>7.3055555555555527</v>
      </c>
      <c r="N76" s="132">
        <f>($R$76-$M$76)/5+M76</f>
        <v>6.944444444444442</v>
      </c>
      <c r="O76" s="132">
        <f t="shared" ref="O76:Q76" si="82">($R$76-$M$76)/5+N76</f>
        <v>6.5833333333333313</v>
      </c>
      <c r="P76" s="132">
        <f t="shared" si="82"/>
        <v>6.2222222222222205</v>
      </c>
      <c r="Q76" s="132">
        <f t="shared" si="82"/>
        <v>5.8611111111111098</v>
      </c>
      <c r="R76" s="133">
        <v>5.5</v>
      </c>
      <c r="S76" s="122">
        <f t="shared" si="74"/>
        <v>-9.049040269783544E-2</v>
      </c>
      <c r="T76" s="122">
        <f t="shared" si="75"/>
        <v>-5.5195640868409251E-2</v>
      </c>
    </row>
    <row r="78" spans="1:21" s="5" customFormat="1">
      <c r="A78" s="135" t="s">
        <v>308</v>
      </c>
      <c r="B78" s="110" t="s">
        <v>309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R79" s="132"/>
    </row>
    <row r="80" spans="1:21" s="5" customFormat="1">
      <c r="A80" s="135"/>
      <c r="B80" s="5" t="s">
        <v>248</v>
      </c>
      <c r="H80" s="5">
        <f>Model!H18</f>
        <v>22.760952361439593</v>
      </c>
      <c r="I80" s="5">
        <f>Model!I18</f>
        <v>32.981276879302328</v>
      </c>
      <c r="J80" s="5">
        <f>Model!J18</f>
        <v>61.760066819988992</v>
      </c>
      <c r="K80" s="5">
        <f>Model!K18</f>
        <v>65.472656067038784</v>
      </c>
      <c r="L80" s="5">
        <f>Model!L18</f>
        <v>64.837956049840869</v>
      </c>
      <c r="M80" s="5">
        <f>Model!M18</f>
        <v>68.985230856390771</v>
      </c>
      <c r="N80" s="5">
        <f>SUM(N81:N87)</f>
        <v>79.968847082106137</v>
      </c>
      <c r="O80" s="5">
        <f t="shared" ref="O80:R80" si="83">SUM(O81:O87)</f>
        <v>88.122621875629761</v>
      </c>
      <c r="P80" s="5">
        <f t="shared" si="83"/>
        <v>97.282587176456232</v>
      </c>
      <c r="Q80" s="5">
        <f t="shared" si="83"/>
        <v>107.52998987644173</v>
      </c>
      <c r="R80" s="5">
        <f t="shared" si="83"/>
        <v>119.02919822498228</v>
      </c>
    </row>
    <row r="81" spans="1:21">
      <c r="B81" s="111" t="s">
        <v>310</v>
      </c>
      <c r="H81" s="80">
        <f>'r10-K'!G53+'r10-K'!G60</f>
        <v>8.4392723081465721</v>
      </c>
      <c r="I81" s="80">
        <f>'r10-K'!H53+'r10-K'!H60</f>
        <v>10.08847311712443</v>
      </c>
      <c r="J81" s="80">
        <f>'r10-K'!I53+'r10-K'!I60</f>
        <v>12.624714482735826</v>
      </c>
      <c r="K81" s="80">
        <f>'r10-K'!J53+'r10-K'!J60</f>
        <v>16.782952964830478</v>
      </c>
      <c r="L81" s="80">
        <f>'r10-K'!K53+'r10-K'!K60</f>
        <v>20.483231603256499</v>
      </c>
      <c r="M81" s="80">
        <f>'r10-K'!L53+'r10-K'!L60</f>
        <v>24.107901347901105</v>
      </c>
      <c r="N81" s="80">
        <f>+N126</f>
        <v>25.84059699999969</v>
      </c>
      <c r="O81" s="80">
        <f>+O126</f>
        <v>27.620874633932825</v>
      </c>
      <c r="P81" s="80">
        <f t="shared" ref="P81:R81" si="84">+P126</f>
        <v>29.807527209119183</v>
      </c>
      <c r="Q81" s="80">
        <f t="shared" si="84"/>
        <v>32.37448993314775</v>
      </c>
      <c r="R81" s="80">
        <f t="shared" si="84"/>
        <v>35.36586204336021</v>
      </c>
    </row>
    <row r="82" spans="1:21">
      <c r="B82" s="111" t="s">
        <v>311</v>
      </c>
      <c r="H82" s="80">
        <f>'r10-K'!G54+'r10-K'!G55</f>
        <v>1.2989884178107212</v>
      </c>
      <c r="I82" s="80">
        <f>'r10-K'!H54+'r10-K'!H55</f>
        <v>1.6299405620340774</v>
      </c>
      <c r="J82" s="80">
        <f>'r10-K'!I54+'r10-K'!I55</f>
        <v>1.8121418119857324</v>
      </c>
      <c r="K82" s="80">
        <f>'r10-K'!J54+'r10-K'!J55</f>
        <v>5.4683048424158986</v>
      </c>
      <c r="L82" s="80">
        <f>'r10-K'!K54+'r10-K'!K55</f>
        <v>5.7810283747526992</v>
      </c>
      <c r="M82" s="80">
        <f>'r10-K'!L54+'r10-K'!L55</f>
        <v>6.78407385441737</v>
      </c>
      <c r="N82" s="80">
        <f>N133+N138</f>
        <v>6.9740589045875669</v>
      </c>
      <c r="O82" s="80">
        <f t="shared" ref="O82:R82" si="85">O133+O138</f>
        <v>8.9721500426300391</v>
      </c>
      <c r="P82" s="80">
        <f t="shared" si="85"/>
        <v>10.997027914102599</v>
      </c>
      <c r="Q82" s="80">
        <f t="shared" si="85"/>
        <v>13.076903758258526</v>
      </c>
      <c r="R82" s="80">
        <f t="shared" si="85"/>
        <v>15.241531353152357</v>
      </c>
    </row>
    <row r="83" spans="1:21">
      <c r="B83" s="111" t="s">
        <v>312</v>
      </c>
      <c r="H83" s="80">
        <f>+'r10-K'!G57</f>
        <v>3.2635160331226509</v>
      </c>
      <c r="I83" s="80">
        <f>+'r10-K'!H57</f>
        <v>6.2872206998530018</v>
      </c>
      <c r="J83" s="80">
        <f>+'r10-K'!I57</f>
        <v>6.847888653151208</v>
      </c>
      <c r="K83" s="80">
        <f>+'r10-K'!J57</f>
        <v>8.6678314369343372</v>
      </c>
      <c r="L83" s="80">
        <f>+'r10-K'!K57</f>
        <v>14.022028741329308</v>
      </c>
      <c r="M83" s="80">
        <f>+'r10-K'!L57</f>
        <v>10.067422119985665</v>
      </c>
      <c r="N83" s="80">
        <f>N$15*N92</f>
        <v>11.793125760507968</v>
      </c>
      <c r="O83" s="80">
        <f t="shared" ref="O83:R87" si="86">O$15*O92</f>
        <v>12.949297625768194</v>
      </c>
      <c r="P83" s="80">
        <f t="shared" si="86"/>
        <v>14.261324893075075</v>
      </c>
      <c r="Q83" s="80">
        <f t="shared" si="86"/>
        <v>15.751545561095252</v>
      </c>
      <c r="R83" s="80">
        <f t="shared" si="86"/>
        <v>17.445643492994311</v>
      </c>
    </row>
    <row r="84" spans="1:21">
      <c r="B84" s="111" t="s">
        <v>313</v>
      </c>
      <c r="H84" s="80">
        <f>+'r10-K'!G56</f>
        <v>3.5863732844317266</v>
      </c>
      <c r="I84" s="80">
        <f>+'r10-K'!H56</f>
        <v>5.8478726028905585</v>
      </c>
      <c r="J84" s="80">
        <f>+'r10-K'!I56</f>
        <v>8.7082440776421191</v>
      </c>
      <c r="K84" s="80">
        <f>+'r10-K'!J56</f>
        <v>8.3951144237500017</v>
      </c>
      <c r="L84" s="80">
        <f>+'r10-K'!K56</f>
        <v>5.1671828890724152</v>
      </c>
      <c r="M84" s="80">
        <f>+'r10-K'!L56</f>
        <v>6.6639112099441578</v>
      </c>
      <c r="N84" s="80">
        <f>N$15*N93</f>
        <v>9.300969864073851</v>
      </c>
      <c r="O84" s="80">
        <f t="shared" si="86"/>
        <v>10.212816298586242</v>
      </c>
      <c r="P84" s="80">
        <f t="shared" si="86"/>
        <v>11.2475823412693</v>
      </c>
      <c r="Q84" s="80">
        <f t="shared" si="86"/>
        <v>12.422885463236401</v>
      </c>
      <c r="R84" s="80">
        <f t="shared" si="86"/>
        <v>13.758981942776046</v>
      </c>
    </row>
    <row r="85" spans="1:21">
      <c r="B85" s="111" t="s">
        <v>314</v>
      </c>
      <c r="H85" s="80">
        <f>H80-SUM(H81:H84)-SUM(H86:H87)</f>
        <v>2.88880749539749</v>
      </c>
      <c r="I85" s="80">
        <f t="shared" ref="I85:M85" si="87">I80-SUM(I81:I84)-SUM(I86:I87)</f>
        <v>3.794081439046372</v>
      </c>
      <c r="J85" s="80">
        <f t="shared" si="87"/>
        <v>3.7287256196851359</v>
      </c>
      <c r="K85" s="80">
        <f t="shared" si="87"/>
        <v>3.5023674365697701</v>
      </c>
      <c r="L85" s="80">
        <f t="shared" si="87"/>
        <v>3.3281651283917491</v>
      </c>
      <c r="M85" s="80">
        <f t="shared" si="87"/>
        <v>3.0314496403065583</v>
      </c>
      <c r="N85" s="80">
        <f>N$15*N94</f>
        <v>3.0930025137594708</v>
      </c>
      <c r="O85" s="80">
        <f t="shared" si="86"/>
        <v>3.1487474278550631</v>
      </c>
      <c r="P85" s="80">
        <f t="shared" si="86"/>
        <v>3.1952180249811479</v>
      </c>
      <c r="Q85" s="80">
        <f t="shared" si="86"/>
        <v>3.22805606467589</v>
      </c>
      <c r="R85" s="80">
        <f t="shared" si="86"/>
        <v>3.2418173581758496</v>
      </c>
    </row>
    <row r="86" spans="1:21">
      <c r="B86" s="111" t="s">
        <v>316</v>
      </c>
      <c r="H86" s="80">
        <f>'r10-K'!G58</f>
        <v>2.9994225026345922</v>
      </c>
      <c r="I86" s="80">
        <f>'r10-K'!H58</f>
        <v>4.4340737376898041</v>
      </c>
      <c r="J86" s="80">
        <f>'r10-K'!I58</f>
        <v>19.306862523071938</v>
      </c>
      <c r="K86" s="80">
        <f>'r10-K'!J58</f>
        <v>17.743002443987066</v>
      </c>
      <c r="L86" s="80">
        <f>'r10-K'!K58</f>
        <v>14.350458301148965</v>
      </c>
      <c r="M86" s="80">
        <f>'r10-K'!L58</f>
        <v>17.612294350320983</v>
      </c>
      <c r="N86" s="80">
        <f>N$15*N95</f>
        <v>21.527294067873139</v>
      </c>
      <c r="O86" s="80">
        <f t="shared" si="86"/>
        <v>23.637782181194698</v>
      </c>
      <c r="P86" s="80">
        <f t="shared" si="86"/>
        <v>26.032770361763937</v>
      </c>
      <c r="Q86" s="80">
        <f t="shared" si="86"/>
        <v>28.753034624010802</v>
      </c>
      <c r="R86" s="80">
        <f t="shared" si="86"/>
        <v>31.845458558121038</v>
      </c>
    </row>
    <row r="87" spans="1:21">
      <c r="B87" s="111" t="s">
        <v>317</v>
      </c>
      <c r="H87" s="80">
        <f>'r10-K'!G59</f>
        <v>0.28457231989583909</v>
      </c>
      <c r="I87" s="80">
        <f>'r10-K'!H59</f>
        <v>0.89961472066408343</v>
      </c>
      <c r="J87" s="80">
        <f>'r10-K'!I59</f>
        <v>8.7314896517170304</v>
      </c>
      <c r="K87" s="80">
        <f>'r10-K'!J59</f>
        <v>4.9130825185512359</v>
      </c>
      <c r="L87" s="80">
        <f>'r10-K'!K59</f>
        <v>1.7058610118892339</v>
      </c>
      <c r="M87" s="80">
        <f>'r10-K'!L59</f>
        <v>0.71817833351492699</v>
      </c>
      <c r="N87" s="80">
        <f>N$15*N96</f>
        <v>1.4397989713044594</v>
      </c>
      <c r="O87" s="80">
        <f t="shared" si="86"/>
        <v>1.580953665662703</v>
      </c>
      <c r="P87" s="80">
        <f t="shared" si="86"/>
        <v>1.7411364321450034</v>
      </c>
      <c r="Q87" s="80">
        <f t="shared" si="86"/>
        <v>1.9230744720171122</v>
      </c>
      <c r="R87" s="80">
        <f t="shared" si="86"/>
        <v>2.1299034764024789</v>
      </c>
    </row>
    <row r="89" spans="1:21" s="127" customFormat="1">
      <c r="A89" s="136"/>
      <c r="B89" s="127" t="s">
        <v>315</v>
      </c>
      <c r="H89" s="128">
        <f>H80/H$15</f>
        <v>0.2211948723171972</v>
      </c>
      <c r="I89" s="128">
        <f t="shared" ref="I89:R89" si="88">I80/I$15</f>
        <v>0.25234335791356027</v>
      </c>
      <c r="J89" s="128">
        <f t="shared" si="88"/>
        <v>0.39138191901133706</v>
      </c>
      <c r="K89" s="128">
        <f t="shared" si="88"/>
        <v>0.36969314549429017</v>
      </c>
      <c r="L89" s="128">
        <f t="shared" si="88"/>
        <v>0.33421626829814882</v>
      </c>
      <c r="M89" s="128">
        <f t="shared" si="88"/>
        <v>0.33504240338217955</v>
      </c>
      <c r="N89" s="128">
        <f t="shared" si="88"/>
        <v>0.35480289661987363</v>
      </c>
      <c r="O89" s="128">
        <f t="shared" si="88"/>
        <v>0.35607087277231414</v>
      </c>
      <c r="P89" s="128">
        <f t="shared" si="88"/>
        <v>0.35691967582520795</v>
      </c>
      <c r="Q89" s="128">
        <f t="shared" si="88"/>
        <v>0.35719196670340059</v>
      </c>
      <c r="R89" s="128">
        <f t="shared" si="88"/>
        <v>0.35699469849470178</v>
      </c>
    </row>
    <row r="90" spans="1:21" s="123" customFormat="1">
      <c r="A90" s="137"/>
      <c r="B90" s="125" t="s">
        <v>310</v>
      </c>
      <c r="H90" s="124">
        <f t="shared" ref="H90:R90" si="89">H81/H$15</f>
        <v>8.2014308145253373E-2</v>
      </c>
      <c r="I90" s="124">
        <f t="shared" si="89"/>
        <v>7.7188011607685014E-2</v>
      </c>
      <c r="J90" s="124">
        <f t="shared" si="89"/>
        <v>8.000452777399128E-2</v>
      </c>
      <c r="K90" s="124">
        <f t="shared" si="89"/>
        <v>9.4765403528122405E-2</v>
      </c>
      <c r="L90" s="124">
        <f t="shared" si="89"/>
        <v>0.10558366805802319</v>
      </c>
      <c r="M90" s="124">
        <f t="shared" si="89"/>
        <v>0.11708548493395389</v>
      </c>
      <c r="N90" s="124">
        <f t="shared" si="89"/>
        <v>0.11464862881633582</v>
      </c>
      <c r="O90" s="124">
        <f t="shared" si="89"/>
        <v>0.11160572311976333</v>
      </c>
      <c r="P90" s="124">
        <f t="shared" si="89"/>
        <v>0.10936071148408609</v>
      </c>
      <c r="Q90" s="124">
        <f t="shared" si="89"/>
        <v>0.10754123332037971</v>
      </c>
      <c r="R90" s="124">
        <f t="shared" si="89"/>
        <v>0.10606998488984802</v>
      </c>
    </row>
    <row r="91" spans="1:21" s="123" customFormat="1">
      <c r="A91" s="137"/>
      <c r="B91" s="125" t="s">
        <v>311</v>
      </c>
      <c r="H91" s="124">
        <f t="shared" ref="H91:R91" si="90">H82/H$15</f>
        <v>1.2623794147820418E-2</v>
      </c>
      <c r="I91" s="124">
        <f t="shared" si="90"/>
        <v>1.2470853573328826E-2</v>
      </c>
      <c r="J91" s="124">
        <f t="shared" si="90"/>
        <v>1.148378841562568E-2</v>
      </c>
      <c r="K91" s="124">
        <f t="shared" si="90"/>
        <v>3.0876933045826643E-2</v>
      </c>
      <c r="L91" s="124">
        <f t="shared" si="90"/>
        <v>2.9799115333776799E-2</v>
      </c>
      <c r="M91" s="124">
        <f t="shared" si="90"/>
        <v>3.2948391716451531E-2</v>
      </c>
      <c r="N91" s="124">
        <f t="shared" si="90"/>
        <v>3.0942253025165446E-2</v>
      </c>
      <c r="O91" s="124">
        <f t="shared" si="90"/>
        <v>3.6253134874178444E-2</v>
      </c>
      <c r="P91" s="124">
        <f t="shared" si="90"/>
        <v>4.0346949562749514E-2</v>
      </c>
      <c r="Q91" s="124">
        <f t="shared" si="90"/>
        <v>4.3438718604648492E-2</v>
      </c>
      <c r="R91" s="124">
        <f t="shared" si="90"/>
        <v>4.5712698826481407E-2</v>
      </c>
    </row>
    <row r="92" spans="1:21" s="123" customFormat="1">
      <c r="A92" s="137"/>
      <c r="B92" s="125" t="s">
        <v>312</v>
      </c>
      <c r="H92" s="124">
        <f t="shared" ref="H92:M92" si="91">H83/H$15</f>
        <v>3.1715413344243444E-2</v>
      </c>
      <c r="I92" s="124">
        <f t="shared" si="91"/>
        <v>4.810421346482787E-2</v>
      </c>
      <c r="J92" s="124">
        <f t="shared" si="91"/>
        <v>4.3395999069399289E-2</v>
      </c>
      <c r="K92" s="124">
        <f t="shared" si="91"/>
        <v>4.8943147582915514E-2</v>
      </c>
      <c r="L92" s="124">
        <f t="shared" si="91"/>
        <v>7.2278498666645916E-2</v>
      </c>
      <c r="M92" s="124">
        <f t="shared" si="91"/>
        <v>4.8894716464233434E-2</v>
      </c>
      <c r="N92" s="129">
        <f>AVERAGE(I92:M92)</f>
        <v>5.2323315049604399E-2</v>
      </c>
      <c r="O92" s="129">
        <f>+N92</f>
        <v>5.2323315049604399E-2</v>
      </c>
      <c r="P92" s="129">
        <f t="shared" ref="P92:R93" si="92">+O92</f>
        <v>5.2323315049604399E-2</v>
      </c>
      <c r="Q92" s="129">
        <f t="shared" si="92"/>
        <v>5.2323315049604399E-2</v>
      </c>
      <c r="R92" s="129">
        <f t="shared" si="92"/>
        <v>5.2323315049604399E-2</v>
      </c>
      <c r="U92" s="123" t="s">
        <v>318</v>
      </c>
    </row>
    <row r="93" spans="1:21" s="123" customFormat="1">
      <c r="A93" s="137"/>
      <c r="B93" s="125" t="s">
        <v>313</v>
      </c>
      <c r="H93" s="124">
        <f t="shared" ref="H93:M93" si="93">H84/H$15</f>
        <v>3.485299596143563E-2</v>
      </c>
      <c r="I93" s="124">
        <f t="shared" si="93"/>
        <v>4.4742713105513074E-2</v>
      </c>
      <c r="J93" s="124">
        <f t="shared" si="93"/>
        <v>5.5185323685944983E-2</v>
      </c>
      <c r="K93" s="124">
        <f t="shared" si="93"/>
        <v>4.7403243499435359E-2</v>
      </c>
      <c r="L93" s="124">
        <f t="shared" si="93"/>
        <v>2.6634963345734099E-2</v>
      </c>
      <c r="M93" s="124">
        <f t="shared" si="93"/>
        <v>3.23647946087623E-2</v>
      </c>
      <c r="N93" s="129">
        <f>AVERAGE(I93:M93)</f>
        <v>4.1266207649077964E-2</v>
      </c>
      <c r="O93" s="129">
        <f>+N93</f>
        <v>4.1266207649077964E-2</v>
      </c>
      <c r="P93" s="129">
        <f t="shared" si="92"/>
        <v>4.1266207649077964E-2</v>
      </c>
      <c r="Q93" s="129">
        <f t="shared" si="92"/>
        <v>4.1266207649077964E-2</v>
      </c>
      <c r="R93" s="129">
        <f t="shared" si="92"/>
        <v>4.1266207649077964E-2</v>
      </c>
      <c r="U93" s="123" t="s">
        <v>318</v>
      </c>
    </row>
    <row r="94" spans="1:21" s="123" customFormat="1">
      <c r="A94" s="137"/>
      <c r="B94" s="125" t="s">
        <v>314</v>
      </c>
      <c r="H94" s="124">
        <f t="shared" ref="H94:M96" si="94">H85/H$15</f>
        <v>2.8073930956243828E-2</v>
      </c>
      <c r="I94" s="124">
        <f t="shared" si="94"/>
        <v>2.902893220387431E-2</v>
      </c>
      <c r="J94" s="124">
        <f t="shared" si="94"/>
        <v>2.3629439921959036E-2</v>
      </c>
      <c r="K94" s="124">
        <f t="shared" si="94"/>
        <v>1.9776213645227386E-2</v>
      </c>
      <c r="L94" s="124">
        <f t="shared" si="94"/>
        <v>1.7155490352534788E-2</v>
      </c>
      <c r="M94" s="124">
        <f t="shared" si="94"/>
        <v>1.4722922002460215E-2</v>
      </c>
      <c r="N94" s="124">
        <f>M94+$T$94</f>
        <v>1.3722922002460215E-2</v>
      </c>
      <c r="O94" s="124">
        <f t="shared" ref="O94:R94" si="95">N94+$T$94</f>
        <v>1.2722922002460214E-2</v>
      </c>
      <c r="P94" s="124">
        <f t="shared" si="95"/>
        <v>1.1722922002460213E-2</v>
      </c>
      <c r="Q94" s="124">
        <f t="shared" si="95"/>
        <v>1.0722922002460212E-2</v>
      </c>
      <c r="R94" s="124">
        <f t="shared" si="95"/>
        <v>9.722922002460211E-3</v>
      </c>
      <c r="T94" s="138">
        <v>-1E-3</v>
      </c>
      <c r="U94" s="123" t="s">
        <v>319</v>
      </c>
    </row>
    <row r="95" spans="1:21">
      <c r="B95" s="111" t="s">
        <v>316</v>
      </c>
      <c r="H95" s="124">
        <f t="shared" si="94"/>
        <v>2.914890673114278E-2</v>
      </c>
      <c r="I95" s="124">
        <f t="shared" si="94"/>
        <v>3.3925583302905925E-2</v>
      </c>
      <c r="J95" s="124">
        <f t="shared" si="94"/>
        <v>0.12235020610311748</v>
      </c>
      <c r="K95" s="124">
        <f t="shared" si="94"/>
        <v>0.10018634920376661</v>
      </c>
      <c r="L95" s="124">
        <f t="shared" si="94"/>
        <v>7.3971434542004971E-2</v>
      </c>
      <c r="M95" s="124">
        <f t="shared" si="94"/>
        <v>8.5538097864599233E-2</v>
      </c>
      <c r="N95" s="129">
        <f>AVERAGE(J95:M95)</f>
        <v>9.5511521928372062E-2</v>
      </c>
      <c r="O95" s="129">
        <f>+N95</f>
        <v>9.5511521928372062E-2</v>
      </c>
      <c r="P95" s="129">
        <f t="shared" ref="P95:R95" si="96">+O95</f>
        <v>9.5511521928372062E-2</v>
      </c>
      <c r="Q95" s="129">
        <f t="shared" si="96"/>
        <v>9.5511521928372062E-2</v>
      </c>
      <c r="R95" s="129">
        <f t="shared" si="96"/>
        <v>9.5511521928372062E-2</v>
      </c>
      <c r="U95" s="123" t="s">
        <v>318</v>
      </c>
    </row>
    <row r="96" spans="1:21">
      <c r="B96" s="111" t="s">
        <v>317</v>
      </c>
      <c r="H96" s="124">
        <f t="shared" si="94"/>
        <v>2.7655230310577169E-3</v>
      </c>
      <c r="I96" s="124">
        <f t="shared" si="94"/>
        <v>6.8830506554252756E-3</v>
      </c>
      <c r="J96" s="124">
        <f t="shared" si="94"/>
        <v>5.5332634041299303E-2</v>
      </c>
      <c r="K96" s="124">
        <f t="shared" si="94"/>
        <v>2.7741854988996249E-2</v>
      </c>
      <c r="L96" s="124">
        <f t="shared" si="94"/>
        <v>8.793097999429041E-3</v>
      </c>
      <c r="M96" s="124">
        <f t="shared" si="94"/>
        <v>3.4879957917189263E-3</v>
      </c>
      <c r="N96" s="129">
        <f>AVERAGE(I96,L96,M96)</f>
        <v>6.3880481488577485E-3</v>
      </c>
      <c r="O96" s="129">
        <f>+N96</f>
        <v>6.3880481488577485E-3</v>
      </c>
      <c r="P96" s="129">
        <f t="shared" ref="P96:R96" si="97">+O96</f>
        <v>6.3880481488577485E-3</v>
      </c>
      <c r="Q96" s="129">
        <f t="shared" si="97"/>
        <v>6.3880481488577485E-3</v>
      </c>
      <c r="R96" s="129">
        <f t="shared" si="97"/>
        <v>6.3880481488577485E-3</v>
      </c>
      <c r="U96" s="123" t="s">
        <v>318</v>
      </c>
    </row>
    <row r="98" spans="1:21" s="5" customFormat="1">
      <c r="A98" s="135" t="s">
        <v>308</v>
      </c>
      <c r="B98" s="110" t="s">
        <v>320</v>
      </c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100" spans="1:21" s="5" customFormat="1">
      <c r="A100" s="135"/>
      <c r="B100" s="5" t="s">
        <v>329</v>
      </c>
      <c r="H100" s="5">
        <f>+'r10-K'!G72</f>
        <v>11.2</v>
      </c>
      <c r="I100" s="5">
        <f>+'r10-K'!H72</f>
        <v>13.903874999999999</v>
      </c>
      <c r="J100" s="5">
        <f>+'r10-K'!I72</f>
        <v>18.568346984999998</v>
      </c>
      <c r="K100" s="5">
        <f>+'r10-K'!J72</f>
        <v>25.517940180444</v>
      </c>
      <c r="L100" s="5">
        <f>+'r10-K'!K72</f>
        <v>30.038386284574202</v>
      </c>
      <c r="M100" s="5">
        <f>+'r10-K'!L72</f>
        <v>34.775948143573295</v>
      </c>
      <c r="N100" s="5">
        <f>N102*N116/10^6</f>
        <v>37.577343966250034</v>
      </c>
      <c r="O100" s="5">
        <f t="shared" ref="O100:R100" si="98">O102*O116/10^6</f>
        <v>40.166220105827151</v>
      </c>
      <c r="P100" s="5">
        <f t="shared" si="98"/>
        <v>43.346045864205145</v>
      </c>
      <c r="Q100" s="5">
        <f t="shared" si="98"/>
        <v>47.078917872903894</v>
      </c>
      <c r="R100" s="5">
        <f t="shared" si="98"/>
        <v>51.428965153796909</v>
      </c>
      <c r="S100" s="121">
        <f t="shared" ref="S100" si="99">RATE(5,0,-H100,M100)</f>
        <v>0.25433110300708178</v>
      </c>
      <c r="T100" s="121">
        <f t="shared" ref="T100" si="100">RATE(5,0,-M100,R100)</f>
        <v>8.1398495942497359E-2</v>
      </c>
    </row>
    <row r="102" spans="1:21" s="5" customFormat="1">
      <c r="A102" s="135"/>
      <c r="B102" s="5" t="s">
        <v>330</v>
      </c>
      <c r="H102" s="5">
        <f>rEmployee!E3</f>
        <v>180</v>
      </c>
      <c r="I102" s="5">
        <f>rEmployee!F3</f>
        <v>195</v>
      </c>
      <c r="J102" s="5">
        <f>rEmployee!G3</f>
        <v>270</v>
      </c>
      <c r="K102" s="5">
        <f>rEmployee!H3</f>
        <v>312</v>
      </c>
      <c r="L102" s="5">
        <f>rEmployee!I3</f>
        <v>338</v>
      </c>
      <c r="M102" s="5">
        <f>rEmployee!J3</f>
        <v>378</v>
      </c>
      <c r="N102" s="5">
        <f>SUM(N103:N109)</f>
        <v>389</v>
      </c>
      <c r="O102" s="5">
        <f t="shared" ref="O102:R102" si="101">SUM(O103:O109)</f>
        <v>396</v>
      </c>
      <c r="P102" s="5">
        <f t="shared" si="101"/>
        <v>407</v>
      </c>
      <c r="Q102" s="5">
        <f t="shared" si="101"/>
        <v>421</v>
      </c>
      <c r="R102" s="5">
        <f t="shared" si="101"/>
        <v>438</v>
      </c>
      <c r="S102" s="121">
        <f t="shared" ref="S102" si="102">RATE(5,0,-H102,M102)</f>
        <v>0.15996225865380173</v>
      </c>
      <c r="T102" s="121">
        <f t="shared" ref="T102" si="103">RATE(5,0,-M102,R102)</f>
        <v>2.9903329469197323E-2</v>
      </c>
    </row>
    <row r="103" spans="1:21">
      <c r="A103" s="134" t="s">
        <v>327</v>
      </c>
      <c r="B103" s="54" t="s">
        <v>181</v>
      </c>
      <c r="H103" s="80">
        <f>+rEmployee!E4</f>
        <v>15</v>
      </c>
      <c r="I103" s="80">
        <f>+rEmployee!F4</f>
        <v>17</v>
      </c>
      <c r="J103" s="80">
        <f>+rEmployee!G4</f>
        <v>20</v>
      </c>
      <c r="K103" s="80">
        <f>+rEmployee!H4</f>
        <v>23</v>
      </c>
      <c r="L103" s="80">
        <f>+rEmployee!I4</f>
        <v>24</v>
      </c>
      <c r="M103" s="80">
        <f>+rEmployee!J4</f>
        <v>25</v>
      </c>
      <c r="N103" s="140">
        <f>M103+1</f>
        <v>26</v>
      </c>
      <c r="O103" s="140">
        <f t="shared" ref="O103:R103" si="104">N103+1</f>
        <v>27</v>
      </c>
      <c r="P103" s="140">
        <f t="shared" si="104"/>
        <v>28</v>
      </c>
      <c r="Q103" s="140">
        <f t="shared" si="104"/>
        <v>29</v>
      </c>
      <c r="R103" s="140">
        <f t="shared" si="104"/>
        <v>30</v>
      </c>
    </row>
    <row r="104" spans="1:21">
      <c r="A104" s="134" t="s">
        <v>328</v>
      </c>
      <c r="B104" s="54" t="s">
        <v>180</v>
      </c>
      <c r="H104" s="80">
        <f>+rEmployee!E5</f>
        <v>60</v>
      </c>
      <c r="I104" s="80">
        <f>+rEmployee!F5</f>
        <v>63</v>
      </c>
      <c r="J104" s="80">
        <f>+rEmployee!G5</f>
        <v>95</v>
      </c>
      <c r="K104" s="80">
        <f>+rEmployee!H5</f>
        <v>115</v>
      </c>
      <c r="L104" s="80">
        <f>+rEmployee!I5</f>
        <v>125</v>
      </c>
      <c r="M104" s="80">
        <f>+rEmployee!J5</f>
        <v>135</v>
      </c>
      <c r="N104" s="145">
        <f>+ROUND(N$15/N112,0)</f>
        <v>144</v>
      </c>
      <c r="O104" s="145">
        <f>+ROUND(O$15/O112,0)</f>
        <v>148</v>
      </c>
      <c r="P104" s="145">
        <f t="shared" ref="P104:R104" si="105">+ROUND(P$15/P112,0)</f>
        <v>154</v>
      </c>
      <c r="Q104" s="145">
        <f t="shared" si="105"/>
        <v>161</v>
      </c>
      <c r="R104" s="145">
        <f t="shared" si="105"/>
        <v>169</v>
      </c>
    </row>
    <row r="105" spans="1:21">
      <c r="A105" s="134" t="s">
        <v>328</v>
      </c>
      <c r="B105" s="54" t="s">
        <v>2</v>
      </c>
      <c r="H105" s="80">
        <f>+rEmployee!E6</f>
        <v>40</v>
      </c>
      <c r="I105" s="80">
        <f>+rEmployee!F6</f>
        <v>45</v>
      </c>
      <c r="J105" s="80">
        <f>+rEmployee!G6</f>
        <v>75</v>
      </c>
      <c r="K105" s="80">
        <f>+rEmployee!H6</f>
        <v>88</v>
      </c>
      <c r="L105" s="80">
        <f>+rEmployee!I6</f>
        <v>97</v>
      </c>
      <c r="M105" s="80">
        <f>+rEmployee!J6</f>
        <v>120</v>
      </c>
      <c r="N105" s="145">
        <f t="shared" ref="N105:R105" si="106">+ROUND(N$15/N113,0)</f>
        <v>115</v>
      </c>
      <c r="O105" s="145">
        <f t="shared" si="106"/>
        <v>112</v>
      </c>
      <c r="P105" s="145">
        <f t="shared" si="106"/>
        <v>111</v>
      </c>
      <c r="Q105" s="145">
        <f t="shared" si="106"/>
        <v>111</v>
      </c>
      <c r="R105" s="145">
        <f t="shared" si="106"/>
        <v>112</v>
      </c>
    </row>
    <row r="106" spans="1:21">
      <c r="A106" s="134" t="s">
        <v>328</v>
      </c>
      <c r="B106" s="54" t="s">
        <v>178</v>
      </c>
      <c r="H106" s="80">
        <f>+rEmployee!E7</f>
        <v>12</v>
      </c>
      <c r="I106" s="80">
        <f>+rEmployee!F7</f>
        <v>13</v>
      </c>
      <c r="J106" s="80">
        <f>+rEmployee!G7</f>
        <v>17</v>
      </c>
      <c r="K106" s="80">
        <f>+rEmployee!H7</f>
        <v>18</v>
      </c>
      <c r="L106" s="80">
        <f>+rEmployee!I7</f>
        <v>19</v>
      </c>
      <c r="M106" s="80">
        <f>+rEmployee!J7</f>
        <v>20</v>
      </c>
      <c r="N106" s="145">
        <f t="shared" ref="N106:R106" si="107">+ROUND(N$15/N114,0)</f>
        <v>23</v>
      </c>
      <c r="O106" s="145">
        <f t="shared" si="107"/>
        <v>25</v>
      </c>
      <c r="P106" s="145">
        <f t="shared" si="107"/>
        <v>27</v>
      </c>
      <c r="Q106" s="145">
        <f t="shared" si="107"/>
        <v>30</v>
      </c>
      <c r="R106" s="145">
        <f t="shared" si="107"/>
        <v>34</v>
      </c>
    </row>
    <row r="107" spans="1:21">
      <c r="A107" s="134" t="s">
        <v>327</v>
      </c>
      <c r="B107" s="54" t="s">
        <v>177</v>
      </c>
      <c r="H107" s="80">
        <f>+rEmployee!E8</f>
        <v>13</v>
      </c>
      <c r="I107" s="80">
        <f>+rEmployee!F8</f>
        <v>13</v>
      </c>
      <c r="J107" s="80">
        <f>+rEmployee!G8</f>
        <v>15</v>
      </c>
      <c r="K107" s="80">
        <f>+rEmployee!H8</f>
        <v>16</v>
      </c>
      <c r="L107" s="80">
        <f>+rEmployee!I8</f>
        <v>17</v>
      </c>
      <c r="M107" s="80">
        <f>+rEmployee!J8</f>
        <v>18</v>
      </c>
      <c r="N107" s="140">
        <f>M107+1</f>
        <v>19</v>
      </c>
      <c r="O107" s="140">
        <f t="shared" ref="O107:R109" si="108">N107+1</f>
        <v>20</v>
      </c>
      <c r="P107" s="140">
        <f t="shared" si="108"/>
        <v>21</v>
      </c>
      <c r="Q107" s="140">
        <f t="shared" si="108"/>
        <v>22</v>
      </c>
      <c r="R107" s="140">
        <f t="shared" si="108"/>
        <v>23</v>
      </c>
    </row>
    <row r="108" spans="1:21">
      <c r="A108" s="134" t="s">
        <v>327</v>
      </c>
      <c r="B108" s="54" t="s">
        <v>179</v>
      </c>
      <c r="H108" s="80">
        <f>+rEmployee!E9</f>
        <v>20</v>
      </c>
      <c r="I108" s="80">
        <f>+rEmployee!F9</f>
        <v>22</v>
      </c>
      <c r="J108" s="80">
        <f>+rEmployee!G9</f>
        <v>24</v>
      </c>
      <c r="K108" s="80">
        <f>+rEmployee!H9</f>
        <v>26</v>
      </c>
      <c r="L108" s="80">
        <f>+rEmployee!I9</f>
        <v>28</v>
      </c>
      <c r="M108" s="80">
        <f>+rEmployee!J9</f>
        <v>30</v>
      </c>
      <c r="N108" s="140">
        <f>M108+1</f>
        <v>31</v>
      </c>
      <c r="O108" s="140">
        <f t="shared" si="108"/>
        <v>32</v>
      </c>
      <c r="P108" s="140">
        <f t="shared" si="108"/>
        <v>33</v>
      </c>
      <c r="Q108" s="140">
        <f t="shared" si="108"/>
        <v>34</v>
      </c>
      <c r="R108" s="140">
        <f t="shared" si="108"/>
        <v>35</v>
      </c>
    </row>
    <row r="109" spans="1:21">
      <c r="A109" s="134" t="s">
        <v>327</v>
      </c>
      <c r="B109" s="54" t="s">
        <v>185</v>
      </c>
      <c r="H109" s="80">
        <f>+rEmployee!E10</f>
        <v>20</v>
      </c>
      <c r="I109" s="80">
        <f>+rEmployee!F10</f>
        <v>22</v>
      </c>
      <c r="J109" s="80">
        <f>+rEmployee!G10</f>
        <v>24</v>
      </c>
      <c r="K109" s="80">
        <f>+rEmployee!H10</f>
        <v>26</v>
      </c>
      <c r="L109" s="80">
        <f>+rEmployee!I10</f>
        <v>28</v>
      </c>
      <c r="M109" s="80">
        <f>+rEmployee!J10</f>
        <v>30</v>
      </c>
      <c r="N109" s="140">
        <f>M109+1</f>
        <v>31</v>
      </c>
      <c r="O109" s="140">
        <f t="shared" si="108"/>
        <v>32</v>
      </c>
      <c r="P109" s="140">
        <f t="shared" si="108"/>
        <v>33</v>
      </c>
      <c r="Q109" s="140">
        <f t="shared" si="108"/>
        <v>34</v>
      </c>
      <c r="R109" s="140">
        <f t="shared" si="108"/>
        <v>35</v>
      </c>
    </row>
    <row r="110" spans="1:21">
      <c r="B110" s="54"/>
      <c r="N110" s="141"/>
      <c r="O110" s="141"/>
      <c r="P110" s="141"/>
      <c r="Q110" s="141"/>
      <c r="R110" s="141"/>
    </row>
    <row r="111" spans="1:21" s="5" customFormat="1">
      <c r="A111" s="135"/>
      <c r="B111" s="142" t="s">
        <v>331</v>
      </c>
      <c r="N111" s="143"/>
      <c r="O111" s="143"/>
      <c r="P111" s="143"/>
      <c r="Q111" s="143"/>
      <c r="R111" s="143"/>
    </row>
    <row r="112" spans="1:21">
      <c r="B112" s="54" t="s">
        <v>180</v>
      </c>
      <c r="H112" s="132">
        <f>H$15/H104</f>
        <v>1.7150000000000001</v>
      </c>
      <c r="I112" s="132">
        <f t="shared" ref="I112:M112" si="109">I$15/I104</f>
        <v>2.0746031746031743</v>
      </c>
      <c r="J112" s="132">
        <f t="shared" si="109"/>
        <v>1.6610526315789476</v>
      </c>
      <c r="K112" s="132">
        <f t="shared" si="109"/>
        <v>1.54</v>
      </c>
      <c r="L112" s="132">
        <f t="shared" si="109"/>
        <v>1.552</v>
      </c>
      <c r="M112" s="132">
        <f t="shared" si="109"/>
        <v>1.5251851851851852</v>
      </c>
      <c r="N112" s="144">
        <f>AVERAGE(J112:M112)</f>
        <v>1.5695594541910332</v>
      </c>
      <c r="O112" s="144">
        <f>+N112+0.1</f>
        <v>1.6695594541910332</v>
      </c>
      <c r="P112" s="144">
        <f t="shared" ref="P112:R112" si="110">+O112+0.1</f>
        <v>1.7695594541910333</v>
      </c>
      <c r="Q112" s="144">
        <f t="shared" si="110"/>
        <v>1.8695594541910334</v>
      </c>
      <c r="R112" s="144">
        <f t="shared" si="110"/>
        <v>1.9695594541910335</v>
      </c>
    </row>
    <row r="113" spans="1:21">
      <c r="B113" s="54" t="s">
        <v>2</v>
      </c>
      <c r="H113" s="132">
        <f t="shared" ref="H113:M113" si="111">H$15/H105</f>
        <v>2.5725000000000002</v>
      </c>
      <c r="I113" s="132">
        <f t="shared" si="111"/>
        <v>2.9044444444444442</v>
      </c>
      <c r="J113" s="132">
        <f t="shared" si="111"/>
        <v>2.1040000000000001</v>
      </c>
      <c r="K113" s="132">
        <f t="shared" si="111"/>
        <v>2.0124999999999997</v>
      </c>
      <c r="L113" s="132">
        <f t="shared" si="111"/>
        <v>2</v>
      </c>
      <c r="M113" s="132">
        <f t="shared" si="111"/>
        <v>1.7158333333333333</v>
      </c>
      <c r="N113" s="144">
        <f>+M113+0.25</f>
        <v>1.9658333333333333</v>
      </c>
      <c r="O113" s="144">
        <f t="shared" ref="O113:R113" si="112">+N113+0.25</f>
        <v>2.2158333333333333</v>
      </c>
      <c r="P113" s="144">
        <f t="shared" si="112"/>
        <v>2.4658333333333333</v>
      </c>
      <c r="Q113" s="144">
        <f t="shared" si="112"/>
        <v>2.7158333333333333</v>
      </c>
      <c r="R113" s="144">
        <f t="shared" si="112"/>
        <v>2.9658333333333333</v>
      </c>
    </row>
    <row r="114" spans="1:21">
      <c r="B114" s="54" t="s">
        <v>178</v>
      </c>
      <c r="H114" s="132">
        <f t="shared" ref="H114:M114" si="113">H$15/H106</f>
        <v>8.5750000000000011</v>
      </c>
      <c r="I114" s="132">
        <f t="shared" si="113"/>
        <v>10.053846153846154</v>
      </c>
      <c r="J114" s="132">
        <f t="shared" si="113"/>
        <v>9.2823529411764714</v>
      </c>
      <c r="K114" s="132">
        <f t="shared" si="113"/>
        <v>9.8388888888888886</v>
      </c>
      <c r="L114" s="132">
        <f t="shared" si="113"/>
        <v>10.210526315789474</v>
      </c>
      <c r="M114" s="132">
        <f t="shared" si="113"/>
        <v>10.295</v>
      </c>
      <c r="N114" s="144">
        <f>+AVERAGE(I114:M114)</f>
        <v>9.9361228599401983</v>
      </c>
      <c r="O114" s="144">
        <f>+N114</f>
        <v>9.9361228599401983</v>
      </c>
      <c r="P114" s="144">
        <f t="shared" ref="P114:R114" si="114">+O114</f>
        <v>9.9361228599401983</v>
      </c>
      <c r="Q114" s="144">
        <f t="shared" si="114"/>
        <v>9.9361228599401983</v>
      </c>
      <c r="R114" s="144">
        <f t="shared" si="114"/>
        <v>9.9361228599401983</v>
      </c>
    </row>
    <row r="115" spans="1:21">
      <c r="B115" s="54"/>
      <c r="N115" s="141"/>
      <c r="O115" s="141"/>
      <c r="P115" s="141"/>
      <c r="Q115" s="141"/>
      <c r="R115" s="141"/>
    </row>
    <row r="116" spans="1:21" s="5" customFormat="1">
      <c r="A116" s="135"/>
      <c r="B116" s="5" t="s">
        <v>322</v>
      </c>
      <c r="H116" s="5">
        <f t="shared" ref="H116:M116" si="115">H100/H102*10^6</f>
        <v>62222.222222222219</v>
      </c>
      <c r="I116" s="5">
        <f t="shared" si="115"/>
        <v>71301.923076923063</v>
      </c>
      <c r="J116" s="5">
        <f t="shared" si="115"/>
        <v>68771.655499999993</v>
      </c>
      <c r="K116" s="5">
        <f t="shared" si="115"/>
        <v>81788.269809115387</v>
      </c>
      <c r="L116" s="5">
        <f t="shared" si="115"/>
        <v>88870.965338976923</v>
      </c>
      <c r="M116" s="5">
        <f t="shared" si="115"/>
        <v>91999.862813685962</v>
      </c>
      <c r="N116" s="5">
        <f>N117*N118*N119</f>
        <v>96599.855954370258</v>
      </c>
      <c r="O116" s="5">
        <f t="shared" ref="O116:R116" si="116">O117*O118*O119</f>
        <v>101429.84875208877</v>
      </c>
      <c r="P116" s="5">
        <f t="shared" si="116"/>
        <v>106501.34118969322</v>
      </c>
      <c r="Q116" s="5">
        <f t="shared" si="116"/>
        <v>111826.40824917788</v>
      </c>
      <c r="R116" s="5">
        <f t="shared" si="116"/>
        <v>117417.72866163678</v>
      </c>
      <c r="S116" s="122">
        <f t="shared" ref="S116:S119" si="117">RATE(5,0,-H116,M116)</f>
        <v>8.1355098970140038E-2</v>
      </c>
      <c r="T116" s="122">
        <f t="shared" ref="T116:T119" si="118">RATE(5,0,-M116,R116)</f>
        <v>5.0000000000017343E-2</v>
      </c>
    </row>
    <row r="117" spans="1:21">
      <c r="B117" s="111" t="s">
        <v>323</v>
      </c>
      <c r="H117" s="139">
        <v>9</v>
      </c>
      <c r="I117" s="139">
        <v>9</v>
      </c>
      <c r="J117" s="139">
        <v>9</v>
      </c>
      <c r="K117" s="139">
        <v>9</v>
      </c>
      <c r="L117" s="139">
        <v>9</v>
      </c>
      <c r="M117" s="139">
        <v>9</v>
      </c>
      <c r="N117" s="140">
        <f>M117</f>
        <v>9</v>
      </c>
      <c r="O117" s="140">
        <f t="shared" ref="O117:R117" si="119">N117</f>
        <v>9</v>
      </c>
      <c r="P117" s="140">
        <f t="shared" si="119"/>
        <v>9</v>
      </c>
      <c r="Q117" s="140">
        <f t="shared" si="119"/>
        <v>9</v>
      </c>
      <c r="R117" s="140">
        <f t="shared" si="119"/>
        <v>9</v>
      </c>
      <c r="S117" s="122">
        <f t="shared" si="117"/>
        <v>7.6671231209866008E-17</v>
      </c>
      <c r="T117" s="122">
        <f t="shared" si="118"/>
        <v>7.6671231209866008E-17</v>
      </c>
    </row>
    <row r="118" spans="1:21">
      <c r="B118" s="111" t="s">
        <v>324</v>
      </c>
      <c r="H118" s="139">
        <f>365*0.714285714285714-10</f>
        <v>250.71428571428561</v>
      </c>
      <c r="I118" s="139">
        <f t="shared" ref="I118:M118" si="120">365*0.714285714285714-10</f>
        <v>250.71428571428561</v>
      </c>
      <c r="J118" s="139">
        <f t="shared" si="120"/>
        <v>250.71428571428561</v>
      </c>
      <c r="K118" s="139">
        <f t="shared" si="120"/>
        <v>250.71428571428561</v>
      </c>
      <c r="L118" s="139">
        <f t="shared" si="120"/>
        <v>250.71428571428561</v>
      </c>
      <c r="M118" s="139">
        <f t="shared" si="120"/>
        <v>250.71428571428561</v>
      </c>
      <c r="N118" s="140">
        <f>M118</f>
        <v>250.71428571428561</v>
      </c>
      <c r="O118" s="140">
        <f t="shared" ref="O118:R118" si="121">N118</f>
        <v>250.71428571428561</v>
      </c>
      <c r="P118" s="140">
        <f t="shared" si="121"/>
        <v>250.71428571428561</v>
      </c>
      <c r="Q118" s="140">
        <f t="shared" si="121"/>
        <v>250.71428571428561</v>
      </c>
      <c r="R118" s="140">
        <f t="shared" si="121"/>
        <v>250.71428571428561</v>
      </c>
      <c r="S118" s="122">
        <f t="shared" si="117"/>
        <v>6.9945817267518595E-17</v>
      </c>
      <c r="T118" s="122">
        <f t="shared" si="118"/>
        <v>6.9945817267518595E-17</v>
      </c>
    </row>
    <row r="119" spans="1:21">
      <c r="B119" s="111" t="s">
        <v>325</v>
      </c>
      <c r="H119" s="132">
        <f>H116/H117/H118</f>
        <v>27.575533748373264</v>
      </c>
      <c r="I119" s="132">
        <f t="shared" ref="I119:M119" si="122">I116/I117/I118</f>
        <v>31.599459419972245</v>
      </c>
      <c r="J119" s="132">
        <f t="shared" si="122"/>
        <v>30.478099936688835</v>
      </c>
      <c r="K119" s="132">
        <f t="shared" si="122"/>
        <v>36.246779909072991</v>
      </c>
      <c r="L119" s="132">
        <f t="shared" si="122"/>
        <v>39.385676313570038</v>
      </c>
      <c r="M119" s="132">
        <f t="shared" si="122"/>
        <v>40.772335529965304</v>
      </c>
      <c r="N119" s="132">
        <f>M119*(1+N120)</f>
        <v>42.81095230646357</v>
      </c>
      <c r="O119" s="132">
        <f t="shared" ref="O119:R119" si="123">N119*(1+O120)</f>
        <v>44.951499921786748</v>
      </c>
      <c r="P119" s="132">
        <f t="shared" si="123"/>
        <v>47.199074917876089</v>
      </c>
      <c r="Q119" s="132">
        <f t="shared" si="123"/>
        <v>49.559028663769894</v>
      </c>
      <c r="R119" s="132">
        <f t="shared" si="123"/>
        <v>52.036980096958388</v>
      </c>
      <c r="S119" s="122">
        <f t="shared" si="117"/>
        <v>8.1355098971357051E-2</v>
      </c>
      <c r="T119" s="122">
        <f t="shared" si="118"/>
        <v>5.0000000000017329E-2</v>
      </c>
    </row>
    <row r="120" spans="1:21">
      <c r="B120" s="112" t="s">
        <v>326</v>
      </c>
      <c r="I120" s="131">
        <f>+I119/H119-1</f>
        <v>0.14592376373626359</v>
      </c>
      <c r="J120" s="131">
        <f t="shared" ref="J120:M120" si="124">+J119/I119-1</f>
        <v>-3.5486666666666444E-2</v>
      </c>
      <c r="K120" s="131">
        <f t="shared" si="124"/>
        <v>0.18927295285359813</v>
      </c>
      <c r="L120" s="131">
        <f t="shared" si="124"/>
        <v>8.6597938144330033E-2</v>
      </c>
      <c r="M120" s="131">
        <f t="shared" si="124"/>
        <v>3.5207195767195776E-2</v>
      </c>
      <c r="N120" s="130">
        <v>0.05</v>
      </c>
      <c r="O120" s="130">
        <v>0.05</v>
      </c>
      <c r="P120" s="130">
        <v>0.05</v>
      </c>
      <c r="Q120" s="130">
        <v>0.05</v>
      </c>
      <c r="R120" s="130">
        <v>0.05</v>
      </c>
    </row>
    <row r="122" spans="1:21" s="5" customFormat="1">
      <c r="A122" s="135" t="s">
        <v>308</v>
      </c>
      <c r="B122" s="110" t="s">
        <v>332</v>
      </c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4" spans="1:21" s="5" customFormat="1">
      <c r="A124" s="135"/>
      <c r="B124" s="5" t="s">
        <v>321</v>
      </c>
      <c r="H124" s="5">
        <f>+H100</f>
        <v>11.2</v>
      </c>
      <c r="I124" s="5">
        <f t="shared" ref="I124:R124" si="125">+I100</f>
        <v>13.903874999999999</v>
      </c>
      <c r="J124" s="5">
        <f t="shared" si="125"/>
        <v>18.568346984999998</v>
      </c>
      <c r="K124" s="5">
        <f t="shared" si="125"/>
        <v>25.517940180444</v>
      </c>
      <c r="L124" s="5">
        <f t="shared" si="125"/>
        <v>30.038386284574202</v>
      </c>
      <c r="M124" s="5">
        <f t="shared" si="125"/>
        <v>34.775948143573295</v>
      </c>
      <c r="N124" s="5">
        <f t="shared" si="125"/>
        <v>37.577343966250034</v>
      </c>
      <c r="O124" s="5">
        <f>+O100</f>
        <v>40.166220105827151</v>
      </c>
      <c r="P124" s="5">
        <f t="shared" si="125"/>
        <v>43.346045864205145</v>
      </c>
      <c r="Q124" s="5">
        <f t="shared" si="125"/>
        <v>47.078917872903894</v>
      </c>
      <c r="R124" s="5">
        <f t="shared" si="125"/>
        <v>51.428965153796909</v>
      </c>
    </row>
    <row r="125" spans="1:21">
      <c r="B125" s="111" t="s">
        <v>333</v>
      </c>
      <c r="H125" s="80">
        <f>+H124-H126</f>
        <v>2.7607276918534271</v>
      </c>
      <c r="I125" s="80">
        <f t="shared" ref="I125:M125" si="126">+I124-I126</f>
        <v>3.8154018828755696</v>
      </c>
      <c r="J125" s="80">
        <f t="shared" si="126"/>
        <v>5.9436325022641725</v>
      </c>
      <c r="K125" s="80">
        <f t="shared" si="126"/>
        <v>8.734987215613522</v>
      </c>
      <c r="L125" s="80">
        <f t="shared" si="126"/>
        <v>9.5551546813177026</v>
      </c>
      <c r="M125" s="80">
        <f t="shared" si="126"/>
        <v>10.66804679567219</v>
      </c>
      <c r="N125" s="80">
        <f>N124-N126</f>
        <v>11.736746966250344</v>
      </c>
      <c r="O125" s="80">
        <f t="shared" ref="O125:R125" si="127">O124-O126</f>
        <v>12.545345471894326</v>
      </c>
      <c r="P125" s="80">
        <f t="shared" si="127"/>
        <v>13.538518655085962</v>
      </c>
      <c r="Q125" s="80">
        <f t="shared" si="127"/>
        <v>14.704427939756144</v>
      </c>
      <c r="R125" s="80">
        <f t="shared" si="127"/>
        <v>16.0631031104367</v>
      </c>
    </row>
    <row r="126" spans="1:21">
      <c r="B126" s="111" t="s">
        <v>335</v>
      </c>
      <c r="H126" s="80">
        <f>H81</f>
        <v>8.4392723081465721</v>
      </c>
      <c r="I126" s="80">
        <f t="shared" ref="I126:M126" si="128">I81</f>
        <v>10.08847311712443</v>
      </c>
      <c r="J126" s="80">
        <f t="shared" si="128"/>
        <v>12.624714482735826</v>
      </c>
      <c r="K126" s="80">
        <f t="shared" si="128"/>
        <v>16.782952964830478</v>
      </c>
      <c r="L126" s="80">
        <f t="shared" si="128"/>
        <v>20.483231603256499</v>
      </c>
      <c r="M126" s="80">
        <f t="shared" si="128"/>
        <v>24.107901347901105</v>
      </c>
      <c r="N126" s="80">
        <f>N127*N124</f>
        <v>25.84059699999969</v>
      </c>
      <c r="O126" s="80">
        <f t="shared" ref="O126:R126" si="129">O127*O124</f>
        <v>27.620874633932825</v>
      </c>
      <c r="P126" s="80">
        <f t="shared" si="129"/>
        <v>29.807527209119183</v>
      </c>
      <c r="Q126" s="80">
        <f t="shared" si="129"/>
        <v>32.37448993314775</v>
      </c>
      <c r="R126" s="80">
        <f t="shared" si="129"/>
        <v>35.36586204336021</v>
      </c>
    </row>
    <row r="127" spans="1:21" s="123" customFormat="1">
      <c r="A127" s="137"/>
      <c r="B127" s="126" t="s">
        <v>334</v>
      </c>
      <c r="H127" s="124">
        <f>+H126/H124</f>
        <v>0.75350645608451539</v>
      </c>
      <c r="I127" s="124">
        <f t="shared" ref="I127:M127" si="130">+I126/I124</f>
        <v>0.72558715589175182</v>
      </c>
      <c r="J127" s="124">
        <f t="shared" si="130"/>
        <v>0.67990513603253988</v>
      </c>
      <c r="K127" s="124">
        <f t="shared" si="130"/>
        <v>0.65769230769230769</v>
      </c>
      <c r="L127" s="124">
        <f t="shared" si="130"/>
        <v>0.68190186414159604</v>
      </c>
      <c r="M127" s="124">
        <f t="shared" si="130"/>
        <v>0.69323491191012487</v>
      </c>
      <c r="N127" s="129">
        <f>+AVERAGE(I127:M127)</f>
        <v>0.6876642751336639</v>
      </c>
      <c r="O127" s="129">
        <f>+N127</f>
        <v>0.6876642751336639</v>
      </c>
      <c r="P127" s="129">
        <f t="shared" ref="P127:R127" si="131">+O127</f>
        <v>0.6876642751336639</v>
      </c>
      <c r="Q127" s="129">
        <f t="shared" si="131"/>
        <v>0.6876642751336639</v>
      </c>
      <c r="R127" s="129">
        <f t="shared" si="131"/>
        <v>0.6876642751336639</v>
      </c>
    </row>
    <row r="129" spans="1:21" s="5" customFormat="1">
      <c r="A129" s="135" t="s">
        <v>308</v>
      </c>
      <c r="B129" s="110" t="s">
        <v>353</v>
      </c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1" spans="1:21" s="5" customFormat="1">
      <c r="A131" s="135"/>
      <c r="B131" s="5" t="s">
        <v>354</v>
      </c>
      <c r="H131" s="5">
        <f>Model!H113</f>
        <v>3.2</v>
      </c>
      <c r="I131" s="5">
        <f>Model!I113</f>
        <v>5</v>
      </c>
      <c r="J131" s="5">
        <f>Model!J113</f>
        <v>5.4</v>
      </c>
      <c r="K131" s="5">
        <f>Model!K113</f>
        <v>5.9</v>
      </c>
      <c r="L131" s="5">
        <f>Model!L113</f>
        <v>6.9</v>
      </c>
      <c r="M131" s="5">
        <f>Model!M113</f>
        <v>8.4</v>
      </c>
      <c r="N131" s="5">
        <f>Model!N113</f>
        <v>7.646002805049088</v>
      </c>
      <c r="O131" s="5">
        <f>Model!O113</f>
        <v>8.4056628311492307</v>
      </c>
      <c r="P131" s="5">
        <f>Model!P113</f>
        <v>9.2386127100071675</v>
      </c>
      <c r="Q131" s="5">
        <f>Model!Q113</f>
        <v>10.158162179656006</v>
      </c>
      <c r="R131" s="5">
        <f>Model!R113</f>
        <v>11.179198081403097</v>
      </c>
    </row>
    <row r="132" spans="1:21">
      <c r="B132" s="111" t="s">
        <v>333</v>
      </c>
      <c r="H132" s="80">
        <f>+H131-H133</f>
        <v>2.5010115821892791</v>
      </c>
      <c r="I132" s="80">
        <f t="shared" ref="I132:M132" si="132">+I131-I133</f>
        <v>3.9936464803618517</v>
      </c>
      <c r="J132" s="80">
        <f t="shared" si="132"/>
        <v>4.3343208862657985</v>
      </c>
      <c r="K132" s="80">
        <f t="shared" si="132"/>
        <v>3.7643996386373511</v>
      </c>
      <c r="L132" s="80">
        <f t="shared" si="132"/>
        <v>4.1476980595212503</v>
      </c>
      <c r="M132" s="80">
        <f t="shared" si="132"/>
        <v>5.5704331731479648</v>
      </c>
      <c r="N132" s="80">
        <f>N131-N133</f>
        <v>4.8483209592763945</v>
      </c>
      <c r="O132" s="80">
        <f t="shared" ref="O132:R132" si="133">O131-O133</f>
        <v>5.3300204459720621</v>
      </c>
      <c r="P132" s="80">
        <f t="shared" si="133"/>
        <v>5.8581929380128539</v>
      </c>
      <c r="Q132" s="80">
        <f t="shared" si="133"/>
        <v>6.4412781238887877</v>
      </c>
      <c r="R132" s="80">
        <f t="shared" si="133"/>
        <v>7.0887157313331803</v>
      </c>
    </row>
    <row r="133" spans="1:21">
      <c r="B133" s="111" t="s">
        <v>335</v>
      </c>
      <c r="H133" s="80">
        <f>'r10-K'!G54</f>
        <v>0.6989884178107213</v>
      </c>
      <c r="I133" s="80">
        <f>'r10-K'!H54</f>
        <v>1.0063535196381483</v>
      </c>
      <c r="J133" s="80">
        <f>'r10-K'!I54</f>
        <v>1.0656791137342021</v>
      </c>
      <c r="K133" s="80">
        <f>'r10-K'!J54</f>
        <v>2.1356003613626493</v>
      </c>
      <c r="L133" s="80">
        <f>'r10-K'!K54</f>
        <v>2.7523019404787501</v>
      </c>
      <c r="M133" s="80">
        <f>'r10-K'!L54</f>
        <v>2.829566826852036</v>
      </c>
      <c r="N133" s="80">
        <f>N134*N131</f>
        <v>2.7976818457726935</v>
      </c>
      <c r="O133" s="80">
        <f t="shared" ref="O133:R133" si="134">O134*O131</f>
        <v>3.075642385177169</v>
      </c>
      <c r="P133" s="80">
        <f>P134*P131</f>
        <v>3.3804197719943132</v>
      </c>
      <c r="Q133" s="80">
        <f t="shared" si="134"/>
        <v>3.7168840557672183</v>
      </c>
      <c r="R133" s="80">
        <f t="shared" si="134"/>
        <v>4.0904823500699168</v>
      </c>
    </row>
    <row r="134" spans="1:21" s="123" customFormat="1">
      <c r="A134" s="137"/>
      <c r="B134" s="126" t="s">
        <v>334</v>
      </c>
      <c r="H134" s="124">
        <f>+H133/H131</f>
        <v>0.21843388056585039</v>
      </c>
      <c r="I134" s="124">
        <f t="shared" ref="I134:M134" si="135">+I133/I131</f>
        <v>0.20127070392762966</v>
      </c>
      <c r="J134" s="124">
        <f t="shared" si="135"/>
        <v>0.19734798402485224</v>
      </c>
      <c r="K134" s="124">
        <f t="shared" si="135"/>
        <v>0.36196616294282191</v>
      </c>
      <c r="L134" s="124">
        <f t="shared" si="135"/>
        <v>0.39888433919981886</v>
      </c>
      <c r="M134" s="124">
        <f t="shared" si="135"/>
        <v>0.33685319367286143</v>
      </c>
      <c r="N134" s="129">
        <f>+AVERAGE(K134:M134)</f>
        <v>0.36590123193850072</v>
      </c>
      <c r="O134" s="129">
        <f>+N134</f>
        <v>0.36590123193850072</v>
      </c>
      <c r="P134" s="129">
        <f>+O134</f>
        <v>0.36590123193850072</v>
      </c>
      <c r="Q134" s="129">
        <f t="shared" ref="Q134" si="136">+P134</f>
        <v>0.36590123193850072</v>
      </c>
      <c r="R134" s="129">
        <f t="shared" ref="R134" si="137">+Q134</f>
        <v>0.36590123193850072</v>
      </c>
    </row>
    <row r="136" spans="1:21" s="5" customFormat="1">
      <c r="A136" s="135"/>
      <c r="B136" s="5" t="s">
        <v>360</v>
      </c>
      <c r="H136" s="5">
        <f>Model!H120</f>
        <v>0.6</v>
      </c>
      <c r="I136" s="5">
        <f>Model!I120</f>
        <v>0.62358704239592899</v>
      </c>
      <c r="J136" s="5">
        <f>Model!J120</f>
        <v>0.74646269825153022</v>
      </c>
      <c r="K136" s="5">
        <f>Model!K120</f>
        <v>3.3327044810532498</v>
      </c>
      <c r="L136" s="5">
        <f>Model!L120</f>
        <v>3.0287264342739486</v>
      </c>
      <c r="M136" s="5">
        <f>Model!M120</f>
        <v>3.9545070275653336</v>
      </c>
      <c r="N136" s="5">
        <f>Model!N120</f>
        <v>4.1763770588148734</v>
      </c>
      <c r="O136" s="5">
        <f>Model!O120</f>
        <v>5.8965076574528696</v>
      </c>
      <c r="P136" s="5">
        <f>Model!P120</f>
        <v>7.6166081421082854</v>
      </c>
      <c r="Q136" s="5">
        <f>Model!Q120</f>
        <v>9.3600197024913072</v>
      </c>
      <c r="R136" s="5">
        <f>Model!R120</f>
        <v>11.151049003082441</v>
      </c>
    </row>
    <row r="137" spans="1:21">
      <c r="B137" s="111" t="s">
        <v>333</v>
      </c>
      <c r="H137" s="80">
        <f>+H136-H138</f>
        <v>0</v>
      </c>
      <c r="I137" s="80">
        <f t="shared" ref="I137:M137" si="138">+I136-I138</f>
        <v>0</v>
      </c>
      <c r="J137" s="80">
        <f t="shared" si="138"/>
        <v>0</v>
      </c>
      <c r="K137" s="80">
        <f t="shared" si="138"/>
        <v>0</v>
      </c>
      <c r="L137" s="80">
        <f t="shared" si="138"/>
        <v>0</v>
      </c>
      <c r="M137" s="80">
        <f t="shared" si="138"/>
        <v>0</v>
      </c>
      <c r="N137" s="80">
        <f>N136-N138</f>
        <v>0</v>
      </c>
      <c r="O137" s="80">
        <f t="shared" ref="O137:R137" si="139">O136-O138</f>
        <v>0</v>
      </c>
      <c r="P137" s="80">
        <f t="shared" si="139"/>
        <v>0</v>
      </c>
      <c r="Q137" s="80">
        <f t="shared" si="139"/>
        <v>0</v>
      </c>
      <c r="R137" s="80">
        <f t="shared" si="139"/>
        <v>0</v>
      </c>
    </row>
    <row r="138" spans="1:21">
      <c r="B138" s="111" t="s">
        <v>335</v>
      </c>
      <c r="H138" s="80">
        <f>'r10-K'!G55</f>
        <v>0.6</v>
      </c>
      <c r="I138" s="80">
        <f>'r10-K'!H55</f>
        <v>0.62358704239592899</v>
      </c>
      <c r="J138" s="80">
        <f>'r10-K'!I55</f>
        <v>0.74646269825153022</v>
      </c>
      <c r="K138" s="80">
        <f>'r10-K'!J55</f>
        <v>3.3327044810532498</v>
      </c>
      <c r="L138" s="80">
        <f>'r10-K'!K55</f>
        <v>3.0287264342739486</v>
      </c>
      <c r="M138" s="80">
        <f>'r10-K'!L55</f>
        <v>3.9545070275653336</v>
      </c>
      <c r="N138" s="80">
        <f>N139*N136</f>
        <v>4.1763770588148734</v>
      </c>
      <c r="O138" s="80">
        <f t="shared" ref="O138" si="140">O139*O136</f>
        <v>5.8965076574528696</v>
      </c>
      <c r="P138" s="80">
        <f>P139*P136</f>
        <v>7.6166081421082854</v>
      </c>
      <c r="Q138" s="80">
        <f t="shared" ref="Q138:R138" si="141">Q139*Q136</f>
        <v>9.3600197024913072</v>
      </c>
      <c r="R138" s="80">
        <f t="shared" si="141"/>
        <v>11.151049003082441</v>
      </c>
    </row>
    <row r="139" spans="1:21" s="123" customFormat="1">
      <c r="A139" s="137"/>
      <c r="B139" s="126" t="s">
        <v>334</v>
      </c>
      <c r="H139" s="124">
        <f>+H138/H136</f>
        <v>1</v>
      </c>
      <c r="I139" s="124">
        <f t="shared" ref="I139:M139" si="142">+I138/I136</f>
        <v>1</v>
      </c>
      <c r="J139" s="124">
        <f t="shared" si="142"/>
        <v>1</v>
      </c>
      <c r="K139" s="124">
        <f t="shared" si="142"/>
        <v>1</v>
      </c>
      <c r="L139" s="124">
        <f t="shared" si="142"/>
        <v>1</v>
      </c>
      <c r="M139" s="124">
        <f t="shared" si="142"/>
        <v>1</v>
      </c>
      <c r="N139" s="129">
        <f>M139</f>
        <v>1</v>
      </c>
      <c r="O139" s="129">
        <f t="shared" ref="O139:R139" si="143">N139</f>
        <v>1</v>
      </c>
      <c r="P139" s="129">
        <f t="shared" si="143"/>
        <v>1</v>
      </c>
      <c r="Q139" s="129">
        <f t="shared" si="143"/>
        <v>1</v>
      </c>
      <c r="R139" s="129">
        <f t="shared" si="143"/>
        <v>1</v>
      </c>
    </row>
  </sheetData>
  <mergeCells count="2">
    <mergeCell ref="D4:G5"/>
    <mergeCell ref="U10:U11"/>
  </mergeCells>
  <pageMargins left="0.7" right="0.7" top="0.75" bottom="0.75" header="0.3" footer="0.3"/>
  <pageSetup paperSize="9" orientation="portrait" r:id="rId1"/>
  <ignoredErrors>
    <ignoredError sqref="N20:R22 N24:R27 O94:R9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351BB-480C-46A7-99E3-61B1B72A75CA}">
  <sheetPr codeName="Sheet11">
    <tabColor theme="0" tint="-0.249977111117893"/>
  </sheetPr>
  <dimension ref="D15:O22"/>
  <sheetViews>
    <sheetView zoomScaleNormal="100" zoomScaleSheetLayoutView="100" workbookViewId="0">
      <selection activeCell="L5" sqref="L5"/>
    </sheetView>
  </sheetViews>
  <sheetFormatPr baseColWidth="10" defaultColWidth="9.109375" defaultRowHeight="14.4"/>
  <cols>
    <col min="1" max="11" width="9.109375" style="3"/>
    <col min="12" max="12" width="9.109375" style="3" customWidth="1"/>
    <col min="13" max="16384" width="9.109375" style="3"/>
  </cols>
  <sheetData>
    <row r="15" spans="4:15">
      <c r="D15" s="159" t="s">
        <v>4</v>
      </c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</row>
    <row r="16" spans="4:15"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</row>
    <row r="17" spans="4:15"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</row>
    <row r="18" spans="4:15"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</row>
    <row r="19" spans="4:15"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</row>
    <row r="20" spans="4:15">
      <c r="L20" s="4"/>
    </row>
    <row r="22" spans="4:15">
      <c r="L22" s="4"/>
    </row>
  </sheetData>
  <mergeCells count="1">
    <mergeCell ref="D15:O19"/>
  </mergeCells>
  <phoneticPr fontId="5" type="noConversion"/>
  <pageMargins left="0.7" right="0.7" top="0.75" bottom="0.75" header="0.3" footer="0.3"/>
  <pageSetup paperSize="9" scale="4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43F57-A76C-42D7-9B42-EABA91C72400}">
  <sheetPr>
    <tabColor theme="0" tint="-0.249977111117893"/>
  </sheetPr>
  <dimension ref="A1:IS55"/>
  <sheetViews>
    <sheetView workbookViewId="0">
      <selection activeCell="A64" sqref="A64"/>
    </sheetView>
  </sheetViews>
  <sheetFormatPr baseColWidth="10" defaultColWidth="8.88671875" defaultRowHeight="12" customHeight="1" outlineLevelCol="1"/>
  <cols>
    <col min="1" max="1" width="45.6640625" style="7" customWidth="1"/>
    <col min="2" max="5" width="10.6640625" style="7" hidden="1" customWidth="1" outlineLevel="1"/>
    <col min="6" max="6" width="10.6640625" style="7" customWidth="1" collapsed="1"/>
    <col min="7" max="11" width="10.6640625" style="7" customWidth="1"/>
    <col min="12" max="16384" width="8.88671875" style="7"/>
  </cols>
  <sheetData>
    <row r="1" spans="1:253" ht="10.35" customHeight="1"/>
    <row r="2" spans="1:253" ht="10.35" customHeight="1"/>
    <row r="3" spans="1:253" ht="16.350000000000001" customHeight="1">
      <c r="A3" s="15" t="s">
        <v>146</v>
      </c>
      <c r="B3" s="10"/>
      <c r="C3" s="10"/>
      <c r="D3" s="10"/>
      <c r="E3" s="10"/>
      <c r="F3" s="10"/>
    </row>
    <row r="4" spans="1:253" ht="10.35" customHeight="1">
      <c r="A4" s="10"/>
      <c r="B4" s="10"/>
      <c r="C4" s="10"/>
      <c r="D4" s="10"/>
      <c r="E4" s="10"/>
      <c r="F4" s="10"/>
    </row>
    <row r="5" spans="1:253" ht="10.35" customHeight="1">
      <c r="A5" s="16" t="s">
        <v>131</v>
      </c>
      <c r="B5" s="17" t="s">
        <v>132</v>
      </c>
      <c r="C5" s="10" t="s">
        <v>133</v>
      </c>
      <c r="D5" s="18" t="s">
        <v>134</v>
      </c>
      <c r="E5" s="17" t="s">
        <v>135</v>
      </c>
      <c r="F5" s="10" t="s">
        <v>136</v>
      </c>
    </row>
    <row r="6" spans="1:253" ht="10.35" customHeight="1">
      <c r="A6" s="18"/>
      <c r="B6" s="17" t="s">
        <v>137</v>
      </c>
      <c r="C6" s="10" t="s">
        <v>138</v>
      </c>
      <c r="D6" s="18" t="s">
        <v>134</v>
      </c>
      <c r="E6" s="17" t="s">
        <v>139</v>
      </c>
      <c r="F6" s="10" t="s">
        <v>140</v>
      </c>
    </row>
    <row r="7" spans="1:253" ht="10.35" customHeight="1">
      <c r="A7" s="18"/>
      <c r="B7" s="17" t="s">
        <v>141</v>
      </c>
      <c r="C7" s="10" t="s">
        <v>149</v>
      </c>
      <c r="D7" s="18" t="s">
        <v>134</v>
      </c>
      <c r="E7" s="17" t="s">
        <v>142</v>
      </c>
      <c r="F7" s="10" t="s">
        <v>151</v>
      </c>
    </row>
    <row r="8" spans="1:253" ht="10.35" customHeight="1">
      <c r="A8" s="18"/>
      <c r="B8" s="17" t="s">
        <v>143</v>
      </c>
      <c r="C8" s="10" t="s">
        <v>147</v>
      </c>
      <c r="D8" s="18" t="s">
        <v>134</v>
      </c>
      <c r="E8" s="17" t="s">
        <v>144</v>
      </c>
      <c r="F8" s="19" t="s">
        <v>148</v>
      </c>
    </row>
    <row r="9" spans="1:253" ht="10.35" customHeight="1">
      <c r="A9" s="18"/>
      <c r="B9" s="17" t="s">
        <v>145</v>
      </c>
      <c r="C9" s="10" t="s">
        <v>150</v>
      </c>
      <c r="D9" s="18" t="s">
        <v>134</v>
      </c>
      <c r="E9" s="20"/>
      <c r="F9" s="20"/>
    </row>
    <row r="10" spans="1:253" ht="10.35" customHeight="1"/>
    <row r="11" spans="1:253" ht="10.35" customHeight="1"/>
    <row r="12" spans="1:253" s="10" customFormat="1" ht="10.199999999999999">
      <c r="A12" s="8" t="s">
        <v>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</row>
    <row r="13" spans="1:253" s="10" customFormat="1" ht="20.399999999999999">
      <c r="A13" s="11" t="s">
        <v>121</v>
      </c>
      <c r="B13" s="12" t="s">
        <v>122</v>
      </c>
      <c r="C13" s="12" t="s">
        <v>123</v>
      </c>
      <c r="D13" s="12" t="s">
        <v>124</v>
      </c>
      <c r="E13" s="12" t="s">
        <v>125</v>
      </c>
      <c r="F13" s="12" t="s">
        <v>126</v>
      </c>
      <c r="G13" s="12" t="s">
        <v>127</v>
      </c>
      <c r="H13" s="12" t="s">
        <v>128</v>
      </c>
      <c r="I13" s="12" t="s">
        <v>130</v>
      </c>
      <c r="J13" s="12" t="s">
        <v>197</v>
      </c>
      <c r="K13" s="12" t="s">
        <v>196</v>
      </c>
    </row>
    <row r="14" spans="1:253" s="10" customFormat="1" ht="10.199999999999999">
      <c r="A14" s="13" t="s">
        <v>3</v>
      </c>
      <c r="B14" s="14" t="s">
        <v>129</v>
      </c>
      <c r="C14" s="14" t="s">
        <v>129</v>
      </c>
      <c r="D14" s="14" t="s">
        <v>129</v>
      </c>
      <c r="E14" s="14" t="s">
        <v>129</v>
      </c>
      <c r="F14" s="14" t="s">
        <v>129</v>
      </c>
      <c r="G14" s="14" t="s">
        <v>129</v>
      </c>
      <c r="H14" s="14" t="s">
        <v>129</v>
      </c>
      <c r="I14" s="14" t="s">
        <v>129</v>
      </c>
      <c r="J14" s="14" t="s">
        <v>129</v>
      </c>
      <c r="K14" s="14" t="s">
        <v>129</v>
      </c>
    </row>
    <row r="16" spans="1:253" ht="12" customHeight="1">
      <c r="A16" s="7" t="s">
        <v>37</v>
      </c>
    </row>
    <row r="17" spans="1:11" s="107" customFormat="1" ht="12" customHeight="1">
      <c r="A17" s="106" t="s">
        <v>38</v>
      </c>
      <c r="B17" s="106">
        <v>19.399999999999999</v>
      </c>
      <c r="C17" s="106">
        <v>27.6</v>
      </c>
      <c r="D17" s="106">
        <v>37</v>
      </c>
      <c r="E17" s="106">
        <v>55.3</v>
      </c>
      <c r="F17" s="106">
        <v>102.9</v>
      </c>
      <c r="G17" s="106">
        <v>130.69999999999999</v>
      </c>
      <c r="H17" s="106">
        <v>157.80000000000001</v>
      </c>
      <c r="I17" s="106">
        <v>177.1</v>
      </c>
      <c r="J17" s="106">
        <v>194</v>
      </c>
      <c r="K17" s="106">
        <v>205.9</v>
      </c>
    </row>
    <row r="18" spans="1:11" ht="12" customHeight="1">
      <c r="A18" s="61" t="s">
        <v>37</v>
      </c>
      <c r="B18" s="61">
        <v>19.399999999999999</v>
      </c>
      <c r="C18" s="61">
        <v>27.6</v>
      </c>
      <c r="D18" s="61">
        <v>37</v>
      </c>
      <c r="E18" s="61">
        <v>55.3</v>
      </c>
      <c r="F18" s="61">
        <v>102.9</v>
      </c>
      <c r="G18" s="61">
        <v>130.69999999999999</v>
      </c>
      <c r="H18" s="61">
        <v>157.80000000000001</v>
      </c>
      <c r="I18" s="61">
        <v>177.1</v>
      </c>
      <c r="J18" s="61">
        <v>194</v>
      </c>
      <c r="K18" s="61">
        <v>205.9</v>
      </c>
    </row>
    <row r="19" spans="1:11" ht="12" customHeight="1">
      <c r="A19" s="61" t="s">
        <v>36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</row>
    <row r="20" spans="1:11" ht="12" customHeight="1">
      <c r="A20" s="61" t="s">
        <v>35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</row>
    <row r="21" spans="1:11" ht="12" customHeight="1">
      <c r="A21" s="61" t="s">
        <v>34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</row>
    <row r="22" spans="1:11" ht="12" customHeight="1">
      <c r="A22" s="61" t="s">
        <v>33</v>
      </c>
      <c r="B22" s="61">
        <v>0.27739999999999998</v>
      </c>
      <c r="C22" s="61">
        <v>0.41189999999999999</v>
      </c>
      <c r="D22" s="61">
        <v>0.38329999999999997</v>
      </c>
      <c r="E22" s="61">
        <v>0.61250000000000004</v>
      </c>
      <c r="F22" s="61">
        <v>0.90869999999999995</v>
      </c>
      <c r="G22" s="61">
        <v>0.466199999999999</v>
      </c>
      <c r="H22" s="61">
        <v>1.6999999999999999E-3</v>
      </c>
      <c r="I22" s="61">
        <v>0.1216</v>
      </c>
      <c r="J22" s="61">
        <v>3.1600000000000003E-2</v>
      </c>
      <c r="K22" s="61">
        <v>0.16170000000000001</v>
      </c>
    </row>
    <row r="23" spans="1:11" ht="12" customHeight="1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</row>
    <row r="24" spans="1:11" ht="12" customHeight="1">
      <c r="A24" s="61" t="s">
        <v>7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</row>
    <row r="25" spans="1:11" s="107" customFormat="1" ht="12" customHeight="1">
      <c r="A25" s="106" t="s">
        <v>32</v>
      </c>
      <c r="B25" s="106">
        <v>5.4</v>
      </c>
      <c r="C25" s="106">
        <v>7.6</v>
      </c>
      <c r="D25" s="106">
        <v>11</v>
      </c>
      <c r="E25" s="106">
        <v>22.7</v>
      </c>
      <c r="F25" s="106">
        <v>24.8</v>
      </c>
      <c r="G25" s="108">
        <v>28.69271261089628</v>
      </c>
      <c r="H25" s="108">
        <v>44.130096299431344</v>
      </c>
      <c r="I25" s="106">
        <v>52.5</v>
      </c>
      <c r="J25" s="106">
        <v>57.2</v>
      </c>
      <c r="K25" s="109">
        <v>61.77000000000001</v>
      </c>
    </row>
    <row r="26" spans="1:11" s="107" customFormat="1" ht="12" customHeight="1">
      <c r="A26" s="106" t="s">
        <v>7</v>
      </c>
      <c r="B26" s="106">
        <f>+B17-B25</f>
        <v>13.999999999999998</v>
      </c>
      <c r="C26" s="106">
        <f t="shared" ref="C26:K26" si="0">+C17-C25</f>
        <v>20</v>
      </c>
      <c r="D26" s="106">
        <f t="shared" si="0"/>
        <v>26</v>
      </c>
      <c r="E26" s="106">
        <f t="shared" si="0"/>
        <v>32.599999999999994</v>
      </c>
      <c r="F26" s="106">
        <f t="shared" si="0"/>
        <v>78.100000000000009</v>
      </c>
      <c r="G26" s="108">
        <f t="shared" si="0"/>
        <v>102.00728738910371</v>
      </c>
      <c r="H26" s="108">
        <f t="shared" si="0"/>
        <v>113.66990370056867</v>
      </c>
      <c r="I26" s="106">
        <f t="shared" si="0"/>
        <v>124.6</v>
      </c>
      <c r="J26" s="106">
        <f t="shared" si="0"/>
        <v>136.80000000000001</v>
      </c>
      <c r="K26" s="109">
        <f t="shared" si="0"/>
        <v>144.13</v>
      </c>
    </row>
    <row r="27" spans="1:11" ht="12" customHeight="1">
      <c r="A27" s="61" t="s">
        <v>31</v>
      </c>
      <c r="B27" s="61">
        <v>0.122</v>
      </c>
      <c r="C27" s="61">
        <v>0.4194</v>
      </c>
      <c r="D27" s="61">
        <v>0.34350000000000003</v>
      </c>
      <c r="E27" s="61">
        <v>0.35409999999999903</v>
      </c>
      <c r="F27" s="61">
        <v>1.4555</v>
      </c>
      <c r="G27" s="61">
        <v>0.50629999999999997</v>
      </c>
      <c r="H27" s="61">
        <v>-7.5300000000000006E-2</v>
      </c>
      <c r="I27" s="61">
        <v>9.5899999999999999E-2</v>
      </c>
      <c r="J27" s="61">
        <v>3.39E-2</v>
      </c>
      <c r="K27" s="61">
        <v>0.2152</v>
      </c>
    </row>
    <row r="28" spans="1:11" ht="12" customHeight="1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</row>
    <row r="29" spans="1:11" ht="12" customHeight="1">
      <c r="A29" s="61" t="s">
        <v>30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</row>
    <row r="30" spans="1:11" s="107" customFormat="1" ht="12" customHeight="1">
      <c r="A30" s="106" t="s">
        <v>184</v>
      </c>
      <c r="B30" s="106">
        <v>5.4</v>
      </c>
      <c r="C30" s="106">
        <v>6.8</v>
      </c>
      <c r="D30" s="106">
        <v>9.8000000000000007</v>
      </c>
      <c r="E30" s="106">
        <v>14</v>
      </c>
      <c r="F30" s="108">
        <v>22.760952361439593</v>
      </c>
      <c r="G30" s="108">
        <v>32.981276879302328</v>
      </c>
      <c r="H30" s="108">
        <v>61.760066819988992</v>
      </c>
      <c r="I30" s="108">
        <v>65.472656067038784</v>
      </c>
      <c r="J30" s="108">
        <v>64.837956049840869</v>
      </c>
      <c r="K30" s="108">
        <v>68.985230856390771</v>
      </c>
    </row>
    <row r="31" spans="1:11" s="107" customFormat="1" ht="12" customHeight="1">
      <c r="A31" s="106" t="s">
        <v>29</v>
      </c>
      <c r="B31" s="108">
        <f>+B26-B30</f>
        <v>8.5999999999999979</v>
      </c>
      <c r="C31" s="108">
        <f t="shared" ref="C31:K31" si="1">+C26-C30</f>
        <v>13.2</v>
      </c>
      <c r="D31" s="108">
        <f t="shared" si="1"/>
        <v>16.2</v>
      </c>
      <c r="E31" s="108">
        <f t="shared" si="1"/>
        <v>18.599999999999994</v>
      </c>
      <c r="F31" s="108">
        <f t="shared" si="1"/>
        <v>55.339047638560416</v>
      </c>
      <c r="G31" s="108">
        <f t="shared" si="1"/>
        <v>69.026010509801381</v>
      </c>
      <c r="H31" s="108">
        <f t="shared" si="1"/>
        <v>51.909836880579675</v>
      </c>
      <c r="I31" s="108">
        <f t="shared" si="1"/>
        <v>59.12734393296121</v>
      </c>
      <c r="J31" s="108">
        <f t="shared" si="1"/>
        <v>71.962043950159142</v>
      </c>
      <c r="K31" s="108">
        <f t="shared" si="1"/>
        <v>75.144769143609224</v>
      </c>
    </row>
    <row r="32" spans="1:11" ht="12" customHeight="1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</row>
    <row r="33" spans="1:11" ht="12" customHeight="1">
      <c r="A33" s="61" t="s">
        <v>28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</row>
    <row r="34" spans="1:11" ht="12" customHeight="1">
      <c r="A34" s="61" t="s">
        <v>27</v>
      </c>
      <c r="B34" s="61">
        <v>0</v>
      </c>
      <c r="C34" s="61">
        <v>-0.7</v>
      </c>
      <c r="D34" s="61">
        <v>-0.3</v>
      </c>
      <c r="E34" s="61">
        <v>0.3</v>
      </c>
      <c r="F34" s="61">
        <v>1</v>
      </c>
      <c r="G34" s="61">
        <v>3.7</v>
      </c>
      <c r="H34" s="61">
        <v>3.8</v>
      </c>
      <c r="I34" s="61">
        <v>-0.7</v>
      </c>
      <c r="J34" s="61">
        <v>1.5</v>
      </c>
      <c r="K34" s="61">
        <v>1.3</v>
      </c>
    </row>
    <row r="35" spans="1:11" s="107" customFormat="1" ht="12" customHeight="1">
      <c r="A35" s="106" t="s">
        <v>26</v>
      </c>
      <c r="B35" s="106">
        <v>-0.1</v>
      </c>
      <c r="C35" s="106">
        <v>-1</v>
      </c>
      <c r="D35" s="106">
        <v>-1</v>
      </c>
      <c r="E35" s="106">
        <v>0</v>
      </c>
      <c r="F35" s="108">
        <v>3.5840000000000005</v>
      </c>
      <c r="G35" s="108">
        <v>6.2685000000000004</v>
      </c>
      <c r="H35" s="108">
        <v>8.8245000000000005</v>
      </c>
      <c r="I35" s="108">
        <v>8.8245000000000005</v>
      </c>
      <c r="J35" s="108">
        <v>8.8245000000000005</v>
      </c>
      <c r="K35" s="108">
        <v>8.8245000000000005</v>
      </c>
    </row>
    <row r="36" spans="1:11" s="107" customFormat="1" ht="12" customHeight="1">
      <c r="A36" s="106" t="s">
        <v>25</v>
      </c>
      <c r="B36" s="106">
        <v>0.2</v>
      </c>
      <c r="C36" s="106">
        <v>0.3</v>
      </c>
      <c r="D36" s="106">
        <v>0.7</v>
      </c>
      <c r="E36" s="106">
        <v>0.4</v>
      </c>
      <c r="F36" s="108">
        <v>1.0344</v>
      </c>
      <c r="G36" s="108">
        <v>3.3468750000000003</v>
      </c>
      <c r="H36" s="108">
        <v>5.5396199999999993</v>
      </c>
      <c r="I36" s="108">
        <v>4.7113199999999997</v>
      </c>
      <c r="J36" s="108">
        <v>4.6606499999999995</v>
      </c>
      <c r="K36" s="108">
        <v>4.2533399999999997</v>
      </c>
    </row>
    <row r="37" spans="1:11" ht="12" customHeight="1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</row>
    <row r="38" spans="1:11" ht="12" customHeight="1">
      <c r="A38" s="61" t="s">
        <v>24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</row>
    <row r="39" spans="1:11" ht="12" customHeight="1">
      <c r="A39" s="61" t="s">
        <v>23</v>
      </c>
      <c r="B39" s="61"/>
      <c r="C39" s="61">
        <v>-0.6</v>
      </c>
      <c r="D39" s="61">
        <v>0.3</v>
      </c>
      <c r="E39" s="61">
        <v>44.4</v>
      </c>
      <c r="F39" s="61">
        <v>-0.9</v>
      </c>
      <c r="G39" s="61">
        <v>-1.4</v>
      </c>
      <c r="H39" s="61">
        <v>22.5</v>
      </c>
      <c r="I39" s="61">
        <v>-1.4</v>
      </c>
      <c r="J39" s="61">
        <v>0</v>
      </c>
      <c r="K39" s="61">
        <v>0.7</v>
      </c>
    </row>
    <row r="40" spans="1:11" ht="12" customHeight="1">
      <c r="A40" s="61" t="s">
        <v>22</v>
      </c>
      <c r="B40" s="61">
        <v>0.2</v>
      </c>
      <c r="C40" s="61">
        <v>-0.8</v>
      </c>
      <c r="D40" s="61">
        <v>0.4</v>
      </c>
      <c r="E40" s="61">
        <v>-26.4</v>
      </c>
      <c r="F40" s="61">
        <v>0.7</v>
      </c>
      <c r="G40" s="61">
        <v>-0.5</v>
      </c>
      <c r="H40" s="61">
        <v>6.5</v>
      </c>
      <c r="I40" s="61">
        <v>7.6</v>
      </c>
      <c r="J40" s="61">
        <v>-7.7</v>
      </c>
      <c r="K40" s="61">
        <v>1.7</v>
      </c>
    </row>
    <row r="41" spans="1:11" ht="12" customHeight="1">
      <c r="A41" s="61" t="s">
        <v>21</v>
      </c>
      <c r="B41" s="61">
        <v>7.3</v>
      </c>
      <c r="C41" s="61">
        <v>8.8000000000000007</v>
      </c>
      <c r="D41" s="61">
        <v>14.7</v>
      </c>
      <c r="E41" s="61">
        <v>33.700000000000003</v>
      </c>
      <c r="F41" s="61">
        <v>53.5</v>
      </c>
      <c r="G41" s="61">
        <v>97.1</v>
      </c>
      <c r="H41" s="61">
        <v>90.4</v>
      </c>
      <c r="I41" s="61">
        <v>62</v>
      </c>
      <c r="J41" s="61">
        <v>68.400000000000006</v>
      </c>
      <c r="K41" s="61">
        <v>82.7</v>
      </c>
    </row>
    <row r="42" spans="1:11" ht="12" customHeight="1">
      <c r="A42" s="61" t="s">
        <v>20</v>
      </c>
      <c r="B42" s="61"/>
      <c r="C42" s="61"/>
      <c r="D42" s="61"/>
      <c r="E42" s="61"/>
      <c r="F42" s="61"/>
      <c r="G42" s="61"/>
      <c r="H42" s="61"/>
      <c r="I42" s="61"/>
      <c r="J42" s="61"/>
      <c r="K42" s="61"/>
    </row>
    <row r="43" spans="1:11" ht="12" customHeight="1">
      <c r="A43" s="61" t="s">
        <v>19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</row>
    <row r="44" spans="1:11" ht="12" customHeight="1">
      <c r="A44" s="61" t="s">
        <v>18</v>
      </c>
      <c r="B44" s="61">
        <v>0</v>
      </c>
      <c r="C44" s="61">
        <v>0.1</v>
      </c>
      <c r="D44" s="61">
        <v>0</v>
      </c>
      <c r="E44" s="61">
        <v>-0.3</v>
      </c>
      <c r="F44" s="61">
        <v>-0.2</v>
      </c>
      <c r="G44" s="61">
        <v>0</v>
      </c>
      <c r="H44" s="61">
        <v>-1.1000000000000001</v>
      </c>
      <c r="I44" s="61">
        <v>-0.9</v>
      </c>
      <c r="J44" s="61">
        <v>-0.2</v>
      </c>
      <c r="K44" s="61">
        <v>-0.3</v>
      </c>
    </row>
    <row r="45" spans="1:11" ht="12" customHeight="1">
      <c r="A45" s="61" t="s">
        <v>17</v>
      </c>
      <c r="B45" s="61">
        <v>0</v>
      </c>
      <c r="C45" s="61"/>
      <c r="D45" s="61">
        <v>0.1</v>
      </c>
      <c r="E45" s="61"/>
      <c r="F45" s="61"/>
      <c r="G45" s="61"/>
      <c r="H45" s="61">
        <v>0.1</v>
      </c>
      <c r="I45" s="61">
        <v>-0.7</v>
      </c>
      <c r="J45" s="61">
        <v>-3.9</v>
      </c>
      <c r="K45" s="61">
        <v>-6.5</v>
      </c>
    </row>
    <row r="46" spans="1:11" ht="12" customHeight="1">
      <c r="A46" s="61" t="s">
        <v>16</v>
      </c>
      <c r="B46" s="61"/>
      <c r="C46" s="61">
        <v>0</v>
      </c>
      <c r="D46" s="61">
        <v>-0.5</v>
      </c>
      <c r="E46" s="61"/>
      <c r="F46" s="61"/>
      <c r="G46" s="61"/>
      <c r="H46" s="61"/>
      <c r="I46" s="61"/>
      <c r="J46" s="61">
        <v>-0.6</v>
      </c>
      <c r="K46" s="61">
        <v>-1.1000000000000001</v>
      </c>
    </row>
    <row r="47" spans="1:11" s="107" customFormat="1" ht="12" customHeight="1">
      <c r="A47" s="106" t="s">
        <v>15</v>
      </c>
      <c r="B47" s="108">
        <f>B31+B36+B35+B39+B40+B44+B45+B46</f>
        <v>8.8999999999999968</v>
      </c>
      <c r="C47" s="108">
        <f t="shared" ref="C47:K47" si="2">C31+C36+C35+C39+C40+C44+C45+C46</f>
        <v>11.2</v>
      </c>
      <c r="D47" s="108">
        <f t="shared" si="2"/>
        <v>16.2</v>
      </c>
      <c r="E47" s="108">
        <f t="shared" si="2"/>
        <v>36.699999999999996</v>
      </c>
      <c r="F47" s="108">
        <f t="shared" si="2"/>
        <v>59.557447638560419</v>
      </c>
      <c r="G47" s="108">
        <f t="shared" si="2"/>
        <v>76.741385509801376</v>
      </c>
      <c r="H47" s="108">
        <f t="shared" si="2"/>
        <v>94.273956880579675</v>
      </c>
      <c r="I47" s="108">
        <f t="shared" si="2"/>
        <v>77.263163932961191</v>
      </c>
      <c r="J47" s="108">
        <f t="shared" si="2"/>
        <v>73.047193950159141</v>
      </c>
      <c r="K47" s="108">
        <f t="shared" si="2"/>
        <v>82.722609143609233</v>
      </c>
    </row>
    <row r="48" spans="1:11" ht="12" customHeight="1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</row>
    <row r="49" spans="1:11" ht="12" customHeight="1">
      <c r="A49" s="61" t="s">
        <v>14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</row>
    <row r="50" spans="1:11" s="107" customFormat="1" ht="12" customHeight="1">
      <c r="A50" s="106" t="s">
        <v>13</v>
      </c>
      <c r="B50" s="106">
        <v>1.8</v>
      </c>
      <c r="C50" s="106">
        <v>2</v>
      </c>
      <c r="D50" s="106">
        <v>2.2999999999999998</v>
      </c>
      <c r="E50" s="106">
        <v>2.9</v>
      </c>
      <c r="F50" s="106">
        <v>11.1</v>
      </c>
      <c r="G50" s="106">
        <v>20.8</v>
      </c>
      <c r="H50" s="106">
        <v>21.4</v>
      </c>
      <c r="I50" s="106">
        <v>16.8</v>
      </c>
      <c r="J50" s="106">
        <v>22.1</v>
      </c>
      <c r="K50" s="106">
        <v>24</v>
      </c>
    </row>
    <row r="51" spans="1:11" ht="12" customHeight="1">
      <c r="A51" s="61" t="s">
        <v>12</v>
      </c>
      <c r="B51" s="61">
        <v>5.6</v>
      </c>
      <c r="C51" s="61">
        <v>6.9</v>
      </c>
      <c r="D51" s="61">
        <v>12</v>
      </c>
      <c r="E51" s="61">
        <v>30.5</v>
      </c>
      <c r="F51" s="61">
        <v>42.2</v>
      </c>
      <c r="G51" s="61">
        <v>76.3</v>
      </c>
      <c r="H51" s="61">
        <v>68</v>
      </c>
      <c r="I51" s="61">
        <v>43.5</v>
      </c>
      <c r="J51" s="61">
        <v>41.7</v>
      </c>
      <c r="K51" s="61">
        <v>50.7</v>
      </c>
    </row>
    <row r="52" spans="1:11" ht="12" customHeight="1">
      <c r="A52" s="61" t="s">
        <v>11</v>
      </c>
      <c r="B52" s="61"/>
      <c r="C52" s="61"/>
      <c r="D52" s="61"/>
      <c r="E52" s="61">
        <v>-1.6</v>
      </c>
      <c r="F52" s="61">
        <v>-6.3</v>
      </c>
      <c r="G52" s="61">
        <v>-8</v>
      </c>
      <c r="H52" s="61">
        <v>-5.3</v>
      </c>
      <c r="I52" s="61">
        <v>-4.9000000000000004</v>
      </c>
      <c r="J52" s="61">
        <v>-3.1</v>
      </c>
      <c r="K52" s="61">
        <v>-2.2000000000000002</v>
      </c>
    </row>
    <row r="53" spans="1:11" s="107" customFormat="1" ht="12" customHeight="1">
      <c r="A53" s="106" t="s">
        <v>10</v>
      </c>
      <c r="B53" s="108">
        <f>B47-B50</f>
        <v>7.099999999999997</v>
      </c>
      <c r="C53" s="108">
        <f t="shared" ref="C53:K53" si="3">C47-C50</f>
        <v>9.1999999999999993</v>
      </c>
      <c r="D53" s="108">
        <f t="shared" si="3"/>
        <v>13.899999999999999</v>
      </c>
      <c r="E53" s="108">
        <f t="shared" si="3"/>
        <v>33.799999999999997</v>
      </c>
      <c r="F53" s="108">
        <f t="shared" si="3"/>
        <v>48.457447638560417</v>
      </c>
      <c r="G53" s="108">
        <f t="shared" si="3"/>
        <v>55.941385509801378</v>
      </c>
      <c r="H53" s="108">
        <f t="shared" si="3"/>
        <v>72.873956880579669</v>
      </c>
      <c r="I53" s="108">
        <f t="shared" si="3"/>
        <v>60.463163932961194</v>
      </c>
      <c r="J53" s="108">
        <f t="shared" si="3"/>
        <v>50.947193950159139</v>
      </c>
      <c r="K53" s="108">
        <f t="shared" si="3"/>
        <v>58.722609143609233</v>
      </c>
    </row>
    <row r="54" spans="1:11" ht="12" customHeight="1">
      <c r="A54" s="61" t="s">
        <v>9</v>
      </c>
      <c r="B54" s="61"/>
      <c r="C54" s="61"/>
      <c r="D54" s="61"/>
      <c r="E54" s="61"/>
      <c r="F54" s="61"/>
      <c r="G54" s="61"/>
      <c r="H54" s="61"/>
      <c r="I54" s="61"/>
      <c r="J54" s="61"/>
      <c r="K54" s="61"/>
    </row>
    <row r="55" spans="1:11" ht="12" customHeight="1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16E1-4818-4C5F-ABA7-218D255C32B8}">
  <sheetPr>
    <tabColor theme="0" tint="-0.249977111117893"/>
  </sheetPr>
  <dimension ref="A1:IR62"/>
  <sheetViews>
    <sheetView topLeftCell="A10" zoomScaleNormal="100" workbookViewId="0">
      <selection activeCell="A49" sqref="A49"/>
    </sheetView>
  </sheetViews>
  <sheetFormatPr baseColWidth="10" defaultColWidth="8.88671875" defaultRowHeight="12" customHeight="1" outlineLevelCol="1"/>
  <cols>
    <col min="1" max="1" width="45.6640625" style="7" customWidth="1"/>
    <col min="2" max="5" width="10.6640625" style="7" hidden="1" customWidth="1" outlineLevel="1"/>
    <col min="6" max="6" width="10.6640625" style="7" customWidth="1" collapsed="1"/>
    <col min="7" max="11" width="10.6640625" style="7" customWidth="1"/>
    <col min="12" max="16384" width="8.88671875" style="7"/>
  </cols>
  <sheetData>
    <row r="1" spans="1:252" ht="10.35" customHeight="1"/>
    <row r="2" spans="1:252" ht="10.35" customHeight="1"/>
    <row r="3" spans="1:252" ht="16.350000000000001" customHeight="1">
      <c r="A3" s="15" t="s">
        <v>146</v>
      </c>
      <c r="B3" s="10"/>
      <c r="C3" s="10"/>
      <c r="D3" s="10"/>
      <c r="E3" s="10"/>
      <c r="F3" s="10"/>
    </row>
    <row r="4" spans="1:252" ht="10.35" customHeight="1">
      <c r="A4" s="10"/>
      <c r="B4" s="10"/>
      <c r="C4" s="10"/>
      <c r="D4" s="10"/>
      <c r="E4" s="10"/>
      <c r="F4" s="10"/>
    </row>
    <row r="5" spans="1:252" ht="10.35" customHeight="1">
      <c r="A5" s="16" t="s">
        <v>131</v>
      </c>
      <c r="B5" s="17" t="s">
        <v>132</v>
      </c>
      <c r="C5" s="10" t="s">
        <v>133</v>
      </c>
      <c r="D5" s="18" t="s">
        <v>134</v>
      </c>
      <c r="E5" s="17" t="s">
        <v>135</v>
      </c>
      <c r="F5" s="10" t="s">
        <v>136</v>
      </c>
    </row>
    <row r="6" spans="1:252" ht="10.35" customHeight="1">
      <c r="A6" s="18"/>
      <c r="B6" s="17" t="s">
        <v>137</v>
      </c>
      <c r="C6" s="10" t="s">
        <v>138</v>
      </c>
      <c r="D6" s="18" t="s">
        <v>134</v>
      </c>
      <c r="E6" s="17" t="s">
        <v>139</v>
      </c>
      <c r="F6" s="10" t="s">
        <v>140</v>
      </c>
    </row>
    <row r="7" spans="1:252" ht="10.35" customHeight="1">
      <c r="A7" s="18"/>
      <c r="B7" s="17" t="s">
        <v>141</v>
      </c>
      <c r="C7" s="10" t="s">
        <v>149</v>
      </c>
      <c r="D7" s="18" t="s">
        <v>134</v>
      </c>
      <c r="E7" s="17" t="s">
        <v>142</v>
      </c>
      <c r="F7" s="10" t="s">
        <v>151</v>
      </c>
    </row>
    <row r="8" spans="1:252" ht="10.35" customHeight="1">
      <c r="A8" s="18"/>
      <c r="B8" s="17" t="s">
        <v>143</v>
      </c>
      <c r="C8" s="10" t="s">
        <v>147</v>
      </c>
      <c r="D8" s="18" t="s">
        <v>134</v>
      </c>
      <c r="E8" s="17" t="s">
        <v>144</v>
      </c>
      <c r="F8" s="19" t="s">
        <v>148</v>
      </c>
    </row>
    <row r="9" spans="1:252" ht="10.35" customHeight="1">
      <c r="A9" s="18"/>
      <c r="B9" s="17" t="s">
        <v>145</v>
      </c>
      <c r="C9" s="10" t="s">
        <v>150</v>
      </c>
      <c r="D9" s="18" t="s">
        <v>134</v>
      </c>
      <c r="E9" s="20"/>
      <c r="F9" s="20"/>
    </row>
    <row r="10" spans="1:252" ht="10.35" customHeight="1"/>
    <row r="11" spans="1:252" ht="10.35" customHeight="1"/>
    <row r="12" spans="1:252" s="10" customFormat="1" ht="10.199999999999999">
      <c r="A12" s="8" t="s">
        <v>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</row>
    <row r="13" spans="1:252" s="10" customFormat="1" ht="20.399999999999999">
      <c r="A13" s="11" t="s">
        <v>121</v>
      </c>
      <c r="B13" s="12" t="s">
        <v>122</v>
      </c>
      <c r="C13" s="12" t="s">
        <v>123</v>
      </c>
      <c r="D13" s="12" t="s">
        <v>124</v>
      </c>
      <c r="E13" s="12" t="s">
        <v>125</v>
      </c>
      <c r="F13" s="12" t="s">
        <v>126</v>
      </c>
      <c r="G13" s="12" t="s">
        <v>127</v>
      </c>
      <c r="H13" s="12" t="s">
        <v>128</v>
      </c>
      <c r="I13" s="12" t="s">
        <v>130</v>
      </c>
      <c r="J13" s="12" t="s">
        <v>197</v>
      </c>
      <c r="K13" s="12" t="s">
        <v>196</v>
      </c>
    </row>
    <row r="14" spans="1:252" s="10" customFormat="1" ht="10.199999999999999">
      <c r="A14" s="13" t="s">
        <v>3</v>
      </c>
      <c r="B14" s="14" t="s">
        <v>129</v>
      </c>
      <c r="C14" s="14" t="s">
        <v>129</v>
      </c>
      <c r="D14" s="14" t="s">
        <v>129</v>
      </c>
      <c r="E14" s="14" t="s">
        <v>129</v>
      </c>
      <c r="F14" s="14" t="s">
        <v>129</v>
      </c>
      <c r="G14" s="14" t="s">
        <v>129</v>
      </c>
      <c r="H14" s="14" t="s">
        <v>129</v>
      </c>
      <c r="I14" s="14" t="s">
        <v>129</v>
      </c>
      <c r="J14" s="14" t="s">
        <v>129</v>
      </c>
      <c r="K14" s="14" t="s">
        <v>129</v>
      </c>
    </row>
    <row r="16" spans="1:252" ht="12" customHeight="1">
      <c r="A16" s="7" t="s">
        <v>84</v>
      </c>
    </row>
    <row r="17" spans="1:11" ht="12" customHeight="1">
      <c r="A17" s="7" t="s">
        <v>83</v>
      </c>
      <c r="B17" s="7">
        <v>3.4</v>
      </c>
      <c r="C17" s="7">
        <v>25.3</v>
      </c>
      <c r="D17" s="7">
        <v>27.1</v>
      </c>
      <c r="E17" s="7">
        <v>66</v>
      </c>
      <c r="F17" s="7">
        <v>86.3</v>
      </c>
      <c r="G17" s="7">
        <v>558.4</v>
      </c>
      <c r="H17" s="7">
        <v>540.70000000000005</v>
      </c>
      <c r="I17" s="7">
        <v>494</v>
      </c>
      <c r="J17" s="7">
        <v>552.1</v>
      </c>
      <c r="K17" s="7">
        <v>467</v>
      </c>
    </row>
    <row r="18" spans="1:11" s="107" customFormat="1" ht="12" customHeight="1">
      <c r="A18" s="107" t="s">
        <v>82</v>
      </c>
      <c r="B18" s="107">
        <v>2.2999999999999998</v>
      </c>
      <c r="C18" s="107">
        <v>15.8</v>
      </c>
      <c r="D18" s="107">
        <v>15.9</v>
      </c>
      <c r="E18" s="107">
        <v>59.9</v>
      </c>
      <c r="F18" s="107">
        <v>53.7</v>
      </c>
      <c r="G18" s="107">
        <v>22.299999999999969</v>
      </c>
      <c r="H18" s="107">
        <v>20.299999999999972</v>
      </c>
      <c r="I18" s="107">
        <v>8.4999999999999751</v>
      </c>
      <c r="J18" s="107">
        <v>51.699999999999974</v>
      </c>
      <c r="K18" s="107">
        <v>246.39999999999998</v>
      </c>
    </row>
    <row r="19" spans="1:11" s="107" customFormat="1" ht="12" customHeight="1">
      <c r="A19" s="107" t="s">
        <v>81</v>
      </c>
      <c r="B19" s="107">
        <v>0</v>
      </c>
      <c r="C19" s="107">
        <v>9.5</v>
      </c>
      <c r="D19" s="107">
        <v>11.3</v>
      </c>
      <c r="E19" s="107">
        <v>6.1</v>
      </c>
      <c r="F19" s="107">
        <v>32.5</v>
      </c>
      <c r="G19" s="107">
        <v>529</v>
      </c>
      <c r="H19" s="107">
        <v>514.6</v>
      </c>
      <c r="I19" s="107">
        <v>480.8</v>
      </c>
      <c r="J19" s="107">
        <v>494.7</v>
      </c>
      <c r="K19" s="107">
        <v>219.9</v>
      </c>
    </row>
    <row r="20" spans="1:11" s="107" customFormat="1" ht="12" customHeight="1">
      <c r="A20" s="107" t="s">
        <v>80</v>
      </c>
      <c r="B20" s="107">
        <v>7.6</v>
      </c>
      <c r="C20" s="107">
        <v>11.3</v>
      </c>
      <c r="D20" s="107">
        <v>18.399999999999999</v>
      </c>
      <c r="E20" s="107">
        <v>18.100000000000001</v>
      </c>
      <c r="F20" s="107">
        <v>26.8</v>
      </c>
      <c r="G20" s="107">
        <v>62.1</v>
      </c>
      <c r="H20" s="107">
        <v>50.4</v>
      </c>
      <c r="I20" s="107">
        <v>33.1</v>
      </c>
      <c r="J20" s="107">
        <v>40.200000000000003</v>
      </c>
      <c r="K20" s="107">
        <v>25.4</v>
      </c>
    </row>
    <row r="21" spans="1:11" ht="12" customHeight="1">
      <c r="A21" s="7" t="s">
        <v>79</v>
      </c>
      <c r="B21" s="7">
        <v>7.3</v>
      </c>
      <c r="C21" s="7">
        <v>10.9</v>
      </c>
      <c r="D21" s="7">
        <v>17.600000000000001</v>
      </c>
      <c r="E21" s="7">
        <v>17.5</v>
      </c>
      <c r="F21" s="7">
        <v>25.9</v>
      </c>
      <c r="G21" s="7">
        <v>58.8</v>
      </c>
      <c r="H21" s="7">
        <v>49.8</v>
      </c>
      <c r="I21" s="7">
        <v>32.4</v>
      </c>
      <c r="J21" s="7">
        <v>25.7</v>
      </c>
      <c r="K21" s="7">
        <v>24.3</v>
      </c>
    </row>
    <row r="22" spans="1:11" ht="12" customHeight="1">
      <c r="A22" s="7" t="s">
        <v>78</v>
      </c>
      <c r="B22" s="7">
        <v>0.3</v>
      </c>
      <c r="C22" s="7">
        <v>0.4</v>
      </c>
      <c r="D22" s="7">
        <v>0.8</v>
      </c>
      <c r="E22" s="7">
        <v>0.6</v>
      </c>
      <c r="F22" s="7">
        <v>0.9</v>
      </c>
      <c r="G22" s="7">
        <v>3.3</v>
      </c>
      <c r="H22" s="7">
        <v>0.6</v>
      </c>
      <c r="I22" s="7">
        <v>0.7</v>
      </c>
      <c r="J22" s="7">
        <v>2.6</v>
      </c>
      <c r="K22" s="7">
        <v>1.1000000000000001</v>
      </c>
    </row>
    <row r="23" spans="1:11" s="107" customFormat="1" ht="12" customHeight="1">
      <c r="A23" s="107" t="s">
        <v>77</v>
      </c>
      <c r="B23" s="107">
        <v>1.5</v>
      </c>
      <c r="C23" s="107">
        <v>1.8</v>
      </c>
      <c r="D23" s="107">
        <v>1.5</v>
      </c>
      <c r="E23" s="107">
        <v>6.8</v>
      </c>
      <c r="F23" s="107">
        <v>11.2</v>
      </c>
      <c r="G23" s="107">
        <v>14.6</v>
      </c>
      <c r="H23" s="107">
        <v>19.600000000000001</v>
      </c>
      <c r="I23" s="107">
        <v>25</v>
      </c>
      <c r="J23" s="107">
        <v>21.3</v>
      </c>
      <c r="K23" s="107">
        <v>23</v>
      </c>
    </row>
    <row r="24" spans="1:11" ht="12" customHeight="1">
      <c r="A24" s="7" t="s">
        <v>76</v>
      </c>
    </row>
    <row r="25" spans="1:11" ht="12" customHeight="1">
      <c r="A25" s="7" t="s">
        <v>75</v>
      </c>
      <c r="B25" s="7">
        <v>0</v>
      </c>
      <c r="C25" s="7">
        <v>0.1</v>
      </c>
      <c r="D25" s="7">
        <v>0.6</v>
      </c>
      <c r="E25" s="7">
        <v>0.2</v>
      </c>
      <c r="F25" s="7">
        <v>0</v>
      </c>
      <c r="G25" s="7">
        <v>1</v>
      </c>
      <c r="H25" s="7">
        <v>3.1</v>
      </c>
      <c r="I25" s="7">
        <v>0.2</v>
      </c>
      <c r="J25" s="7">
        <v>0.2</v>
      </c>
      <c r="K25" s="7">
        <v>1</v>
      </c>
    </row>
    <row r="26" spans="1:11" ht="12" customHeight="1">
      <c r="A26" s="7" t="s">
        <v>74</v>
      </c>
      <c r="B26" s="7">
        <v>0.3</v>
      </c>
      <c r="C26" s="7">
        <v>0.3</v>
      </c>
      <c r="D26" s="7">
        <v>0.3</v>
      </c>
      <c r="E26" s="7">
        <v>0.2</v>
      </c>
      <c r="F26" s="7">
        <v>1.1000000000000001</v>
      </c>
      <c r="G26" s="7">
        <v>0.7</v>
      </c>
      <c r="H26" s="7">
        <v>1.3</v>
      </c>
      <c r="I26" s="7">
        <v>2.4</v>
      </c>
      <c r="J26" s="7">
        <v>0.7</v>
      </c>
      <c r="K26" s="7">
        <v>1.1000000000000001</v>
      </c>
    </row>
    <row r="27" spans="1:11" s="107" customFormat="1" ht="12" customHeight="1">
      <c r="A27" s="107" t="s">
        <v>73</v>
      </c>
      <c r="B27" s="107">
        <v>11.7</v>
      </c>
      <c r="C27" s="107">
        <v>38.799999999999997</v>
      </c>
      <c r="D27" s="107">
        <v>48</v>
      </c>
      <c r="E27" s="107">
        <v>91.3</v>
      </c>
      <c r="F27" s="107">
        <v>125.3</v>
      </c>
      <c r="G27" s="107">
        <v>629.70000000000005</v>
      </c>
      <c r="H27" s="107">
        <v>609.29999999999995</v>
      </c>
      <c r="I27" s="107">
        <v>550</v>
      </c>
      <c r="J27" s="107">
        <v>608.80000000000007</v>
      </c>
      <c r="K27" s="107">
        <v>516.79999999999995</v>
      </c>
    </row>
    <row r="28" spans="1:11" s="107" customFormat="1" ht="12" customHeight="1">
      <c r="A28" s="107" t="s">
        <v>72</v>
      </c>
      <c r="B28" s="107">
        <v>8.4</v>
      </c>
      <c r="C28" s="107">
        <v>25.6</v>
      </c>
      <c r="D28" s="107">
        <v>28.9</v>
      </c>
      <c r="E28" s="107">
        <v>41.6</v>
      </c>
      <c r="F28" s="107">
        <v>48.7</v>
      </c>
      <c r="G28" s="107">
        <v>50.900000000000006</v>
      </c>
      <c r="H28" s="107">
        <v>52.70000000000001</v>
      </c>
      <c r="I28" s="107">
        <v>59.79999999999999</v>
      </c>
      <c r="J28" s="107">
        <v>71.3</v>
      </c>
      <c r="K28" s="107">
        <v>64.899999999999991</v>
      </c>
    </row>
    <row r="29" spans="1:11" ht="12" customHeight="1">
      <c r="A29" s="7" t="s">
        <v>71</v>
      </c>
      <c r="B29" s="7">
        <v>11.8</v>
      </c>
      <c r="C29" s="7">
        <v>29.6</v>
      </c>
      <c r="D29" s="7">
        <v>33.299999999999997</v>
      </c>
      <c r="E29" s="7">
        <v>47.4</v>
      </c>
      <c r="F29" s="7">
        <v>57.6</v>
      </c>
      <c r="G29" s="7">
        <v>70.7</v>
      </c>
      <c r="H29" s="7">
        <v>74.8</v>
      </c>
      <c r="I29" s="7">
        <v>86.2</v>
      </c>
      <c r="J29" s="7">
        <v>105.7</v>
      </c>
      <c r="K29" s="7">
        <v>119.8</v>
      </c>
    </row>
    <row r="30" spans="1:11" ht="12" customHeight="1">
      <c r="A30" s="7" t="s">
        <v>70</v>
      </c>
      <c r="B30" s="7">
        <v>-3.5</v>
      </c>
      <c r="C30" s="7">
        <v>-4</v>
      </c>
      <c r="D30" s="7">
        <v>-4.4000000000000004</v>
      </c>
      <c r="E30" s="7">
        <v>-5.9</v>
      </c>
      <c r="F30" s="7">
        <v>-8.9</v>
      </c>
      <c r="G30" s="7">
        <v>-15.4</v>
      </c>
      <c r="H30" s="7">
        <v>-20.399999999999999</v>
      </c>
      <c r="I30" s="7">
        <v>-25.8</v>
      </c>
      <c r="J30" s="7">
        <v>-35</v>
      </c>
      <c r="K30" s="7">
        <v>-39.4</v>
      </c>
    </row>
    <row r="31" spans="1:11" ht="12" customHeight="1">
      <c r="A31" s="7" t="s">
        <v>69</v>
      </c>
      <c r="B31" s="7">
        <v>0.5</v>
      </c>
      <c r="C31" s="7">
        <v>7.1</v>
      </c>
      <c r="D31" s="7">
        <v>6</v>
      </c>
      <c r="E31" s="7">
        <v>5.8</v>
      </c>
      <c r="F31" s="7">
        <v>8.8000000000000007</v>
      </c>
      <c r="G31" s="7">
        <v>9.6</v>
      </c>
      <c r="H31" s="7">
        <v>33</v>
      </c>
      <c r="I31" s="7">
        <v>23.5</v>
      </c>
      <c r="J31" s="7">
        <v>30.3</v>
      </c>
      <c r="K31" s="7">
        <v>72.900000000000006</v>
      </c>
    </row>
    <row r="32" spans="1:11" s="107" customFormat="1" ht="12" customHeight="1">
      <c r="A32" s="107" t="s">
        <v>68</v>
      </c>
      <c r="D32" s="107">
        <v>0.1</v>
      </c>
      <c r="E32" s="107">
        <v>46.8</v>
      </c>
      <c r="F32" s="107">
        <v>145.6</v>
      </c>
      <c r="G32" s="107">
        <v>151.6</v>
      </c>
      <c r="H32" s="107">
        <v>167.8</v>
      </c>
      <c r="I32" s="107">
        <v>166</v>
      </c>
      <c r="J32" s="107">
        <v>185</v>
      </c>
      <c r="K32" s="107">
        <v>180.1</v>
      </c>
    </row>
    <row r="33" spans="1:11" s="107" customFormat="1" ht="12" customHeight="1">
      <c r="A33" s="107" t="s">
        <v>67</v>
      </c>
      <c r="B33" s="107">
        <v>0</v>
      </c>
      <c r="C33" s="107">
        <v>0.6</v>
      </c>
      <c r="D33" s="107">
        <v>0.1</v>
      </c>
      <c r="E33" s="107">
        <v>7</v>
      </c>
      <c r="F33" s="107">
        <v>6.5</v>
      </c>
      <c r="G33" s="107">
        <v>7</v>
      </c>
      <c r="H33" s="107">
        <v>26</v>
      </c>
      <c r="I33" s="107">
        <v>24.6</v>
      </c>
      <c r="J33" s="107">
        <v>30.3</v>
      </c>
      <c r="K33" s="107">
        <v>32</v>
      </c>
    </row>
    <row r="34" spans="1:11" ht="12" customHeight="1">
      <c r="A34" s="7" t="s">
        <v>66</v>
      </c>
      <c r="C34" s="7">
        <v>0</v>
      </c>
      <c r="D34" s="7">
        <v>0</v>
      </c>
      <c r="E34" s="7">
        <v>0</v>
      </c>
      <c r="F34" s="7">
        <v>0</v>
      </c>
      <c r="G34" s="7">
        <v>3.7</v>
      </c>
      <c r="H34" s="7">
        <v>15.6</v>
      </c>
      <c r="I34" s="7">
        <v>14</v>
      </c>
      <c r="J34" s="7">
        <v>0</v>
      </c>
      <c r="K34" s="7">
        <v>0</v>
      </c>
    </row>
    <row r="35" spans="1:11" ht="12" customHeight="1">
      <c r="A35" s="7" t="s">
        <v>65</v>
      </c>
      <c r="B35" s="7">
        <v>0.4</v>
      </c>
      <c r="C35" s="7">
        <v>0.6</v>
      </c>
      <c r="D35" s="7">
        <v>1.2</v>
      </c>
      <c r="E35" s="7">
        <v>0.9</v>
      </c>
      <c r="F35" s="7">
        <v>3</v>
      </c>
      <c r="K35" s="7">
        <v>3.7</v>
      </c>
    </row>
    <row r="36" spans="1:11" ht="12" customHeight="1">
      <c r="A36" s="7" t="s">
        <v>64</v>
      </c>
      <c r="D36" s="7">
        <v>0.7</v>
      </c>
      <c r="E36" s="7">
        <v>0.8</v>
      </c>
      <c r="F36" s="7">
        <v>0.9</v>
      </c>
      <c r="G36" s="7">
        <v>1.1000000000000001</v>
      </c>
      <c r="H36" s="7">
        <v>7.2</v>
      </c>
      <c r="I36" s="7">
        <v>25</v>
      </c>
      <c r="J36" s="7">
        <v>40.799999999999997</v>
      </c>
      <c r="K36" s="7">
        <v>53.6</v>
      </c>
    </row>
    <row r="37" spans="1:11" ht="12" customHeight="1">
      <c r="A37" s="7" t="s">
        <v>63</v>
      </c>
      <c r="B37" s="7">
        <v>2.1999999999999997</v>
      </c>
      <c r="C37" s="7">
        <v>1.2000000000000073</v>
      </c>
      <c r="D37" s="7">
        <v>4.0999999999999961</v>
      </c>
      <c r="E37" s="7">
        <v>4.3</v>
      </c>
      <c r="F37" s="7">
        <v>7.5000000000000053</v>
      </c>
      <c r="G37" s="7">
        <v>18.299999999999937</v>
      </c>
      <c r="H37" s="7">
        <v>15.7</v>
      </c>
      <c r="I37" s="7">
        <v>13.899999999999942</v>
      </c>
      <c r="J37" s="7">
        <v>15.099999999999937</v>
      </c>
      <c r="K37" s="7">
        <v>26.500000000000092</v>
      </c>
    </row>
    <row r="38" spans="1:11" s="107" customFormat="1" ht="12" customHeight="1">
      <c r="A38" s="107" t="s">
        <v>62</v>
      </c>
      <c r="B38" s="107">
        <v>23.2</v>
      </c>
      <c r="C38" s="107">
        <v>73.900000000000006</v>
      </c>
      <c r="D38" s="107">
        <v>89.1</v>
      </c>
      <c r="E38" s="107">
        <v>198.5</v>
      </c>
      <c r="F38" s="107">
        <v>346.3</v>
      </c>
      <c r="G38" s="107">
        <v>871.9</v>
      </c>
      <c r="H38" s="107">
        <v>927.3</v>
      </c>
      <c r="I38" s="107">
        <v>876.8</v>
      </c>
      <c r="J38" s="107">
        <v>981.6</v>
      </c>
      <c r="K38" s="107">
        <v>950.5</v>
      </c>
    </row>
    <row r="40" spans="1:11" ht="12" customHeight="1">
      <c r="A40" s="7" t="s">
        <v>61</v>
      </c>
      <c r="B40" s="62"/>
      <c r="C40" s="62"/>
      <c r="D40" s="62"/>
      <c r="E40" s="62"/>
      <c r="F40" s="62"/>
      <c r="G40" s="62"/>
      <c r="H40" s="62"/>
      <c r="I40" s="62"/>
      <c r="J40" s="62"/>
      <c r="K40" s="62"/>
    </row>
    <row r="41" spans="1:11" s="107" customFormat="1" ht="12" customHeight="1">
      <c r="A41" s="107" t="s">
        <v>60</v>
      </c>
      <c r="B41" s="107">
        <v>0.1</v>
      </c>
      <c r="C41" s="107">
        <v>0.2</v>
      </c>
      <c r="D41" s="107">
        <v>2.2999999999999998</v>
      </c>
      <c r="E41" s="107">
        <v>3</v>
      </c>
      <c r="F41" s="107">
        <v>2.7</v>
      </c>
      <c r="G41" s="107">
        <v>4.4000000000000004</v>
      </c>
      <c r="H41" s="107">
        <v>5.4</v>
      </c>
      <c r="I41" s="107">
        <v>4.9000000000000004</v>
      </c>
      <c r="J41" s="107">
        <v>4.4000000000000004</v>
      </c>
      <c r="K41" s="107">
        <v>5.8</v>
      </c>
    </row>
    <row r="42" spans="1:11" ht="12" customHeight="1">
      <c r="A42" s="7" t="s">
        <v>59</v>
      </c>
      <c r="B42" s="7">
        <v>0.3</v>
      </c>
      <c r="C42" s="7">
        <v>0.5</v>
      </c>
      <c r="E42" s="7">
        <v>0.7</v>
      </c>
      <c r="F42" s="7">
        <v>1.3</v>
      </c>
      <c r="G42" s="7">
        <v>1.7</v>
      </c>
      <c r="H42" s="7">
        <v>1.2</v>
      </c>
      <c r="I42" s="7">
        <v>3</v>
      </c>
      <c r="J42" s="7">
        <v>3.5</v>
      </c>
      <c r="K42" s="7">
        <v>5.9</v>
      </c>
    </row>
    <row r="43" spans="1:11" ht="12" customHeight="1">
      <c r="A43" s="7" t="s">
        <v>58</v>
      </c>
      <c r="B43" s="7">
        <v>0.5</v>
      </c>
      <c r="D43" s="7">
        <v>23.9</v>
      </c>
    </row>
    <row r="44" spans="1:11" ht="12" customHeight="1">
      <c r="A44" s="7" t="s">
        <v>57</v>
      </c>
      <c r="I44" s="7">
        <v>1.1000000000000001</v>
      </c>
      <c r="J44" s="7">
        <v>1.2</v>
      </c>
      <c r="K44" s="7">
        <v>1.3</v>
      </c>
    </row>
    <row r="45" spans="1:11" ht="12" customHeight="1">
      <c r="A45" s="7" t="s">
        <v>56</v>
      </c>
      <c r="B45" s="7">
        <v>1.3</v>
      </c>
      <c r="C45" s="7">
        <v>1.4</v>
      </c>
      <c r="D45" s="7">
        <v>2.1</v>
      </c>
      <c r="E45" s="7">
        <v>1.7</v>
      </c>
      <c r="F45" s="7">
        <v>8.8000000000000007</v>
      </c>
      <c r="G45" s="7">
        <v>9.5</v>
      </c>
      <c r="H45" s="7">
        <v>6.8</v>
      </c>
      <c r="I45" s="7">
        <v>13.7</v>
      </c>
      <c r="J45" s="7">
        <v>13.8</v>
      </c>
      <c r="K45" s="7">
        <v>13.1</v>
      </c>
    </row>
    <row r="46" spans="1:11" ht="12" customHeight="1">
      <c r="A46" s="7" t="s">
        <v>55</v>
      </c>
      <c r="H46" s="7">
        <v>0</v>
      </c>
      <c r="I46" s="7">
        <v>0</v>
      </c>
      <c r="J46" s="7">
        <v>0</v>
      </c>
      <c r="K46" s="7">
        <v>0</v>
      </c>
    </row>
    <row r="47" spans="1:11" ht="12" customHeight="1">
      <c r="A47" s="7" t="s">
        <v>54</v>
      </c>
      <c r="B47" s="7">
        <v>0.8</v>
      </c>
      <c r="C47" s="7">
        <v>1.7</v>
      </c>
      <c r="D47" s="7">
        <v>10.5</v>
      </c>
      <c r="E47" s="7">
        <v>8.5</v>
      </c>
      <c r="F47" s="7">
        <v>3.4</v>
      </c>
      <c r="G47" s="7">
        <v>5.6</v>
      </c>
      <c r="H47" s="7">
        <v>7.3</v>
      </c>
      <c r="I47" s="7">
        <v>9.5</v>
      </c>
      <c r="J47" s="7">
        <v>17.399999999999999</v>
      </c>
      <c r="K47" s="7">
        <v>19.3</v>
      </c>
    </row>
    <row r="48" spans="1:11" s="107" customFormat="1" ht="12" customHeight="1">
      <c r="A48" s="107" t="s">
        <v>53</v>
      </c>
      <c r="B48" s="107">
        <v>3</v>
      </c>
      <c r="C48" s="107">
        <v>3.8</v>
      </c>
      <c r="D48" s="107">
        <v>38.799999999999997</v>
      </c>
      <c r="E48" s="107">
        <v>13.9</v>
      </c>
      <c r="F48" s="107">
        <v>16.2</v>
      </c>
      <c r="G48" s="107">
        <v>21.200000000000003</v>
      </c>
      <c r="H48" s="107">
        <v>20.7</v>
      </c>
      <c r="I48" s="107">
        <v>32.200000000000003</v>
      </c>
      <c r="J48" s="107">
        <v>40.299999999999997</v>
      </c>
      <c r="K48" s="107">
        <v>45.400000000000006</v>
      </c>
    </row>
    <row r="49" spans="1:11" s="107" customFormat="1" ht="12" customHeight="1">
      <c r="A49" s="107" t="s">
        <v>52</v>
      </c>
      <c r="B49" s="107">
        <v>0.5</v>
      </c>
      <c r="C49" s="107">
        <v>34.700000000000003</v>
      </c>
      <c r="F49" s="107">
        <v>102.4</v>
      </c>
      <c r="G49" s="107">
        <v>196.10000000000002</v>
      </c>
      <c r="H49" s="107">
        <v>196.10000000000002</v>
      </c>
      <c r="I49" s="107">
        <v>196.10000000000002</v>
      </c>
      <c r="J49" s="107">
        <v>196.10000000000002</v>
      </c>
      <c r="K49" s="107">
        <v>196.10000000000002</v>
      </c>
    </row>
    <row r="50" spans="1:11" ht="12" customHeight="1">
      <c r="A50" s="7" t="s">
        <v>51</v>
      </c>
      <c r="I50" s="7">
        <v>3.1</v>
      </c>
      <c r="J50" s="7">
        <v>2.1</v>
      </c>
      <c r="K50" s="7">
        <v>2.5</v>
      </c>
    </row>
    <row r="51" spans="1:11" ht="12" customHeight="1">
      <c r="A51" s="7" t="s">
        <v>50</v>
      </c>
    </row>
    <row r="52" spans="1:11" ht="12" customHeight="1">
      <c r="A52" s="7" t="s">
        <v>49</v>
      </c>
      <c r="G52" s="7">
        <v>0.3</v>
      </c>
      <c r="H52" s="7">
        <v>11</v>
      </c>
      <c r="I52" s="7">
        <v>4</v>
      </c>
      <c r="J52" s="7">
        <v>4</v>
      </c>
      <c r="K52" s="7">
        <v>8.6</v>
      </c>
    </row>
    <row r="53" spans="1:11" ht="12" customHeight="1">
      <c r="A53" s="7" t="s">
        <v>48</v>
      </c>
      <c r="B53" s="7">
        <v>0.1</v>
      </c>
      <c r="C53" s="7">
        <v>8.5</v>
      </c>
      <c r="D53" s="7">
        <v>0.1</v>
      </c>
      <c r="E53" s="7">
        <v>0.1</v>
      </c>
      <c r="F53" s="7">
        <v>0</v>
      </c>
      <c r="G53" s="7">
        <v>0.1</v>
      </c>
      <c r="H53" s="7">
        <v>13.1</v>
      </c>
      <c r="I53" s="7">
        <v>14.3</v>
      </c>
      <c r="J53" s="7">
        <v>18.5</v>
      </c>
      <c r="K53" s="7">
        <v>15.6</v>
      </c>
    </row>
    <row r="54" spans="1:11" s="107" customFormat="1" ht="12" customHeight="1">
      <c r="A54" s="107" t="s">
        <v>47</v>
      </c>
      <c r="B54" s="107">
        <v>3.6</v>
      </c>
      <c r="C54" s="107">
        <v>47</v>
      </c>
      <c r="D54" s="107">
        <v>38.9</v>
      </c>
      <c r="E54" s="107">
        <v>14</v>
      </c>
      <c r="F54" s="107">
        <v>118.60000000000001</v>
      </c>
      <c r="G54" s="107">
        <v>217.70000000000002</v>
      </c>
      <c r="H54" s="107">
        <v>240.9</v>
      </c>
      <c r="I54" s="107">
        <v>249.70000000000002</v>
      </c>
      <c r="J54" s="107">
        <v>261</v>
      </c>
      <c r="K54" s="107">
        <v>268.20000000000005</v>
      </c>
    </row>
    <row r="55" spans="1:11" ht="12" customHeight="1">
      <c r="A55" s="7" t="s">
        <v>46</v>
      </c>
      <c r="B55" s="7">
        <v>19.599999999999998</v>
      </c>
      <c r="C55" s="7">
        <v>26.900000000000006</v>
      </c>
      <c r="D55" s="7">
        <v>50.199999999999996</v>
      </c>
      <c r="E55" s="7">
        <v>184.5</v>
      </c>
      <c r="F55" s="7">
        <v>227.7</v>
      </c>
      <c r="G55" s="7">
        <v>654.19999999999993</v>
      </c>
      <c r="H55" s="7">
        <v>686.4</v>
      </c>
      <c r="I55" s="7">
        <v>627.09999999999991</v>
      </c>
      <c r="J55" s="7">
        <v>720.6</v>
      </c>
      <c r="K55" s="7">
        <v>682.3</v>
      </c>
    </row>
    <row r="56" spans="1:11" s="107" customFormat="1" ht="12" customHeight="1">
      <c r="A56" s="107" t="s">
        <v>45</v>
      </c>
      <c r="B56" s="107">
        <v>1</v>
      </c>
      <c r="C56" s="107">
        <v>1</v>
      </c>
      <c r="D56" s="107">
        <v>1</v>
      </c>
      <c r="E56" s="107">
        <v>1.4</v>
      </c>
      <c r="F56" s="107">
        <v>1.4</v>
      </c>
      <c r="G56" s="107">
        <v>2</v>
      </c>
      <c r="H56" s="107">
        <v>2</v>
      </c>
      <c r="I56" s="107">
        <v>1.9</v>
      </c>
      <c r="J56" s="107">
        <v>5.9</v>
      </c>
      <c r="K56" s="107">
        <v>5.3</v>
      </c>
    </row>
    <row r="57" spans="1:11" s="107" customFormat="1" ht="12" customHeight="1">
      <c r="A57" s="107" t="s">
        <v>44</v>
      </c>
      <c r="B57" s="107">
        <v>8.6999999999999993</v>
      </c>
      <c r="C57" s="107">
        <v>8.8000000000000007</v>
      </c>
      <c r="D57" s="107">
        <v>9.6999999999999993</v>
      </c>
      <c r="E57" s="107">
        <v>119.6</v>
      </c>
      <c r="F57" s="107">
        <v>120</v>
      </c>
      <c r="G57" s="107">
        <v>471.7</v>
      </c>
      <c r="H57" s="107">
        <v>0.8</v>
      </c>
      <c r="I57" s="107">
        <v>283.7</v>
      </c>
      <c r="J57" s="107">
        <v>297.39999999999998</v>
      </c>
      <c r="K57" s="107">
        <v>264.89999999999998</v>
      </c>
    </row>
    <row r="58" spans="1:11" s="107" customFormat="1" ht="12" customHeight="1">
      <c r="A58" s="107" t="s">
        <v>43</v>
      </c>
      <c r="B58" s="107">
        <v>8.6999999999999993</v>
      </c>
      <c r="C58" s="107">
        <v>15.6</v>
      </c>
      <c r="D58" s="107">
        <v>27</v>
      </c>
      <c r="E58" s="107">
        <v>53.6</v>
      </c>
      <c r="F58" s="107">
        <v>88.2</v>
      </c>
      <c r="G58" s="107">
        <v>167.9</v>
      </c>
      <c r="H58" s="107">
        <v>683.2</v>
      </c>
      <c r="I58" s="107">
        <v>665</v>
      </c>
      <c r="J58" s="107">
        <v>743.3</v>
      </c>
      <c r="K58" s="107">
        <v>706.6</v>
      </c>
    </row>
    <row r="59" spans="1:11" ht="12" customHeight="1">
      <c r="A59" s="7" t="s">
        <v>42</v>
      </c>
      <c r="F59" s="7">
        <v>-5.6</v>
      </c>
      <c r="G59" s="7">
        <v>-1.3</v>
      </c>
      <c r="H59" s="7">
        <v>-38.4</v>
      </c>
      <c r="I59" s="7">
        <v>-45.5</v>
      </c>
      <c r="J59" s="7">
        <v>-48.3</v>
      </c>
      <c r="K59" s="7">
        <v>-43.6</v>
      </c>
    </row>
    <row r="60" spans="1:11" ht="12" customHeight="1">
      <c r="A60" s="7" t="s">
        <v>41</v>
      </c>
      <c r="B60" s="7">
        <v>1.1999999999999993</v>
      </c>
      <c r="C60" s="7">
        <v>1.5000000000000053</v>
      </c>
      <c r="D60" s="7">
        <v>12.5</v>
      </c>
      <c r="E60" s="7">
        <v>9.8999999999999986</v>
      </c>
      <c r="F60" s="7">
        <v>23.699999999999982</v>
      </c>
      <c r="G60" s="7">
        <v>13.899999999999938</v>
      </c>
      <c r="H60" s="7">
        <v>38.799999999999976</v>
      </c>
      <c r="I60" s="7">
        <v>-278.00000000000006</v>
      </c>
      <c r="J60" s="7">
        <v>-277.69999999999987</v>
      </c>
      <c r="K60" s="7">
        <v>-250.9</v>
      </c>
    </row>
    <row r="61" spans="1:11" s="107" customFormat="1" ht="12" customHeight="1">
      <c r="A61" s="107" t="s">
        <v>40</v>
      </c>
      <c r="B61" s="107">
        <v>19.599999999999998</v>
      </c>
      <c r="C61" s="107">
        <v>26.900000000000006</v>
      </c>
      <c r="D61" s="107">
        <v>50.199999999999996</v>
      </c>
      <c r="E61" s="107">
        <v>184.5</v>
      </c>
      <c r="F61" s="107">
        <v>227.7</v>
      </c>
      <c r="G61" s="107">
        <v>654.19999999999993</v>
      </c>
      <c r="H61" s="107">
        <v>686.4</v>
      </c>
      <c r="I61" s="107">
        <v>627.09999999999991</v>
      </c>
      <c r="J61" s="107">
        <v>720.6</v>
      </c>
      <c r="K61" s="107">
        <v>682.3</v>
      </c>
    </row>
    <row r="62" spans="1:11" ht="12" customHeight="1">
      <c r="A62" s="7" t="s">
        <v>39</v>
      </c>
      <c r="B62" s="7">
        <v>23.2</v>
      </c>
      <c r="C62" s="7">
        <v>73.900000000000006</v>
      </c>
      <c r="D62" s="7">
        <v>89.1</v>
      </c>
      <c r="E62" s="7">
        <v>198.5</v>
      </c>
      <c r="F62" s="7">
        <v>346.3</v>
      </c>
      <c r="G62" s="7">
        <v>871.9</v>
      </c>
      <c r="H62" s="7">
        <v>927.3</v>
      </c>
      <c r="I62" s="7">
        <v>876.8</v>
      </c>
      <c r="J62" s="7">
        <v>981.6</v>
      </c>
      <c r="K62" s="7">
        <v>950.5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600A-8E39-462F-AE20-2A0767FF6C88}">
  <sheetPr>
    <tabColor theme="0" tint="-0.249977111117893"/>
  </sheetPr>
  <dimension ref="A1:IQ64"/>
  <sheetViews>
    <sheetView topLeftCell="A10" workbookViewId="0">
      <selection activeCell="G76" sqref="G76"/>
    </sheetView>
  </sheetViews>
  <sheetFormatPr baseColWidth="10" defaultColWidth="8.88671875" defaultRowHeight="12" customHeight="1" outlineLevelCol="1"/>
  <cols>
    <col min="1" max="1" width="45.6640625" style="7" customWidth="1"/>
    <col min="2" max="5" width="10.6640625" style="7" hidden="1" customWidth="1" outlineLevel="1"/>
    <col min="6" max="6" width="10.6640625" style="7" customWidth="1" collapsed="1"/>
    <col min="7" max="11" width="10.6640625" style="7" customWidth="1"/>
    <col min="12" max="16384" width="8.88671875" style="7"/>
  </cols>
  <sheetData>
    <row r="1" spans="1:251" ht="10.35" customHeight="1"/>
    <row r="2" spans="1:251" ht="10.35" customHeight="1"/>
    <row r="3" spans="1:251" ht="16.350000000000001" customHeight="1">
      <c r="A3" s="15" t="s">
        <v>146</v>
      </c>
      <c r="B3" s="10"/>
      <c r="C3" s="10"/>
      <c r="D3" s="10"/>
      <c r="E3" s="10"/>
      <c r="F3" s="10"/>
    </row>
    <row r="4" spans="1:251" ht="10.35" customHeight="1">
      <c r="A4" s="10"/>
      <c r="B4" s="10"/>
      <c r="C4" s="10"/>
      <c r="D4" s="10"/>
      <c r="E4" s="10"/>
      <c r="F4" s="10"/>
    </row>
    <row r="5" spans="1:251" ht="10.35" customHeight="1">
      <c r="A5" s="16" t="s">
        <v>131</v>
      </c>
      <c r="B5" s="17" t="s">
        <v>132</v>
      </c>
      <c r="C5" s="10" t="s">
        <v>133</v>
      </c>
      <c r="D5" s="18" t="s">
        <v>134</v>
      </c>
      <c r="E5" s="17" t="s">
        <v>135</v>
      </c>
      <c r="F5" s="10" t="s">
        <v>136</v>
      </c>
    </row>
    <row r="6" spans="1:251" ht="10.35" customHeight="1">
      <c r="A6" s="18"/>
      <c r="B6" s="17" t="s">
        <v>137</v>
      </c>
      <c r="C6" s="10" t="s">
        <v>138</v>
      </c>
      <c r="D6" s="18" t="s">
        <v>134</v>
      </c>
      <c r="E6" s="17" t="s">
        <v>139</v>
      </c>
      <c r="F6" s="10" t="s">
        <v>140</v>
      </c>
    </row>
    <row r="7" spans="1:251" ht="10.35" customHeight="1">
      <c r="A7" s="18"/>
      <c r="B7" s="17" t="s">
        <v>141</v>
      </c>
      <c r="C7" s="10" t="s">
        <v>149</v>
      </c>
      <c r="D7" s="18" t="s">
        <v>134</v>
      </c>
      <c r="E7" s="17" t="s">
        <v>142</v>
      </c>
      <c r="F7" s="10" t="s">
        <v>151</v>
      </c>
    </row>
    <row r="8" spans="1:251" ht="10.35" customHeight="1">
      <c r="A8" s="18"/>
      <c r="B8" s="17" t="s">
        <v>143</v>
      </c>
      <c r="C8" s="10" t="s">
        <v>147</v>
      </c>
      <c r="D8" s="18" t="s">
        <v>134</v>
      </c>
      <c r="E8" s="17" t="s">
        <v>144</v>
      </c>
      <c r="F8" s="19" t="s">
        <v>148</v>
      </c>
    </row>
    <row r="9" spans="1:251" ht="10.35" customHeight="1">
      <c r="A9" s="18"/>
      <c r="B9" s="17" t="s">
        <v>145</v>
      </c>
      <c r="C9" s="10" t="s">
        <v>150</v>
      </c>
      <c r="D9" s="18" t="s">
        <v>134</v>
      </c>
      <c r="E9" s="20"/>
      <c r="F9" s="20"/>
    </row>
    <row r="10" spans="1:251" ht="10.35" customHeight="1"/>
    <row r="11" spans="1:251" ht="10.35" customHeight="1"/>
    <row r="12" spans="1:251" s="10" customFormat="1" ht="10.199999999999999">
      <c r="A12" s="8" t="s">
        <v>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</row>
    <row r="13" spans="1:251" s="10" customFormat="1" ht="20.399999999999999">
      <c r="A13" s="11" t="s">
        <v>121</v>
      </c>
      <c r="B13" s="12" t="s">
        <v>122</v>
      </c>
      <c r="C13" s="12" t="s">
        <v>123</v>
      </c>
      <c r="D13" s="12" t="s">
        <v>124</v>
      </c>
      <c r="E13" s="12" t="s">
        <v>125</v>
      </c>
      <c r="F13" s="12" t="s">
        <v>126</v>
      </c>
      <c r="G13" s="12" t="s">
        <v>127</v>
      </c>
      <c r="H13" s="12" t="s">
        <v>128</v>
      </c>
      <c r="I13" s="12" t="s">
        <v>130</v>
      </c>
      <c r="J13" s="12" t="s">
        <v>197</v>
      </c>
      <c r="K13" s="12" t="s">
        <v>196</v>
      </c>
    </row>
    <row r="14" spans="1:251" s="10" customFormat="1" ht="10.199999999999999">
      <c r="A14" s="13" t="s">
        <v>3</v>
      </c>
      <c r="B14" s="14" t="s">
        <v>129</v>
      </c>
      <c r="C14" s="14" t="s">
        <v>129</v>
      </c>
      <c r="D14" s="14" t="s">
        <v>129</v>
      </c>
      <c r="E14" s="14" t="s">
        <v>129</v>
      </c>
      <c r="F14" s="14" t="s">
        <v>129</v>
      </c>
      <c r="G14" s="14" t="s">
        <v>129</v>
      </c>
      <c r="H14" s="14" t="s">
        <v>129</v>
      </c>
      <c r="I14" s="14" t="s">
        <v>129</v>
      </c>
      <c r="J14" s="14" t="s">
        <v>129</v>
      </c>
      <c r="K14" s="14" t="s">
        <v>129</v>
      </c>
    </row>
    <row r="15" spans="1:251" ht="12" customHeight="1">
      <c r="B15" s="7" t="s">
        <v>273</v>
      </c>
    </row>
    <row r="16" spans="1:251" ht="12" customHeight="1">
      <c r="A16" s="7" t="s">
        <v>5</v>
      </c>
    </row>
    <row r="17" spans="1:11" ht="12" customHeight="1">
      <c r="A17" s="7" t="s">
        <v>117</v>
      </c>
      <c r="B17" s="7">
        <v>0.8</v>
      </c>
      <c r="C17" s="7">
        <v>0.5</v>
      </c>
      <c r="D17" s="7">
        <v>0.6</v>
      </c>
      <c r="E17" s="7">
        <v>1.3</v>
      </c>
      <c r="F17" s="7">
        <v>4</v>
      </c>
      <c r="G17" s="7">
        <v>6.3</v>
      </c>
      <c r="H17" s="7">
        <v>6.7</v>
      </c>
      <c r="I17" s="7">
        <v>8.1999999999999993</v>
      </c>
      <c r="J17" s="7">
        <v>9.8000000000000007</v>
      </c>
      <c r="K17" s="7">
        <v>12</v>
      </c>
    </row>
    <row r="18" spans="1:11" s="107" customFormat="1" ht="12" customHeight="1">
      <c r="A18" s="107" t="s">
        <v>120</v>
      </c>
      <c r="B18" s="107">
        <v>0.8</v>
      </c>
      <c r="C18" s="107">
        <v>0.5</v>
      </c>
      <c r="D18" s="107">
        <v>0.5</v>
      </c>
      <c r="E18" s="107">
        <v>0.9</v>
      </c>
      <c r="F18" s="116">
        <v>3.2</v>
      </c>
      <c r="G18" s="116">
        <v>5</v>
      </c>
      <c r="H18" s="116">
        <v>5.4</v>
      </c>
      <c r="I18" s="116">
        <v>5.9</v>
      </c>
      <c r="J18" s="116">
        <v>6.9</v>
      </c>
      <c r="K18" s="116">
        <v>8.4</v>
      </c>
    </row>
    <row r="19" spans="1:11" s="107" customFormat="1" ht="12" customHeight="1">
      <c r="A19" s="107" t="s">
        <v>119</v>
      </c>
      <c r="B19" s="107">
        <v>0</v>
      </c>
      <c r="C19" s="107">
        <v>0</v>
      </c>
      <c r="D19" s="107">
        <v>0</v>
      </c>
      <c r="E19" s="107">
        <v>0.5</v>
      </c>
      <c r="F19" s="115">
        <v>0.6</v>
      </c>
      <c r="G19" s="115">
        <v>0.62358704239592899</v>
      </c>
      <c r="H19" s="115">
        <v>0.74646269825153022</v>
      </c>
      <c r="I19" s="115">
        <v>3.3327044810532498</v>
      </c>
      <c r="J19" s="115">
        <v>3.0287264342739486</v>
      </c>
      <c r="K19" s="115">
        <v>3.9545070275653336</v>
      </c>
    </row>
    <row r="20" spans="1:11" ht="12" customHeight="1">
      <c r="A20" s="7" t="s">
        <v>118</v>
      </c>
      <c r="B20" s="7">
        <v>5.6</v>
      </c>
      <c r="C20" s="7">
        <v>6.9</v>
      </c>
      <c r="D20" s="7">
        <v>12</v>
      </c>
      <c r="E20" s="7">
        <v>28.8</v>
      </c>
      <c r="F20" s="7">
        <v>35.9</v>
      </c>
      <c r="G20" s="7">
        <v>68.3</v>
      </c>
      <c r="H20" s="7">
        <v>62.6</v>
      </c>
      <c r="I20" s="7">
        <v>38.6</v>
      </c>
      <c r="J20" s="7">
        <v>38.6</v>
      </c>
      <c r="K20" s="7">
        <v>48.5</v>
      </c>
    </row>
    <row r="22" spans="1:11" s="117" customFormat="1" ht="12" customHeight="1">
      <c r="A22" s="117" t="s">
        <v>110</v>
      </c>
    </row>
    <row r="23" spans="1:11" ht="12" customHeight="1">
      <c r="A23" s="7" t="s">
        <v>118</v>
      </c>
      <c r="B23" s="7">
        <v>5.6</v>
      </c>
      <c r="C23" s="7">
        <v>6.9</v>
      </c>
      <c r="D23" s="7">
        <v>12</v>
      </c>
      <c r="E23" s="7">
        <v>28.8</v>
      </c>
      <c r="F23" s="7">
        <v>35.9</v>
      </c>
      <c r="G23" s="7">
        <v>68.3</v>
      </c>
      <c r="H23" s="7">
        <v>62.6</v>
      </c>
      <c r="I23" s="7">
        <v>38.6</v>
      </c>
      <c r="J23" s="7">
        <v>38.6</v>
      </c>
      <c r="K23" s="7">
        <v>48.5</v>
      </c>
    </row>
    <row r="24" spans="1:11" ht="12" customHeight="1">
      <c r="A24" s="7" t="s">
        <v>117</v>
      </c>
      <c r="B24" s="7">
        <v>0.8</v>
      </c>
      <c r="C24" s="7">
        <v>0.5</v>
      </c>
      <c r="D24" s="7">
        <v>0.6</v>
      </c>
      <c r="E24" s="7">
        <v>1.3</v>
      </c>
      <c r="F24" s="7">
        <v>4</v>
      </c>
      <c r="G24" s="7">
        <v>6.3</v>
      </c>
      <c r="H24" s="7">
        <v>6.7</v>
      </c>
      <c r="I24" s="7">
        <v>8.1999999999999993</v>
      </c>
      <c r="J24" s="7">
        <v>9.8000000000000007</v>
      </c>
      <c r="K24" s="7">
        <v>12</v>
      </c>
    </row>
    <row r="25" spans="1:11" ht="12" customHeight="1">
      <c r="A25" s="7" t="s">
        <v>116</v>
      </c>
      <c r="B25" s="7">
        <v>0</v>
      </c>
      <c r="C25" s="7">
        <v>0</v>
      </c>
      <c r="D25" s="7">
        <v>0</v>
      </c>
      <c r="E25" s="7">
        <v>0.3</v>
      </c>
      <c r="F25" s="7">
        <v>0.2</v>
      </c>
      <c r="G25" s="7">
        <v>0</v>
      </c>
      <c r="H25" s="7">
        <v>1.1000000000000001</v>
      </c>
      <c r="I25" s="7">
        <v>0.9</v>
      </c>
      <c r="J25" s="7">
        <v>0.2</v>
      </c>
      <c r="K25" s="7">
        <v>0</v>
      </c>
    </row>
    <row r="26" spans="1:11" ht="12" customHeight="1">
      <c r="A26" s="7" t="s">
        <v>115</v>
      </c>
      <c r="B26" s="7">
        <v>0</v>
      </c>
      <c r="C26" s="7">
        <v>0</v>
      </c>
      <c r="D26" s="7">
        <v>-0.1</v>
      </c>
      <c r="E26" s="7">
        <v>0</v>
      </c>
      <c r="H26" s="7">
        <v>-0.1</v>
      </c>
      <c r="I26" s="7">
        <v>-8.5</v>
      </c>
      <c r="J26" s="7">
        <v>3.9</v>
      </c>
      <c r="K26" s="7">
        <v>6.5</v>
      </c>
    </row>
    <row r="27" spans="1:11" ht="12" customHeight="1">
      <c r="A27" s="7" t="s">
        <v>114</v>
      </c>
    </row>
    <row r="28" spans="1:11" ht="12" customHeight="1">
      <c r="A28" s="7" t="s">
        <v>113</v>
      </c>
      <c r="D28" s="7">
        <v>0.5</v>
      </c>
      <c r="J28" s="7">
        <v>0.6</v>
      </c>
      <c r="K28" s="7">
        <v>1.1000000000000001</v>
      </c>
    </row>
    <row r="29" spans="1:11" ht="12" customHeight="1">
      <c r="A29" s="7" t="s">
        <v>112</v>
      </c>
      <c r="B29" s="7">
        <v>0</v>
      </c>
      <c r="C29" s="7">
        <v>0.3</v>
      </c>
      <c r="D29" s="7">
        <v>0.9</v>
      </c>
      <c r="E29" s="7">
        <v>0.2</v>
      </c>
      <c r="F29" s="7">
        <v>0.8</v>
      </c>
      <c r="G29" s="7">
        <v>0.5</v>
      </c>
      <c r="H29" s="7">
        <v>0.1</v>
      </c>
      <c r="J29" s="7">
        <v>0.7</v>
      </c>
      <c r="K29" s="7">
        <v>0.6</v>
      </c>
    </row>
    <row r="30" spans="1:11" ht="12" customHeight="1">
      <c r="A30" s="7" t="s">
        <v>111</v>
      </c>
      <c r="B30" s="7">
        <v>-1.9999999999999991</v>
      </c>
      <c r="C30" s="7">
        <v>-1.2000000000000002</v>
      </c>
      <c r="D30" s="7">
        <v>-4.2000000000000011</v>
      </c>
      <c r="E30" s="7">
        <v>-13.8</v>
      </c>
      <c r="F30" s="7">
        <v>-3.5</v>
      </c>
      <c r="G30" s="7">
        <v>-14.899999999999991</v>
      </c>
      <c r="H30" s="7">
        <v>-11.29999999999999</v>
      </c>
      <c r="I30" s="7">
        <v>27.4</v>
      </c>
      <c r="J30" s="7">
        <v>14.499999999999986</v>
      </c>
      <c r="K30" s="7">
        <v>3.5000000000000142</v>
      </c>
    </row>
    <row r="31" spans="1:11" s="107" customFormat="1" ht="12" customHeight="1">
      <c r="A31" s="107" t="s">
        <v>110</v>
      </c>
      <c r="B31" s="107">
        <v>4.4000000000000004</v>
      </c>
      <c r="C31" s="107">
        <v>6.5</v>
      </c>
      <c r="D31" s="107">
        <v>9.6999999999999993</v>
      </c>
      <c r="E31" s="107">
        <v>16.8</v>
      </c>
      <c r="F31" s="107">
        <v>37.4</v>
      </c>
      <c r="G31" s="107">
        <v>60.2</v>
      </c>
      <c r="H31" s="107">
        <v>59.1</v>
      </c>
      <c r="I31" s="107">
        <v>66.599999999999994</v>
      </c>
      <c r="J31" s="107">
        <v>68.3</v>
      </c>
      <c r="K31" s="107">
        <v>72.2</v>
      </c>
    </row>
    <row r="33" spans="1:11" ht="12" customHeight="1">
      <c r="A33" s="7" t="s">
        <v>102</v>
      </c>
    </row>
    <row r="34" spans="1:11" ht="12" customHeight="1">
      <c r="A34" s="7" t="s">
        <v>109</v>
      </c>
      <c r="B34" s="7">
        <v>-6.8</v>
      </c>
      <c r="C34" s="7">
        <v>-16.399999999999999</v>
      </c>
      <c r="D34" s="7">
        <v>-5.4</v>
      </c>
      <c r="E34" s="7">
        <v>-10.5</v>
      </c>
      <c r="F34" s="7">
        <v>-12.9</v>
      </c>
      <c r="G34" s="7">
        <v>-5.9</v>
      </c>
      <c r="H34" s="7">
        <v>-8.1999999999999993</v>
      </c>
      <c r="I34" s="7">
        <v>-10.6</v>
      </c>
      <c r="J34" s="7">
        <v>-15.6</v>
      </c>
      <c r="K34" s="7">
        <v>-20.100000000000001</v>
      </c>
    </row>
    <row r="35" spans="1:11" s="107" customFormat="1" ht="12" customHeight="1">
      <c r="A35" s="106" t="s">
        <v>182</v>
      </c>
      <c r="B35" s="108">
        <v>-6.6016016330071716</v>
      </c>
      <c r="C35" s="108">
        <v>-15.921509820782001</v>
      </c>
      <c r="D35" s="108">
        <v>-5.2424483556233428</v>
      </c>
      <c r="E35" s="108">
        <v>-10.19364958037872</v>
      </c>
      <c r="F35" s="108">
        <v>-12.523626627322429</v>
      </c>
      <c r="G35" s="108">
        <v>-7.2</v>
      </c>
      <c r="H35" s="108">
        <v>-7.5</v>
      </c>
      <c r="I35" s="108">
        <v>-8.6</v>
      </c>
      <c r="J35" s="108">
        <v>-22</v>
      </c>
      <c r="K35" s="108">
        <v>-9.9</v>
      </c>
    </row>
    <row r="36" spans="1:11" s="107" customFormat="1" ht="12" customHeight="1">
      <c r="A36" s="106" t="s">
        <v>183</v>
      </c>
      <c r="B36" s="108">
        <v>-0.1983983669928282</v>
      </c>
      <c r="C36" s="108">
        <v>-0.47849017921799764</v>
      </c>
      <c r="D36" s="108">
        <v>-0.15755164437665758</v>
      </c>
      <c r="E36" s="108">
        <v>-0.30635041962128007</v>
      </c>
      <c r="F36" s="108">
        <v>-0.24254684912070568</v>
      </c>
      <c r="G36" s="108">
        <v>-0.11277930014699855</v>
      </c>
      <c r="H36" s="108">
        <v>-5.952009552753883</v>
      </c>
      <c r="I36" s="108">
        <v>-18.464206125417121</v>
      </c>
      <c r="J36" s="108">
        <v>-16.313745250050065</v>
      </c>
      <c r="K36" s="108">
        <v>-20.932577880014335</v>
      </c>
    </row>
    <row r="37" spans="1:11" ht="12" customHeight="1">
      <c r="A37" s="7" t="s">
        <v>108</v>
      </c>
      <c r="B37" s="7">
        <v>0</v>
      </c>
      <c r="C37" s="7">
        <v>0</v>
      </c>
      <c r="D37" s="7">
        <v>0</v>
      </c>
      <c r="E37" s="7">
        <v>0.2</v>
      </c>
      <c r="F37" s="7">
        <v>0.1</v>
      </c>
      <c r="G37" s="7">
        <v>0</v>
      </c>
      <c r="H37" s="7">
        <v>0</v>
      </c>
      <c r="I37" s="7">
        <v>0.2</v>
      </c>
      <c r="J37" s="7">
        <v>0.4</v>
      </c>
      <c r="K37" s="7">
        <v>0</v>
      </c>
    </row>
    <row r="38" spans="1:11" ht="12" customHeight="1">
      <c r="A38" s="7" t="s">
        <v>107</v>
      </c>
      <c r="E38" s="7">
        <v>-5.7</v>
      </c>
      <c r="G38" s="7">
        <v>-18.899999999999999</v>
      </c>
      <c r="J38" s="7">
        <v>-17.3</v>
      </c>
      <c r="K38" s="7">
        <v>-1.9</v>
      </c>
    </row>
    <row r="39" spans="1:11" ht="12" customHeight="1">
      <c r="A39" s="7" t="s">
        <v>106</v>
      </c>
      <c r="H39" s="7">
        <v>0.3</v>
      </c>
      <c r="I39" s="7">
        <v>0</v>
      </c>
    </row>
    <row r="40" spans="1:11" ht="12" customHeight="1">
      <c r="A40" s="7" t="s">
        <v>105</v>
      </c>
      <c r="B40" s="7">
        <v>-1.6</v>
      </c>
      <c r="C40" s="7">
        <v>-15.7</v>
      </c>
      <c r="D40" s="7">
        <v>-0.2</v>
      </c>
      <c r="E40" s="7">
        <v>2.4</v>
      </c>
      <c r="F40" s="7">
        <v>-30.6</v>
      </c>
      <c r="G40" s="7">
        <v>-493.3</v>
      </c>
      <c r="H40" s="7">
        <v>-1.7</v>
      </c>
      <c r="I40" s="7">
        <v>24.8</v>
      </c>
      <c r="J40" s="7">
        <v>28</v>
      </c>
      <c r="K40" s="7">
        <v>182</v>
      </c>
    </row>
    <row r="41" spans="1:11" ht="12" customHeight="1">
      <c r="A41" s="7" t="s">
        <v>104</v>
      </c>
      <c r="B41" s="7" t="s">
        <v>0</v>
      </c>
      <c r="C41" s="7">
        <v>0</v>
      </c>
      <c r="D41" s="7">
        <v>0</v>
      </c>
      <c r="E41" s="7">
        <v>1.7</v>
      </c>
      <c r="F41" s="7">
        <v>0</v>
      </c>
      <c r="G41" s="7">
        <v>-2.8</v>
      </c>
      <c r="H41" s="7">
        <v>-12.1</v>
      </c>
      <c r="I41" s="7">
        <v>1</v>
      </c>
      <c r="J41" s="7">
        <v>6.2</v>
      </c>
      <c r="K41" s="7">
        <v>10.8</v>
      </c>
    </row>
    <row r="42" spans="1:11" ht="12" customHeight="1">
      <c r="A42" s="7" t="s">
        <v>103</v>
      </c>
      <c r="B42" s="7">
        <v>0.3</v>
      </c>
      <c r="C42" s="7">
        <v>-0.4</v>
      </c>
      <c r="D42" s="7">
        <v>-0.7</v>
      </c>
      <c r="E42" s="7">
        <v>-2</v>
      </c>
      <c r="F42" s="7">
        <v>-0.9</v>
      </c>
      <c r="G42" s="7">
        <v>1.2</v>
      </c>
      <c r="H42" s="7">
        <v>-0.5</v>
      </c>
      <c r="I42" s="7">
        <v>-2.2999999999999998</v>
      </c>
      <c r="J42" s="7">
        <v>1</v>
      </c>
      <c r="K42" s="7">
        <v>1</v>
      </c>
    </row>
    <row r="43" spans="1:11" s="107" customFormat="1" ht="12" customHeight="1">
      <c r="A43" s="107" t="s">
        <v>102</v>
      </c>
      <c r="B43" s="115">
        <v>-8.1</v>
      </c>
      <c r="C43" s="115">
        <v>-32.499999999999993</v>
      </c>
      <c r="D43" s="115">
        <v>-6.3000000000000007</v>
      </c>
      <c r="E43" s="115">
        <v>-13.9</v>
      </c>
      <c r="F43" s="115">
        <v>-44.166173476443134</v>
      </c>
      <c r="G43" s="115">
        <v>-521.11277930014694</v>
      </c>
      <c r="H43" s="115">
        <v>-27.452009552753879</v>
      </c>
      <c r="I43" s="115">
        <v>-3.3642061254171223</v>
      </c>
      <c r="J43" s="115">
        <v>-20.013745250050068</v>
      </c>
      <c r="K43" s="115">
        <v>161.06742211998568</v>
      </c>
    </row>
    <row r="44" spans="1:11" ht="12" customHeight="1">
      <c r="B44" s="60"/>
      <c r="C44" s="60"/>
      <c r="D44" s="60"/>
      <c r="E44" s="60"/>
      <c r="F44" s="60"/>
      <c r="G44" s="60"/>
      <c r="H44" s="60"/>
      <c r="I44" s="60"/>
      <c r="J44" s="60"/>
      <c r="K44" s="60"/>
    </row>
    <row r="45" spans="1:11" ht="12" customHeight="1">
      <c r="A45" s="7" t="s">
        <v>88</v>
      </c>
    </row>
    <row r="46" spans="1:11" ht="12" customHeight="1">
      <c r="A46" s="7" t="s">
        <v>101</v>
      </c>
      <c r="B46" s="7">
        <v>1</v>
      </c>
      <c r="C46" s="7">
        <v>25.9</v>
      </c>
      <c r="E46" s="7">
        <v>0.3</v>
      </c>
      <c r="G46" s="7">
        <v>93.7</v>
      </c>
      <c r="I46" s="7">
        <v>0.2</v>
      </c>
    </row>
    <row r="47" spans="1:11" ht="12" customHeight="1">
      <c r="A47" s="7" t="s">
        <v>100</v>
      </c>
      <c r="B47" s="7">
        <v>1</v>
      </c>
      <c r="C47" s="7">
        <v>0.3</v>
      </c>
      <c r="E47" s="7">
        <v>0.3</v>
      </c>
      <c r="I47" s="7">
        <v>0.2</v>
      </c>
    </row>
    <row r="48" spans="1:11" s="107" customFormat="1" ht="12" customHeight="1">
      <c r="A48" s="107" t="s">
        <v>99</v>
      </c>
      <c r="C48" s="107">
        <v>25.6</v>
      </c>
      <c r="G48" s="107">
        <v>93.7</v>
      </c>
    </row>
    <row r="49" spans="1:11" ht="12" customHeight="1">
      <c r="A49" s="7" t="s">
        <v>98</v>
      </c>
      <c r="B49" s="7">
        <v>-0.5</v>
      </c>
      <c r="C49" s="7">
        <v>-0.9</v>
      </c>
      <c r="D49" s="7">
        <v>-2.7</v>
      </c>
      <c r="E49" s="7">
        <v>-13.4</v>
      </c>
      <c r="F49" s="7">
        <v>-0.9</v>
      </c>
      <c r="G49" s="7">
        <v>-0.3</v>
      </c>
      <c r="I49" s="7">
        <v>-0.7</v>
      </c>
      <c r="J49" s="7">
        <v>-1.6</v>
      </c>
      <c r="K49" s="7">
        <v>-1.2</v>
      </c>
    </row>
    <row r="50" spans="1:11" ht="12" customHeight="1">
      <c r="A50" s="7" t="s">
        <v>97</v>
      </c>
      <c r="E50" s="7">
        <v>-1.9</v>
      </c>
      <c r="F50" s="7">
        <v>-0.9</v>
      </c>
      <c r="G50" s="7">
        <v>-0.3</v>
      </c>
      <c r="J50" s="7">
        <v>-0.4</v>
      </c>
    </row>
    <row r="51" spans="1:11" s="107" customFormat="1" ht="12" customHeight="1">
      <c r="A51" s="107" t="s">
        <v>96</v>
      </c>
      <c r="B51" s="107">
        <v>-0.5</v>
      </c>
      <c r="C51" s="107">
        <v>-0.9</v>
      </c>
      <c r="D51" s="107">
        <v>-2.7</v>
      </c>
      <c r="E51" s="107">
        <v>-11.5</v>
      </c>
    </row>
    <row r="52" spans="1:11" ht="12" customHeight="1">
      <c r="A52" s="7" t="s">
        <v>95</v>
      </c>
      <c r="B52" s="7">
        <v>0</v>
      </c>
      <c r="D52" s="7">
        <v>0.7</v>
      </c>
      <c r="E52" s="7">
        <v>55.9</v>
      </c>
      <c r="G52" s="7">
        <v>335.4</v>
      </c>
      <c r="H52" s="7">
        <v>5.0999999999999996</v>
      </c>
      <c r="K52" s="7">
        <v>1.1000000000000001</v>
      </c>
    </row>
    <row r="53" spans="1:11" s="107" customFormat="1" ht="12" customHeight="1">
      <c r="A53" s="107" t="s">
        <v>94</v>
      </c>
      <c r="F53" s="107">
        <v>-4.9000000000000004</v>
      </c>
      <c r="G53" s="107">
        <v>0</v>
      </c>
      <c r="H53" s="107">
        <v>-37.1</v>
      </c>
      <c r="I53" s="107">
        <v>-40</v>
      </c>
      <c r="K53" s="107">
        <v>-30.2</v>
      </c>
    </row>
    <row r="54" spans="1:11" ht="12" customHeight="1">
      <c r="A54" s="7" t="s">
        <v>93</v>
      </c>
    </row>
    <row r="55" spans="1:11" s="107" customFormat="1" ht="12" customHeight="1">
      <c r="A55" s="107" t="s">
        <v>92</v>
      </c>
    </row>
    <row r="56" spans="1:11" ht="12" customHeight="1">
      <c r="A56" s="7" t="s">
        <v>91</v>
      </c>
    </row>
    <row r="57" spans="1:11" ht="12" customHeight="1">
      <c r="A57" s="7" t="s">
        <v>90</v>
      </c>
    </row>
    <row r="58" spans="1:11" ht="12" customHeight="1">
      <c r="A58" s="7" t="s">
        <v>89</v>
      </c>
      <c r="B58" s="60">
        <v>0.19999999999999929</v>
      </c>
      <c r="C58" s="60">
        <v>14.499999999999993</v>
      </c>
      <c r="D58" s="60">
        <v>-1.2999999999999989</v>
      </c>
      <c r="E58" s="60">
        <v>-1.7000000000000028</v>
      </c>
      <c r="F58" s="60">
        <v>6.3661734764431408</v>
      </c>
      <c r="G58" s="60">
        <v>0.71277930014696267</v>
      </c>
      <c r="H58" s="60">
        <v>-1.6479904472461158</v>
      </c>
      <c r="I58" s="60">
        <v>-34.535793874582865</v>
      </c>
      <c r="J58" s="60">
        <v>-3.4862547499499299</v>
      </c>
      <c r="K58" s="60">
        <v>-8.2674221199856959</v>
      </c>
    </row>
    <row r="59" spans="1:11" s="107" customFormat="1" ht="12" customHeight="1">
      <c r="A59" s="107" t="s">
        <v>88</v>
      </c>
      <c r="B59" s="115">
        <v>0.69999999999999929</v>
      </c>
      <c r="C59" s="115">
        <v>39.499999999999993</v>
      </c>
      <c r="D59" s="115">
        <v>-3.2999999999999989</v>
      </c>
      <c r="E59" s="115">
        <v>41.099999999999994</v>
      </c>
      <c r="F59" s="115">
        <v>0.56617347644314009</v>
      </c>
      <c r="G59" s="115">
        <v>429.51277930014692</v>
      </c>
      <c r="H59" s="115">
        <v>-33.647990447246116</v>
      </c>
      <c r="I59" s="115">
        <v>-75.035793874582865</v>
      </c>
      <c r="J59" s="115">
        <v>-5.08625474994993</v>
      </c>
      <c r="K59" s="115">
        <v>-38.567422119985693</v>
      </c>
    </row>
    <row r="60" spans="1:11" ht="12" customHeight="1">
      <c r="B60" s="60"/>
      <c r="C60" s="60"/>
      <c r="D60" s="60"/>
      <c r="E60" s="60"/>
      <c r="F60" s="60"/>
      <c r="G60" s="60"/>
      <c r="H60" s="60"/>
      <c r="I60" s="60"/>
      <c r="J60" s="60"/>
      <c r="K60" s="60"/>
    </row>
    <row r="61" spans="1:11" ht="12" customHeight="1">
      <c r="A61" s="7" t="s">
        <v>85</v>
      </c>
    </row>
    <row r="62" spans="1:11" ht="12" customHeight="1">
      <c r="A62" s="7" t="s">
        <v>87</v>
      </c>
      <c r="B62" s="7">
        <v>0</v>
      </c>
      <c r="C62" s="7">
        <v>0</v>
      </c>
      <c r="D62" s="7">
        <v>0.1</v>
      </c>
      <c r="E62" s="7">
        <v>0</v>
      </c>
      <c r="F62" s="7">
        <v>0</v>
      </c>
      <c r="G62" s="7">
        <v>0</v>
      </c>
      <c r="H62" s="7">
        <v>-0.2</v>
      </c>
      <c r="I62" s="7">
        <v>0.5</v>
      </c>
      <c r="J62" s="7">
        <v>-0.1</v>
      </c>
      <c r="K62" s="7">
        <v>1.5</v>
      </c>
    </row>
    <row r="63" spans="1:11" ht="12" customHeight="1">
      <c r="A63" s="7" t="s">
        <v>86</v>
      </c>
      <c r="B63" s="7">
        <v>0</v>
      </c>
      <c r="C63" s="7">
        <v>0</v>
      </c>
      <c r="D63" s="7">
        <v>0</v>
      </c>
    </row>
    <row r="64" spans="1:11" s="107" customFormat="1" ht="12" customHeight="1">
      <c r="A64" s="107" t="s">
        <v>85</v>
      </c>
      <c r="B64" s="107">
        <v>-3</v>
      </c>
      <c r="C64" s="107">
        <v>13.5</v>
      </c>
      <c r="D64" s="107">
        <v>9.9999999999999645E-2</v>
      </c>
      <c r="E64" s="107">
        <v>44</v>
      </c>
      <c r="F64" s="107">
        <v>-6.1999999999999957</v>
      </c>
      <c r="G64" s="107">
        <v>-31.400000000000034</v>
      </c>
      <c r="H64" s="107">
        <v>-1.9999999999999964</v>
      </c>
      <c r="I64" s="107">
        <v>-11.799999999999997</v>
      </c>
      <c r="J64" s="107">
        <v>43.2</v>
      </c>
      <c r="K64" s="107">
        <v>194.7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2B19-D0A6-4D42-B723-4EE70F83FCCB}">
  <sheetPr codeName="Sheet14">
    <tabColor theme="0" tint="-0.249977111117893"/>
  </sheetPr>
  <dimension ref="B1:N93"/>
  <sheetViews>
    <sheetView showGridLines="0" topLeftCell="A27" zoomScaleNormal="100" workbookViewId="0"/>
  </sheetViews>
  <sheetFormatPr baseColWidth="10" defaultColWidth="8.88671875" defaultRowHeight="16.350000000000001" customHeight="1"/>
  <cols>
    <col min="1" max="5" width="2.6640625" style="21" customWidth="1"/>
    <col min="6" max="6" width="30.6640625" style="21" customWidth="1"/>
    <col min="7" max="12" width="15.6640625" style="21" customWidth="1"/>
    <col min="13" max="13" width="2.6640625" style="21" customWidth="1"/>
    <col min="14" max="14" width="10.44140625" style="21" bestFit="1" customWidth="1"/>
    <col min="15" max="16384" width="8.88671875" style="21"/>
  </cols>
  <sheetData>
    <row r="1" spans="2:14" ht="16.350000000000001" customHeight="1">
      <c r="B1" s="22"/>
    </row>
    <row r="2" spans="2:14" ht="16.350000000000001" customHeight="1">
      <c r="B2" s="22"/>
      <c r="C2" s="22" t="s">
        <v>155</v>
      </c>
    </row>
    <row r="3" spans="2:14" ht="16.350000000000001" customHeight="1">
      <c r="B3" s="22"/>
      <c r="C3" s="21" t="s">
        <v>200</v>
      </c>
      <c r="G3" s="30"/>
    </row>
    <row r="4" spans="2:14" ht="16.350000000000001" customHeight="1">
      <c r="B4" s="22"/>
      <c r="G4" s="30"/>
    </row>
    <row r="5" spans="2:14" ht="16.350000000000001" customHeight="1">
      <c r="B5" s="31"/>
      <c r="G5" s="33" t="s">
        <v>156</v>
      </c>
      <c r="H5" s="32"/>
      <c r="I5" s="32"/>
      <c r="J5" s="32"/>
      <c r="K5" s="32"/>
      <c r="L5" s="32"/>
    </row>
    <row r="6" spans="2:14" s="28" customFormat="1" ht="16.350000000000001" customHeight="1">
      <c r="G6" s="29" t="s">
        <v>157</v>
      </c>
      <c r="H6" s="29" t="s">
        <v>158</v>
      </c>
      <c r="I6" s="29" t="s">
        <v>159</v>
      </c>
      <c r="J6" s="29" t="s">
        <v>160</v>
      </c>
      <c r="K6" s="29" t="s">
        <v>198</v>
      </c>
      <c r="L6" s="29" t="s">
        <v>199</v>
      </c>
    </row>
    <row r="7" spans="2:14" ht="16.350000000000001" customHeight="1">
      <c r="B7" s="22"/>
      <c r="C7" s="21" t="s">
        <v>153</v>
      </c>
      <c r="G7" s="27"/>
      <c r="H7" s="27"/>
      <c r="I7" s="27"/>
      <c r="J7" s="27"/>
      <c r="K7" s="27"/>
      <c r="L7" s="27"/>
    </row>
    <row r="8" spans="2:14" ht="16.350000000000001" customHeight="1">
      <c r="C8" s="38"/>
      <c r="D8" s="38" t="s">
        <v>8</v>
      </c>
      <c r="E8" s="38"/>
      <c r="F8" s="38"/>
      <c r="G8" s="39">
        <v>48.671700000000001</v>
      </c>
      <c r="H8" s="39">
        <v>65.611399999999989</v>
      </c>
      <c r="I8" s="39">
        <v>80.951400000000007</v>
      </c>
      <c r="J8" s="39">
        <v>96.342399999999998</v>
      </c>
      <c r="K8" s="39">
        <v>110.77399999999999</v>
      </c>
      <c r="L8" s="39">
        <v>115</v>
      </c>
      <c r="N8" s="24"/>
    </row>
    <row r="9" spans="2:14" ht="16.350000000000001" customHeight="1">
      <c r="C9" s="25"/>
      <c r="D9" s="25"/>
      <c r="E9" s="25" t="s">
        <v>212</v>
      </c>
      <c r="F9" s="25"/>
      <c r="G9" s="26">
        <v>29.264759999999999</v>
      </c>
      <c r="H9" s="26">
        <v>37.648135000000003</v>
      </c>
      <c r="I9" s="26">
        <v>46.641735000000011</v>
      </c>
      <c r="J9" s="26">
        <v>52.775800000000004</v>
      </c>
      <c r="K9" s="26">
        <v>58.001149999999996</v>
      </c>
      <c r="L9" s="26">
        <v>60</v>
      </c>
      <c r="N9" s="24"/>
    </row>
    <row r="10" spans="2:14" ht="16.350000000000001" customHeight="1">
      <c r="C10" s="38"/>
      <c r="D10" s="38"/>
      <c r="E10" s="38" t="s">
        <v>211</v>
      </c>
      <c r="F10" s="38"/>
      <c r="G10" s="39">
        <v>19.406940000000002</v>
      </c>
      <c r="H10" s="39">
        <v>27.963265</v>
      </c>
      <c r="I10" s="39">
        <v>34.309665000000003</v>
      </c>
      <c r="J10" s="39">
        <v>43.566599999999994</v>
      </c>
      <c r="K10" s="39">
        <v>52.772850000000005</v>
      </c>
      <c r="L10" s="39">
        <v>55</v>
      </c>
      <c r="N10" s="24"/>
    </row>
    <row r="11" spans="2:14" s="63" customFormat="1" ht="16.350000000000001" customHeight="1">
      <c r="C11" s="64"/>
      <c r="D11" s="64" t="s">
        <v>1</v>
      </c>
      <c r="E11" s="64"/>
      <c r="F11" s="64"/>
      <c r="G11" s="65">
        <v>53.713800000000006</v>
      </c>
      <c r="H11" s="65">
        <v>63.78159999999999</v>
      </c>
      <c r="I11" s="65">
        <v>68.327399999999997</v>
      </c>
      <c r="J11" s="65">
        <v>67.120899999999992</v>
      </c>
      <c r="K11" s="65">
        <v>74.496000000000009</v>
      </c>
      <c r="L11" s="65">
        <v>78.900000000000006</v>
      </c>
      <c r="N11" s="66"/>
    </row>
    <row r="12" spans="2:14" ht="16.350000000000001" customHeight="1">
      <c r="C12" s="38"/>
      <c r="D12" s="38"/>
      <c r="E12" s="38" t="s">
        <v>212</v>
      </c>
      <c r="F12" s="38"/>
      <c r="G12" s="39">
        <v>44.313884999999999</v>
      </c>
      <c r="H12" s="39">
        <v>49.430739999999993</v>
      </c>
      <c r="I12" s="39">
        <v>51.245550000000009</v>
      </c>
      <c r="J12" s="39">
        <v>46.984629999999996</v>
      </c>
      <c r="K12" s="39">
        <v>48.794880000000006</v>
      </c>
      <c r="L12" s="39">
        <v>50.5</v>
      </c>
      <c r="N12" s="24"/>
    </row>
    <row r="13" spans="2:14" s="63" customFormat="1" ht="16.350000000000001" customHeight="1">
      <c r="C13" s="64"/>
      <c r="D13" s="64"/>
      <c r="E13" s="64" t="s">
        <v>211</v>
      </c>
      <c r="F13" s="64"/>
      <c r="G13" s="65">
        <v>9.399915</v>
      </c>
      <c r="H13" s="65">
        <v>14.350860000000001</v>
      </c>
      <c r="I13" s="65">
        <v>17.081849999999999</v>
      </c>
      <c r="J13" s="65">
        <v>20.136269999999996</v>
      </c>
      <c r="K13" s="65">
        <v>25.701120000000003</v>
      </c>
      <c r="L13" s="65">
        <v>28.400000000000006</v>
      </c>
      <c r="N13" s="66"/>
    </row>
    <row r="14" spans="2:14" s="63" customFormat="1" ht="16.350000000000001" customHeight="1">
      <c r="C14" s="38"/>
      <c r="D14" s="38" t="s">
        <v>152</v>
      </c>
      <c r="E14" s="38"/>
      <c r="F14" s="38"/>
      <c r="G14" s="39">
        <v>0.51450000000000007</v>
      </c>
      <c r="H14" s="39">
        <v>1.3069999999999999</v>
      </c>
      <c r="I14" s="39">
        <v>8.5212000000000003</v>
      </c>
      <c r="J14" s="39">
        <v>13.636699999999999</v>
      </c>
      <c r="K14" s="39">
        <v>8.73</v>
      </c>
      <c r="L14" s="39">
        <v>12</v>
      </c>
      <c r="N14" s="66"/>
    </row>
    <row r="15" spans="2:14" s="23" customFormat="1" ht="16.350000000000001" customHeight="1" thickBot="1">
      <c r="E15" s="23" t="s">
        <v>154</v>
      </c>
      <c r="G15" s="34">
        <v>102.9</v>
      </c>
      <c r="H15" s="34">
        <v>130.69999999999999</v>
      </c>
      <c r="I15" s="34">
        <v>157.80000000000001</v>
      </c>
      <c r="J15" s="34">
        <v>177.1</v>
      </c>
      <c r="K15" s="34">
        <v>194</v>
      </c>
      <c r="L15" s="34">
        <v>205.9</v>
      </c>
      <c r="N15" s="35"/>
    </row>
    <row r="16" spans="2:14" ht="16.350000000000001" customHeight="1" thickTop="1">
      <c r="G16" s="26"/>
      <c r="H16" s="26"/>
      <c r="I16" s="26"/>
      <c r="J16" s="26"/>
      <c r="K16" s="26"/>
      <c r="L16" s="26"/>
      <c r="M16" s="26"/>
    </row>
    <row r="17" spans="2:13" ht="16.350000000000001" customHeight="1" thickTop="1"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</row>
    <row r="19" spans="2:13" ht="16.350000000000001" customHeight="1">
      <c r="B19" s="22"/>
      <c r="C19" s="22" t="s">
        <v>163</v>
      </c>
    </row>
    <row r="20" spans="2:13" ht="16.350000000000001" customHeight="1">
      <c r="B20" s="22"/>
      <c r="C20" s="21" t="s">
        <v>201</v>
      </c>
      <c r="G20" s="30"/>
    </row>
    <row r="21" spans="2:13" ht="16.350000000000001" customHeight="1">
      <c r="B21" s="22"/>
      <c r="G21" s="30"/>
    </row>
    <row r="22" spans="2:13" ht="16.350000000000001" customHeight="1">
      <c r="B22" s="31"/>
      <c r="G22" s="33" t="s">
        <v>156</v>
      </c>
      <c r="H22" s="32"/>
      <c r="I22" s="32"/>
      <c r="J22" s="32"/>
      <c r="K22" s="32"/>
      <c r="L22" s="32"/>
    </row>
    <row r="23" spans="2:13" s="28" customFormat="1" ht="16.350000000000001" customHeight="1">
      <c r="G23" s="29" t="s">
        <v>157</v>
      </c>
      <c r="H23" s="29" t="s">
        <v>158</v>
      </c>
      <c r="I23" s="29" t="s">
        <v>159</v>
      </c>
      <c r="J23" s="29" t="s">
        <v>160</v>
      </c>
      <c r="K23" s="29" t="s">
        <v>198</v>
      </c>
      <c r="L23" s="29" t="s">
        <v>199</v>
      </c>
    </row>
    <row r="24" spans="2:13" s="28" customFormat="1" ht="16.350000000000001" customHeight="1">
      <c r="C24" s="21" t="s">
        <v>162</v>
      </c>
      <c r="D24" s="21"/>
      <c r="E24" s="21"/>
      <c r="F24" s="21"/>
      <c r="G24" s="29"/>
      <c r="H24" s="29"/>
      <c r="I24" s="29"/>
      <c r="J24" s="29"/>
      <c r="K24" s="29"/>
      <c r="L24" s="29"/>
    </row>
    <row r="25" spans="2:13" s="23" customFormat="1" ht="16.350000000000001" customHeight="1">
      <c r="C25" s="38"/>
      <c r="D25" s="38" t="s">
        <v>8</v>
      </c>
      <c r="E25" s="38"/>
      <c r="F25" s="40"/>
      <c r="G25" s="41"/>
      <c r="H25" s="41"/>
      <c r="I25" s="41"/>
      <c r="J25" s="41"/>
      <c r="K25" s="41"/>
      <c r="L25" s="41"/>
    </row>
    <row r="26" spans="2:13" ht="16.350000000000001" customHeight="1">
      <c r="C26" s="25"/>
      <c r="D26" s="25"/>
      <c r="E26" s="25" t="s">
        <v>212</v>
      </c>
      <c r="G26" s="26">
        <v>50</v>
      </c>
      <c r="H26" s="26">
        <v>50</v>
      </c>
      <c r="I26" s="26">
        <v>38</v>
      </c>
      <c r="J26" s="26">
        <v>35</v>
      </c>
      <c r="K26" s="26">
        <v>33.000000000000007</v>
      </c>
      <c r="L26" s="26">
        <v>33</v>
      </c>
    </row>
    <row r="27" spans="2:13" s="63" customFormat="1" ht="16.350000000000001" customHeight="1">
      <c r="C27" s="38"/>
      <c r="D27" s="38"/>
      <c r="E27" s="38" t="s">
        <v>211</v>
      </c>
      <c r="F27" s="40"/>
      <c r="G27" s="39">
        <v>41</v>
      </c>
      <c r="H27" s="39">
        <v>40</v>
      </c>
      <c r="I27" s="39">
        <v>24</v>
      </c>
      <c r="J27" s="39">
        <v>22.000000000000004</v>
      </c>
      <c r="K27" s="39">
        <v>22</v>
      </c>
      <c r="L27" s="39">
        <v>22</v>
      </c>
    </row>
    <row r="28" spans="2:13" s="67" customFormat="1" ht="16.350000000000001" customHeight="1">
      <c r="C28" s="64"/>
      <c r="D28" s="64" t="s">
        <v>1</v>
      </c>
      <c r="E28" s="64"/>
      <c r="F28" s="63"/>
      <c r="G28" s="65"/>
      <c r="H28" s="65"/>
      <c r="I28" s="65"/>
      <c r="J28" s="65"/>
      <c r="K28" s="65"/>
      <c r="L28" s="65"/>
    </row>
    <row r="29" spans="2:13" s="63" customFormat="1" ht="16.350000000000001" customHeight="1">
      <c r="C29" s="38"/>
      <c r="D29" s="38"/>
      <c r="E29" s="38" t="s">
        <v>212</v>
      </c>
      <c r="F29" s="40"/>
      <c r="G29" s="39">
        <v>62.5</v>
      </c>
      <c r="H29" s="39">
        <v>57.5</v>
      </c>
      <c r="I29" s="39">
        <v>55</v>
      </c>
      <c r="J29" s="39">
        <v>52.5</v>
      </c>
      <c r="K29" s="39">
        <v>50</v>
      </c>
      <c r="L29" s="39">
        <v>50</v>
      </c>
    </row>
    <row r="30" spans="2:13" s="63" customFormat="1" ht="16.350000000000001" customHeight="1">
      <c r="C30" s="64"/>
      <c r="D30" s="64"/>
      <c r="E30" s="64" t="s">
        <v>211</v>
      </c>
      <c r="G30" s="65">
        <v>25</v>
      </c>
      <c r="H30" s="65">
        <v>23</v>
      </c>
      <c r="I30" s="65">
        <v>22</v>
      </c>
      <c r="J30" s="65">
        <v>21</v>
      </c>
      <c r="K30" s="65">
        <v>20</v>
      </c>
      <c r="L30" s="65">
        <v>20</v>
      </c>
    </row>
    <row r="32" spans="2:13" ht="16.350000000000001" customHeight="1"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</row>
    <row r="34" spans="2:13" ht="16.350000000000001" customHeight="1">
      <c r="B34" s="22"/>
      <c r="C34" s="22" t="s">
        <v>161</v>
      </c>
    </row>
    <row r="35" spans="2:13" ht="16.350000000000001" customHeight="1">
      <c r="B35" s="22"/>
      <c r="C35" s="21" t="s">
        <v>202</v>
      </c>
      <c r="G35" s="30"/>
    </row>
    <row r="36" spans="2:13" ht="16.350000000000001" customHeight="1">
      <c r="B36" s="22"/>
      <c r="G36" s="30"/>
    </row>
    <row r="37" spans="2:13" ht="16.350000000000001" customHeight="1">
      <c r="B37" s="22"/>
      <c r="G37" s="30"/>
    </row>
    <row r="38" spans="2:13" ht="16.350000000000001" customHeight="1">
      <c r="B38" s="31"/>
      <c r="G38" s="33" t="s">
        <v>156</v>
      </c>
      <c r="H38" s="32"/>
      <c r="I38" s="32"/>
      <c r="J38" s="32"/>
      <c r="K38" s="32"/>
      <c r="L38" s="32"/>
    </row>
    <row r="39" spans="2:13" s="28" customFormat="1" ht="16.350000000000001" customHeight="1">
      <c r="G39" s="29" t="s">
        <v>157</v>
      </c>
      <c r="H39" s="29" t="s">
        <v>158</v>
      </c>
      <c r="I39" s="29" t="s">
        <v>159</v>
      </c>
      <c r="J39" s="29" t="s">
        <v>160</v>
      </c>
      <c r="K39" s="29" t="s">
        <v>198</v>
      </c>
      <c r="L39" s="29" t="s">
        <v>199</v>
      </c>
    </row>
    <row r="40" spans="2:13" s="31" customFormat="1" ht="16.350000000000001" customHeight="1">
      <c r="B40" s="22"/>
      <c r="C40" s="31" t="s">
        <v>164</v>
      </c>
      <c r="G40" s="36"/>
      <c r="H40" s="36"/>
      <c r="I40" s="36"/>
      <c r="J40" s="36"/>
      <c r="K40" s="36"/>
      <c r="L40" s="36"/>
    </row>
    <row r="41" spans="2:13" s="31" customFormat="1" ht="16.350000000000001" customHeight="1">
      <c r="C41" s="42"/>
      <c r="D41" s="42" t="s">
        <v>8</v>
      </c>
      <c r="E41" s="42"/>
      <c r="F41" s="42"/>
      <c r="G41" s="43">
        <v>0.79629268292682931</v>
      </c>
      <c r="H41" s="43">
        <v>0.8031663602941177</v>
      </c>
      <c r="I41" s="43">
        <v>0.73099999999999998</v>
      </c>
      <c r="J41" s="43">
        <v>0.70499999999999996</v>
      </c>
      <c r="K41" s="43">
        <v>0.69</v>
      </c>
      <c r="L41" s="43">
        <v>0.69499999999999995</v>
      </c>
    </row>
    <row r="42" spans="2:13" s="31" customFormat="1" ht="16.350000000000001" customHeight="1">
      <c r="C42" s="37"/>
      <c r="D42" s="37" t="s">
        <v>1</v>
      </c>
      <c r="E42" s="37"/>
      <c r="F42" s="37"/>
      <c r="G42" s="24">
        <v>0.76288</v>
      </c>
      <c r="H42" s="24">
        <v>0.78911735282801077</v>
      </c>
      <c r="I42" s="24">
        <v>0.77200000000000002</v>
      </c>
      <c r="J42" s="24">
        <v>0.78800000000000003</v>
      </c>
      <c r="K42" s="24">
        <v>0.77700000000000002</v>
      </c>
      <c r="L42" s="24">
        <v>0.77500000000000002</v>
      </c>
    </row>
    <row r="44" spans="2:13" ht="16.350000000000001" customHeight="1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</row>
    <row r="46" spans="2:13" ht="16.350000000000001" customHeight="1">
      <c r="B46" s="22"/>
      <c r="C46" s="22" t="s">
        <v>165</v>
      </c>
    </row>
    <row r="47" spans="2:13" ht="16.350000000000001" customHeight="1">
      <c r="B47" s="22"/>
      <c r="C47" s="21" t="s">
        <v>203</v>
      </c>
      <c r="G47" s="30"/>
    </row>
    <row r="48" spans="2:13" ht="16.350000000000001" customHeight="1">
      <c r="B48" s="22"/>
      <c r="G48" s="30"/>
    </row>
    <row r="49" spans="2:12" ht="16.350000000000001" customHeight="1">
      <c r="B49" s="22"/>
      <c r="G49" s="30"/>
    </row>
    <row r="50" spans="2:12" ht="16.350000000000001" customHeight="1">
      <c r="B50" s="31"/>
      <c r="G50" s="33" t="s">
        <v>156</v>
      </c>
      <c r="H50" s="32"/>
      <c r="I50" s="32"/>
      <c r="J50" s="32"/>
      <c r="K50" s="32"/>
      <c r="L50" s="32"/>
    </row>
    <row r="51" spans="2:12" s="28" customFormat="1" ht="16.350000000000001" customHeight="1">
      <c r="G51" s="29" t="s">
        <v>157</v>
      </c>
      <c r="H51" s="29" t="s">
        <v>158</v>
      </c>
      <c r="I51" s="29" t="s">
        <v>159</v>
      </c>
      <c r="J51" s="29" t="s">
        <v>160</v>
      </c>
      <c r="K51" s="29" t="s">
        <v>198</v>
      </c>
      <c r="L51" s="29" t="s">
        <v>199</v>
      </c>
    </row>
    <row r="52" spans="2:12" s="31" customFormat="1" ht="16.350000000000001" customHeight="1">
      <c r="B52" s="22"/>
      <c r="C52" s="21" t="s">
        <v>166</v>
      </c>
    </row>
    <row r="53" spans="2:12" ht="16.350000000000001" customHeight="1">
      <c r="C53" s="40"/>
      <c r="D53" s="40" t="s">
        <v>168</v>
      </c>
      <c r="E53" s="40"/>
      <c r="F53" s="40"/>
      <c r="G53" s="39">
        <v>7.6533333333333315</v>
      </c>
      <c r="H53" s="39">
        <v>9.5901086538461531</v>
      </c>
      <c r="I53" s="39">
        <v>12.516441300999999</v>
      </c>
      <c r="J53" s="39">
        <v>16.782952964830478</v>
      </c>
      <c r="K53" s="39">
        <v>19.800451077524063</v>
      </c>
      <c r="L53" s="39">
        <v>23.533564907740871</v>
      </c>
    </row>
    <row r="54" spans="2:12" ht="16.350000000000001" customHeight="1">
      <c r="D54" s="21" t="s">
        <v>169</v>
      </c>
      <c r="G54" s="26">
        <v>0.6989884178107213</v>
      </c>
      <c r="H54" s="26">
        <v>1.0063535196381483</v>
      </c>
      <c r="I54" s="26">
        <v>1.0656791137342021</v>
      </c>
      <c r="J54" s="26">
        <v>2.1356003613626493</v>
      </c>
      <c r="K54" s="26">
        <v>2.7523019404787501</v>
      </c>
      <c r="L54" s="26">
        <v>2.829566826852036</v>
      </c>
    </row>
    <row r="55" spans="2:12" ht="16.350000000000001" customHeight="1">
      <c r="C55" s="40"/>
      <c r="D55" s="40" t="s">
        <v>170</v>
      </c>
      <c r="E55" s="40"/>
      <c r="F55" s="40"/>
      <c r="G55" s="39">
        <v>0.6</v>
      </c>
      <c r="H55" s="39">
        <v>0.62358704239592899</v>
      </c>
      <c r="I55" s="39">
        <v>0.74646269825153022</v>
      </c>
      <c r="J55" s="39">
        <v>3.3327044810532498</v>
      </c>
      <c r="K55" s="39">
        <v>3.0287264342739486</v>
      </c>
      <c r="L55" s="39">
        <v>3.9545070275653336</v>
      </c>
    </row>
    <row r="56" spans="2:12" ht="16.350000000000001" customHeight="1">
      <c r="D56" s="21" t="s">
        <v>171</v>
      </c>
      <c r="G56" s="26">
        <v>3.5863732844317266</v>
      </c>
      <c r="H56" s="26">
        <v>5.8478726028905585</v>
      </c>
      <c r="I56" s="26">
        <v>8.7082440776421191</v>
      </c>
      <c r="J56" s="26">
        <v>8.3951144237500017</v>
      </c>
      <c r="K56" s="26">
        <v>5.1671828890724152</v>
      </c>
      <c r="L56" s="26">
        <v>6.6639112099441578</v>
      </c>
    </row>
    <row r="57" spans="2:12" ht="16.350000000000001" customHeight="1">
      <c r="C57" s="40"/>
      <c r="D57" s="40" t="s">
        <v>176</v>
      </c>
      <c r="E57" s="40"/>
      <c r="F57" s="40"/>
      <c r="G57" s="39">
        <v>3.2635160331226509</v>
      </c>
      <c r="H57" s="39">
        <v>6.2872206998530018</v>
      </c>
      <c r="I57" s="39">
        <v>6.847888653151208</v>
      </c>
      <c r="J57" s="39">
        <v>8.6678314369343372</v>
      </c>
      <c r="K57" s="39">
        <v>14.022028741329308</v>
      </c>
      <c r="L57" s="39">
        <v>10.067422119985665</v>
      </c>
    </row>
    <row r="58" spans="2:12" ht="16.350000000000001" customHeight="1">
      <c r="D58" s="21" t="s">
        <v>174</v>
      </c>
      <c r="G58" s="26">
        <v>2.9994225026345922</v>
      </c>
      <c r="H58" s="26">
        <v>4.4340737376898041</v>
      </c>
      <c r="I58" s="26">
        <v>19.306862523071938</v>
      </c>
      <c r="J58" s="26">
        <v>17.743002443987066</v>
      </c>
      <c r="K58" s="26">
        <v>14.350458301148965</v>
      </c>
      <c r="L58" s="26">
        <v>17.612294350320983</v>
      </c>
    </row>
    <row r="59" spans="2:12" ht="16.350000000000001" customHeight="1">
      <c r="C59" s="40"/>
      <c r="D59" s="40" t="s">
        <v>173</v>
      </c>
      <c r="E59" s="40"/>
      <c r="F59" s="40"/>
      <c r="G59" s="39">
        <v>0.28457231989583909</v>
      </c>
      <c r="H59" s="39">
        <v>0.89961472066408343</v>
      </c>
      <c r="I59" s="39">
        <v>8.7314896517170304</v>
      </c>
      <c r="J59" s="39">
        <v>4.9130825185512359</v>
      </c>
      <c r="K59" s="39">
        <v>1.7058610118892339</v>
      </c>
      <c r="L59" s="39">
        <v>0.71817833351492699</v>
      </c>
    </row>
    <row r="60" spans="2:12" ht="16.350000000000001" customHeight="1">
      <c r="D60" s="21" t="s">
        <v>172</v>
      </c>
      <c r="G60" s="26">
        <v>0.78593897481324049</v>
      </c>
      <c r="H60" s="26">
        <v>0.4983644632782771</v>
      </c>
      <c r="I60" s="26">
        <v>0.10827318173582776</v>
      </c>
      <c r="J60" s="26">
        <v>0</v>
      </c>
      <c r="K60" s="26">
        <v>0.68278052573243553</v>
      </c>
      <c r="L60" s="26">
        <v>0.57433644016023555</v>
      </c>
    </row>
    <row r="61" spans="2:12" ht="16.350000000000001" customHeight="1">
      <c r="C61" s="40"/>
      <c r="D61" s="40" t="s">
        <v>167</v>
      </c>
      <c r="E61" s="40"/>
      <c r="F61" s="40"/>
      <c r="G61" s="39">
        <v>2.8888074953974905</v>
      </c>
      <c r="H61" s="39">
        <v>3.7940814390463755</v>
      </c>
      <c r="I61" s="39">
        <v>3.7287256196851382</v>
      </c>
      <c r="J61" s="39">
        <v>3.5023674365697643</v>
      </c>
      <c r="K61" s="39">
        <v>3.3281651283917655</v>
      </c>
      <c r="L61" s="39">
        <v>3.0314496403065641</v>
      </c>
    </row>
    <row r="62" spans="2:12" s="23" customFormat="1" ht="16.350000000000001" customHeight="1">
      <c r="E62" s="23" t="s">
        <v>175</v>
      </c>
      <c r="G62" s="45">
        <f>+SUM(G53:G61)</f>
        <v>22.760952361439593</v>
      </c>
      <c r="H62" s="45">
        <f t="shared" ref="H62:L62" si="0">+SUM(H53:H61)</f>
        <v>32.981276879302328</v>
      </c>
      <c r="I62" s="45">
        <f t="shared" si="0"/>
        <v>61.760066819988992</v>
      </c>
      <c r="J62" s="45">
        <f t="shared" si="0"/>
        <v>65.472656067038784</v>
      </c>
      <c r="K62" s="45">
        <f t="shared" si="0"/>
        <v>64.837956049840869</v>
      </c>
      <c r="L62" s="45">
        <f t="shared" si="0"/>
        <v>68.985230856390771</v>
      </c>
    </row>
    <row r="65" spans="2:13" ht="16.350000000000001" customHeight="1"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</row>
    <row r="66" spans="2:13" ht="16.350000000000001" customHeight="1">
      <c r="B66" s="22"/>
      <c r="C66" s="49" t="s">
        <v>186</v>
      </c>
    </row>
    <row r="67" spans="2:13" ht="16.350000000000001" customHeight="1">
      <c r="B67" s="22"/>
      <c r="C67" s="47" t="s">
        <v>187</v>
      </c>
      <c r="G67" s="30"/>
    </row>
    <row r="68" spans="2:13" ht="16.350000000000001" customHeight="1">
      <c r="B68" s="22"/>
      <c r="C68" s="47" t="s">
        <v>204</v>
      </c>
      <c r="G68" s="30"/>
    </row>
    <row r="69" spans="2:13" ht="16.350000000000001" customHeight="1">
      <c r="B69" s="22"/>
      <c r="G69" s="30"/>
    </row>
    <row r="70" spans="2:13" ht="16.350000000000001" customHeight="1">
      <c r="B70" s="31"/>
      <c r="G70" s="33" t="s">
        <v>156</v>
      </c>
      <c r="H70" s="32"/>
      <c r="I70" s="32"/>
      <c r="J70" s="32"/>
      <c r="K70" s="32"/>
      <c r="L70" s="32"/>
    </row>
    <row r="71" spans="2:13" ht="16.350000000000001" customHeight="1">
      <c r="B71" s="28"/>
      <c r="C71" s="28"/>
      <c r="D71" s="28"/>
      <c r="E71" s="28"/>
      <c r="F71" s="28"/>
      <c r="G71" s="29" t="s">
        <v>157</v>
      </c>
      <c r="H71" s="29" t="s">
        <v>158</v>
      </c>
      <c r="I71" s="29" t="s">
        <v>159</v>
      </c>
      <c r="J71" s="29" t="s">
        <v>160</v>
      </c>
      <c r="K71" s="29" t="s">
        <v>198</v>
      </c>
      <c r="L71" s="29" t="s">
        <v>199</v>
      </c>
    </row>
    <row r="72" spans="2:13" ht="16.350000000000001" customHeight="1">
      <c r="B72" s="22"/>
      <c r="C72" s="21" t="s">
        <v>186</v>
      </c>
      <c r="D72" s="31"/>
      <c r="E72" s="31"/>
      <c r="F72" s="31"/>
      <c r="G72" s="26">
        <v>11.2</v>
      </c>
      <c r="H72" s="26">
        <v>13.903874999999999</v>
      </c>
      <c r="I72" s="26">
        <v>18.568346984999998</v>
      </c>
      <c r="J72" s="26">
        <v>25.517940180444</v>
      </c>
      <c r="K72" s="26">
        <v>30.038386284574202</v>
      </c>
      <c r="L72" s="26">
        <v>34.775948143573295</v>
      </c>
    </row>
    <row r="73" spans="2:13" s="31" customFormat="1" ht="16.350000000000001" customHeight="1">
      <c r="C73" s="48"/>
      <c r="D73" s="48" t="s">
        <v>188</v>
      </c>
      <c r="E73" s="48"/>
      <c r="F73" s="48"/>
      <c r="G73" s="43">
        <v>0.10884353741496597</v>
      </c>
      <c r="H73" s="43">
        <v>0.1063800688599847</v>
      </c>
      <c r="I73" s="43">
        <v>0.11767013298479086</v>
      </c>
      <c r="J73" s="43">
        <v>0.14408774805445512</v>
      </c>
      <c r="K73" s="43">
        <v>0.15483704270399073</v>
      </c>
      <c r="L73" s="43">
        <v>0.16889727121696596</v>
      </c>
    </row>
    <row r="74" spans="2:13" ht="16.350000000000001" customHeight="1">
      <c r="G74" s="26"/>
      <c r="H74" s="26"/>
      <c r="I74" s="26"/>
      <c r="J74" s="26"/>
      <c r="K74" s="26"/>
      <c r="L74" s="26"/>
    </row>
    <row r="75" spans="2:13" ht="16.350000000000001" customHeight="1"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</row>
    <row r="76" spans="2:13" ht="16.350000000000001" customHeight="1">
      <c r="B76" s="22"/>
      <c r="C76" s="49" t="s">
        <v>195</v>
      </c>
    </row>
    <row r="77" spans="2:13" ht="16.350000000000001" customHeight="1">
      <c r="B77" s="22"/>
      <c r="C77" s="47" t="s">
        <v>205</v>
      </c>
      <c r="G77" s="30"/>
    </row>
    <row r="78" spans="2:13" ht="16.350000000000001" customHeight="1">
      <c r="B78" s="22"/>
      <c r="G78" s="30"/>
    </row>
    <row r="79" spans="2:13" ht="16.350000000000001" customHeight="1">
      <c r="B79" s="31"/>
      <c r="G79" s="33" t="s">
        <v>156</v>
      </c>
      <c r="H79" s="32"/>
      <c r="I79" s="32"/>
      <c r="J79" s="32"/>
      <c r="K79" s="32"/>
      <c r="L79" s="32"/>
    </row>
    <row r="80" spans="2:13" ht="16.350000000000001" customHeight="1">
      <c r="B80" s="28"/>
      <c r="C80" s="28"/>
      <c r="D80" s="28"/>
      <c r="E80" s="28"/>
      <c r="F80" s="28"/>
      <c r="G80" s="29" t="s">
        <v>157</v>
      </c>
      <c r="H80" s="29" t="s">
        <v>158</v>
      </c>
      <c r="I80" s="29" t="s">
        <v>159</v>
      </c>
      <c r="J80" s="29" t="s">
        <v>160</v>
      </c>
      <c r="K80" s="29" t="s">
        <v>198</v>
      </c>
      <c r="L80" s="29" t="s">
        <v>199</v>
      </c>
    </row>
    <row r="81" spans="2:12" ht="16.350000000000001" customHeight="1">
      <c r="B81" s="22"/>
      <c r="C81" s="21" t="s">
        <v>195</v>
      </c>
      <c r="D81" s="31"/>
      <c r="E81" s="31"/>
      <c r="F81" s="31"/>
      <c r="G81" s="26">
        <v>3.5060628822433566</v>
      </c>
      <c r="H81" s="26">
        <v>6.4</v>
      </c>
      <c r="I81" s="26">
        <v>12.799898205905091</v>
      </c>
      <c r="J81" s="26">
        <v>27.132037562351456</v>
      </c>
      <c r="K81" s="26">
        <v>30.335773991379373</v>
      </c>
      <c r="L81" s="26">
        <v>31</v>
      </c>
    </row>
    <row r="82" spans="2:12" s="31" customFormat="1" ht="16.350000000000001" customHeight="1">
      <c r="C82" s="48"/>
      <c r="D82" s="48" t="s">
        <v>188</v>
      </c>
      <c r="E82" s="48"/>
      <c r="F82" s="48"/>
      <c r="G82" s="43">
        <v>3.4000000000000002E-2</v>
      </c>
      <c r="H82" s="43">
        <v>4.9000000000000002E-2</v>
      </c>
      <c r="I82" s="43">
        <v>8.1000000000000003E-2</v>
      </c>
      <c r="J82" s="43">
        <v>0.153</v>
      </c>
      <c r="K82" s="43">
        <v>0.156</v>
      </c>
      <c r="L82" s="43">
        <v>0.151</v>
      </c>
    </row>
    <row r="83" spans="2:12" ht="16.350000000000001" customHeight="1">
      <c r="G83" s="26"/>
      <c r="H83" s="26"/>
      <c r="I83" s="26"/>
      <c r="J83" s="26"/>
      <c r="K83" s="26"/>
      <c r="L83" s="26"/>
    </row>
    <row r="84" spans="2:12" ht="16.350000000000001" customHeight="1">
      <c r="G84" s="26"/>
      <c r="H84" s="26"/>
      <c r="I84" s="26"/>
      <c r="J84" s="26"/>
      <c r="K84" s="26"/>
      <c r="L84" s="26"/>
    </row>
    <row r="85" spans="2:12" ht="16.350000000000001" customHeight="1"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</row>
    <row r="86" spans="2:12" ht="16.350000000000001" customHeight="1">
      <c r="B86" s="22"/>
      <c r="C86" s="49" t="s">
        <v>189</v>
      </c>
    </row>
    <row r="87" spans="2:12" ht="16.350000000000001" customHeight="1">
      <c r="B87" s="22"/>
      <c r="C87" s="47" t="s">
        <v>206</v>
      </c>
      <c r="G87" s="30"/>
    </row>
    <row r="88" spans="2:12" ht="16.350000000000001" customHeight="1">
      <c r="B88" s="22"/>
      <c r="C88" s="47" t="s">
        <v>190</v>
      </c>
      <c r="G88" s="30"/>
    </row>
    <row r="89" spans="2:12" ht="16.350000000000001" customHeight="1">
      <c r="B89" s="22"/>
      <c r="G89" s="30"/>
    </row>
    <row r="90" spans="2:12" ht="16.350000000000001" customHeight="1">
      <c r="B90" s="28"/>
      <c r="C90" s="28"/>
      <c r="D90" s="28"/>
      <c r="E90" s="28"/>
      <c r="F90" s="28"/>
      <c r="G90" s="30"/>
      <c r="H90" s="29" t="s">
        <v>191</v>
      </c>
      <c r="I90" s="29" t="s">
        <v>192</v>
      </c>
      <c r="J90" s="29" t="s">
        <v>193</v>
      </c>
      <c r="K90" s="29" t="s">
        <v>159</v>
      </c>
      <c r="L90" s="29" t="s">
        <v>160</v>
      </c>
    </row>
    <row r="91" spans="2:12" ht="16.350000000000001" customHeight="1">
      <c r="B91" s="22"/>
      <c r="C91" s="21" t="s">
        <v>209</v>
      </c>
      <c r="D91" s="31"/>
      <c r="E91" s="31"/>
      <c r="F91" s="31"/>
      <c r="G91" s="26"/>
      <c r="H91" s="50" t="s">
        <v>207</v>
      </c>
      <c r="I91" s="53">
        <v>3.5000000000000003E-2</v>
      </c>
      <c r="J91" s="53">
        <v>3.6600000000000001E-2</v>
      </c>
      <c r="K91" s="26">
        <v>102.4</v>
      </c>
      <c r="L91" s="26">
        <v>102.4</v>
      </c>
    </row>
    <row r="92" spans="2:12" ht="16.350000000000001" customHeight="1">
      <c r="B92" s="31"/>
      <c r="C92" s="40" t="s">
        <v>210</v>
      </c>
      <c r="D92" s="48"/>
      <c r="E92" s="48"/>
      <c r="F92" s="48"/>
      <c r="G92" s="43"/>
      <c r="H92" s="51" t="s">
        <v>208</v>
      </c>
      <c r="I92" s="52">
        <v>5.5E-2</v>
      </c>
      <c r="J92" s="52">
        <v>5.8000000000000003E-2</v>
      </c>
      <c r="K92" s="39">
        <v>93.7</v>
      </c>
      <c r="L92" s="39">
        <v>93.7</v>
      </c>
    </row>
    <row r="93" spans="2:12" ht="16.350000000000001" customHeight="1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63AE-96A1-4684-8871-3A4DE52A5979}">
  <sheetPr>
    <tabColor theme="0" tint="-0.249977111117893"/>
  </sheetPr>
  <dimension ref="A1:J10"/>
  <sheetViews>
    <sheetView workbookViewId="0">
      <selection activeCell="H17" sqref="H17"/>
    </sheetView>
  </sheetViews>
  <sheetFormatPr baseColWidth="10" defaultColWidth="9.109375" defaultRowHeight="13.8"/>
  <cols>
    <col min="1" max="1" width="2.6640625" style="2" customWidth="1"/>
    <col min="2" max="16384" width="9.109375" style="2"/>
  </cols>
  <sheetData>
    <row r="1" spans="1:10">
      <c r="A1" s="56"/>
    </row>
    <row r="2" spans="1:10">
      <c r="B2" s="6"/>
      <c r="C2" s="6"/>
      <c r="D2" s="6"/>
      <c r="E2" s="57">
        <v>2018</v>
      </c>
      <c r="F2" s="6">
        <v>2019</v>
      </c>
      <c r="G2" s="6">
        <v>2020</v>
      </c>
      <c r="H2" s="6">
        <v>2021</v>
      </c>
      <c r="I2" s="6">
        <v>2022</v>
      </c>
      <c r="J2" s="6">
        <v>2023</v>
      </c>
    </row>
    <row r="3" spans="1:10" s="1" customFormat="1">
      <c r="B3" s="1" t="s">
        <v>194</v>
      </c>
      <c r="E3" s="59">
        <f>+SUM(E4:E10)</f>
        <v>180</v>
      </c>
      <c r="F3" s="5">
        <f t="shared" ref="F3:J3" si="0">+SUM(F4:F10)</f>
        <v>195</v>
      </c>
      <c r="G3" s="5">
        <f t="shared" si="0"/>
        <v>270</v>
      </c>
      <c r="H3" s="5">
        <f t="shared" si="0"/>
        <v>312</v>
      </c>
      <c r="I3" s="5">
        <f t="shared" si="0"/>
        <v>338</v>
      </c>
      <c r="J3" s="5">
        <f t="shared" si="0"/>
        <v>378</v>
      </c>
    </row>
    <row r="4" spans="1:10">
      <c r="B4" s="54" t="s">
        <v>181</v>
      </c>
      <c r="E4" s="58">
        <v>15</v>
      </c>
      <c r="F4" s="55">
        <v>17</v>
      </c>
      <c r="G4" s="55">
        <v>20</v>
      </c>
      <c r="H4" s="55">
        <v>23</v>
      </c>
      <c r="I4" s="55">
        <v>24</v>
      </c>
      <c r="J4" s="55">
        <v>25</v>
      </c>
    </row>
    <row r="5" spans="1:10">
      <c r="B5" s="54" t="s">
        <v>180</v>
      </c>
      <c r="E5" s="58">
        <v>60</v>
      </c>
      <c r="F5" s="55">
        <v>63</v>
      </c>
      <c r="G5" s="55">
        <v>95</v>
      </c>
      <c r="H5" s="55">
        <v>115</v>
      </c>
      <c r="I5" s="55">
        <v>125</v>
      </c>
      <c r="J5" s="55">
        <v>135</v>
      </c>
    </row>
    <row r="6" spans="1:10">
      <c r="B6" s="54" t="s">
        <v>2</v>
      </c>
      <c r="E6" s="58">
        <v>40</v>
      </c>
      <c r="F6" s="55">
        <v>45</v>
      </c>
      <c r="G6" s="55">
        <v>75</v>
      </c>
      <c r="H6" s="55">
        <v>88</v>
      </c>
      <c r="I6" s="55">
        <v>97</v>
      </c>
      <c r="J6" s="55">
        <v>120</v>
      </c>
    </row>
    <row r="7" spans="1:10">
      <c r="B7" s="54" t="s">
        <v>178</v>
      </c>
      <c r="E7" s="58">
        <v>12</v>
      </c>
      <c r="F7" s="55">
        <v>13</v>
      </c>
      <c r="G7" s="55">
        <v>17</v>
      </c>
      <c r="H7" s="55">
        <v>18</v>
      </c>
      <c r="I7" s="55">
        <v>19</v>
      </c>
      <c r="J7" s="55">
        <v>20</v>
      </c>
    </row>
    <row r="8" spans="1:10">
      <c r="B8" s="54" t="s">
        <v>177</v>
      </c>
      <c r="E8" s="58">
        <v>13</v>
      </c>
      <c r="F8" s="55">
        <v>13</v>
      </c>
      <c r="G8" s="55">
        <v>15</v>
      </c>
      <c r="H8" s="55">
        <v>16</v>
      </c>
      <c r="I8" s="55">
        <v>17</v>
      </c>
      <c r="J8" s="55">
        <v>18</v>
      </c>
    </row>
    <row r="9" spans="1:10">
      <c r="B9" s="54" t="s">
        <v>179</v>
      </c>
      <c r="E9" s="58">
        <v>20</v>
      </c>
      <c r="F9" s="55">
        <v>22</v>
      </c>
      <c r="G9" s="55">
        <v>24</v>
      </c>
      <c r="H9" s="55">
        <v>26</v>
      </c>
      <c r="I9" s="55">
        <v>28</v>
      </c>
      <c r="J9" s="55">
        <v>30</v>
      </c>
    </row>
    <row r="10" spans="1:10">
      <c r="B10" s="54" t="s">
        <v>185</v>
      </c>
      <c r="E10" s="58">
        <f>+E9</f>
        <v>20</v>
      </c>
      <c r="F10" s="55">
        <f t="shared" ref="F10:J10" si="1">+F9</f>
        <v>22</v>
      </c>
      <c r="G10" s="55">
        <f t="shared" si="1"/>
        <v>24</v>
      </c>
      <c r="H10" s="55">
        <f t="shared" si="1"/>
        <v>26</v>
      </c>
      <c r="I10" s="55">
        <f t="shared" si="1"/>
        <v>28</v>
      </c>
      <c r="J10" s="55">
        <f t="shared" si="1"/>
        <v>30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A9B0-9E50-4984-BA96-F3ABC6DFC77F}">
  <sheetPr>
    <tabColor theme="0" tint="-0.249977111117893"/>
  </sheetPr>
  <dimension ref="B1:H101"/>
  <sheetViews>
    <sheetView workbookViewId="0"/>
  </sheetViews>
  <sheetFormatPr baseColWidth="10" defaultColWidth="8.88671875" defaultRowHeight="13.8"/>
  <cols>
    <col min="1" max="1" width="2.88671875" style="68" customWidth="1"/>
    <col min="2" max="2" width="22.88671875" style="68" bestFit="1" customWidth="1"/>
    <col min="3" max="7" width="10.88671875" style="75" customWidth="1"/>
    <col min="8" max="8" width="10.88671875" style="68" customWidth="1"/>
    <col min="9" max="16384" width="8.88671875" style="68"/>
  </cols>
  <sheetData>
    <row r="1" spans="2:8" ht="14.4" customHeight="1"/>
    <row r="2" spans="2:8" ht="14.4" customHeight="1">
      <c r="B2" s="71" t="s">
        <v>220</v>
      </c>
      <c r="C2" s="72">
        <v>2019</v>
      </c>
      <c r="D2" s="72">
        <v>2020</v>
      </c>
      <c r="E2" s="72">
        <v>2021</v>
      </c>
      <c r="F2" s="72">
        <v>2022</v>
      </c>
      <c r="G2" s="72">
        <v>2023</v>
      </c>
      <c r="H2" s="72" t="s">
        <v>224</v>
      </c>
    </row>
    <row r="3" spans="2:8" ht="14.4" customHeight="1">
      <c r="B3" s="69" t="s">
        <v>214</v>
      </c>
      <c r="C3" s="76">
        <v>8376399.9999999991</v>
      </c>
      <c r="D3" s="76">
        <v>8376399.9999999991</v>
      </c>
      <c r="E3" s="76">
        <v>8376399.9999999991</v>
      </c>
      <c r="F3" s="76">
        <v>12776399.999999985</v>
      </c>
      <c r="G3" s="76">
        <v>10976399.999999985</v>
      </c>
      <c r="H3" s="73" t="s">
        <v>213</v>
      </c>
    </row>
    <row r="4" spans="2:8" ht="14.4" customHeight="1">
      <c r="B4" s="70" t="s">
        <v>215</v>
      </c>
      <c r="C4" s="76">
        <v>17264627.253157329</v>
      </c>
      <c r="D4" s="76">
        <v>16833648.660449538</v>
      </c>
      <c r="E4" s="76">
        <v>17015907.489486661</v>
      </c>
      <c r="F4" s="76">
        <v>17231004.154939219</v>
      </c>
      <c r="G4" s="76">
        <v>25483773.085781332</v>
      </c>
      <c r="H4" s="74">
        <v>40</v>
      </c>
    </row>
    <row r="5" spans="2:8" ht="14.4" customHeight="1">
      <c r="B5" s="69" t="s">
        <v>219</v>
      </c>
      <c r="C5" s="76">
        <v>19005625.330410954</v>
      </c>
      <c r="D5" s="76">
        <v>19308027.11069468</v>
      </c>
      <c r="E5" s="76">
        <v>19338604.785208154</v>
      </c>
      <c r="F5" s="76">
        <v>18218437.778615095</v>
      </c>
      <c r="G5" s="76">
        <v>19937573.702482618</v>
      </c>
      <c r="H5" s="73">
        <v>5</v>
      </c>
    </row>
    <row r="6" spans="2:8" ht="14.4" customHeight="1">
      <c r="B6" s="69" t="s">
        <v>218</v>
      </c>
      <c r="C6" s="76">
        <v>2017697.2504524619</v>
      </c>
      <c r="D6" s="76">
        <v>3701431.6541651236</v>
      </c>
      <c r="E6" s="76">
        <v>4670564.5122129526</v>
      </c>
      <c r="F6" s="76">
        <v>6185764.7395988749</v>
      </c>
      <c r="G6" s="76">
        <v>6974959.8142658016</v>
      </c>
      <c r="H6" s="73">
        <v>5</v>
      </c>
    </row>
    <row r="7" spans="2:8" ht="14.4" customHeight="1">
      <c r="B7" s="69" t="s">
        <v>216</v>
      </c>
      <c r="C7" s="76">
        <v>2035650.1659792562</v>
      </c>
      <c r="D7" s="76">
        <v>2680492.5746906651</v>
      </c>
      <c r="E7" s="76">
        <v>3298523.2130922391</v>
      </c>
      <c r="F7" s="76">
        <v>5388393.3268468184</v>
      </c>
      <c r="G7" s="76">
        <v>7927293.3974702591</v>
      </c>
      <c r="H7" s="73" t="s">
        <v>213</v>
      </c>
    </row>
    <row r="8" spans="2:8" ht="14.4" customHeight="1">
      <c r="B8" s="77" t="s">
        <v>217</v>
      </c>
      <c r="C8" s="78">
        <v>48700000</v>
      </c>
      <c r="D8" s="78">
        <v>50900000.000000007</v>
      </c>
      <c r="E8" s="78">
        <v>52700000.000000007</v>
      </c>
      <c r="F8" s="78">
        <v>59799999.999999993</v>
      </c>
      <c r="G8" s="78">
        <v>71300000</v>
      </c>
      <c r="H8" s="77"/>
    </row>
    <row r="9" spans="2:8" ht="14.4" customHeight="1"/>
    <row r="10" spans="2:8" ht="14.4" customHeight="1">
      <c r="B10" s="71" t="s">
        <v>225</v>
      </c>
      <c r="C10" s="72">
        <v>2019</v>
      </c>
      <c r="D10" s="72">
        <v>2020</v>
      </c>
      <c r="E10" s="72">
        <v>2021</v>
      </c>
      <c r="F10" s="72">
        <v>2022</v>
      </c>
      <c r="G10" s="72">
        <v>2023</v>
      </c>
    </row>
    <row r="11" spans="2:8" ht="14.4" customHeight="1">
      <c r="B11" s="69" t="s">
        <v>214</v>
      </c>
      <c r="C11" s="76">
        <v>0</v>
      </c>
      <c r="D11" s="76">
        <v>0</v>
      </c>
      <c r="E11" s="76">
        <v>4399999.9999999851</v>
      </c>
      <c r="F11" s="76">
        <v>-1800000</v>
      </c>
      <c r="G11" s="76">
        <v>-4000000</v>
      </c>
    </row>
    <row r="12" spans="2:8" ht="14.4" customHeight="1">
      <c r="B12" s="70" t="s">
        <v>215</v>
      </c>
      <c r="C12" s="76">
        <v>0</v>
      </c>
      <c r="D12" s="76">
        <v>665525.56593566947</v>
      </c>
      <c r="E12" s="76">
        <v>726794.06928626366</v>
      </c>
      <c r="F12" s="76">
        <v>8803360.949857356</v>
      </c>
      <c r="G12" s="76">
        <v>1219459.2407090797</v>
      </c>
    </row>
    <row r="13" spans="2:8" ht="14.4" customHeight="1">
      <c r="B13" s="69" t="s">
        <v>219</v>
      </c>
      <c r="C13" s="76">
        <v>3276157.5912885908</v>
      </c>
      <c r="D13" s="76">
        <v>2503643.7956627565</v>
      </c>
      <c r="E13" s="76">
        <v>1965035.8169591571</v>
      </c>
      <c r="F13" s="76">
        <v>3595738.9795192028</v>
      </c>
      <c r="G13" s="76">
        <v>4082537.4580260497</v>
      </c>
    </row>
    <row r="14" spans="2:8" ht="14.4" customHeight="1">
      <c r="B14" s="69" t="s">
        <v>218</v>
      </c>
      <c r="C14" s="76">
        <v>7.4505805969238281E-9</v>
      </c>
      <c r="D14" s="76">
        <v>-300000</v>
      </c>
      <c r="E14" s="76">
        <v>0</v>
      </c>
      <c r="F14" s="76">
        <v>-1799999.9999999925</v>
      </c>
      <c r="G14" s="76">
        <v>-3900000.0000000075</v>
      </c>
    </row>
    <row r="15" spans="2:8" ht="14.4" customHeight="1">
      <c r="B15" s="69" t="s">
        <v>216</v>
      </c>
      <c r="C15" s="76">
        <v>-3276157.5912885908</v>
      </c>
      <c r="D15" s="76">
        <v>-3169169.361598426</v>
      </c>
      <c r="E15" s="76">
        <v>-2691829.8862454207</v>
      </c>
      <c r="F15" s="76">
        <v>-12399099.929376559</v>
      </c>
      <c r="G15" s="76">
        <v>-5301996.6987351291</v>
      </c>
    </row>
    <row r="16" spans="2:8" s="79" customFormat="1" ht="14.4" customHeight="1">
      <c r="B16" s="77" t="s">
        <v>217</v>
      </c>
      <c r="C16" s="78">
        <v>7.4505805969238281E-9</v>
      </c>
      <c r="D16" s="78">
        <v>-300000</v>
      </c>
      <c r="E16" s="78">
        <v>4399999.9999999851</v>
      </c>
      <c r="F16" s="78">
        <v>-3599999.9999999925</v>
      </c>
      <c r="G16" s="78">
        <v>-7900000.0000000075</v>
      </c>
      <c r="H16" s="68"/>
    </row>
    <row r="17" spans="2:8" ht="14.4" customHeight="1"/>
    <row r="18" spans="2:8" ht="14.4" customHeight="1">
      <c r="B18" s="71" t="s">
        <v>221</v>
      </c>
      <c r="C18" s="72">
        <v>2019</v>
      </c>
      <c r="D18" s="72">
        <v>2020</v>
      </c>
      <c r="E18" s="72">
        <v>2021</v>
      </c>
      <c r="F18" s="72">
        <v>2022</v>
      </c>
      <c r="G18" s="72">
        <v>2023</v>
      </c>
    </row>
    <row r="19" spans="2:8" ht="14.4" customHeight="1">
      <c r="B19" s="69" t="s">
        <v>214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</row>
    <row r="20" spans="2:8" ht="14.4" customHeight="1">
      <c r="B20" s="70" t="s">
        <v>215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</row>
    <row r="21" spans="2:8" ht="14.4" customHeight="1">
      <c r="B21" s="69" t="s">
        <v>219</v>
      </c>
      <c r="C21" s="76">
        <v>1112453.6350334899</v>
      </c>
      <c r="D21" s="76">
        <v>1539547.1314218114</v>
      </c>
      <c r="E21" s="76">
        <v>1062600</v>
      </c>
      <c r="F21" s="76">
        <v>3150541.3800935629</v>
      </c>
      <c r="G21" s="76">
        <v>823600</v>
      </c>
    </row>
    <row r="22" spans="2:8" ht="14.4" customHeight="1">
      <c r="B22" s="69" t="s">
        <v>218</v>
      </c>
      <c r="C22" s="76">
        <v>2166546.3649665099</v>
      </c>
      <c r="D22" s="76">
        <v>2173252.8685781881</v>
      </c>
      <c r="E22" s="76">
        <v>2755700.0000000005</v>
      </c>
      <c r="F22" s="76">
        <v>3911458.6199064367</v>
      </c>
      <c r="G22" s="76">
        <v>6399700</v>
      </c>
    </row>
    <row r="23" spans="2:8" ht="14.4" customHeight="1">
      <c r="B23" s="69" t="s">
        <v>216</v>
      </c>
      <c r="C23" s="76">
        <v>3920999.9999999995</v>
      </c>
      <c r="D23" s="76">
        <v>3787200</v>
      </c>
      <c r="E23" s="76">
        <v>4781700</v>
      </c>
      <c r="F23" s="76">
        <v>14938000</v>
      </c>
      <c r="G23" s="76">
        <v>2676700</v>
      </c>
    </row>
    <row r="24" spans="2:8" s="79" customFormat="1" ht="14.4" customHeight="1">
      <c r="B24" s="77" t="s">
        <v>217</v>
      </c>
      <c r="C24" s="78">
        <v>7200000</v>
      </c>
      <c r="D24" s="78">
        <v>7500000</v>
      </c>
      <c r="E24" s="78">
        <v>8600000</v>
      </c>
      <c r="F24" s="78">
        <v>22000000</v>
      </c>
      <c r="G24" s="78">
        <v>9900000</v>
      </c>
      <c r="H24" s="68"/>
    </row>
    <row r="25" spans="2:8" ht="14.4" customHeight="1"/>
    <row r="26" spans="2:8" ht="14.4" customHeight="1">
      <c r="B26" s="71" t="s">
        <v>222</v>
      </c>
      <c r="C26" s="72">
        <v>2019</v>
      </c>
      <c r="D26" s="72">
        <v>2020</v>
      </c>
      <c r="E26" s="72">
        <v>2021</v>
      </c>
      <c r="F26" s="72">
        <v>2022</v>
      </c>
      <c r="G26" s="72">
        <v>2023</v>
      </c>
    </row>
    <row r="27" spans="2:8" ht="14.4" customHeight="1">
      <c r="B27" s="69" t="s">
        <v>214</v>
      </c>
      <c r="C27" s="76">
        <v>0</v>
      </c>
      <c r="D27" s="76">
        <v>0</v>
      </c>
      <c r="E27" s="76">
        <v>0</v>
      </c>
      <c r="F27" s="76">
        <v>0</v>
      </c>
      <c r="G27" s="76">
        <v>0</v>
      </c>
    </row>
    <row r="28" spans="2:8" ht="14.4" customHeight="1">
      <c r="B28" s="70" t="s">
        <v>215</v>
      </c>
      <c r="C28" s="76">
        <v>430978.59270778898</v>
      </c>
      <c r="D28" s="76">
        <v>483266.73689854442</v>
      </c>
      <c r="E28" s="76">
        <v>511697.40383370628</v>
      </c>
      <c r="F28" s="76">
        <v>550592.01901524316</v>
      </c>
      <c r="G28" s="76">
        <v>993867.15034547192</v>
      </c>
    </row>
    <row r="29" spans="2:8" ht="14.4" customHeight="1">
      <c r="B29" s="69" t="s">
        <v>219</v>
      </c>
      <c r="C29" s="76">
        <v>4086209.4460383551</v>
      </c>
      <c r="D29" s="76">
        <v>4012613.2525710938</v>
      </c>
      <c r="E29" s="76">
        <v>4147802.8235522173</v>
      </c>
      <c r="F29" s="76">
        <v>5027144.4357452421</v>
      </c>
      <c r="G29" s="76">
        <v>5582520.6366951335</v>
      </c>
    </row>
    <row r="30" spans="2:8" ht="14.4" customHeight="1">
      <c r="B30" s="69" t="s">
        <v>218</v>
      </c>
      <c r="C30" s="76">
        <v>482811.96125385631</v>
      </c>
      <c r="D30" s="76">
        <v>904120.01053036191</v>
      </c>
      <c r="E30" s="76">
        <v>1240499.7726140767</v>
      </c>
      <c r="F30" s="76">
        <v>1322263.5452395147</v>
      </c>
      <c r="G30" s="76">
        <v>1823612.2129593948</v>
      </c>
    </row>
    <row r="31" spans="2:8" ht="14.4" customHeight="1">
      <c r="B31" s="69" t="s">
        <v>216</v>
      </c>
      <c r="C31" s="76">
        <v>0</v>
      </c>
      <c r="D31" s="76">
        <v>0</v>
      </c>
      <c r="E31" s="76">
        <v>0</v>
      </c>
      <c r="F31" s="76">
        <v>0</v>
      </c>
      <c r="G31" s="76">
        <v>0</v>
      </c>
    </row>
    <row r="32" spans="2:8" s="79" customFormat="1" ht="14.4" customHeight="1">
      <c r="B32" s="77" t="s">
        <v>217</v>
      </c>
      <c r="C32" s="78">
        <v>5000000</v>
      </c>
      <c r="D32" s="78">
        <v>5400000</v>
      </c>
      <c r="E32" s="78">
        <v>5900000</v>
      </c>
      <c r="F32" s="78">
        <v>6900000</v>
      </c>
      <c r="G32" s="78">
        <v>8400000</v>
      </c>
      <c r="H32" s="68"/>
    </row>
    <row r="33" spans="2:8" ht="14.4" customHeight="1"/>
    <row r="34" spans="2:8">
      <c r="B34" s="71" t="s">
        <v>223</v>
      </c>
      <c r="C34" s="72">
        <v>2019</v>
      </c>
      <c r="D34" s="72">
        <v>2020</v>
      </c>
      <c r="E34" s="72">
        <v>2021</v>
      </c>
      <c r="F34" s="72">
        <v>2022</v>
      </c>
      <c r="G34" s="72">
        <v>2023</v>
      </c>
    </row>
    <row r="35" spans="2:8">
      <c r="B35" s="69" t="s">
        <v>214</v>
      </c>
      <c r="C35" s="76">
        <v>8376399.9999999991</v>
      </c>
      <c r="D35" s="76">
        <v>8376399.9999999991</v>
      </c>
      <c r="E35" s="76">
        <v>12776399.999999985</v>
      </c>
      <c r="F35" s="76">
        <v>10976399.999999985</v>
      </c>
      <c r="G35" s="76">
        <v>6976399.9999999851</v>
      </c>
    </row>
    <row r="36" spans="2:8" ht="14.4" customHeight="1">
      <c r="B36" s="70" t="s">
        <v>215</v>
      </c>
      <c r="C36" s="76">
        <v>16833648.660449538</v>
      </c>
      <c r="D36" s="76">
        <v>17015907.489486661</v>
      </c>
      <c r="E36" s="76">
        <v>17231004.154939219</v>
      </c>
      <c r="F36" s="76">
        <v>25483773.085781332</v>
      </c>
      <c r="G36" s="76">
        <v>25709365.176144943</v>
      </c>
    </row>
    <row r="37" spans="2:8">
      <c r="B37" s="69" t="s">
        <v>219</v>
      </c>
      <c r="C37" s="76">
        <v>19308027.11069468</v>
      </c>
      <c r="D37" s="76">
        <v>19338604.785208154</v>
      </c>
      <c r="E37" s="76">
        <v>18218437.778615095</v>
      </c>
      <c r="F37" s="76">
        <v>19937573.702482618</v>
      </c>
      <c r="G37" s="76">
        <v>19261190.523813538</v>
      </c>
    </row>
    <row r="38" spans="2:8">
      <c r="B38" s="69" t="s">
        <v>218</v>
      </c>
      <c r="C38" s="76">
        <v>3701431.6541651236</v>
      </c>
      <c r="D38" s="76">
        <v>4670564.5122129526</v>
      </c>
      <c r="E38" s="76">
        <v>6185764.7395988749</v>
      </c>
      <c r="F38" s="76">
        <v>6974959.8142658016</v>
      </c>
      <c r="G38" s="76">
        <v>7651047.6013063965</v>
      </c>
    </row>
    <row r="39" spans="2:8">
      <c r="B39" s="69" t="s">
        <v>216</v>
      </c>
      <c r="C39" s="76">
        <v>2680492.5746906651</v>
      </c>
      <c r="D39" s="76">
        <v>3298523.2130922391</v>
      </c>
      <c r="E39" s="76">
        <v>5388393.3268468184</v>
      </c>
      <c r="F39" s="76">
        <v>7927293.3974702591</v>
      </c>
      <c r="G39" s="76">
        <v>5301996.69873513</v>
      </c>
    </row>
    <row r="40" spans="2:8" s="79" customFormat="1">
      <c r="B40" s="77" t="s">
        <v>217</v>
      </c>
      <c r="C40" s="78">
        <v>50900000.000000007</v>
      </c>
      <c r="D40" s="78">
        <v>52700000.000000007</v>
      </c>
      <c r="E40" s="78">
        <v>59799999.999999993</v>
      </c>
      <c r="F40" s="78">
        <v>71300000</v>
      </c>
      <c r="G40" s="78">
        <v>64899999.999999993</v>
      </c>
      <c r="H40" s="68"/>
    </row>
    <row r="47" spans="2:8" ht="14.4" customHeight="1"/>
    <row r="48" spans="2:8" ht="14.4" customHeight="1"/>
    <row r="49" ht="14.4" customHeight="1"/>
    <row r="50" ht="14.4" customHeight="1"/>
    <row r="51" ht="14.4" customHeight="1"/>
    <row r="52" ht="14.4" customHeight="1"/>
    <row r="53" ht="14.4" customHeight="1"/>
    <row r="54" ht="14.4" customHeight="1"/>
    <row r="55" ht="14.4" customHeight="1"/>
    <row r="56" ht="14.4" customHeight="1"/>
    <row r="57" ht="14.4" customHeight="1"/>
    <row r="58" ht="14.4" customHeight="1"/>
    <row r="59" ht="14.4" customHeight="1"/>
    <row r="60" ht="14.4" customHeight="1"/>
    <row r="68" ht="14.4" customHeight="1"/>
    <row r="84" ht="14.4" customHeight="1"/>
    <row r="101" ht="14.4" customHeight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</vt:i4>
      </vt:variant>
    </vt:vector>
  </HeadingPairs>
  <TitlesOfParts>
    <vt:vector size="11" baseType="lpstr">
      <vt:lpstr>Model</vt:lpstr>
      <vt:lpstr>EBIT</vt:lpstr>
      <vt:lpstr>RAW &gt;&gt;</vt:lpstr>
      <vt:lpstr>IS_A</vt:lpstr>
      <vt:lpstr>BS_A</vt:lpstr>
      <vt:lpstr>CFS_A</vt:lpstr>
      <vt:lpstr>r10-K</vt:lpstr>
      <vt:lpstr>rEmployee</vt:lpstr>
      <vt:lpstr>rPPE</vt:lpstr>
      <vt:lpstr>Format</vt:lpstr>
      <vt:lpstr>'RAW &gt;&gt;'!Zone_d_impression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agh10</dc:creator>
  <cp:lastModifiedBy>DRICI Mohammed</cp:lastModifiedBy>
  <cp:lastPrinted>2025-05-08T17:00:24Z</cp:lastPrinted>
  <dcterms:created xsi:type="dcterms:W3CDTF">2021-05-24T22:23:42Z</dcterms:created>
  <dcterms:modified xsi:type="dcterms:W3CDTF">2025-06-03T16:20:24Z</dcterms:modified>
</cp:coreProperties>
</file>