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kevincantlin_mines_edu/Documents/Advanced Lab II/"/>
    </mc:Choice>
  </mc:AlternateContent>
  <xr:revisionPtr revIDLastSave="948" documentId="8_{876AF050-614D-46C3-A91F-B62B5D6AFF5D}" xr6:coauthVersionLast="47" xr6:coauthVersionMax="47" xr10:uidLastSave="{478D8884-E604-471A-8107-A856B62E6F1B}"/>
  <bookViews>
    <workbookView xWindow="-93" yWindow="-93" windowWidth="25786" windowHeight="13986" activeTab="3" xr2:uid="{1C921615-D7CD-40AB-9274-DF5F67001983}"/>
  </bookViews>
  <sheets>
    <sheet name="Background Spectrum" sheetId="5" r:id="rId1"/>
    <sheet name="137Cs with Pb" sheetId="1" r:id="rId2"/>
    <sheet name="137Cs with Al" sheetId="2" r:id="rId3"/>
    <sheet name="60Co with Al" sheetId="3" r:id="rId4"/>
    <sheet name="60Co with Pb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A12" i="3"/>
  <c r="F11" i="3"/>
  <c r="C11" i="3"/>
  <c r="E11" i="3"/>
  <c r="I11" i="3" s="1"/>
  <c r="B11" i="3"/>
  <c r="I8" i="3"/>
  <c r="F8" i="3"/>
  <c r="E9" i="3"/>
  <c r="E8" i="3"/>
  <c r="D8" i="3"/>
  <c r="C8" i="3"/>
  <c r="B8" i="3"/>
  <c r="A8" i="3"/>
  <c r="D11" i="3"/>
  <c r="A11" i="3"/>
  <c r="F10" i="3"/>
  <c r="C10" i="3"/>
  <c r="E10" i="3"/>
  <c r="B10" i="3"/>
  <c r="D10" i="3"/>
  <c r="A10" i="3"/>
  <c r="B25" i="2"/>
  <c r="B26" i="2"/>
  <c r="A25" i="2"/>
  <c r="A26" i="2"/>
  <c r="F9" i="3"/>
  <c r="C9" i="3"/>
  <c r="H9" i="3"/>
  <c r="B9" i="3"/>
  <c r="D9" i="3"/>
  <c r="A9" i="3"/>
  <c r="Y8" i="3"/>
  <c r="AB8" i="3" s="1"/>
  <c r="X8" i="3"/>
  <c r="AA8" i="3" s="1"/>
  <c r="W8" i="3"/>
  <c r="I12" i="3"/>
  <c r="I13" i="3"/>
  <c r="I14" i="3"/>
  <c r="H10" i="3"/>
  <c r="H11" i="3"/>
  <c r="H12" i="3"/>
  <c r="H13" i="3"/>
  <c r="H14" i="3"/>
  <c r="H8" i="3"/>
  <c r="Y14" i="3"/>
  <c r="AB14" i="3" s="1"/>
  <c r="X14" i="3"/>
  <c r="AA14" i="3" s="1"/>
  <c r="W14" i="3"/>
  <c r="Z14" i="3" s="1"/>
  <c r="Y13" i="3"/>
  <c r="AB13" i="3" s="1"/>
  <c r="X13" i="3"/>
  <c r="AA13" i="3" s="1"/>
  <c r="W13" i="3"/>
  <c r="Z13" i="3" s="1"/>
  <c r="Y12" i="3"/>
  <c r="AB12" i="3" s="1"/>
  <c r="X12" i="3"/>
  <c r="AA12" i="3" s="1"/>
  <c r="W12" i="3"/>
  <c r="Z12" i="3" s="1"/>
  <c r="Y11" i="3"/>
  <c r="AB11" i="3" s="1"/>
  <c r="X11" i="3"/>
  <c r="AA11" i="3" s="1"/>
  <c r="W11" i="3"/>
  <c r="Z11" i="3" s="1"/>
  <c r="Y10" i="3"/>
  <c r="AB10" i="3" s="1"/>
  <c r="X10" i="3"/>
  <c r="AA10" i="3" s="1"/>
  <c r="W10" i="3"/>
  <c r="Z10" i="3" s="1"/>
  <c r="Y9" i="3"/>
  <c r="AB9" i="3" s="1"/>
  <c r="X9" i="3"/>
  <c r="AA9" i="3" s="1"/>
  <c r="W9" i="3"/>
  <c r="Z9" i="3" s="1"/>
  <c r="A11" i="2"/>
  <c r="G11" i="2" s="1"/>
  <c r="B23" i="2" s="1"/>
  <c r="F36" i="1"/>
  <c r="B30" i="2"/>
  <c r="B22" i="2"/>
  <c r="B24" i="2"/>
  <c r="B21" i="2"/>
  <c r="B20" i="2"/>
  <c r="B19" i="2"/>
  <c r="B18" i="2"/>
  <c r="C12" i="2"/>
  <c r="G12" i="2" s="1"/>
  <c r="B12" i="2"/>
  <c r="A12" i="2"/>
  <c r="C11" i="2"/>
  <c r="B11" i="2"/>
  <c r="C10" i="2"/>
  <c r="B10" i="2"/>
  <c r="A10" i="2"/>
  <c r="C9" i="2"/>
  <c r="B9" i="2"/>
  <c r="A9" i="2"/>
  <c r="C7" i="2"/>
  <c r="B7" i="2"/>
  <c r="G7" i="2" s="1"/>
  <c r="A7" i="2"/>
  <c r="C5" i="2"/>
  <c r="B5" i="2"/>
  <c r="A5" i="2"/>
  <c r="E36" i="1"/>
  <c r="A22" i="2"/>
  <c r="A23" i="2"/>
  <c r="A24" i="2"/>
  <c r="A21" i="2"/>
  <c r="A20" i="2"/>
  <c r="A19" i="2"/>
  <c r="A18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C8" i="2"/>
  <c r="B8" i="2"/>
  <c r="A8" i="2"/>
  <c r="G8" i="2" s="1"/>
  <c r="Q7" i="2"/>
  <c r="P7" i="2"/>
  <c r="O7" i="2"/>
  <c r="Q6" i="2"/>
  <c r="P6" i="2"/>
  <c r="R6" i="2" s="1"/>
  <c r="O6" i="2"/>
  <c r="G6" i="2"/>
  <c r="H6" i="2" s="1"/>
  <c r="Q5" i="2"/>
  <c r="P5" i="2"/>
  <c r="O5" i="2"/>
  <c r="G5" i="2"/>
  <c r="Q4" i="2"/>
  <c r="P4" i="2"/>
  <c r="O4" i="2"/>
  <c r="R4" i="2" s="1"/>
  <c r="H4" i="2"/>
  <c r="G4" i="2"/>
  <c r="B26" i="1"/>
  <c r="B27" i="1"/>
  <c r="B28" i="1"/>
  <c r="B25" i="1"/>
  <c r="B24" i="1"/>
  <c r="B23" i="1"/>
  <c r="B22" i="1"/>
  <c r="A26" i="1"/>
  <c r="A27" i="1"/>
  <c r="A28" i="1"/>
  <c r="A25" i="1"/>
  <c r="A24" i="1"/>
  <c r="A23" i="1"/>
  <c r="A22" i="1"/>
  <c r="C12" i="1"/>
  <c r="G12" i="1" s="1"/>
  <c r="B12" i="1"/>
  <c r="A12" i="1"/>
  <c r="C11" i="1"/>
  <c r="B11" i="1"/>
  <c r="G11" i="1" s="1"/>
  <c r="A11" i="1"/>
  <c r="C10" i="1"/>
  <c r="B10" i="1"/>
  <c r="G6" i="1"/>
  <c r="A10" i="1"/>
  <c r="C9" i="1"/>
  <c r="B9" i="1"/>
  <c r="A9" i="1"/>
  <c r="C8" i="1"/>
  <c r="B8" i="1"/>
  <c r="G8" i="1" s="1"/>
  <c r="A8" i="1"/>
  <c r="C5" i="1"/>
  <c r="B5" i="1"/>
  <c r="A5" i="1"/>
  <c r="O9" i="1"/>
  <c r="R7" i="1"/>
  <c r="C7" i="1"/>
  <c r="B7" i="1"/>
  <c r="A7" i="1"/>
  <c r="G7" i="1"/>
  <c r="Q5" i="1"/>
  <c r="Q6" i="1"/>
  <c r="Q7" i="1"/>
  <c r="Q8" i="1"/>
  <c r="Q9" i="1"/>
  <c r="Q10" i="1"/>
  <c r="Q11" i="1"/>
  <c r="Q12" i="1"/>
  <c r="P5" i="1"/>
  <c r="P6" i="1"/>
  <c r="P7" i="1"/>
  <c r="P8" i="1"/>
  <c r="P9" i="1"/>
  <c r="P10" i="1"/>
  <c r="P11" i="1"/>
  <c r="P12" i="1"/>
  <c r="O7" i="1"/>
  <c r="O8" i="1"/>
  <c r="O10" i="1"/>
  <c r="O11" i="1"/>
  <c r="O12" i="1"/>
  <c r="R4" i="1"/>
  <c r="Q4" i="1"/>
  <c r="P4" i="1"/>
  <c r="H11" i="1"/>
  <c r="H12" i="1"/>
  <c r="G5" i="1"/>
  <c r="G9" i="1"/>
  <c r="G10" i="1"/>
  <c r="O5" i="1"/>
  <c r="O6" i="1"/>
  <c r="O4" i="1"/>
  <c r="H4" i="1" s="1"/>
  <c r="G4" i="1"/>
  <c r="I10" i="3" l="1"/>
  <c r="I9" i="3"/>
  <c r="AC8" i="3"/>
  <c r="AD10" i="3"/>
  <c r="AD9" i="3"/>
  <c r="Z8" i="3"/>
  <c r="AD8" i="3" s="1"/>
  <c r="AD11" i="3"/>
  <c r="AD12" i="3"/>
  <c r="AD13" i="3"/>
  <c r="AD14" i="3"/>
  <c r="AC9" i="3"/>
  <c r="AC10" i="3"/>
  <c r="AC12" i="3"/>
  <c r="J12" i="3" s="1"/>
  <c r="AC11" i="3"/>
  <c r="J11" i="3" s="1"/>
  <c r="J10" i="3"/>
  <c r="AC13" i="3"/>
  <c r="J13" i="3" s="1"/>
  <c r="J8" i="3"/>
  <c r="AC14" i="3"/>
  <c r="J14" i="3" s="1"/>
  <c r="J9" i="3"/>
  <c r="R12" i="2"/>
  <c r="H12" i="2" s="1"/>
  <c r="R10" i="2"/>
  <c r="H10" i="2" s="1"/>
  <c r="R11" i="2"/>
  <c r="H11" i="2" s="1"/>
  <c r="R9" i="2"/>
  <c r="H9" i="2" s="1"/>
  <c r="R7" i="2"/>
  <c r="H7" i="2" s="1"/>
  <c r="R5" i="2"/>
  <c r="H5" i="2"/>
  <c r="R8" i="2"/>
  <c r="H8" i="2" s="1"/>
  <c r="G10" i="2"/>
  <c r="G9" i="2"/>
  <c r="R6" i="1"/>
  <c r="R10" i="1"/>
  <c r="H10" i="1" s="1"/>
  <c r="R5" i="1"/>
  <c r="R8" i="1"/>
  <c r="H8" i="1" s="1"/>
  <c r="H7" i="1"/>
  <c r="R9" i="1"/>
  <c r="H9" i="1" s="1"/>
  <c r="H6" i="1"/>
  <c r="H5" i="1"/>
</calcChain>
</file>

<file path=xl/sharedStrings.xml><?xml version="1.0" encoding="utf-8"?>
<sst xmlns="http://schemas.openxmlformats.org/spreadsheetml/2006/main" count="77" uniqueCount="41">
  <si>
    <t>Uncertainty in Average</t>
  </si>
  <si>
    <t>(mm)</t>
  </si>
  <si>
    <t>around 25357 pm 327</t>
  </si>
  <si>
    <t>Average Intensity</t>
  </si>
  <si>
    <t>Intensity = Cps</t>
  </si>
  <si>
    <t xml:space="preserve">Error in I </t>
  </si>
  <si>
    <t>cps = net area /T</t>
  </si>
  <si>
    <t>(delta cps/ cps)^2 = (sigma N/N)^2</t>
  </si>
  <si>
    <t>(sigma T/T)^2 goes to 0</t>
  </si>
  <si>
    <t>delta cps = sigma N/N * CR</t>
  </si>
  <si>
    <t>Counts/second</t>
  </si>
  <si>
    <t>(cps)</t>
  </si>
  <si>
    <t>sigma N/N</t>
  </si>
  <si>
    <t>N</t>
  </si>
  <si>
    <t>Sigma N</t>
  </si>
  <si>
    <t>137Cs with Lead Attenuator</t>
  </si>
  <si>
    <t>Pb Thickness</t>
  </si>
  <si>
    <t>Average uncertainty</t>
  </si>
  <si>
    <t>g/cm^3</t>
  </si>
  <si>
    <t>Pb Density</t>
  </si>
  <si>
    <t>Pb Density-Thickness</t>
  </si>
  <si>
    <t>137Cs with Aluminum Attenuator</t>
  </si>
  <si>
    <t>Al Density</t>
  </si>
  <si>
    <t>Al Density-Thickness</t>
  </si>
  <si>
    <t>Average Cps</t>
  </si>
  <si>
    <t>mu/p =</t>
  </si>
  <si>
    <t>Expected mu/p</t>
  </si>
  <si>
    <t>0.662MeV</t>
  </si>
  <si>
    <t>Al Thickness</t>
  </si>
  <si>
    <t>mu/p</t>
  </si>
  <si>
    <t>%</t>
  </si>
  <si>
    <t>60Co with Aluminum Attenuator</t>
  </si>
  <si>
    <t>ROI 1</t>
  </si>
  <si>
    <t>ROI 2</t>
  </si>
  <si>
    <t>ROI1</t>
  </si>
  <si>
    <t>ROI2</t>
  </si>
  <si>
    <t>Take Al with higher thickness</t>
  </si>
  <si>
    <t>7 and 9.5</t>
  </si>
  <si>
    <t>7ish</t>
  </si>
  <si>
    <t>9.5ish</t>
  </si>
  <si>
    <t>*7.29 is 2.25 and 5.04 put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</si>
</sst>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quotePrefix="1" applyFill="1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'137Cs with Pb'!$F$4:$F$24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4.05</c:v>
                </c:pt>
                <c:pt idx="3">
                  <c:v>0.9</c:v>
                </c:pt>
                <c:pt idx="4">
                  <c:v>2.13</c:v>
                </c:pt>
                <c:pt idx="5">
                  <c:v>3.15</c:v>
                </c:pt>
                <c:pt idx="6">
                  <c:v>1.55</c:v>
                </c:pt>
              </c:numCache>
            </c:numRef>
          </c:xVal>
          <c:yVal>
            <c:numRef>
              <c:f>'137Cs with Pb'!$G$4:$G$24</c:f>
              <c:numCache>
                <c:formatCode>General</c:formatCode>
                <c:ptCount val="19"/>
                <c:pt idx="0">
                  <c:v>512.78200000000004</c:v>
                </c:pt>
                <c:pt idx="1">
                  <c:v>439.7301614578389</c:v>
                </c:pt>
                <c:pt idx="2">
                  <c:v>312.88820854702203</c:v>
                </c:pt>
                <c:pt idx="3">
                  <c:v>433.76495143438814</c:v>
                </c:pt>
                <c:pt idx="4">
                  <c:v>376.90472719937952</c:v>
                </c:pt>
                <c:pt idx="5">
                  <c:v>329.96956225615799</c:v>
                </c:pt>
                <c:pt idx="6">
                  <c:v>396.11572857564965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8-4D5B-993D-925C285F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4319"/>
        <c:axId val="29815567"/>
      </c:scatterChart>
      <c:valAx>
        <c:axId val="2981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5567"/>
        <c:crosses val="autoZero"/>
        <c:crossBetween val="midCat"/>
      </c:valAx>
      <c:valAx>
        <c:axId val="29815567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'137Cs with Pb'!$B$21</c:f>
              <c:strCache>
                <c:ptCount val="1"/>
                <c:pt idx="0">
                  <c:v>Average 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5172572178477692E-2"/>
                  <c:y val="-0.46720545348498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'137Cs with Pb'!$A$22:$A$30</c:f>
              <c:numCache>
                <c:formatCode>General</c:formatCode>
                <c:ptCount val="9"/>
                <c:pt idx="0">
                  <c:v>0</c:v>
                </c:pt>
                <c:pt idx="1">
                  <c:v>0.91471999999999998</c:v>
                </c:pt>
                <c:pt idx="2">
                  <c:v>4.6307700000000001</c:v>
                </c:pt>
                <c:pt idx="3">
                  <c:v>1.0290599999999999</c:v>
                </c:pt>
                <c:pt idx="4">
                  <c:v>2.4354419999999997</c:v>
                </c:pt>
                <c:pt idx="5">
                  <c:v>3.6017099999999997</c:v>
                </c:pt>
                <c:pt idx="6">
                  <c:v>1.77227</c:v>
                </c:pt>
              </c:numCache>
            </c:numRef>
          </c:xVal>
          <c:yVal>
            <c:numRef>
              <c:f>'137Cs with Pb'!$B$22:$B$30</c:f>
              <c:numCache>
                <c:formatCode>General</c:formatCode>
                <c:ptCount val="9"/>
                <c:pt idx="0">
                  <c:v>512.78200000000004</c:v>
                </c:pt>
                <c:pt idx="1">
                  <c:v>439.7301614578389</c:v>
                </c:pt>
                <c:pt idx="2">
                  <c:v>312.88820854702203</c:v>
                </c:pt>
                <c:pt idx="3">
                  <c:v>433.76495143438814</c:v>
                </c:pt>
                <c:pt idx="4">
                  <c:v>376.90472719937952</c:v>
                </c:pt>
                <c:pt idx="5">
                  <c:v>329.96956225615799</c:v>
                </c:pt>
                <c:pt idx="6">
                  <c:v>396.11572857564965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B-4A8F-8E00-F77BC456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01423"/>
        <c:axId val="595899759"/>
      </c:scatterChart>
      <c:valAx>
        <c:axId val="59590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9759"/>
        <c:crosses val="autoZero"/>
        <c:crossBetween val="midCat"/>
      </c:valAx>
      <c:valAx>
        <c:axId val="5958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0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'137Cs with Al'!$B$17</c:f>
              <c:strCache>
                <c:ptCount val="1"/>
                <c:pt idx="0">
                  <c:v>Average Cps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033902012248469E-2"/>
                  <c:y val="-0.3137933799941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'137Cs with Al'!$A$18:$A$24</c:f>
              <c:numCache>
                <c:formatCode>General</c:formatCode>
                <c:ptCount val="7"/>
                <c:pt idx="0">
                  <c:v>0</c:v>
                </c:pt>
                <c:pt idx="1">
                  <c:v>0.16211999999999999</c:v>
                </c:pt>
                <c:pt idx="2">
                  <c:v>0.15401399999999998</c:v>
                </c:pt>
                <c:pt idx="3">
                  <c:v>0.42421399999999998</c:v>
                </c:pt>
                <c:pt idx="4">
                  <c:v>0.6890099999999999</c:v>
                </c:pt>
                <c:pt idx="5">
                  <c:v>0.84572599999999998</c:v>
                </c:pt>
                <c:pt idx="6">
                  <c:v>1.3591060000000001</c:v>
                </c:pt>
              </c:numCache>
            </c:numRef>
          </c:xVal>
          <c:yVal>
            <c:numRef>
              <c:f>'137Cs with Al'!$B$18:$B$24</c:f>
              <c:numCache>
                <c:formatCode>General</c:formatCode>
                <c:ptCount val="7"/>
                <c:pt idx="0">
                  <c:v>512.78200000000004</c:v>
                </c:pt>
                <c:pt idx="1">
                  <c:v>467.24997953249959</c:v>
                </c:pt>
                <c:pt idx="2">
                  <c:v>474.75206643366869</c:v>
                </c:pt>
                <c:pt idx="3">
                  <c:v>451.10457443790779</c:v>
                </c:pt>
                <c:pt idx="4">
                  <c:v>440.50236560842086</c:v>
                </c:pt>
                <c:pt idx="5">
                  <c:v>438.72577457340975</c:v>
                </c:pt>
                <c:pt idx="6">
                  <c:v>417.85255512386942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C-4BBD-A9BA-88375E33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82591"/>
        <c:axId val="1276980511"/>
      </c:scatterChart>
      <c:valAx>
        <c:axId val="127698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80511"/>
        <c:crosses val="autoZero"/>
        <c:crossBetween val="midCat"/>
      </c:valAx>
      <c:valAx>
        <c:axId val="12769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8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'60Co with Al'!$G$8:$G$14</c:f>
              <c:numCache>
                <c:formatCode>General</c:formatCode>
                <c:ptCount val="7"/>
                <c:pt idx="0">
                  <c:v>0</c:v>
                </c:pt>
                <c:pt idx="1">
                  <c:v>3.13</c:v>
                </c:pt>
                <c:pt idx="2">
                  <c:v>5.04</c:v>
                </c:pt>
                <c:pt idx="3">
                  <c:v>2.25</c:v>
                </c:pt>
                <c:pt idx="4">
                  <c:v>7.29</c:v>
                </c:pt>
              </c:numCache>
            </c:numRef>
          </c:xVal>
          <c:yVal>
            <c:numRef>
              <c:f>'60Co with Al'!$H$8:$H$14</c:f>
              <c:numCache>
                <c:formatCode>General</c:formatCode>
                <c:ptCount val="7"/>
                <c:pt idx="0">
                  <c:v>45.418020361762522</c:v>
                </c:pt>
                <c:pt idx="1">
                  <c:v>42.732259767217244</c:v>
                </c:pt>
                <c:pt idx="2">
                  <c:v>42.54881532700967</c:v>
                </c:pt>
                <c:pt idx="3">
                  <c:v>43.992319703069676</c:v>
                </c:pt>
                <c:pt idx="4">
                  <c:v>39.879542260590242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C-48EE-81FB-4A48B3C13FA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'60Co with Al'!$G$8:$G$14</c:f>
              <c:numCache>
                <c:formatCode>General</c:formatCode>
                <c:ptCount val="7"/>
                <c:pt idx="0">
                  <c:v>0</c:v>
                </c:pt>
                <c:pt idx="1">
                  <c:v>3.13</c:v>
                </c:pt>
                <c:pt idx="2">
                  <c:v>5.04</c:v>
                </c:pt>
                <c:pt idx="3">
                  <c:v>2.25</c:v>
                </c:pt>
                <c:pt idx="4">
                  <c:v>7.29</c:v>
                </c:pt>
              </c:numCache>
            </c:numRef>
          </c:xVal>
          <c:yVal>
            <c:numRef>
              <c:f>'60Co with Al'!$I$8:$I$14</c:f>
              <c:numCache>
                <c:formatCode>General</c:formatCode>
                <c:ptCount val="7"/>
                <c:pt idx="0">
                  <c:v>38.376520474210203</c:v>
                </c:pt>
                <c:pt idx="1">
                  <c:v>36.87578181908669</c:v>
                </c:pt>
                <c:pt idx="2">
                  <c:v>36.318783111070552</c:v>
                </c:pt>
                <c:pt idx="3">
                  <c:v>38.06151592150399</c:v>
                </c:pt>
                <c:pt idx="4">
                  <c:v>33.234290303151973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C-48EE-81FB-4A48B3C1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36607"/>
        <c:axId val="1508636191"/>
      </c:scatterChart>
      <c:valAx>
        <c:axId val="15086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36191"/>
        <c:crosses val="autoZero"/>
        <c:crossBetween val="midCat"/>
      </c:valAx>
      <c:valAx>
        <c:axId val="15086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3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35981</xdr:rowOff>
    </xdr:from>
    <xdr:to>
      <xdr:col>6</xdr:col>
      <xdr:colOff>101600</xdr:colOff>
      <xdr:row>53</xdr:row>
      <xdr:rowOff>48681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00543-9C41-4B29-88DB-F0BF52C1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186266</xdr:colOff>
      <xdr:row>13</xdr:row>
      <xdr:rowOff>133349</xdr:rowOff>
    </xdr:from>
    <xdr:to>
      <xdr:col>7</xdr:col>
      <xdr:colOff>884766</xdr:colOff>
      <xdr:row>27</xdr:row>
      <xdr:rowOff>146049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97842-DB4B-4934-83DC-491483E29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288602</xdr:colOff>
      <xdr:row>16</xdr:row>
      <xdr:rowOff>138134</xdr:rowOff>
    </xdr:from>
    <xdr:to>
      <xdr:col>9</xdr:col>
      <xdr:colOff>356335</xdr:colOff>
      <xdr:row>31</xdr:row>
      <xdr:rowOff>150834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A9608-70A6-4E84-A752-2B0BD6F26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54849</xdr:rowOff>
    </xdr:from>
    <xdr:to>
      <xdr:col>6</xdr:col>
      <xdr:colOff>706783</xdr:colOff>
      <xdr:row>32</xdr:row>
      <xdr:rowOff>92397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9AF1A-14A8-4C5E-834B-3C5419412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0068-6216-4AFF-AB7B-78384EDEF3D7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E59C-0799-4A0D-8443-939208AC35A7}">
  <dimension ref="A1:R36"/>
  <sheetViews>
    <sheetView workbookViewId="0">
      <selection activeCell="K20" sqref="K20"/>
    </sheetView>
  </sheetViews>
  <sheetFormatPr defaultRowHeight="14.35" x14ac:dyDescent="0.5"/>
  <cols>
    <col min="1" max="1" width="15.29296875" customWidth="1"/>
    <col min="6" max="6" width="11.05859375" customWidth="1"/>
    <col min="7" max="7" width="15.9375" customWidth="1"/>
    <col min="8" max="8" width="20.87890625" customWidth="1"/>
  </cols>
  <sheetData>
    <row r="1" spans="1:18" x14ac:dyDescent="0.5">
      <c r="A1" s="10" t="s">
        <v>15</v>
      </c>
      <c r="B1" s="10"/>
      <c r="C1" s="10"/>
      <c r="D1" s="10"/>
      <c r="E1" s="10"/>
      <c r="F1" s="10"/>
      <c r="G1" s="10"/>
      <c r="H1" s="10"/>
      <c r="I1" t="s">
        <v>19</v>
      </c>
      <c r="J1">
        <v>11.433999999999999</v>
      </c>
      <c r="K1" t="s">
        <v>18</v>
      </c>
    </row>
    <row r="2" spans="1:18" x14ac:dyDescent="0.5">
      <c r="A2" s="10" t="s">
        <v>10</v>
      </c>
      <c r="B2" s="10"/>
      <c r="C2" s="10"/>
      <c r="D2" s="10"/>
      <c r="E2" s="10"/>
      <c r="F2" t="s">
        <v>16</v>
      </c>
      <c r="G2" t="s">
        <v>3</v>
      </c>
      <c r="H2" t="s">
        <v>0</v>
      </c>
      <c r="I2" s="10" t="s">
        <v>14</v>
      </c>
      <c r="J2" s="10"/>
      <c r="K2" s="10"/>
      <c r="L2" s="10" t="s">
        <v>13</v>
      </c>
      <c r="M2" s="10"/>
      <c r="N2" s="10"/>
      <c r="O2" s="10" t="s">
        <v>12</v>
      </c>
      <c r="P2" s="10"/>
      <c r="Q2" s="10"/>
      <c r="R2" t="s">
        <v>17</v>
      </c>
    </row>
    <row r="3" spans="1:18" x14ac:dyDescent="0.5">
      <c r="A3">
        <v>1</v>
      </c>
      <c r="B3">
        <v>2</v>
      </c>
      <c r="C3">
        <v>3</v>
      </c>
      <c r="D3">
        <v>4</v>
      </c>
      <c r="E3">
        <v>5</v>
      </c>
      <c r="F3" t="s">
        <v>1</v>
      </c>
      <c r="G3" t="s">
        <v>11</v>
      </c>
      <c r="H3" t="s">
        <v>11</v>
      </c>
      <c r="I3">
        <v>1</v>
      </c>
      <c r="J3">
        <v>2</v>
      </c>
      <c r="K3">
        <v>3</v>
      </c>
      <c r="L3">
        <v>1</v>
      </c>
      <c r="M3">
        <v>2</v>
      </c>
      <c r="N3">
        <v>3</v>
      </c>
      <c r="O3">
        <v>1</v>
      </c>
      <c r="P3">
        <v>2</v>
      </c>
      <c r="Q3">
        <v>3</v>
      </c>
    </row>
    <row r="4" spans="1:18" x14ac:dyDescent="0.5">
      <c r="A4">
        <v>532.76</v>
      </c>
      <c r="B4">
        <v>525.08000000000004</v>
      </c>
      <c r="C4">
        <v>513.15</v>
      </c>
      <c r="D4">
        <v>490.77</v>
      </c>
      <c r="E4">
        <v>502.15</v>
      </c>
      <c r="F4">
        <v>0</v>
      </c>
      <c r="G4">
        <f>AVERAGE(A4:E4)</f>
        <v>512.78200000000004</v>
      </c>
      <c r="H4">
        <f>O4*G4</f>
        <v>4.3748885389967045</v>
      </c>
      <c r="I4">
        <v>233</v>
      </c>
      <c r="L4">
        <v>27310</v>
      </c>
      <c r="O4">
        <f>I4/L4</f>
        <v>8.5316733797143902E-3</v>
      </c>
      <c r="P4" t="e">
        <f>J4/M4</f>
        <v>#DIV/0!</v>
      </c>
      <c r="Q4" t="e">
        <f>K4/N4</f>
        <v>#DIV/0!</v>
      </c>
      <c r="R4" s="1" t="e">
        <f>SQRT((O4*A4)^2+(P4*B4)^2+(Q4*C4)^2)</f>
        <v>#DIV/0!</v>
      </c>
    </row>
    <row r="5" spans="1:18" x14ac:dyDescent="0.5">
      <c r="A5">
        <f>26666/61.3</f>
        <v>435.00815660685157</v>
      </c>
      <c r="B5">
        <f>25701/58.1</f>
        <v>442.35800344234076</v>
      </c>
      <c r="C5">
        <f>26156/59.2</f>
        <v>441.82432432432432</v>
      </c>
      <c r="F5">
        <v>0.8</v>
      </c>
      <c r="G5">
        <f t="shared" ref="G5:G12" si="0">AVERAGE(A5:E5)</f>
        <v>439.7301614578389</v>
      </c>
      <c r="H5">
        <f>O5*G5</f>
        <v>4.0071412748164272</v>
      </c>
      <c r="I5">
        <v>243</v>
      </c>
      <c r="J5">
        <v>228</v>
      </c>
      <c r="K5">
        <v>233</v>
      </c>
      <c r="L5">
        <v>26666</v>
      </c>
      <c r="M5">
        <v>25701</v>
      </c>
      <c r="N5">
        <v>26156</v>
      </c>
      <c r="O5">
        <f>I5/L5</f>
        <v>9.1127278181954551E-3</v>
      </c>
      <c r="P5">
        <f t="shared" ref="P5:P12" si="1">J5/M5</f>
        <v>8.8712501459087198E-3</v>
      </c>
      <c r="Q5">
        <f t="shared" ref="Q5:Q12" si="2">K5/N5</f>
        <v>8.9080899220064236E-3</v>
      </c>
      <c r="R5" s="1">
        <f>SQRT((O5*A5)^2+(P5*B5)^2+(Q5*C5)^2)</f>
        <v>6.8267609803648437</v>
      </c>
    </row>
    <row r="6" spans="1:18" hidden="1" x14ac:dyDescent="0.5">
      <c r="A6">
        <v>392.75</v>
      </c>
      <c r="B6">
        <v>397.31</v>
      </c>
      <c r="C6">
        <v>394.26</v>
      </c>
      <c r="F6">
        <v>2.15</v>
      </c>
      <c r="G6">
        <f t="shared" si="0"/>
        <v>394.77333333333331</v>
      </c>
      <c r="H6">
        <f>O6*G6</f>
        <v>3.7685717266562335</v>
      </c>
      <c r="I6">
        <v>244</v>
      </c>
      <c r="L6">
        <v>25560</v>
      </c>
      <c r="O6">
        <f>I6/L6</f>
        <v>9.5461658841940536E-3</v>
      </c>
      <c r="P6" t="e">
        <f t="shared" si="1"/>
        <v>#DIV/0!</v>
      </c>
      <c r="Q6" t="e">
        <f t="shared" si="2"/>
        <v>#DIV/0!</v>
      </c>
      <c r="R6" s="1" t="e">
        <f t="shared" ref="R6:R10" si="3">SQRT((O6*A6)^2+(P6*B6)^2+(Q6*C6)^2)</f>
        <v>#DIV/0!</v>
      </c>
    </row>
    <row r="7" spans="1:18" x14ac:dyDescent="0.5">
      <c r="A7">
        <f>25900/82.7</f>
        <v>313.18016928657801</v>
      </c>
      <c r="B7">
        <f>25562/83.1</f>
        <v>307.60529482551146</v>
      </c>
      <c r="C7">
        <f>25780/81.1</f>
        <v>317.87916152897657</v>
      </c>
      <c r="F7">
        <v>4.05</v>
      </c>
      <c r="G7">
        <f t="shared" si="0"/>
        <v>312.88820854702203</v>
      </c>
      <c r="H7">
        <f>R7</f>
        <v>5.5419838155282868</v>
      </c>
      <c r="I7">
        <v>267</v>
      </c>
      <c r="J7">
        <v>271</v>
      </c>
      <c r="K7">
        <v>252</v>
      </c>
      <c r="L7">
        <v>25900</v>
      </c>
      <c r="M7">
        <v>25562</v>
      </c>
      <c r="N7">
        <v>25780</v>
      </c>
      <c r="O7">
        <f t="shared" ref="O7:O12" si="4">I7/L7</f>
        <v>1.030888030888031E-2</v>
      </c>
      <c r="P7">
        <f t="shared" si="1"/>
        <v>1.0601674360378687E-2</v>
      </c>
      <c r="Q7">
        <f t="shared" si="2"/>
        <v>9.7750193948797515E-3</v>
      </c>
      <c r="R7" s="1">
        <f>SQRT((O7*A7)^2+(P7*B7)^2+(Q7*C7)^2)</f>
        <v>5.5419838155282868</v>
      </c>
    </row>
    <row r="8" spans="1:18" hidden="1" x14ac:dyDescent="0.5">
      <c r="A8" s="2">
        <f>26698/54.6</f>
        <v>488.97435897435895</v>
      </c>
      <c r="B8" s="2">
        <f>26491/55.1</f>
        <v>480.78039927404717</v>
      </c>
      <c r="C8" s="2">
        <f>27200/56.2</f>
        <v>483.98576512455514</v>
      </c>
      <c r="D8" s="2"/>
      <c r="E8" s="2"/>
      <c r="F8" s="2">
        <v>0</v>
      </c>
      <c r="G8" s="2">
        <f t="shared" si="0"/>
        <v>484.58017445765375</v>
      </c>
      <c r="H8" s="2">
        <f t="shared" ref="H8:H12" si="5">R8</f>
        <v>7.2354297412347304</v>
      </c>
      <c r="I8" s="2">
        <v>224</v>
      </c>
      <c r="J8" s="2">
        <v>234</v>
      </c>
      <c r="K8" s="2">
        <v>235</v>
      </c>
      <c r="L8" s="2">
        <v>26698</v>
      </c>
      <c r="M8" s="2">
        <v>26491</v>
      </c>
      <c r="N8" s="2">
        <v>27200</v>
      </c>
      <c r="O8" s="2">
        <f t="shared" si="4"/>
        <v>8.390141583639224E-3</v>
      </c>
      <c r="P8" s="2">
        <f t="shared" si="1"/>
        <v>8.8331886301007898E-3</v>
      </c>
      <c r="Q8" s="2">
        <f t="shared" si="2"/>
        <v>8.6397058823529417E-3</v>
      </c>
      <c r="R8" s="3">
        <f t="shared" si="3"/>
        <v>7.2354297412347304</v>
      </c>
    </row>
    <row r="9" spans="1:18" x14ac:dyDescent="0.5">
      <c r="A9">
        <f>25493/59.3</f>
        <v>429.89881956155148</v>
      </c>
      <c r="B9">
        <f>25528/58.9</f>
        <v>433.41256366723263</v>
      </c>
      <c r="C9">
        <f>26498/60.5</f>
        <v>437.98347107438019</v>
      </c>
      <c r="F9">
        <v>0.9</v>
      </c>
      <c r="G9">
        <f t="shared" si="0"/>
        <v>433.76495143438814</v>
      </c>
      <c r="H9">
        <f t="shared" si="5"/>
        <v>6.9123183742373406</v>
      </c>
      <c r="I9">
        <v>239</v>
      </c>
      <c r="J9">
        <v>237</v>
      </c>
      <c r="K9">
        <v>237</v>
      </c>
      <c r="L9">
        <v>25493</v>
      </c>
      <c r="M9">
        <v>25528</v>
      </c>
      <c r="N9">
        <v>26498</v>
      </c>
      <c r="O9">
        <f t="shared" si="4"/>
        <v>9.3751225826697523E-3</v>
      </c>
      <c r="P9">
        <f t="shared" si="1"/>
        <v>9.2839235349420242E-3</v>
      </c>
      <c r="Q9">
        <f t="shared" si="2"/>
        <v>8.9440712506604278E-3</v>
      </c>
      <c r="R9" s="1">
        <f t="shared" si="3"/>
        <v>6.9123183742373406</v>
      </c>
    </row>
    <row r="10" spans="1:18" x14ac:dyDescent="0.5">
      <c r="A10">
        <f>25557/68.2</f>
        <v>374.73607038123168</v>
      </c>
      <c r="B10">
        <f>25019/66.5</f>
        <v>376.22556390977445</v>
      </c>
      <c r="C10">
        <f>26089/68.7</f>
        <v>379.75254730713243</v>
      </c>
      <c r="F10">
        <v>2.13</v>
      </c>
      <c r="G10">
        <f t="shared" si="0"/>
        <v>376.90472719937952</v>
      </c>
      <c r="H10">
        <f t="shared" si="5"/>
        <v>6.2371508509091544</v>
      </c>
      <c r="I10">
        <v>244</v>
      </c>
      <c r="J10">
        <v>247</v>
      </c>
      <c r="K10">
        <v>241</v>
      </c>
      <c r="L10">
        <v>25557</v>
      </c>
      <c r="M10">
        <v>25019</v>
      </c>
      <c r="N10">
        <v>26089</v>
      </c>
      <c r="O10">
        <f t="shared" si="4"/>
        <v>9.5472864577219544E-3</v>
      </c>
      <c r="P10">
        <f t="shared" si="1"/>
        <v>9.8724969023542102E-3</v>
      </c>
      <c r="Q10">
        <f t="shared" si="2"/>
        <v>9.2376097205718877E-3</v>
      </c>
      <c r="R10" s="1">
        <f t="shared" si="3"/>
        <v>6.2371508509091544</v>
      </c>
    </row>
    <row r="11" spans="1:18" x14ac:dyDescent="0.5">
      <c r="A11">
        <f>26093/78.6</f>
        <v>331.97201017811705</v>
      </c>
      <c r="B11">
        <f>24968/76.5</f>
        <v>326.37908496732024</v>
      </c>
      <c r="C11">
        <f>25331/76.4</f>
        <v>331.55759162303661</v>
      </c>
      <c r="F11">
        <v>3.15</v>
      </c>
      <c r="G11">
        <f t="shared" si="0"/>
        <v>329.96956225615799</v>
      </c>
      <c r="H11">
        <f t="shared" si="5"/>
        <v>0</v>
      </c>
      <c r="I11">
        <v>260</v>
      </c>
      <c r="J11">
        <v>268</v>
      </c>
      <c r="K11">
        <v>259</v>
      </c>
      <c r="L11">
        <v>26093</v>
      </c>
      <c r="M11">
        <v>24968</v>
      </c>
      <c r="N11">
        <v>25331</v>
      </c>
      <c r="O11">
        <f t="shared" si="4"/>
        <v>9.9643582570037945E-3</v>
      </c>
      <c r="P11">
        <f t="shared" si="1"/>
        <v>1.0733739186158282E-2</v>
      </c>
      <c r="Q11">
        <f t="shared" si="2"/>
        <v>1.0224625952390352E-2</v>
      </c>
    </row>
    <row r="12" spans="1:18" x14ac:dyDescent="0.5">
      <c r="A12">
        <f>25880/64.8</f>
        <v>399.38271604938274</v>
      </c>
      <c r="B12">
        <f>26050/66.3</f>
        <v>392.91101055806939</v>
      </c>
      <c r="C12">
        <f>25189/63.6</f>
        <v>396.05345911949684</v>
      </c>
      <c r="F12">
        <v>1.55</v>
      </c>
      <c r="G12">
        <f t="shared" si="0"/>
        <v>396.11572857564965</v>
      </c>
      <c r="H12">
        <f t="shared" si="5"/>
        <v>0</v>
      </c>
      <c r="I12">
        <v>240</v>
      </c>
      <c r="J12">
        <v>242</v>
      </c>
      <c r="K12">
        <v>239</v>
      </c>
      <c r="L12">
        <v>25880</v>
      </c>
      <c r="M12">
        <v>26050</v>
      </c>
      <c r="N12">
        <v>25189</v>
      </c>
      <c r="O12">
        <f t="shared" si="4"/>
        <v>9.2735703245749607E-3</v>
      </c>
      <c r="P12">
        <f t="shared" si="1"/>
        <v>9.2898272552783111E-3</v>
      </c>
      <c r="Q12">
        <f t="shared" si="2"/>
        <v>9.488268688713327E-3</v>
      </c>
    </row>
    <row r="21" spans="1:17" ht="28.7" x14ac:dyDescent="0.5">
      <c r="A21" s="4" t="s">
        <v>20</v>
      </c>
      <c r="B21" s="4" t="s">
        <v>3</v>
      </c>
    </row>
    <row r="22" spans="1:17" x14ac:dyDescent="0.5">
      <c r="A22">
        <f>(F4*$J$1)/10</f>
        <v>0</v>
      </c>
      <c r="B22">
        <f>G4</f>
        <v>512.78200000000004</v>
      </c>
      <c r="M22" t="s">
        <v>2</v>
      </c>
    </row>
    <row r="23" spans="1:17" x14ac:dyDescent="0.5">
      <c r="A23">
        <f t="shared" ref="A23" si="6">(F5*$J$1)/10</f>
        <v>0.91471999999999998</v>
      </c>
      <c r="B23">
        <f t="shared" ref="B23" si="7">G5</f>
        <v>439.7301614578389</v>
      </c>
    </row>
    <row r="24" spans="1:17" x14ac:dyDescent="0.5">
      <c r="A24">
        <f>(F7*$J$1)/10</f>
        <v>4.6307700000000001</v>
      </c>
      <c r="B24">
        <f>G7</f>
        <v>312.88820854702203</v>
      </c>
      <c r="M24" t="s">
        <v>4</v>
      </c>
      <c r="O24" t="s">
        <v>6</v>
      </c>
    </row>
    <row r="25" spans="1:17" x14ac:dyDescent="0.5">
      <c r="A25">
        <f>(F9*$J$1)/10</f>
        <v>1.0290599999999999</v>
      </c>
      <c r="B25">
        <f>G9</f>
        <v>433.76495143438814</v>
      </c>
      <c r="M25" t="s">
        <v>5</v>
      </c>
      <c r="N25" t="s">
        <v>7</v>
      </c>
      <c r="Q25" t="s">
        <v>8</v>
      </c>
    </row>
    <row r="26" spans="1:17" x14ac:dyDescent="0.5">
      <c r="A26">
        <f>(F10*$J$1)/10</f>
        <v>2.4354419999999997</v>
      </c>
      <c r="B26">
        <f>G10</f>
        <v>376.90472719937952</v>
      </c>
      <c r="M26" t="s">
        <v>5</v>
      </c>
      <c r="N26" t="s">
        <v>9</v>
      </c>
    </row>
    <row r="27" spans="1:17" x14ac:dyDescent="0.5">
      <c r="A27">
        <f>(F11*$J$1)/10</f>
        <v>3.6017099999999997</v>
      </c>
      <c r="B27">
        <f>G11</f>
        <v>329.96956225615799</v>
      </c>
    </row>
    <row r="28" spans="1:17" x14ac:dyDescent="0.5">
      <c r="A28">
        <f>(F12*$J$1)/10</f>
        <v>1.77227</v>
      </c>
      <c r="B28">
        <f>G12</f>
        <v>396.11572857564965</v>
      </c>
    </row>
    <row r="33" spans="1:6" x14ac:dyDescent="0.5">
      <c r="A33">
        <v>0.6</v>
      </c>
      <c r="B33">
        <v>0.12479999999999999</v>
      </c>
      <c r="D33" t="s">
        <v>25</v>
      </c>
      <c r="E33">
        <v>0.104</v>
      </c>
      <c r="F33" t="s">
        <v>27</v>
      </c>
    </row>
    <row r="34" spans="1:6" x14ac:dyDescent="0.5">
      <c r="A34">
        <v>0.8</v>
      </c>
      <c r="B34">
        <v>8.8700000000000001E-2</v>
      </c>
      <c r="D34" t="s">
        <v>26</v>
      </c>
      <c r="F34">
        <v>0.11360899989999999</v>
      </c>
    </row>
    <row r="36" spans="1:6" x14ac:dyDescent="0.5">
      <c r="E36">
        <f>7/113</f>
        <v>6.1946902654867256E-2</v>
      </c>
      <c r="F36">
        <f>(F34-E33)/F34</f>
        <v>8.4579565953911709E-2</v>
      </c>
    </row>
  </sheetData>
  <mergeCells count="5">
    <mergeCell ref="A2:E2"/>
    <mergeCell ref="A1:H1"/>
    <mergeCell ref="I2:K2"/>
    <mergeCell ref="L2:N2"/>
    <mergeCell ref="O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608B-9CF9-46FE-B1AD-8172095357EE}">
  <sheetPr>
    <tabColor rgb="FFFF0000"/>
  </sheetPr>
  <dimension ref="A1:R32"/>
  <sheetViews>
    <sheetView zoomScale="115" zoomScaleNormal="115" workbookViewId="0">
      <selection activeCell="K26" sqref="K26"/>
    </sheetView>
  </sheetViews>
  <sheetFormatPr defaultRowHeight="14.35" x14ac:dyDescent="0.5"/>
  <cols>
    <col min="1" max="1" width="16.8203125" customWidth="1"/>
  </cols>
  <sheetData>
    <row r="1" spans="1:18" x14ac:dyDescent="0.5">
      <c r="A1" s="10" t="s">
        <v>21</v>
      </c>
      <c r="B1" s="10"/>
      <c r="C1" s="10"/>
      <c r="D1" s="10"/>
      <c r="E1" s="10"/>
      <c r="F1" s="10"/>
      <c r="G1" s="10"/>
      <c r="H1" s="10"/>
      <c r="I1" t="s">
        <v>22</v>
      </c>
      <c r="J1">
        <v>2.702</v>
      </c>
      <c r="K1" t="s">
        <v>18</v>
      </c>
    </row>
    <row r="2" spans="1:18" x14ac:dyDescent="0.5">
      <c r="A2" s="10" t="s">
        <v>10</v>
      </c>
      <c r="B2" s="10"/>
      <c r="C2" s="10"/>
      <c r="D2" s="10"/>
      <c r="E2" s="10"/>
      <c r="F2" t="s">
        <v>28</v>
      </c>
      <c r="G2" t="s">
        <v>3</v>
      </c>
      <c r="H2" t="s">
        <v>0</v>
      </c>
      <c r="I2" s="10" t="s">
        <v>14</v>
      </c>
      <c r="J2" s="10"/>
      <c r="K2" s="10"/>
      <c r="L2" s="10" t="s">
        <v>13</v>
      </c>
      <c r="M2" s="10"/>
      <c r="N2" s="10"/>
      <c r="O2" s="10" t="s">
        <v>12</v>
      </c>
      <c r="P2" s="10"/>
      <c r="Q2" s="10"/>
      <c r="R2" t="s">
        <v>17</v>
      </c>
    </row>
    <row r="3" spans="1:18" x14ac:dyDescent="0.5">
      <c r="A3">
        <v>1</v>
      </c>
      <c r="B3">
        <v>2</v>
      </c>
      <c r="C3">
        <v>3</v>
      </c>
      <c r="D3">
        <v>4</v>
      </c>
      <c r="E3">
        <v>5</v>
      </c>
      <c r="F3" t="s">
        <v>1</v>
      </c>
      <c r="G3" t="s">
        <v>11</v>
      </c>
      <c r="H3" t="s">
        <v>11</v>
      </c>
      <c r="I3">
        <v>1</v>
      </c>
      <c r="J3">
        <v>2</v>
      </c>
      <c r="K3">
        <v>3</v>
      </c>
      <c r="L3">
        <v>1</v>
      </c>
      <c r="M3">
        <v>2</v>
      </c>
      <c r="N3">
        <v>3</v>
      </c>
      <c r="O3">
        <v>1</v>
      </c>
      <c r="P3">
        <v>2</v>
      </c>
      <c r="Q3">
        <v>3</v>
      </c>
    </row>
    <row r="4" spans="1:18" x14ac:dyDescent="0.5">
      <c r="A4">
        <v>532.76</v>
      </c>
      <c r="B4">
        <v>525.08000000000004</v>
      </c>
      <c r="C4">
        <v>513.15</v>
      </c>
      <c r="D4">
        <v>490.77</v>
      </c>
      <c r="E4">
        <v>502.15</v>
      </c>
      <c r="F4">
        <v>0</v>
      </c>
      <c r="G4">
        <f>AVERAGE(A4:E4)</f>
        <v>512.78200000000004</v>
      </c>
      <c r="H4">
        <f>O4*G4</f>
        <v>4.3748885389967045</v>
      </c>
      <c r="I4">
        <v>233</v>
      </c>
      <c r="L4">
        <v>27310</v>
      </c>
      <c r="O4">
        <f>I4/L4</f>
        <v>8.5316733797143902E-3</v>
      </c>
      <c r="P4" t="e">
        <f>J4/M4</f>
        <v>#DIV/0!</v>
      </c>
      <c r="Q4" t="e">
        <f>K4/N4</f>
        <v>#DIV/0!</v>
      </c>
      <c r="R4" s="1" t="e">
        <f>SQRT((O4*A4)^2+(P4*B4)^2+(Q4*C4)^2)</f>
        <v>#DIV/0!</v>
      </c>
    </row>
    <row r="5" spans="1:18" x14ac:dyDescent="0.5">
      <c r="A5">
        <f>26540/56.7</f>
        <v>468.07760141093473</v>
      </c>
      <c r="B5">
        <f>26408/56.9</f>
        <v>464.11247803163445</v>
      </c>
      <c r="C5">
        <f>26671/56.8</f>
        <v>469.5598591549296</v>
      </c>
      <c r="F5">
        <v>0.6</v>
      </c>
      <c r="G5">
        <f t="shared" ref="G5:G12" si="0">AVERAGE(A5:E5)</f>
        <v>467.24997953249959</v>
      </c>
      <c r="H5">
        <f>O5*G5</f>
        <v>4.102081583687732</v>
      </c>
      <c r="I5">
        <v>233</v>
      </c>
      <c r="J5">
        <v>232</v>
      </c>
      <c r="K5">
        <v>227</v>
      </c>
      <c r="L5">
        <v>26540</v>
      </c>
      <c r="M5">
        <v>26408</v>
      </c>
      <c r="N5">
        <v>26671</v>
      </c>
      <c r="O5">
        <f>I5/L5</f>
        <v>8.7792012057272047E-3</v>
      </c>
      <c r="P5">
        <f t="shared" ref="P5:Q12" si="1">J5/M5</f>
        <v>8.7852166010299916E-3</v>
      </c>
      <c r="Q5">
        <f t="shared" si="1"/>
        <v>8.511116943496681E-3</v>
      </c>
      <c r="R5" s="1">
        <f>SQRT((O5*A5)^2+(P5*B5)^2+(Q5*C5)^2)</f>
        <v>7.0344288099684134</v>
      </c>
    </row>
    <row r="6" spans="1:18" hidden="1" x14ac:dyDescent="0.5">
      <c r="A6">
        <v>392.75</v>
      </c>
      <c r="B6">
        <v>397.31</v>
      </c>
      <c r="C6">
        <v>394.26</v>
      </c>
      <c r="F6">
        <v>2.15</v>
      </c>
      <c r="G6">
        <f t="shared" si="0"/>
        <v>394.77333333333331</v>
      </c>
      <c r="H6">
        <f>O6*G6</f>
        <v>3.7685717266562335</v>
      </c>
      <c r="I6">
        <v>244</v>
      </c>
      <c r="L6">
        <v>25560</v>
      </c>
      <c r="O6">
        <f>I6/L6</f>
        <v>9.5461658841940536E-3</v>
      </c>
      <c r="P6" t="e">
        <f t="shared" si="1"/>
        <v>#DIV/0!</v>
      </c>
      <c r="Q6" t="e">
        <f t="shared" si="1"/>
        <v>#DIV/0!</v>
      </c>
      <c r="R6" s="1" t="e">
        <f t="shared" ref="R6:R12" si="2">SQRT((O6*A6)^2+(P6*B6)^2+(Q6*C6)^2)</f>
        <v>#DIV/0!</v>
      </c>
    </row>
    <row r="7" spans="1:18" x14ac:dyDescent="0.5">
      <c r="A7">
        <f>25759/54.8</f>
        <v>470.05474452554745</v>
      </c>
      <c r="B7">
        <f>26682/55.8</f>
        <v>478.1720430107527</v>
      </c>
      <c r="C7">
        <f>25896/54.4</f>
        <v>476.02941176470591</v>
      </c>
      <c r="F7">
        <v>0.56999999999999995</v>
      </c>
      <c r="G7">
        <f t="shared" si="0"/>
        <v>474.75206643366869</v>
      </c>
      <c r="H7">
        <f>R7</f>
        <v>7.2402660411715321</v>
      </c>
      <c r="I7">
        <v>237</v>
      </c>
      <c r="J7">
        <v>221</v>
      </c>
      <c r="K7">
        <v>231</v>
      </c>
      <c r="L7">
        <v>25759</v>
      </c>
      <c r="M7">
        <v>26682</v>
      </c>
      <c r="N7">
        <v>25896</v>
      </c>
      <c r="O7">
        <f t="shared" ref="O7:O12" si="3">I7/L7</f>
        <v>9.2006677277844638E-3</v>
      </c>
      <c r="P7">
        <f t="shared" si="1"/>
        <v>8.2827374259800621E-3</v>
      </c>
      <c r="Q7">
        <f t="shared" si="1"/>
        <v>8.9202965708989803E-3</v>
      </c>
      <c r="R7" s="1">
        <f>SQRT((O7*A7)^2+(P7*B7)^2+(Q7*C7)^2)</f>
        <v>7.2402660411715321</v>
      </c>
    </row>
    <row r="8" spans="1:18" hidden="1" x14ac:dyDescent="0.5">
      <c r="A8" s="2">
        <f>26698/54.6</f>
        <v>488.97435897435895</v>
      </c>
      <c r="B8" s="2">
        <f>26491/55.1</f>
        <v>480.78039927404717</v>
      </c>
      <c r="C8" s="2">
        <f>27200/56.2</f>
        <v>483.98576512455514</v>
      </c>
      <c r="D8" s="2"/>
      <c r="E8" s="2"/>
      <c r="F8" s="2">
        <v>0</v>
      </c>
      <c r="G8" s="2">
        <f t="shared" si="0"/>
        <v>484.58017445765375</v>
      </c>
      <c r="H8" s="2">
        <f t="shared" ref="H8:H12" si="4">R8</f>
        <v>7.2354297412347304</v>
      </c>
      <c r="I8" s="2">
        <v>224</v>
      </c>
      <c r="J8" s="2">
        <v>234</v>
      </c>
      <c r="K8" s="2">
        <v>235</v>
      </c>
      <c r="L8" s="2">
        <v>26698</v>
      </c>
      <c r="M8" s="2">
        <v>26491</v>
      </c>
      <c r="N8" s="2">
        <v>27200</v>
      </c>
      <c r="O8" s="2">
        <f t="shared" si="3"/>
        <v>8.390141583639224E-3</v>
      </c>
      <c r="P8" s="2">
        <f t="shared" si="1"/>
        <v>8.8331886301007898E-3</v>
      </c>
      <c r="Q8" s="2">
        <f t="shared" si="1"/>
        <v>8.6397058823529417E-3</v>
      </c>
      <c r="R8" s="3">
        <f t="shared" si="2"/>
        <v>7.2354297412347304</v>
      </c>
    </row>
    <row r="9" spans="1:18" x14ac:dyDescent="0.5">
      <c r="A9">
        <f>25411/56.7</f>
        <v>448.16578483245149</v>
      </c>
      <c r="B9">
        <f>25454/56.7</f>
        <v>448.9241622574956</v>
      </c>
      <c r="C9">
        <f>26096/57.2</f>
        <v>456.22377622377621</v>
      </c>
      <c r="F9">
        <v>1.57</v>
      </c>
      <c r="G9">
        <f t="shared" si="0"/>
        <v>451.10457443790779</v>
      </c>
      <c r="H9">
        <f t="shared" si="4"/>
        <v>6.9468872807511799</v>
      </c>
      <c r="I9">
        <v>231</v>
      </c>
      <c r="J9">
        <v>231</v>
      </c>
      <c r="K9">
        <v>222</v>
      </c>
      <c r="L9">
        <v>25411</v>
      </c>
      <c r="M9">
        <v>25454</v>
      </c>
      <c r="N9">
        <v>26096</v>
      </c>
      <c r="O9">
        <f t="shared" si="3"/>
        <v>9.0905513360355749E-3</v>
      </c>
      <c r="P9">
        <f t="shared" si="1"/>
        <v>9.0751944684528962E-3</v>
      </c>
      <c r="Q9">
        <f t="shared" si="1"/>
        <v>8.5070508890251386E-3</v>
      </c>
      <c r="R9" s="1">
        <f t="shared" si="2"/>
        <v>6.9468872807511799</v>
      </c>
    </row>
    <row r="10" spans="1:18" x14ac:dyDescent="0.5">
      <c r="A10">
        <f>25915/58.8</f>
        <v>440.73129251700681</v>
      </c>
      <c r="B10">
        <f>25941/59.6</f>
        <v>435.25167785234896</v>
      </c>
      <c r="C10">
        <f>26776/60.1</f>
        <v>445.52412645590681</v>
      </c>
      <c r="F10">
        <v>2.5499999999999998</v>
      </c>
      <c r="G10">
        <f t="shared" si="0"/>
        <v>440.50236560842086</v>
      </c>
      <c r="H10">
        <f t="shared" si="4"/>
        <v>6.8818390927120436</v>
      </c>
      <c r="I10">
        <v>238</v>
      </c>
      <c r="J10">
        <v>238</v>
      </c>
      <c r="K10">
        <v>233</v>
      </c>
      <c r="L10">
        <v>25915</v>
      </c>
      <c r="M10">
        <v>25941</v>
      </c>
      <c r="N10">
        <v>26776</v>
      </c>
      <c r="O10">
        <f t="shared" si="3"/>
        <v>9.1838703453598295E-3</v>
      </c>
      <c r="P10">
        <f t="shared" si="1"/>
        <v>9.1746655872942447E-3</v>
      </c>
      <c r="Q10">
        <f t="shared" si="1"/>
        <v>8.7018225276366892E-3</v>
      </c>
      <c r="R10" s="1">
        <f t="shared" si="2"/>
        <v>6.8818390927120436</v>
      </c>
    </row>
    <row r="11" spans="1:18" x14ac:dyDescent="0.5">
      <c r="A11">
        <f>25349/57.1</f>
        <v>443.94045534150609</v>
      </c>
      <c r="B11">
        <f>25981/59.6</f>
        <v>435.92281879194633</v>
      </c>
      <c r="C11">
        <f>26397/60.5</f>
        <v>436.31404958677683</v>
      </c>
      <c r="F11">
        <v>3.13</v>
      </c>
      <c r="G11">
        <f t="shared" si="0"/>
        <v>438.72577457340975</v>
      </c>
      <c r="H11">
        <f t="shared" si="4"/>
        <v>6.8902734603472391</v>
      </c>
      <c r="I11">
        <v>225</v>
      </c>
      <c r="J11">
        <v>239</v>
      </c>
      <c r="K11">
        <v>241</v>
      </c>
      <c r="L11">
        <v>25349</v>
      </c>
      <c r="M11">
        <v>25981</v>
      </c>
      <c r="N11">
        <v>26397</v>
      </c>
      <c r="O11">
        <f t="shared" si="3"/>
        <v>8.8760897865793522E-3</v>
      </c>
      <c r="P11">
        <f t="shared" si="1"/>
        <v>9.1990300604287752E-3</v>
      </c>
      <c r="Q11">
        <f t="shared" si="1"/>
        <v>9.1298253589423041E-3</v>
      </c>
      <c r="R11" s="1">
        <f t="shared" si="2"/>
        <v>6.8902734603472391</v>
      </c>
    </row>
    <row r="12" spans="1:18" x14ac:dyDescent="0.5">
      <c r="A12">
        <f>25356/61</f>
        <v>415.67213114754099</v>
      </c>
      <c r="B12">
        <f>25934/62.4</f>
        <v>415.60897435897436</v>
      </c>
      <c r="C12">
        <f>25041/59.3</f>
        <v>422.27655986509279</v>
      </c>
      <c r="F12">
        <v>5.03</v>
      </c>
      <c r="G12">
        <f t="shared" si="0"/>
        <v>417.85255512386942</v>
      </c>
      <c r="H12">
        <f t="shared" si="4"/>
        <v>6.807573777682836</v>
      </c>
      <c r="I12">
        <v>238</v>
      </c>
      <c r="J12">
        <v>245</v>
      </c>
      <c r="K12">
        <v>235</v>
      </c>
      <c r="L12">
        <v>25356</v>
      </c>
      <c r="M12">
        <v>25934</v>
      </c>
      <c r="N12">
        <v>25041</v>
      </c>
      <c r="O12">
        <f t="shared" si="3"/>
        <v>9.3863385392017676E-3</v>
      </c>
      <c r="P12">
        <f t="shared" si="1"/>
        <v>9.4470579162489396E-3</v>
      </c>
      <c r="Q12">
        <f t="shared" si="1"/>
        <v>9.3846092408450144E-3</v>
      </c>
      <c r="R12" s="1">
        <f t="shared" si="2"/>
        <v>6.807573777682836</v>
      </c>
    </row>
    <row r="13" spans="1:18" x14ac:dyDescent="0.5">
      <c r="F13" t="s">
        <v>38</v>
      </c>
    </row>
    <row r="14" spans="1:18" x14ac:dyDescent="0.5">
      <c r="F14" t="s">
        <v>39</v>
      </c>
    </row>
    <row r="17" spans="1:2" x14ac:dyDescent="0.5">
      <c r="A17" t="s">
        <v>23</v>
      </c>
      <c r="B17" t="s">
        <v>24</v>
      </c>
    </row>
    <row r="18" spans="1:2" x14ac:dyDescent="0.5">
      <c r="A18">
        <f>(F4*$J$1)/10</f>
        <v>0</v>
      </c>
      <c r="B18">
        <f>G4</f>
        <v>512.78200000000004</v>
      </c>
    </row>
    <row r="19" spans="1:2" x14ac:dyDescent="0.5">
      <c r="A19">
        <f>(F5*$J$1)/10</f>
        <v>0.16211999999999999</v>
      </c>
      <c r="B19">
        <f>G5</f>
        <v>467.24997953249959</v>
      </c>
    </row>
    <row r="20" spans="1:2" x14ac:dyDescent="0.5">
      <c r="A20">
        <f>(F7*$J$1)/10</f>
        <v>0.15401399999999998</v>
      </c>
      <c r="B20">
        <f>G7</f>
        <v>474.75206643366869</v>
      </c>
    </row>
    <row r="21" spans="1:2" x14ac:dyDescent="0.5">
      <c r="A21">
        <f>(F9*$J$1)/10</f>
        <v>0.42421399999999998</v>
      </c>
      <c r="B21">
        <f>G9</f>
        <v>451.10457443790779</v>
      </c>
    </row>
    <row r="22" spans="1:2" x14ac:dyDescent="0.5">
      <c r="A22">
        <f>(F10*$J$1)/10</f>
        <v>0.6890099999999999</v>
      </c>
      <c r="B22">
        <f>G10</f>
        <v>440.50236560842086</v>
      </c>
    </row>
    <row r="23" spans="1:2" x14ac:dyDescent="0.5">
      <c r="A23">
        <f>(F11*$J$1)/10</f>
        <v>0.84572599999999998</v>
      </c>
      <c r="B23">
        <f>G11</f>
        <v>438.72577457340975</v>
      </c>
    </row>
    <row r="24" spans="1:2" x14ac:dyDescent="0.5">
      <c r="A24">
        <f>(F12*$J$1)/10</f>
        <v>1.3591060000000001</v>
      </c>
      <c r="B24">
        <f>G12</f>
        <v>417.85255512386942</v>
      </c>
    </row>
    <row r="25" spans="1:2" x14ac:dyDescent="0.5">
      <c r="A25" t="e">
        <f t="shared" ref="A25:A26" si="5">(F13*$J$1)/10</f>
        <v>#VALUE!</v>
      </c>
      <c r="B25">
        <f t="shared" ref="B25:B26" si="6">G13</f>
        <v>0</v>
      </c>
    </row>
    <row r="26" spans="1:2" x14ac:dyDescent="0.5">
      <c r="A26" t="e">
        <f t="shared" si="5"/>
        <v>#VALUE!</v>
      </c>
      <c r="B26">
        <f t="shared" si="6"/>
        <v>0</v>
      </c>
    </row>
    <row r="28" spans="1:2" x14ac:dyDescent="0.5">
      <c r="A28" t="s">
        <v>29</v>
      </c>
      <c r="B28">
        <v>0.127</v>
      </c>
    </row>
    <row r="29" spans="1:2" x14ac:dyDescent="0.5">
      <c r="B29">
        <v>7.5040899999999994E-2</v>
      </c>
    </row>
    <row r="30" spans="1:2" x14ac:dyDescent="0.5">
      <c r="A30" t="s">
        <v>30</v>
      </c>
      <c r="B30">
        <f>(B28-B29)/B29</f>
        <v>0.69241040552552025</v>
      </c>
    </row>
    <row r="31" spans="1:2" x14ac:dyDescent="0.5">
      <c r="A31" t="s">
        <v>36</v>
      </c>
    </row>
    <row r="32" spans="1:2" x14ac:dyDescent="0.5">
      <c r="A32" t="s">
        <v>37</v>
      </c>
    </row>
  </sheetData>
  <mergeCells count="5">
    <mergeCell ref="A1:H1"/>
    <mergeCell ref="A2:E2"/>
    <mergeCell ref="I2:K2"/>
    <mergeCell ref="L2:N2"/>
    <mergeCell ref="O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8861-738D-4C7A-BFE0-8030E547A821}">
  <dimension ref="A4:AD17"/>
  <sheetViews>
    <sheetView tabSelected="1" topLeftCell="A4" zoomScaleNormal="100" workbookViewId="0">
      <selection activeCell="I28" sqref="I28"/>
    </sheetView>
  </sheetViews>
  <sheetFormatPr defaultRowHeight="14.35" x14ac:dyDescent="0.5"/>
  <cols>
    <col min="7" max="8" width="15.52734375" customWidth="1"/>
    <col min="9" max="9" width="14.52734375" customWidth="1"/>
  </cols>
  <sheetData>
    <row r="4" spans="1:30" x14ac:dyDescent="0.5">
      <c r="A4" s="10" t="s">
        <v>31</v>
      </c>
      <c r="B4" s="10"/>
      <c r="C4" s="10"/>
      <c r="D4" s="10"/>
      <c r="E4" s="10"/>
      <c r="F4" s="10"/>
      <c r="G4" s="7"/>
      <c r="H4" s="7"/>
      <c r="I4" s="7"/>
      <c r="J4" s="7"/>
      <c r="K4" t="s">
        <v>22</v>
      </c>
      <c r="L4">
        <v>2.702</v>
      </c>
      <c r="M4" t="s">
        <v>18</v>
      </c>
    </row>
    <row r="5" spans="1:30" x14ac:dyDescent="0.5">
      <c r="A5" s="10" t="s">
        <v>10</v>
      </c>
      <c r="B5" s="10"/>
      <c r="C5" s="10"/>
      <c r="D5" s="10"/>
      <c r="E5" s="10"/>
      <c r="F5" s="10"/>
      <c r="G5" t="s">
        <v>28</v>
      </c>
      <c r="H5" s="10" t="s">
        <v>3</v>
      </c>
      <c r="I5" s="10"/>
      <c r="J5" t="s">
        <v>0</v>
      </c>
      <c r="K5" s="10" t="s">
        <v>14</v>
      </c>
      <c r="L5" s="10"/>
      <c r="M5" s="10"/>
      <c r="N5" s="10"/>
      <c r="O5" s="10"/>
      <c r="P5" s="10"/>
      <c r="Q5" s="10" t="s">
        <v>13</v>
      </c>
      <c r="R5" s="10"/>
      <c r="S5" s="10"/>
      <c r="T5" s="10"/>
      <c r="U5" s="10"/>
      <c r="V5" s="10"/>
      <c r="W5" s="10" t="s">
        <v>12</v>
      </c>
      <c r="X5" s="10"/>
      <c r="Y5" s="10"/>
      <c r="Z5" s="10"/>
      <c r="AA5" s="10"/>
      <c r="AB5" s="10"/>
      <c r="AC5" t="s">
        <v>17</v>
      </c>
    </row>
    <row r="6" spans="1:30" x14ac:dyDescent="0.5">
      <c r="A6" s="12" t="s">
        <v>32</v>
      </c>
      <c r="B6" s="12"/>
      <c r="C6" s="12"/>
      <c r="D6" s="11" t="s">
        <v>33</v>
      </c>
      <c r="E6" s="11"/>
      <c r="F6" s="11"/>
      <c r="H6" s="8" t="s">
        <v>32</v>
      </c>
      <c r="I6" s="9" t="s">
        <v>33</v>
      </c>
      <c r="K6" s="12" t="s">
        <v>32</v>
      </c>
      <c r="L6" s="12"/>
      <c r="M6" s="12"/>
      <c r="N6" s="11" t="s">
        <v>33</v>
      </c>
      <c r="O6" s="11"/>
      <c r="P6" s="11"/>
      <c r="Q6" s="12" t="s">
        <v>34</v>
      </c>
      <c r="R6" s="12"/>
      <c r="S6" s="12"/>
      <c r="T6" s="11" t="s">
        <v>35</v>
      </c>
      <c r="U6" s="11"/>
      <c r="V6" s="11"/>
      <c r="W6" s="12" t="s">
        <v>34</v>
      </c>
      <c r="X6" s="12"/>
      <c r="Y6" s="12"/>
      <c r="Z6" s="9"/>
      <c r="AA6" s="9" t="s">
        <v>35</v>
      </c>
      <c r="AB6" s="9"/>
    </row>
    <row r="7" spans="1:30" x14ac:dyDescent="0.5">
      <c r="A7" s="8">
        <v>1</v>
      </c>
      <c r="B7" s="8">
        <v>2</v>
      </c>
      <c r="C7" s="8">
        <v>3</v>
      </c>
      <c r="D7" s="9">
        <v>1</v>
      </c>
      <c r="E7" s="9">
        <v>2</v>
      </c>
      <c r="F7" s="9">
        <v>3</v>
      </c>
      <c r="G7" t="s">
        <v>1</v>
      </c>
      <c r="H7" s="8" t="s">
        <v>11</v>
      </c>
      <c r="I7" s="9" t="s">
        <v>11</v>
      </c>
      <c r="J7" t="s">
        <v>11</v>
      </c>
      <c r="K7" s="8">
        <v>1</v>
      </c>
      <c r="L7" s="8">
        <v>2</v>
      </c>
      <c r="M7" s="8">
        <v>3</v>
      </c>
      <c r="N7" s="9">
        <v>1</v>
      </c>
      <c r="O7" s="9">
        <v>2</v>
      </c>
      <c r="P7" s="9">
        <v>3</v>
      </c>
      <c r="Q7" s="8">
        <v>1</v>
      </c>
      <c r="R7" s="8">
        <v>2</v>
      </c>
      <c r="S7" s="8">
        <v>3</v>
      </c>
      <c r="T7" s="9">
        <v>1</v>
      </c>
      <c r="U7" s="9">
        <v>2</v>
      </c>
      <c r="V7" s="9">
        <v>3</v>
      </c>
      <c r="W7" s="8">
        <v>1</v>
      </c>
      <c r="X7" s="8">
        <v>2</v>
      </c>
      <c r="Y7" s="8">
        <v>3</v>
      </c>
      <c r="Z7" s="9">
        <v>1</v>
      </c>
      <c r="AA7" s="9">
        <v>2</v>
      </c>
      <c r="AB7" s="9">
        <v>3</v>
      </c>
      <c r="AC7" t="s">
        <v>34</v>
      </c>
      <c r="AD7" t="s">
        <v>35</v>
      </c>
    </row>
    <row r="8" spans="1:30" x14ac:dyDescent="0.5">
      <c r="A8" s="8">
        <f>20266/434.2</f>
        <v>46.674343620451403</v>
      </c>
      <c r="B8" s="8">
        <f>20243/450.6</f>
        <v>44.924545051043054</v>
      </c>
      <c r="C8" s="8">
        <f>19684/440.8</f>
        <v>44.655172413793103</v>
      </c>
      <c r="D8" s="9">
        <f>15799/434.2</f>
        <v>36.386457853523723</v>
      </c>
      <c r="E8" s="9">
        <f>17658/450.6</f>
        <v>39.187749667110516</v>
      </c>
      <c r="F8" s="9">
        <f>17436/440.8</f>
        <v>39.555353901996369</v>
      </c>
      <c r="G8">
        <v>0</v>
      </c>
      <c r="H8" s="8">
        <f>AVERAGE(A8:C8)</f>
        <v>45.418020361762522</v>
      </c>
      <c r="I8" s="9">
        <f>AVERAGE(D8:F8)</f>
        <v>38.376520474210203</v>
      </c>
      <c r="J8">
        <f>W8*H8</f>
        <v>0.83816932869333782</v>
      </c>
      <c r="K8" s="8">
        <v>374</v>
      </c>
      <c r="L8" s="8">
        <v>385</v>
      </c>
      <c r="M8" s="8">
        <v>386</v>
      </c>
      <c r="N8" s="9">
        <v>337</v>
      </c>
      <c r="O8" s="9">
        <v>333</v>
      </c>
      <c r="P8" s="9">
        <v>327</v>
      </c>
      <c r="Q8" s="8">
        <v>20266</v>
      </c>
      <c r="R8" s="8">
        <v>20243</v>
      </c>
      <c r="S8" s="8">
        <v>19684</v>
      </c>
      <c r="T8" s="9">
        <v>15799</v>
      </c>
      <c r="U8" s="9">
        <v>17658</v>
      </c>
      <c r="V8" s="9">
        <v>17436</v>
      </c>
      <c r="W8" s="8">
        <f t="shared" ref="W8:Y14" si="0">K8/Q8</f>
        <v>1.845455442613244E-2</v>
      </c>
      <c r="X8" s="8">
        <f t="shared" si="0"/>
        <v>1.9018920120535493E-2</v>
      </c>
      <c r="Y8" s="8">
        <f t="shared" si="0"/>
        <v>1.9609835399309085E-2</v>
      </c>
      <c r="Z8" s="9">
        <f>N8/W8</f>
        <v>18261.074866310159</v>
      </c>
      <c r="AA8" s="9">
        <f>O8/X8</f>
        <v>17508.880519480521</v>
      </c>
      <c r="AB8" s="9">
        <f>P8/Y8</f>
        <v>16675.305699481865</v>
      </c>
      <c r="AC8" s="1">
        <f t="shared" ref="AC8:AC14" si="1">SQRT((W8*A8)^2+(X8*B8)^2+(Y8*C8)^2)</f>
        <v>1.4962535995079815</v>
      </c>
      <c r="AD8" s="1">
        <f>SQRT((Z8*D8)^2+(AA8*E8)^2+(AB8*F8)^2)</f>
        <v>1160754.0321868996</v>
      </c>
    </row>
    <row r="9" spans="1:30" x14ac:dyDescent="0.5">
      <c r="A9" s="8">
        <f>19063/451.7</f>
        <v>42.202789462032321</v>
      </c>
      <c r="B9" s="8">
        <f>20265/470.2</f>
        <v>43.098681412165035</v>
      </c>
      <c r="C9" s="8">
        <f>19749/460.4</f>
        <v>42.895308427454388</v>
      </c>
      <c r="D9" s="9">
        <f>16754/451.7</f>
        <v>37.090989594863849</v>
      </c>
      <c r="E9" s="9">
        <f>17314/470.2</f>
        <v>36.822628668651639</v>
      </c>
      <c r="F9" s="9">
        <f>16903/460.4</f>
        <v>36.713727193744575</v>
      </c>
      <c r="G9">
        <v>3.13</v>
      </c>
      <c r="H9" s="8">
        <f t="shared" ref="H9:H14" si="2">AVERAGE(A9:C9)</f>
        <v>42.732259767217244</v>
      </c>
      <c r="I9" s="9">
        <f t="shared" ref="I9:I14" si="3">AVERAGE(D9:F9)</f>
        <v>36.87578181908669</v>
      </c>
      <c r="J9">
        <f>W9*H9</f>
        <v>0.86527053822304234</v>
      </c>
      <c r="K9" s="8">
        <v>386</v>
      </c>
      <c r="L9" s="8">
        <v>388</v>
      </c>
      <c r="M9" s="8">
        <v>386</v>
      </c>
      <c r="N9" s="9">
        <v>326</v>
      </c>
      <c r="O9" s="9">
        <v>340</v>
      </c>
      <c r="P9" s="9">
        <v>337</v>
      </c>
      <c r="Q9" s="8">
        <v>19063</v>
      </c>
      <c r="R9" s="8">
        <v>20265</v>
      </c>
      <c r="S9" s="8">
        <v>19749</v>
      </c>
      <c r="T9" s="9">
        <v>16754</v>
      </c>
      <c r="U9" s="9">
        <v>17314</v>
      </c>
      <c r="V9" s="9">
        <v>16903</v>
      </c>
      <c r="W9" s="8">
        <f t="shared" si="0"/>
        <v>2.0248649215758276E-2</v>
      </c>
      <c r="X9" s="8">
        <f t="shared" si="0"/>
        <v>1.914631137429065E-2</v>
      </c>
      <c r="Y9" s="8">
        <f t="shared" si="0"/>
        <v>1.9545293432578863E-2</v>
      </c>
      <c r="Z9" s="9">
        <f t="shared" ref="Z9:Z14" si="4">N9/W9</f>
        <v>16099.839378238341</v>
      </c>
      <c r="AA9" s="9">
        <f t="shared" ref="AA9:AA14" si="5">O9/X9</f>
        <v>17757.98969072165</v>
      </c>
      <c r="AB9" s="9">
        <f t="shared" ref="AB9:AB14" si="6">P9/Y9</f>
        <v>17242.002590673575</v>
      </c>
      <c r="AC9" s="1">
        <f t="shared" si="1"/>
        <v>1.4539927834248796</v>
      </c>
      <c r="AD9" s="1">
        <f t="shared" ref="AD9:AD14" si="7">SQRT((Z9*D9)^2+(AA9*E9)^2+(AB9*F9)^2)</f>
        <v>1088526.8268552187</v>
      </c>
    </row>
    <row r="10" spans="1:30" x14ac:dyDescent="0.5">
      <c r="A10" s="8">
        <f>19730/464.7</f>
        <v>42.457499462018511</v>
      </c>
      <c r="B10" s="8">
        <f>19841/475.9</f>
        <v>41.691531834418996</v>
      </c>
      <c r="C10" s="8">
        <f>21031/483.5</f>
        <v>43.497414684591519</v>
      </c>
      <c r="D10" s="9">
        <f>16380/464.7</f>
        <v>35.248547449967724</v>
      </c>
      <c r="E10" s="9">
        <f>17641/475.9</f>
        <v>37.068711914267702</v>
      </c>
      <c r="F10" s="9">
        <f>17715/483.5</f>
        <v>36.639089968976215</v>
      </c>
      <c r="G10">
        <v>5.04</v>
      </c>
      <c r="H10" s="8">
        <f t="shared" si="2"/>
        <v>42.54881532700967</v>
      </c>
      <c r="I10" s="9">
        <f t="shared" si="3"/>
        <v>36.318783111070552</v>
      </c>
      <c r="J10">
        <f>W10*H10</f>
        <v>0.81949061450905603</v>
      </c>
      <c r="K10" s="8">
        <v>380</v>
      </c>
      <c r="L10" s="8">
        <v>386</v>
      </c>
      <c r="M10" s="8">
        <v>384</v>
      </c>
      <c r="N10" s="9">
        <v>336</v>
      </c>
      <c r="O10" s="9">
        <v>331</v>
      </c>
      <c r="P10" s="9">
        <v>336</v>
      </c>
      <c r="Q10" s="8">
        <v>19730</v>
      </c>
      <c r="R10" s="8">
        <v>19841</v>
      </c>
      <c r="S10" s="8">
        <v>21031</v>
      </c>
      <c r="T10" s="9">
        <v>16380</v>
      </c>
      <c r="U10" s="9">
        <v>17641</v>
      </c>
      <c r="V10" s="9">
        <v>17715</v>
      </c>
      <c r="W10" s="8">
        <f t="shared" si="0"/>
        <v>1.9260010136847441E-2</v>
      </c>
      <c r="X10" s="8">
        <f t="shared" si="0"/>
        <v>1.9454664583438336E-2</v>
      </c>
      <c r="Y10" s="8">
        <f t="shared" si="0"/>
        <v>1.8258760876800912E-2</v>
      </c>
      <c r="Z10" s="9">
        <f t="shared" si="4"/>
        <v>17445.473684210527</v>
      </c>
      <c r="AA10" s="9">
        <f t="shared" si="5"/>
        <v>17013.91450777202</v>
      </c>
      <c r="AB10" s="9">
        <f t="shared" si="6"/>
        <v>18402.125</v>
      </c>
      <c r="AC10" s="1">
        <f t="shared" si="1"/>
        <v>1.3990453531280498</v>
      </c>
      <c r="AD10" s="1">
        <f t="shared" si="7"/>
        <v>1109276.2608760332</v>
      </c>
    </row>
    <row r="11" spans="1:30" x14ac:dyDescent="0.5">
      <c r="A11" s="8">
        <f>20673/466.9</f>
        <v>44.277147140715357</v>
      </c>
      <c r="B11" s="8">
        <f>20049/456.3</f>
        <v>43.93819855358317</v>
      </c>
      <c r="C11" s="8">
        <f>19312/441.3</f>
        <v>43.761613414910492</v>
      </c>
      <c r="D11" s="9">
        <f>17434/466.9</f>
        <v>37.339901477832512</v>
      </c>
      <c r="E11" s="9">
        <f>17475/456.3</f>
        <v>38.297172912557528</v>
      </c>
      <c r="F11" s="9">
        <f>17011/441.3</f>
        <v>38.547473374121914</v>
      </c>
      <c r="G11">
        <v>2.25</v>
      </c>
      <c r="H11" s="8">
        <f t="shared" si="2"/>
        <v>43.992319703069676</v>
      </c>
      <c r="I11" s="9">
        <f t="shared" si="3"/>
        <v>38.06151592150399</v>
      </c>
      <c r="J11">
        <f>AC11</f>
        <v>1.4606144136958816</v>
      </c>
      <c r="K11" s="8">
        <v>386</v>
      </c>
      <c r="L11" s="8">
        <v>383</v>
      </c>
      <c r="M11" s="8">
        <v>381</v>
      </c>
      <c r="N11" s="9">
        <v>338</v>
      </c>
      <c r="O11" s="9">
        <v>331</v>
      </c>
      <c r="P11" s="9">
        <v>320</v>
      </c>
      <c r="Q11" s="8">
        <v>20673</v>
      </c>
      <c r="R11" s="8">
        <v>20049</v>
      </c>
      <c r="S11" s="8">
        <v>19312</v>
      </c>
      <c r="T11" s="9">
        <v>17434</v>
      </c>
      <c r="U11" s="9">
        <v>17475</v>
      </c>
      <c r="V11" s="9">
        <v>17011</v>
      </c>
      <c r="W11" s="8">
        <f t="shared" si="0"/>
        <v>1.8671697383060029E-2</v>
      </c>
      <c r="X11" s="8">
        <f t="shared" si="0"/>
        <v>1.9103197166940995E-2</v>
      </c>
      <c r="Y11" s="8">
        <f t="shared" si="0"/>
        <v>1.9728666114333056E-2</v>
      </c>
      <c r="Z11" s="9">
        <f t="shared" si="4"/>
        <v>18102.264248704665</v>
      </c>
      <c r="AA11" s="9">
        <f t="shared" si="5"/>
        <v>17326.942558746738</v>
      </c>
      <c r="AB11" s="9">
        <f t="shared" si="6"/>
        <v>16220.052493438321</v>
      </c>
      <c r="AC11" s="1">
        <f t="shared" si="1"/>
        <v>1.4606144136958816</v>
      </c>
      <c r="AD11" s="1">
        <f t="shared" si="7"/>
        <v>1134965.6967354312</v>
      </c>
    </row>
    <row r="12" spans="1:30" x14ac:dyDescent="0.5">
      <c r="A12" s="8">
        <f>19864/498.1</f>
        <v>39.879542260590242</v>
      </c>
      <c r="B12" s="8"/>
      <c r="C12" s="8"/>
      <c r="D12" s="9">
        <f>16554/498.1</f>
        <v>33.234290303151973</v>
      </c>
      <c r="E12" s="9"/>
      <c r="F12" s="9"/>
      <c r="G12" s="5">
        <v>7.29</v>
      </c>
      <c r="H12" s="8">
        <f t="shared" si="2"/>
        <v>39.879542260590242</v>
      </c>
      <c r="I12" s="9">
        <f t="shared" si="3"/>
        <v>33.234290303151973</v>
      </c>
      <c r="J12" s="5" t="e">
        <f>AC12</f>
        <v>#DIV/0!</v>
      </c>
      <c r="K12" s="8">
        <v>393</v>
      </c>
      <c r="L12" s="8"/>
      <c r="M12" s="8"/>
      <c r="N12" s="9">
        <v>346</v>
      </c>
      <c r="O12" s="9"/>
      <c r="P12" s="9"/>
      <c r="Q12" s="8">
        <v>19864</v>
      </c>
      <c r="R12" s="8"/>
      <c r="S12" s="8"/>
      <c r="T12" s="9">
        <v>16554</v>
      </c>
      <c r="U12" s="9"/>
      <c r="V12" s="9"/>
      <c r="W12" s="8">
        <f t="shared" si="0"/>
        <v>1.9784534836890858E-2</v>
      </c>
      <c r="X12" s="8" t="e">
        <f t="shared" si="0"/>
        <v>#DIV/0!</v>
      </c>
      <c r="Y12" s="8" t="e">
        <f t="shared" si="0"/>
        <v>#DIV/0!</v>
      </c>
      <c r="Z12" s="9">
        <f t="shared" si="4"/>
        <v>17488.407124681933</v>
      </c>
      <c r="AA12" s="9" t="e">
        <f t="shared" si="5"/>
        <v>#DIV/0!</v>
      </c>
      <c r="AB12" s="9" t="e">
        <f t="shared" si="6"/>
        <v>#DIV/0!</v>
      </c>
      <c r="AC12" s="6" t="e">
        <f t="shared" si="1"/>
        <v>#DIV/0!</v>
      </c>
      <c r="AD12" s="1" t="e">
        <f t="shared" si="7"/>
        <v>#DIV/0!</v>
      </c>
    </row>
    <row r="13" spans="1:30" x14ac:dyDescent="0.5">
      <c r="A13" s="8"/>
      <c r="B13" s="8"/>
      <c r="C13" s="8"/>
      <c r="D13" s="9"/>
      <c r="E13" s="9"/>
      <c r="F13" s="9"/>
      <c r="H13" s="8" t="e">
        <f t="shared" si="2"/>
        <v>#DIV/0!</v>
      </c>
      <c r="I13" s="9" t="e">
        <f t="shared" si="3"/>
        <v>#DIV/0!</v>
      </c>
      <c r="J13" t="e">
        <f>AC13</f>
        <v>#DIV/0!</v>
      </c>
      <c r="K13" s="8"/>
      <c r="L13" s="8"/>
      <c r="M13" s="8"/>
      <c r="N13" s="9"/>
      <c r="O13" s="9"/>
      <c r="P13" s="9"/>
      <c r="Q13" s="8"/>
      <c r="R13" s="8"/>
      <c r="S13" s="8"/>
      <c r="T13" s="9"/>
      <c r="U13" s="9"/>
      <c r="V13" s="9"/>
      <c r="W13" s="8" t="e">
        <f t="shared" si="0"/>
        <v>#DIV/0!</v>
      </c>
      <c r="X13" s="8" t="e">
        <f t="shared" si="0"/>
        <v>#DIV/0!</v>
      </c>
      <c r="Y13" s="8" t="e">
        <f t="shared" si="0"/>
        <v>#DIV/0!</v>
      </c>
      <c r="Z13" s="9" t="e">
        <f t="shared" si="4"/>
        <v>#DIV/0!</v>
      </c>
      <c r="AA13" s="9" t="e">
        <f t="shared" si="5"/>
        <v>#DIV/0!</v>
      </c>
      <c r="AB13" s="9" t="e">
        <f t="shared" si="6"/>
        <v>#DIV/0!</v>
      </c>
      <c r="AC13" s="1" t="e">
        <f t="shared" si="1"/>
        <v>#DIV/0!</v>
      </c>
      <c r="AD13" s="1" t="e">
        <f t="shared" si="7"/>
        <v>#DIV/0!</v>
      </c>
    </row>
    <row r="14" spans="1:30" x14ac:dyDescent="0.5">
      <c r="A14" s="8"/>
      <c r="B14" s="8"/>
      <c r="C14" s="8"/>
      <c r="D14" s="9"/>
      <c r="E14" s="9"/>
      <c r="F14" s="9"/>
      <c r="H14" s="8" t="e">
        <f t="shared" si="2"/>
        <v>#DIV/0!</v>
      </c>
      <c r="I14" s="9" t="e">
        <f t="shared" si="3"/>
        <v>#DIV/0!</v>
      </c>
      <c r="J14" t="e">
        <f>AC14</f>
        <v>#DIV/0!</v>
      </c>
      <c r="K14" s="8"/>
      <c r="L14" s="8"/>
      <c r="M14" s="8"/>
      <c r="N14" s="9"/>
      <c r="O14" s="9"/>
      <c r="P14" s="9"/>
      <c r="Q14" s="8"/>
      <c r="R14" s="8"/>
      <c r="S14" s="8"/>
      <c r="T14" s="9"/>
      <c r="U14" s="9"/>
      <c r="V14" s="9"/>
      <c r="W14" s="8" t="e">
        <f t="shared" si="0"/>
        <v>#DIV/0!</v>
      </c>
      <c r="X14" s="8" t="e">
        <f t="shared" si="0"/>
        <v>#DIV/0!</v>
      </c>
      <c r="Y14" s="8" t="e">
        <f t="shared" si="0"/>
        <v>#DIV/0!</v>
      </c>
      <c r="Z14" s="9" t="e">
        <f t="shared" si="4"/>
        <v>#DIV/0!</v>
      </c>
      <c r="AA14" s="9" t="e">
        <f t="shared" si="5"/>
        <v>#DIV/0!</v>
      </c>
      <c r="AB14" s="9" t="e">
        <f t="shared" si="6"/>
        <v>#DIV/0!</v>
      </c>
      <c r="AC14" s="1" t="e">
        <f t="shared" si="1"/>
        <v>#DIV/0!</v>
      </c>
      <c r="AD14" s="1" t="e">
        <f t="shared" si="7"/>
        <v>#DIV/0!</v>
      </c>
    </row>
    <row r="15" spans="1:30" x14ac:dyDescent="0.5">
      <c r="W15" s="1"/>
    </row>
    <row r="16" spans="1:30" x14ac:dyDescent="0.5">
      <c r="W16" s="1"/>
    </row>
    <row r="17" spans="7:7" x14ac:dyDescent="0.5">
      <c r="G17" t="s">
        <v>40</v>
      </c>
    </row>
  </sheetData>
  <mergeCells count="13">
    <mergeCell ref="A4:F4"/>
    <mergeCell ref="W5:AB5"/>
    <mergeCell ref="K6:M6"/>
    <mergeCell ref="N6:P6"/>
    <mergeCell ref="Q6:S6"/>
    <mergeCell ref="W6:Y6"/>
    <mergeCell ref="Q5:V5"/>
    <mergeCell ref="T6:V6"/>
    <mergeCell ref="A6:C6"/>
    <mergeCell ref="D6:F6"/>
    <mergeCell ref="H5:I5"/>
    <mergeCell ref="K5:P5"/>
    <mergeCell ref="A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C348-517A-43E7-8CE0-C24795BD771F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722D66F0051E489DC86DBB46652146" ma:contentTypeVersion="12" ma:contentTypeDescription="Create a new document." ma:contentTypeScope="" ma:versionID="926e67a6b2807cd8d23e71e7c66cd4b1">
  <xsd:schema xmlns:xsd="http://www.w3.org/2001/XMLSchema" xmlns:xs="http://www.w3.org/2001/XMLSchema" xmlns:p="http://schemas.microsoft.com/office/2006/metadata/properties" xmlns:ns3="5a2578e8-0fd3-4f27-9461-2e81ed68758c" xmlns:ns4="b7f1f024-bbd5-4b5f-a28e-0eabcf37781a" targetNamespace="http://schemas.microsoft.com/office/2006/metadata/properties" ma:root="true" ma:fieldsID="19f193ad21340a76bac1306ff04bb4c3" ns3:_="" ns4:_="">
    <xsd:import namespace="5a2578e8-0fd3-4f27-9461-2e81ed68758c"/>
    <xsd:import namespace="b7f1f024-bbd5-4b5f-a28e-0eabcf3778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578e8-0fd3-4f27-9461-2e81ed6875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1f024-bbd5-4b5f-a28e-0eabcf3778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4ACC36-C612-408C-9E55-1285E2D21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2578e8-0fd3-4f27-9461-2e81ed68758c"/>
    <ds:schemaRef ds:uri="b7f1f024-bbd5-4b5f-a28e-0eabcf377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3A0124-7A5A-45B5-A380-A9508D67B9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B842EB-3E9C-43C2-8357-1D18D6431D04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b7f1f024-bbd5-4b5f-a28e-0eabcf37781a"/>
    <ds:schemaRef ds:uri="http://schemas.microsoft.com/office/infopath/2007/PartnerControls"/>
    <ds:schemaRef ds:uri="5a2578e8-0fd3-4f27-9461-2e81ed68758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Background Spectrum</vt:lpstr>
      <vt:lpstr>137Cs with Pb</vt:lpstr>
      <vt:lpstr>137Cs with Al</vt:lpstr>
      <vt:lpstr>60Co with Al</vt:lpstr>
      <vt:lpstr>60Co with 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Cantlin</dc:creator>
  <cp:lastModifiedBy>Kevin Cantlin</cp:lastModifiedBy>
  <dcterms:created xsi:type="dcterms:W3CDTF">2022-02-03T15:16:11Z</dcterms:created>
  <dcterms:modified xsi:type="dcterms:W3CDTF">2022-02-03T20:31:50Z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0x010100F2722D66F0051E489DC86DBB46652146</vt:lpwstr>
  </property>
</Properties>
</file>