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apleStory\Mercedes\NewAge连招分析\"/>
    </mc:Choice>
  </mc:AlternateContent>
  <xr:revisionPtr revIDLastSave="0" documentId="13_ncr:1_{C8CC45C8-DFDF-43AB-A9C3-4B6941BD2BA1}" xr6:coauthVersionLast="47" xr6:coauthVersionMax="47" xr10:uidLastSave="{00000000-0000-0000-0000-000000000000}"/>
  <workbookProtection workbookAlgorithmName="SHA-512" workbookHashValue="HaWjG8/FC+DyYGkZRUmKWbtK9ISTXv128gdzA4d9P0aXexknWyvnDzLjWIkOv50XxqMg5C9GerGB5krXlaIZHQ==" workbookSaltValue="TOhvkVyv9hfgn0SC184YZA==" workbookSpinCount="100000" lockStructure="1"/>
  <bookViews>
    <workbookView xWindow="-108" yWindow="-108" windowWidth="23256" windowHeight="12456" xr2:uid="{00000000-000D-0000-FFFF-FFFF00000000}"/>
  </bookViews>
  <sheets>
    <sheet name="Main" sheetId="1" r:id="rId1"/>
    <sheet name="OriginData" sheetId="2" r:id="rId2"/>
    <sheet name="MiddleParam" sheetId="4" r:id="rId3"/>
    <sheet name="Text" sheetId="3" r:id="rId4"/>
  </sheets>
  <definedNames>
    <definedName name="ab_cdelay">MiddleParam!$H$11</definedName>
    <definedName name="ab_delay">MiddleParam!$G$11</definedName>
    <definedName name="ab_extra_fd">Main!$E$12</definedName>
    <definedName name="ab_level">Main!$D$12</definedName>
    <definedName name="ab_name_cms">Text!$D$11</definedName>
    <definedName name="ab_name_gms">Text!$C$11</definedName>
    <definedName name="ab_ocdelay">OriginData!$D$10</definedName>
    <definedName name="ab_odelay">OriginData!$C$10</definedName>
    <definedName name="ab_pctg">MiddleParam!$F$11</definedName>
    <definedName name="ab_tpctg">MiddleParam!$I$11</definedName>
    <definedName name="ab_tpctg_density">MiddleParam!$J$11</definedName>
    <definedName name="ab_v1_tpctg">MiddleParam!$K$11</definedName>
    <definedName name="ab_v1_tpctg_density">MiddleParam!$L$11</definedName>
    <definedName name="combo1">Main!$M$4</definedName>
    <definedName name="combo1_density">MiddleParam!$F$81</definedName>
    <definedName name="combo1_final_time">MiddleParam!$F$72</definedName>
    <definedName name="combo1_ir_amt">MiddleParam!$F$70</definedName>
    <definedName name="combo1_pause_time">MiddleParam!$F$68</definedName>
    <definedName name="combo1_v1_density">MiddleParam!$F$91</definedName>
    <definedName name="combo10">Main!$M$13</definedName>
    <definedName name="combo10_density">MiddleParam!$O$81</definedName>
    <definedName name="combo10_final_time">MiddleParam!$O$72</definedName>
    <definedName name="combo10_ir_amt">MiddleParam!$O$70</definedName>
    <definedName name="combo10_pause_time">MiddleParam!$O$68</definedName>
    <definedName name="combo10_v1_density">MiddleParam!$O$91</definedName>
    <definedName name="combo11">Main!$M$14</definedName>
    <definedName name="combo11_density">MiddleParam!$P$81</definedName>
    <definedName name="combo11_final_time">MiddleParam!$P$72</definedName>
    <definedName name="combo11_ir_amt">MiddleParam!$P$70</definedName>
    <definedName name="combo11_pause_time">MiddleParam!$P$68</definedName>
    <definedName name="combo11_v1_density">MiddleParam!$P$91</definedName>
    <definedName name="combo12">Main!$M$15</definedName>
    <definedName name="combo12_density">MiddleParam!$Q$81</definedName>
    <definedName name="combo12_final_time">MiddleParam!$Q$72</definedName>
    <definedName name="combo12_ir_amt">MiddleParam!$Q$70</definedName>
    <definedName name="combo12_pause_time">MiddleParam!$Q$68</definedName>
    <definedName name="combo12_v1_density">MiddleParam!$Q$91</definedName>
    <definedName name="combo2">Main!$M$5</definedName>
    <definedName name="combo2_density">MiddleParam!$G$81</definedName>
    <definedName name="combo2_final_time">MiddleParam!$G$72</definedName>
    <definedName name="combo2_ir_amt">MiddleParam!$G$70</definedName>
    <definedName name="combo2_pause_time">MiddleParam!$G$68</definedName>
    <definedName name="combo2_v1_density">MiddleParam!$G$91</definedName>
    <definedName name="combo3">Main!$M$6</definedName>
    <definedName name="combo3_density">MiddleParam!$H$81</definedName>
    <definedName name="combo3_final_time">MiddleParam!$H$72</definedName>
    <definedName name="combo3_ir_amt">MiddleParam!$H$70</definedName>
    <definedName name="combo3_pause_time">MiddleParam!$H$68</definedName>
    <definedName name="combo3_v1_density">MiddleParam!$H$91</definedName>
    <definedName name="combo4">Main!$M$7</definedName>
    <definedName name="combo4_density">MiddleParam!$I$81</definedName>
    <definedName name="combo4_final_time">MiddleParam!$I$72</definedName>
    <definedName name="combo4_ir_amt">MiddleParam!$I$70</definedName>
    <definedName name="combo4_pause_time">MiddleParam!$I$68</definedName>
    <definedName name="combo4_v1_density">MiddleParam!$I$91</definedName>
    <definedName name="combo5">Main!$M$8</definedName>
    <definedName name="combo5_density">MiddleParam!$J$81</definedName>
    <definedName name="combo5_final_time">MiddleParam!$J$72</definedName>
    <definedName name="combo5_ir_amt">MiddleParam!$J$70</definedName>
    <definedName name="combo5_pause_time">MiddleParam!$J$68</definedName>
    <definedName name="combo5_v1_density">MiddleParam!$J$91</definedName>
    <definedName name="combo6">Main!$M$9</definedName>
    <definedName name="combo6_density">MiddleParam!$K$81</definedName>
    <definedName name="combo6_final_time">MiddleParam!$K$72</definedName>
    <definedName name="combo6_ir_amt">MiddleParam!$K$70</definedName>
    <definedName name="combo6_pause_time">MiddleParam!$K$68</definedName>
    <definedName name="combo6_v1_density">MiddleParam!$K$91</definedName>
    <definedName name="combo7">Main!$M$10</definedName>
    <definedName name="combo7_density">MiddleParam!$L$81</definedName>
    <definedName name="combo7_final_time">MiddleParam!$L$72</definedName>
    <definedName name="combo7_ir_amt">MiddleParam!$L$70</definedName>
    <definedName name="combo7_pause_time">MiddleParam!$L$68</definedName>
    <definedName name="combo7_v1_density">MiddleParam!$L$91</definedName>
    <definedName name="combo8">Main!$M$11</definedName>
    <definedName name="combo8_density">MiddleParam!$M$81</definedName>
    <definedName name="combo8_final_time">MiddleParam!$M$72</definedName>
    <definedName name="combo8_ir_amt">MiddleParam!$M$70</definedName>
    <definedName name="combo8_pause_time">MiddleParam!$M$68</definedName>
    <definedName name="combo8_v1_density">MiddleParam!$M$91</definedName>
    <definedName name="combo9">Main!$M$12</definedName>
    <definedName name="combo9_density">MiddleParam!$N$81</definedName>
    <definedName name="combo9_final_time">MiddleParam!$N$72</definedName>
    <definedName name="combo9_ir_amt">MiddleParam!$N$70</definedName>
    <definedName name="combo9_pause_time">MiddleParam!$N$68</definedName>
    <definedName name="combo9_v1_density">MiddleParam!$N$91</definedName>
    <definedName name="fa_bias_pctg" comment="final attack percentage from single skill">MiddleParam!$C$14</definedName>
    <definedName name="fa_extra_fd">Main!$E$15</definedName>
    <definedName name="fa_level">Main!$D$15</definedName>
    <definedName name="fa_name_cms">Text!$D$14</definedName>
    <definedName name="fa_name_gms">Text!$C$14</definedName>
    <definedName name="fa_pctg">MiddleParam!$F$14</definedName>
    <definedName name="fa_rate">MiddleParam!$C$5</definedName>
    <definedName name="gd_cdelay">MiddleParam!$H$9</definedName>
    <definedName name="gd_delay">MiddleParam!$G$9</definedName>
    <definedName name="gd_extra_fd">Main!$E$10</definedName>
    <definedName name="gd_level">Main!$D$10</definedName>
    <definedName name="gd_name_cms">Text!$D$9</definedName>
    <definedName name="gd_name_gms">Text!$C$9</definedName>
    <definedName name="gd_ocdelay">OriginData!$D$8</definedName>
    <definedName name="gd_odelay">OriginData!$C$8</definedName>
    <definedName name="gd_pctg">MiddleParam!$F$9</definedName>
    <definedName name="gd_tpctg">MiddleParam!$I$9</definedName>
    <definedName name="gd_tpctg_density">MiddleParam!$J$9</definedName>
    <definedName name="gd_v1_tpctg">MiddleParam!$K$9</definedName>
    <definedName name="gd_v1_tpctg_density">MiddleParam!$L$9</definedName>
    <definedName name="h1_addeer_extra_fd">Main!$E$18</definedName>
    <definedName name="h1_addeer_name_cms">Text!$D$17</definedName>
    <definedName name="h1_addeer_name_gms">Text!$C$17</definedName>
    <definedName name="h1_addeer_pctg">MiddleParam!$F$17</definedName>
    <definedName name="h1_deer_extra_fd">Main!$E$17</definedName>
    <definedName name="h1_deer_name_cms">Text!$D$16</definedName>
    <definedName name="h1_deer_name_gms">Text!$C$16</definedName>
    <definedName name="h1_deer_pctg">MiddleParam!$F$16</definedName>
    <definedName name="h1_level">Main!$D$17</definedName>
    <definedName name="hir_extra_fd">Main!$E$19</definedName>
    <definedName name="hir_level">Main!$D$19</definedName>
    <definedName name="hir_name_cms">Text!$D$18</definedName>
    <definedName name="hir_name_gms">Text!$C$18</definedName>
    <definedName name="hir_pctg">MiddleParam!$F$18</definedName>
    <definedName name="hir_tpctg">MiddleParam!$I$18</definedName>
    <definedName name="hir_tpctg_density">MiddleParam!$J$18</definedName>
    <definedName name="hir_v1_tpctg">MiddleParam!$K$18</definedName>
    <definedName name="hir_v1_tpctg_density">MiddleParam!$L$18</definedName>
    <definedName name="hv1_level">Main!$H$14</definedName>
    <definedName name="hv1_name_cms">Text!$D$21</definedName>
    <definedName name="hv1_name_gms">Text!$C$21</definedName>
    <definedName name="hv2_fd">MiddleParam!$C$13</definedName>
    <definedName name="hv2_level">Main!$H$15</definedName>
    <definedName name="hv2_name_cms">Text!$D$22</definedName>
    <definedName name="hv2_name_gms">Text!$C$22</definedName>
    <definedName name="ir_delay">OriginData!$C$14</definedName>
    <definedName name="ir_extra_fd">Main!$E$4</definedName>
    <definedName name="ir_level">Main!$D$4</definedName>
    <definedName name="ir_name_cms">Text!$D$3</definedName>
    <definedName name="ir_name_gms">Text!$C$3</definedName>
    <definedName name="ir_pctg">MiddleParam!$F$3</definedName>
    <definedName name="ir_pre_delay">MiddleParam!$G$21</definedName>
    <definedName name="ir_pre_odelay">OriginData!$C$13</definedName>
    <definedName name="irm_bias_pctg" comment="Ishtar's Mark percentage from single skill">MiddleParam!$C$15</definedName>
    <definedName name="irm_extra_fd">Main!$E$20</definedName>
    <definedName name="irm_name_cms">Text!$D$19</definedName>
    <definedName name="irm_name_gms">Text!$C$19</definedName>
    <definedName name="irm_pctg">MiddleParam!$F$19</definedName>
    <definedName name="irmc_extra_fd">Main!$E$21</definedName>
    <definedName name="irmc_name_cms">Text!$D$20</definedName>
    <definedName name="irmc_name_gms">Text!$C$20</definedName>
    <definedName name="irmc_pctg">MiddleParam!$F$20</definedName>
    <definedName name="is_cms">MiddleParam!$C$3</definedName>
    <definedName name="language">Main!#REF!</definedName>
    <definedName name="le_cdelay">MiddleParam!$H$13</definedName>
    <definedName name="le_delay">MiddleParam!$G$13</definedName>
    <definedName name="le_extra_fd">Main!$E$14</definedName>
    <definedName name="le_level">Main!$D$14</definedName>
    <definedName name="le_name_cms">Text!$D$13</definedName>
    <definedName name="le_name_gms">Text!$C$13</definedName>
    <definedName name="le_ocdelay">OriginData!$D$12</definedName>
    <definedName name="le_odelay">OriginData!$C$12</definedName>
    <definedName name="le_pctg">MiddleParam!$F$13</definedName>
    <definedName name="le_tpctg">MiddleParam!$I$13</definedName>
    <definedName name="le_tpctg_density">MiddleParam!$J$13</definedName>
    <definedName name="le_v1_tpctg">MiddleParam!$K$13</definedName>
    <definedName name="le_v1_tpctg_density">MiddleParam!$L$13</definedName>
    <definedName name="lt_cdelay">MiddleParam!$H$8</definedName>
    <definedName name="lt_delay">MiddleParam!$G$8</definedName>
    <definedName name="lt_extra_fd">Main!$E$9</definedName>
    <definedName name="lt_level">Main!$D$9</definedName>
    <definedName name="lt_name_cms">Text!$D$8</definedName>
    <definedName name="lt_name_gms">Text!$C$8</definedName>
    <definedName name="lt_ocdelay">OriginData!$D$7</definedName>
    <definedName name="lt_odelay">OriginData!$C$7</definedName>
    <definedName name="lt_pctg">MiddleParam!$F$8</definedName>
    <definedName name="lt_tpctg">MiddleParam!$I$8</definedName>
    <definedName name="lt_tpctg_density">MiddleParam!$J$8</definedName>
    <definedName name="lt_v1_tpctg">MiddleParam!$K$8</definedName>
    <definedName name="lt_v1_tpctg_density">MiddleParam!$L$8</definedName>
    <definedName name="max_pause_delay">MiddleParam!$C$17</definedName>
    <definedName name="mercedes_reduce">MiddleParam!$C$18</definedName>
    <definedName name="rm_cdelay">MiddleParam!$H$12</definedName>
    <definedName name="rm_delay">MiddleParam!$G$12</definedName>
    <definedName name="rm_extra_fd">Main!$E$13</definedName>
    <definedName name="rm_level">Main!$D$13</definedName>
    <definedName name="rm_name_cms">Text!$D$12</definedName>
    <definedName name="rm_name_gms">Text!$C$12</definedName>
    <definedName name="rm_ocdelay">OriginData!$D$11</definedName>
    <definedName name="rm_odelay">OriginData!$C$11</definedName>
    <definedName name="rm_pctg">MiddleParam!$F$12</definedName>
    <definedName name="rm_tpctg">MiddleParam!$I$12</definedName>
    <definedName name="rm_tpctg_density">MiddleParam!$J$12</definedName>
    <definedName name="rm_v1_tpctg">MiddleParam!$K$12</definedName>
    <definedName name="rm_v1_tpctg_density">MiddleParam!$L$12</definedName>
    <definedName name="rr_cdelay">MiddleParam!$H$10</definedName>
    <definedName name="rr_delay">MiddleParam!$G$10</definedName>
    <definedName name="rr_extra_fd">Main!$E$11</definedName>
    <definedName name="rr_level">Main!$D$11</definedName>
    <definedName name="rr_name_cms">Text!$D$10</definedName>
    <definedName name="rr_name_gms">Text!$C$10</definedName>
    <definedName name="rr_ocdelay">OriginData!$D$9</definedName>
    <definedName name="rr_odelay">OriginData!$C$9</definedName>
    <definedName name="rr_pctg">MiddleParam!$F$10</definedName>
    <definedName name="rr_tpctg">MiddleParam!$I$10</definedName>
    <definedName name="rr_tpctg_density">MiddleParam!$J$10</definedName>
    <definedName name="rr_v1_tpctg">MiddleParam!$K$10</definedName>
    <definedName name="rr_v1_tpctg_density">MiddleParam!$L$10</definedName>
    <definedName name="server_delay">MiddleParam!$C$16</definedName>
    <definedName name="speed">MiddleParam!$C$4</definedName>
    <definedName name="sr_cdelay">MiddleParam!$H$7</definedName>
    <definedName name="sr_delay">MiddleParam!$G$7</definedName>
    <definedName name="sr_extra_fd">Main!$E$8</definedName>
    <definedName name="sr_level">Main!$D$8</definedName>
    <definedName name="sr_name_cms">Text!$D$7</definedName>
    <definedName name="sr_name_gms">Text!$C$7</definedName>
    <definedName name="sr_ocdelay">OriginData!$D$6</definedName>
    <definedName name="sr_odelay">OriginData!$C$6</definedName>
    <definedName name="sr_pctg">MiddleParam!$F$7</definedName>
    <definedName name="sr_reload">MiddleParam!$F$26</definedName>
    <definedName name="sr_tpctg">MiddleParam!$I$7</definedName>
    <definedName name="sr_tpctg_density">MiddleParam!$J$7</definedName>
    <definedName name="sr_v1_tpctg">MiddleParam!$K$7</definedName>
    <definedName name="sr_v1_tpctg_density">MiddleParam!$L$7</definedName>
    <definedName name="ss_cdelay">MiddleParam!$H$5</definedName>
    <definedName name="ss_delay">MiddleParam!$G$5</definedName>
    <definedName name="ss_extra_fd">Main!$E$6</definedName>
    <definedName name="ss_level">Main!$D$6</definedName>
    <definedName name="ss_name_cms">Text!$D$5</definedName>
    <definedName name="ss_name_gms">Text!$C$5</definedName>
    <definedName name="ss_ocdelay">OriginData!$D$4</definedName>
    <definedName name="ss_odelay">OriginData!$C$4</definedName>
    <definedName name="ss_pctg">MiddleParam!$F$5</definedName>
    <definedName name="ss_tpctg">MiddleParam!$I$5</definedName>
    <definedName name="ss_tpctg_density">MiddleParam!$J$5</definedName>
    <definedName name="ss_v1_tpctg">MiddleParam!$K$5</definedName>
    <definedName name="ss_v1_tpctg_density">MiddleParam!$L$5</definedName>
    <definedName name="us_cdelay">MiddleParam!$H$6</definedName>
    <definedName name="us_delay">MiddleParam!$G$6</definedName>
    <definedName name="us_extra_fd">Main!$E$7</definedName>
    <definedName name="us_level">Main!$D$7</definedName>
    <definedName name="us_name_cms">Text!$D$6</definedName>
    <definedName name="us_name_gms">Text!$C$6</definedName>
    <definedName name="us_ocdelay">OriginData!$D$5</definedName>
    <definedName name="us_odelay">OriginData!$C$5</definedName>
    <definedName name="us_pctg">MiddleParam!$F$6</definedName>
    <definedName name="us_reload">MiddleParam!$F$25</definedName>
    <definedName name="us_tpctg">MiddleParam!$I$6</definedName>
    <definedName name="us_tpctg_density">MiddleParam!$J$6</definedName>
    <definedName name="us_v1_tpctg">MiddleParam!$K$6</definedName>
    <definedName name="us_v1_tpctg_density">MiddleParam!$L$6</definedName>
    <definedName name="v1_ir_amt_rate">MiddleParam!$C$9</definedName>
    <definedName name="v1_ir_pctg_rate">MiddleParam!$C$10</definedName>
    <definedName name="v1_level">Main!$D$16</definedName>
    <definedName name="v1_shadow_fd">MiddleParam!$C$11</definedName>
    <definedName name="v1_shadow_rate">MiddleParam!$C$6</definedName>
    <definedName name="v1_skill_amt_rate">MiddleParam!$C$7</definedName>
    <definedName name="v1_skill_pctg_rate">MiddleParam!$C$8</definedName>
    <definedName name="v1_tree_extra_fd">Main!$E$16</definedName>
    <definedName name="v1_tree_hv1_extra_fd">MiddleParam!$C$12</definedName>
    <definedName name="v1_tree_name_cms">Text!$D$15</definedName>
    <definedName name="v1_tree_name_gms">Text!$C$15</definedName>
    <definedName name="v1_tree_pctg">MiddleParam!$F$15</definedName>
    <definedName name="v1_tree_reload">MiddleParam!$F$27</definedName>
    <definedName name="v2_att_fd">Main!$H$18</definedName>
    <definedName name="vir_level">Main!$H$4</definedName>
    <definedName name="vle_level">Main!$H$11</definedName>
    <definedName name="vlt_level">Main!$H$9</definedName>
    <definedName name="vrr_level">Main!$H$10</definedName>
    <definedName name="vsr_level">Main!$H$8</definedName>
    <definedName name="vss_level">Main!$H$6</definedName>
    <definedName name="vus_level">Main!$H$7</definedName>
    <definedName name="vwe_level">Main!$H$5</definedName>
    <definedName name="we_cdelay">MiddleParam!$H$4</definedName>
    <definedName name="we_delay">MiddleParam!$G$4</definedName>
    <definedName name="we_extra_fd">Main!$E$5</definedName>
    <definedName name="we_level">Main!$D$5</definedName>
    <definedName name="we_name_cms">Text!$D$4</definedName>
    <definedName name="we_name_gms">Text!$C$4</definedName>
    <definedName name="we_ocdelay">OriginData!$D$3</definedName>
    <definedName name="we_odelay">OriginData!$C$3</definedName>
    <definedName name="we_pctg">MiddleParam!$F$4</definedName>
    <definedName name="we_reload">MiddleParam!$F$24</definedName>
    <definedName name="we_tpctg">MiddleParam!$I$4</definedName>
    <definedName name="we_tpctg_density">MiddleParam!$J$4</definedName>
    <definedName name="we_v1_tpctg">MiddleParam!$K$4</definedName>
    <definedName name="we_v1_tpctg_density">MiddleParam!$L$4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0" i="4" l="1"/>
  <c r="Q41" i="4" s="1"/>
  <c r="Q45" i="4" s="1"/>
  <c r="Q85" i="4" s="1" a="1"/>
  <c r="Q85" i="4" s="1"/>
  <c r="P40" i="4"/>
  <c r="P41" i="4" s="1"/>
  <c r="P43" i="4" s="1"/>
  <c r="O40" i="4"/>
  <c r="O41" i="4" s="1"/>
  <c r="O47" i="4" s="1"/>
  <c r="O87" i="4" s="1" a="1"/>
  <c r="O87" i="4" s="1"/>
  <c r="N40" i="4"/>
  <c r="N41" i="4" s="1"/>
  <c r="M40" i="4"/>
  <c r="M41" i="4" s="1"/>
  <c r="M47" i="4" s="1"/>
  <c r="M87" i="4" s="1" a="1"/>
  <c r="M87" i="4" s="1"/>
  <c r="L40" i="4"/>
  <c r="L41" i="4" s="1"/>
  <c r="K40" i="4"/>
  <c r="K41" i="4" s="1"/>
  <c r="J40" i="4"/>
  <c r="J41" i="4" s="1"/>
  <c r="I40" i="4"/>
  <c r="I41" i="4" s="1"/>
  <c r="H40" i="4"/>
  <c r="H41" i="4" s="1"/>
  <c r="G40" i="4"/>
  <c r="G41" i="4" s="1"/>
  <c r="F40" i="4"/>
  <c r="F41" i="4" s="1"/>
  <c r="F45" i="4" s="1"/>
  <c r="F61" i="4" s="1" a="1"/>
  <c r="F61" i="4" s="1"/>
  <c r="Q76" i="4" l="1" a="1"/>
  <c r="Q76" i="4" s="1"/>
  <c r="P59" i="4" a="1"/>
  <c r="P59" i="4" s="1"/>
  <c r="O43" i="4"/>
  <c r="M78" i="4" a="1"/>
  <c r="M78" i="4" s="1"/>
  <c r="O78" i="4" a="1"/>
  <c r="O78" i="4" s="1"/>
  <c r="M45" i="4"/>
  <c r="I42" i="4"/>
  <c r="I44" i="4"/>
  <c r="I46" i="4"/>
  <c r="I48" i="4"/>
  <c r="I43" i="4"/>
  <c r="I45" i="4"/>
  <c r="I47" i="4"/>
  <c r="G43" i="4"/>
  <c r="G44" i="4"/>
  <c r="G45" i="4"/>
  <c r="G46" i="4"/>
  <c r="G47" i="4"/>
  <c r="G48" i="4"/>
  <c r="G42" i="4"/>
  <c r="N45" i="4"/>
  <c r="N43" i="4"/>
  <c r="N47" i="4"/>
  <c r="N42" i="4"/>
  <c r="N44" i="4"/>
  <c r="N46" i="4"/>
  <c r="N48" i="4"/>
  <c r="K47" i="4"/>
  <c r="K42" i="4"/>
  <c r="K44" i="4"/>
  <c r="K46" i="4"/>
  <c r="K48" i="4"/>
  <c r="K43" i="4"/>
  <c r="K45" i="4"/>
  <c r="L47" i="4"/>
  <c r="L42" i="4"/>
  <c r="L44" i="4"/>
  <c r="L43" i="4"/>
  <c r="L46" i="4"/>
  <c r="L48" i="4"/>
  <c r="L45" i="4"/>
  <c r="Q52" i="4" a="1"/>
  <c r="Q52" i="4" s="1"/>
  <c r="Q61" i="4" a="1"/>
  <c r="Q61" i="4" s="1"/>
  <c r="J44" i="4"/>
  <c r="J47" i="4"/>
  <c r="J42" i="4"/>
  <c r="J45" i="4"/>
  <c r="J46" i="4"/>
  <c r="J48" i="4"/>
  <c r="J43" i="4"/>
  <c r="O63" i="4" a="1"/>
  <c r="O63" i="4" s="1"/>
  <c r="O54" i="4" a="1"/>
  <c r="O54" i="4" s="1"/>
  <c r="M63" i="4" a="1"/>
  <c r="M63" i="4" s="1"/>
  <c r="M54" i="4" a="1"/>
  <c r="M54" i="4" s="1"/>
  <c r="H42" i="4"/>
  <c r="H43" i="4"/>
  <c r="H44" i="4"/>
  <c r="H45" i="4"/>
  <c r="H46" i="4"/>
  <c r="H47" i="4"/>
  <c r="H48" i="4"/>
  <c r="F48" i="4"/>
  <c r="P48" i="4"/>
  <c r="M43" i="4"/>
  <c r="O48" i="4"/>
  <c r="P46" i="4"/>
  <c r="M48" i="4"/>
  <c r="O46" i="4"/>
  <c r="Q44" i="4"/>
  <c r="P44" i="4"/>
  <c r="M46" i="4"/>
  <c r="O44" i="4"/>
  <c r="Q42" i="4"/>
  <c r="P42" i="4"/>
  <c r="F47" i="4"/>
  <c r="Q46" i="4"/>
  <c r="M44" i="4"/>
  <c r="O42" i="4"/>
  <c r="F46" i="4"/>
  <c r="Q47" i="4"/>
  <c r="P47" i="4"/>
  <c r="M42" i="4"/>
  <c r="Q48" i="4"/>
  <c r="F43" i="4"/>
  <c r="P45" i="4"/>
  <c r="F44" i="4"/>
  <c r="O45" i="4"/>
  <c r="Q43" i="4"/>
  <c r="F42" i="4"/>
  <c r="F64" i="4" l="1" a="1"/>
  <c r="F64" i="4" s="1"/>
  <c r="K84" i="4" a="1"/>
  <c r="K84" i="4" s="1"/>
  <c r="K75" i="4" a="1"/>
  <c r="K75" i="4" s="1"/>
  <c r="F62" i="4" a="1"/>
  <c r="F62" i="4" s="1"/>
  <c r="P88" i="4" a="1"/>
  <c r="P88" i="4" s="1"/>
  <c r="P79" i="4" a="1"/>
  <c r="P79" i="4" s="1"/>
  <c r="J61" i="4" a="1"/>
  <c r="J61" i="4" s="1"/>
  <c r="K77" i="4" a="1"/>
  <c r="K77" i="4" s="1"/>
  <c r="K86" i="4" a="1"/>
  <c r="K86" i="4" s="1"/>
  <c r="G60" i="4" a="1"/>
  <c r="G60" i="4" s="1"/>
  <c r="G59" i="4" a="1"/>
  <c r="G59" i="4" s="1"/>
  <c r="M60" i="4" a="1"/>
  <c r="M60" i="4" s="1"/>
  <c r="H79" i="4" a="1"/>
  <c r="H79" i="4" s="1"/>
  <c r="H88" i="4" a="1"/>
  <c r="H88" i="4" s="1"/>
  <c r="J63" i="4" a="1"/>
  <c r="J63" i="4" s="1"/>
  <c r="K58" i="4" a="1"/>
  <c r="K58" i="4" s="1"/>
  <c r="I63" i="4" a="1"/>
  <c r="I63" i="4" s="1"/>
  <c r="O58" i="4" a="1"/>
  <c r="O58" i="4" s="1"/>
  <c r="Q86" i="4" a="1"/>
  <c r="Q86" i="4" s="1"/>
  <c r="Q77" i="4" a="1"/>
  <c r="Q77" i="4" s="1"/>
  <c r="H87" i="4" a="1"/>
  <c r="H87" i="4" s="1"/>
  <c r="H78" i="4" a="1"/>
  <c r="H78" i="4" s="1"/>
  <c r="J60" i="4" a="1"/>
  <c r="J60" i="4" s="1"/>
  <c r="K87" i="4" a="1"/>
  <c r="K87" i="4" s="1"/>
  <c r="K78" i="4" a="1"/>
  <c r="K78" i="4" s="1"/>
  <c r="I61" i="4" a="1"/>
  <c r="I61" i="4" s="1"/>
  <c r="F63" i="4" a="1"/>
  <c r="F63" i="4" s="1"/>
  <c r="H77" i="4" a="1"/>
  <c r="H77" i="4" s="1"/>
  <c r="H86" i="4" a="1"/>
  <c r="H86" i="4" s="1"/>
  <c r="N79" i="4" a="1"/>
  <c r="N79" i="4" s="1"/>
  <c r="N88" i="4" a="1"/>
  <c r="N88" i="4" s="1"/>
  <c r="I59" i="4" a="1"/>
  <c r="I59" i="4" s="1"/>
  <c r="P58" i="4" a="1"/>
  <c r="P58" i="4" s="1"/>
  <c r="H85" i="4" a="1"/>
  <c r="H85" i="4" s="1"/>
  <c r="H76" i="4" a="1"/>
  <c r="H76" i="4" s="1"/>
  <c r="N77" i="4" a="1"/>
  <c r="N77" i="4" s="1"/>
  <c r="N86" i="4" a="1"/>
  <c r="N86" i="4" s="1"/>
  <c r="I88" i="4" a="1"/>
  <c r="I88" i="4" s="1"/>
  <c r="I79" i="4" a="1"/>
  <c r="I79" i="4" s="1"/>
  <c r="Q59" i="4" a="1"/>
  <c r="Q59" i="4" s="1"/>
  <c r="O60" i="4" a="1"/>
  <c r="O60" i="4" s="1"/>
  <c r="H59" i="4" a="1"/>
  <c r="H59" i="4" s="1"/>
  <c r="L79" i="4" a="1"/>
  <c r="L79" i="4" s="1"/>
  <c r="L88" i="4" a="1"/>
  <c r="L88" i="4" s="1"/>
  <c r="N58" i="4" a="1"/>
  <c r="N58" i="4" s="1"/>
  <c r="I60" i="4" a="1"/>
  <c r="I60" i="4" s="1"/>
  <c r="O61" i="4" a="1"/>
  <c r="O61" i="4" s="1"/>
  <c r="M62" i="4" a="1"/>
  <c r="M62" i="4" s="1"/>
  <c r="H58" i="4" a="1"/>
  <c r="H58" i="4" s="1"/>
  <c r="L62" i="4" a="1"/>
  <c r="L62" i="4" s="1"/>
  <c r="N78" i="4" a="1"/>
  <c r="N78" i="4" s="1"/>
  <c r="N87" i="4" a="1"/>
  <c r="N87" i="4" s="1"/>
  <c r="I58" i="4" a="1"/>
  <c r="I58" i="4" s="1"/>
  <c r="J58" i="4" a="1"/>
  <c r="J58" i="4" s="1"/>
  <c r="L61" i="4" a="1"/>
  <c r="L61" i="4" s="1"/>
  <c r="F60" i="4" a="1"/>
  <c r="F60" i="4" s="1"/>
  <c r="L59" i="4" a="1"/>
  <c r="L59" i="4" s="1"/>
  <c r="N59" i="4" a="1"/>
  <c r="N59" i="4" s="1"/>
  <c r="Q58" i="4" a="1"/>
  <c r="Q58" i="4" s="1"/>
  <c r="H84" i="4" a="1"/>
  <c r="H84" i="4" s="1"/>
  <c r="H75" i="4" a="1"/>
  <c r="H75" i="4" s="1"/>
  <c r="N84" i="4" a="1"/>
  <c r="N84" i="4" s="1"/>
  <c r="N75" i="4" a="1"/>
  <c r="N75" i="4" s="1"/>
  <c r="P60" i="4" a="1"/>
  <c r="P60" i="4" s="1"/>
  <c r="P61" i="4" a="1"/>
  <c r="P61" i="4" s="1"/>
  <c r="Q84" i="4" a="1"/>
  <c r="Q84" i="4" s="1"/>
  <c r="Q75" i="4" a="1"/>
  <c r="Q75" i="4" s="1"/>
  <c r="L60" i="4" a="1"/>
  <c r="L60" i="4" s="1"/>
  <c r="N76" i="4" a="1"/>
  <c r="N76" i="4" s="1"/>
  <c r="N85" i="4" a="1"/>
  <c r="N85" i="4" s="1"/>
  <c r="M61" i="4" a="1"/>
  <c r="M61" i="4" s="1"/>
  <c r="F58" i="4" a="1"/>
  <c r="F58" i="4" s="1"/>
  <c r="I62" i="4" a="1"/>
  <c r="I62" i="4" s="1"/>
  <c r="F59" i="4" a="1"/>
  <c r="F59" i="4" s="1"/>
  <c r="O77" i="4" a="1"/>
  <c r="O77" i="4" s="1"/>
  <c r="O86" i="4" a="1"/>
  <c r="O86" i="4" s="1"/>
  <c r="L58" i="4" a="1"/>
  <c r="L58" i="4" s="1"/>
  <c r="G58" i="4" a="1"/>
  <c r="G58" i="4" s="1"/>
  <c r="Q88" i="4" a="1"/>
  <c r="Q88" i="4" s="1"/>
  <c r="Q79" i="4" a="1"/>
  <c r="Q79" i="4" s="1"/>
  <c r="M79" i="4" a="1"/>
  <c r="M79" i="4" s="1"/>
  <c r="M88" i="4" a="1"/>
  <c r="M88" i="4" s="1"/>
  <c r="L87" i="4" a="1"/>
  <c r="L87" i="4" s="1"/>
  <c r="L78" i="4" a="1"/>
  <c r="L78" i="4" s="1"/>
  <c r="G64" i="4" a="1"/>
  <c r="G64" i="4" s="1"/>
  <c r="M58" i="4" a="1"/>
  <c r="M58" i="4" s="1"/>
  <c r="P77" i="4" a="1"/>
  <c r="P77" i="4" s="1"/>
  <c r="P86" i="4" a="1"/>
  <c r="P86" i="4" s="1"/>
  <c r="J59" i="4" a="1"/>
  <c r="J59" i="4" s="1"/>
  <c r="K76" i="4" a="1"/>
  <c r="K76" i="4" s="1"/>
  <c r="K85" i="4" a="1"/>
  <c r="K85" i="4" s="1"/>
  <c r="G63" i="4" a="1"/>
  <c r="G63" i="4" s="1"/>
  <c r="O59" i="4" a="1"/>
  <c r="O59" i="4" s="1"/>
  <c r="P87" i="4" a="1"/>
  <c r="P87" i="4" s="1"/>
  <c r="P78" i="4" a="1"/>
  <c r="P78" i="4" s="1"/>
  <c r="O79" i="4" a="1"/>
  <c r="O79" i="4" s="1"/>
  <c r="O88" i="4" a="1"/>
  <c r="O88" i="4" s="1"/>
  <c r="J79" i="4" a="1"/>
  <c r="J79" i="4" s="1"/>
  <c r="J88" i="4" a="1"/>
  <c r="J88" i="4" s="1"/>
  <c r="K59" i="4" a="1"/>
  <c r="K59" i="4" s="1"/>
  <c r="G62" i="4" a="1"/>
  <c r="G62" i="4" s="1"/>
  <c r="Q78" i="4" a="1"/>
  <c r="Q78" i="4" s="1"/>
  <c r="Q87" i="4" a="1"/>
  <c r="Q87" i="4" s="1"/>
  <c r="M59" i="4" a="1"/>
  <c r="M59" i="4" s="1"/>
  <c r="J62" i="4" a="1"/>
  <c r="J62" i="4" s="1"/>
  <c r="K79" i="4" a="1"/>
  <c r="K79" i="4" s="1"/>
  <c r="K88" i="4" a="1"/>
  <c r="K88" i="4" s="1"/>
  <c r="G61" i="4" a="1"/>
  <c r="G61" i="4" s="1"/>
  <c r="H55" i="4" a="1"/>
  <c r="H55" i="4" s="1"/>
  <c r="H64" i="4" a="1"/>
  <c r="H64" i="4" s="1"/>
  <c r="K55" i="4" a="1"/>
  <c r="K55" i="4" s="1"/>
  <c r="K64" i="4" a="1"/>
  <c r="K64" i="4" s="1"/>
  <c r="H61" i="4" a="1"/>
  <c r="H61" i="4" s="1"/>
  <c r="H52" i="4" a="1"/>
  <c r="H52" i="4" s="1"/>
  <c r="K61" i="4" a="1"/>
  <c r="K61" i="4" s="1"/>
  <c r="K52" i="4" a="1"/>
  <c r="K52" i="4" s="1"/>
  <c r="H63" i="4" a="1"/>
  <c r="H63" i="4" s="1"/>
  <c r="H54" i="4" a="1"/>
  <c r="H54" i="4" s="1"/>
  <c r="K53" i="4" a="1"/>
  <c r="K53" i="4" s="1"/>
  <c r="K62" i="4" a="1"/>
  <c r="K62" i="4" s="1"/>
  <c r="H60" i="4" a="1"/>
  <c r="H60" i="4" s="1"/>
  <c r="H51" i="4" a="1"/>
  <c r="H51" i="4" s="1"/>
  <c r="Q64" i="4" a="1"/>
  <c r="Q64" i="4" s="1"/>
  <c r="Q55" i="4" a="1"/>
  <c r="Q55" i="4" s="1"/>
  <c r="K54" i="4" a="1"/>
  <c r="K54" i="4" s="1"/>
  <c r="K63" i="4" a="1"/>
  <c r="K63" i="4" s="1"/>
  <c r="N64" i="4" a="1"/>
  <c r="N64" i="4" s="1"/>
  <c r="N55" i="4" a="1"/>
  <c r="N55" i="4" s="1"/>
  <c r="K51" i="4" a="1"/>
  <c r="K51" i="4" s="1"/>
  <c r="K60" i="4" a="1"/>
  <c r="K60" i="4" s="1"/>
  <c r="P63" i="4" a="1"/>
  <c r="P63" i="4" s="1"/>
  <c r="P54" i="4" a="1"/>
  <c r="P54" i="4" s="1"/>
  <c r="Q60" i="4" a="1"/>
  <c r="Q60" i="4" s="1"/>
  <c r="Q51" i="4" a="1"/>
  <c r="Q51" i="4" s="1"/>
  <c r="L55" i="4" a="1"/>
  <c r="L55" i="4" s="1"/>
  <c r="L64" i="4" a="1"/>
  <c r="L64" i="4" s="1"/>
  <c r="N53" i="4" a="1"/>
  <c r="N53" i="4" s="1"/>
  <c r="N62" i="4" a="1"/>
  <c r="N62" i="4" s="1"/>
  <c r="P64" i="4" a="1"/>
  <c r="P64" i="4" s="1"/>
  <c r="P55" i="4" a="1"/>
  <c r="P55" i="4" s="1"/>
  <c r="Q63" i="4" a="1"/>
  <c r="Q63" i="4" s="1"/>
  <c r="Q54" i="4" a="1"/>
  <c r="Q54" i="4" s="1"/>
  <c r="O53" i="4" a="1"/>
  <c r="O53" i="4" s="1"/>
  <c r="O62" i="4" a="1"/>
  <c r="O62" i="4" s="1"/>
  <c r="O65" i="4" s="1"/>
  <c r="N51" i="4" a="1"/>
  <c r="N51" i="4" s="1"/>
  <c r="N60" i="4" a="1"/>
  <c r="N60" i="4" s="1"/>
  <c r="H62" i="4" a="1"/>
  <c r="H62" i="4" s="1"/>
  <c r="H53" i="4" a="1"/>
  <c r="H53" i="4" s="1"/>
  <c r="M64" i="4" a="1"/>
  <c r="M64" i="4" s="1"/>
  <c r="M55" i="4" a="1"/>
  <c r="M55" i="4" s="1"/>
  <c r="I55" i="4" a="1"/>
  <c r="I55" i="4" s="1"/>
  <c r="I64" i="4" a="1"/>
  <c r="I64" i="4" s="1"/>
  <c r="P53" i="4" a="1"/>
  <c r="P53" i="4" s="1"/>
  <c r="P62" i="4" a="1"/>
  <c r="P62" i="4" s="1"/>
  <c r="O64" i="4" a="1"/>
  <c r="O64" i="4" s="1"/>
  <c r="O55" i="4" a="1"/>
  <c r="O55" i="4" s="1"/>
  <c r="N63" i="4" a="1"/>
  <c r="N63" i="4" s="1"/>
  <c r="N54" i="4" a="1"/>
  <c r="N54" i="4" s="1"/>
  <c r="Q53" i="4" a="1"/>
  <c r="Q53" i="4" s="1"/>
  <c r="Q62" i="4" a="1"/>
  <c r="Q62" i="4" s="1"/>
  <c r="J55" i="4" a="1"/>
  <c r="J55" i="4" s="1"/>
  <c r="J64" i="4" a="1"/>
  <c r="J64" i="4" s="1"/>
  <c r="L63" i="4" a="1"/>
  <c r="L63" i="4" s="1"/>
  <c r="L54" i="4" a="1"/>
  <c r="L54" i="4" s="1"/>
  <c r="N61" i="4" a="1"/>
  <c r="N61" i="4" s="1"/>
  <c r="N52" i="4" a="1"/>
  <c r="N52" i="4" s="1"/>
  <c r="P65" i="4" l="1"/>
  <c r="H65" i="4"/>
  <c r="F65" i="4"/>
  <c r="G65" i="4"/>
  <c r="Q65" i="4"/>
  <c r="L31" i="4" l="1"/>
  <c r="L32" i="4"/>
  <c r="L33" i="4"/>
  <c r="L34" i="4"/>
  <c r="L35" i="4"/>
  <c r="L36" i="4"/>
  <c r="L37" i="4"/>
  <c r="L38" i="4"/>
  <c r="L30" i="4"/>
  <c r="F20" i="4"/>
  <c r="F19" i="4"/>
  <c r="F18" i="4"/>
  <c r="C9" i="4"/>
  <c r="C7" i="4"/>
  <c r="C13" i="4"/>
  <c r="F3" i="4"/>
  <c r="F17" i="4"/>
  <c r="F16" i="4"/>
  <c r="F14" i="4"/>
  <c r="F10" i="4"/>
  <c r="F11" i="4"/>
  <c r="F12" i="4"/>
  <c r="F9" i="4"/>
  <c r="F13" i="4"/>
  <c r="F8" i="4"/>
  <c r="F4" i="4"/>
  <c r="F5" i="4"/>
  <c r="F6" i="4"/>
  <c r="F7" i="4"/>
  <c r="C12" i="4"/>
  <c r="F15" i="4" s="1"/>
  <c r="C11" i="4"/>
  <c r="C5" i="4"/>
  <c r="C3" i="4"/>
  <c r="O2" i="4" l="1"/>
  <c r="Q2" i="4"/>
  <c r="T3" i="1"/>
  <c r="L3" i="1"/>
  <c r="S3" i="1"/>
  <c r="R3" i="1"/>
  <c r="N3" i="1"/>
  <c r="Q3" i="1"/>
  <c r="P3" i="1"/>
  <c r="O3" i="1"/>
  <c r="M3" i="1"/>
  <c r="K3" i="1"/>
  <c r="K2" i="1"/>
  <c r="F3" i="1"/>
  <c r="F13" i="1"/>
  <c r="B3" i="1"/>
  <c r="G18" i="1"/>
  <c r="G17" i="1"/>
  <c r="F16" i="1"/>
  <c r="H13" i="1"/>
  <c r="C3" i="1"/>
  <c r="G13" i="1"/>
  <c r="B2" i="1"/>
  <c r="G3" i="1"/>
  <c r="F12" i="1"/>
  <c r="H3" i="1"/>
  <c r="D3" i="1"/>
  <c r="F2" i="1"/>
  <c r="E3" i="1"/>
  <c r="G6" i="1"/>
  <c r="L7" i="1"/>
  <c r="L8" i="1"/>
  <c r="M57" i="4"/>
  <c r="M65" i="4" s="1"/>
  <c r="N57" i="4"/>
  <c r="N65" i="4" s="1"/>
  <c r="L10" i="1"/>
  <c r="L57" i="4"/>
  <c r="L65" i="4" s="1"/>
  <c r="J57" i="4"/>
  <c r="J65" i="4" s="1"/>
  <c r="K57" i="4"/>
  <c r="K65" i="4" s="1"/>
  <c r="L9" i="1"/>
  <c r="I57" i="4"/>
  <c r="I65" i="4" s="1"/>
  <c r="L12" i="1"/>
  <c r="L11" i="1"/>
  <c r="C8" i="4"/>
  <c r="N9" i="4"/>
  <c r="P10" i="4"/>
  <c r="P4" i="4"/>
  <c r="N8" i="4"/>
  <c r="N11" i="4"/>
  <c r="N12" i="4"/>
  <c r="P3" i="4"/>
  <c r="P6" i="4"/>
  <c r="P8" i="4"/>
  <c r="P9" i="4"/>
  <c r="N7" i="4"/>
  <c r="N5" i="4"/>
  <c r="N10" i="4"/>
  <c r="P13" i="4"/>
  <c r="N13" i="4"/>
  <c r="P5" i="4"/>
  <c r="P7" i="4"/>
  <c r="N3" i="4"/>
  <c r="P11" i="4"/>
  <c r="P12" i="4"/>
  <c r="N6" i="4"/>
  <c r="N4" i="4"/>
  <c r="C10" i="4"/>
  <c r="C14" i="4"/>
  <c r="C15" i="4"/>
  <c r="C4" i="4"/>
  <c r="G21" i="4" s="1"/>
  <c r="G7" i="1"/>
  <c r="G9" i="1"/>
  <c r="G10" i="1"/>
  <c r="G11" i="1"/>
  <c r="C15" i="1"/>
  <c r="G14" i="1"/>
  <c r="G4" i="1"/>
  <c r="G15" i="1"/>
  <c r="G5" i="1"/>
  <c r="G8" i="1"/>
  <c r="K18" i="4" l="1"/>
  <c r="L18" i="4" s="1"/>
  <c r="Q4" i="4" s="1"/>
  <c r="K11" i="4"/>
  <c r="K5" i="4"/>
  <c r="K4" i="4"/>
  <c r="K6" i="4"/>
  <c r="K7" i="4"/>
  <c r="I7" i="4"/>
  <c r="K8" i="4"/>
  <c r="K9" i="4"/>
  <c r="K10" i="4"/>
  <c r="K12" i="4"/>
  <c r="K13" i="4"/>
  <c r="I11" i="4"/>
  <c r="I13" i="4"/>
  <c r="I12" i="4"/>
  <c r="J12" i="4" s="1"/>
  <c r="O12" i="4" s="1"/>
  <c r="I5" i="4"/>
  <c r="I6" i="4"/>
  <c r="I4" i="4"/>
  <c r="I8" i="4"/>
  <c r="I18" i="4"/>
  <c r="J18" i="4" s="1"/>
  <c r="O4" i="4" s="1"/>
  <c r="I9" i="4"/>
  <c r="I10" i="4"/>
  <c r="H12" i="4"/>
  <c r="H11" i="4"/>
  <c r="H9" i="4"/>
  <c r="H8" i="4"/>
  <c r="H6" i="4"/>
  <c r="H5" i="4"/>
  <c r="H4" i="4"/>
  <c r="H7" i="4"/>
  <c r="H13" i="4"/>
  <c r="H10" i="4"/>
  <c r="G13" i="4"/>
  <c r="G11" i="4"/>
  <c r="G7" i="4"/>
  <c r="G10" i="4"/>
  <c r="G9" i="4"/>
  <c r="G8" i="4"/>
  <c r="G6" i="4"/>
  <c r="G5" i="4"/>
  <c r="G4" i="4"/>
  <c r="G12" i="4"/>
  <c r="I87" i="4" l="1" a="1"/>
  <c r="I87" i="4" s="1"/>
  <c r="J87" i="4" a="1"/>
  <c r="J87" i="4" s="1"/>
  <c r="M86" i="4" a="1"/>
  <c r="M86" i="4" s="1"/>
  <c r="F87" i="4" a="1"/>
  <c r="F87" i="4" s="1"/>
  <c r="G88" i="4" a="1"/>
  <c r="G88" i="4" s="1"/>
  <c r="L86" i="4" a="1"/>
  <c r="L86" i="4" s="1"/>
  <c r="L82" i="4" a="1"/>
  <c r="L82" i="4" s="1"/>
  <c r="Q82" i="4" a="1"/>
  <c r="Q82" i="4" s="1"/>
  <c r="I82" i="4" a="1"/>
  <c r="I82" i="4" s="1"/>
  <c r="P82" i="4" a="1"/>
  <c r="P82" i="4" s="1"/>
  <c r="G82" i="4" a="1"/>
  <c r="G82" i="4" s="1"/>
  <c r="N82" i="4" a="1"/>
  <c r="N82" i="4" s="1"/>
  <c r="M82" i="4" a="1"/>
  <c r="M82" i="4" s="1"/>
  <c r="K82" i="4" a="1"/>
  <c r="K82" i="4" s="1"/>
  <c r="H82" i="4" a="1"/>
  <c r="H82" i="4" s="1"/>
  <c r="J82" i="4" a="1"/>
  <c r="J82" i="4" s="1"/>
  <c r="O82" i="4" a="1"/>
  <c r="O82" i="4" s="1"/>
  <c r="F82" i="4" a="1"/>
  <c r="F82" i="4" s="1"/>
  <c r="M84" i="4" a="1"/>
  <c r="M84" i="4" s="1"/>
  <c r="G86" i="4" a="1"/>
  <c r="G86" i="4" s="1"/>
  <c r="J85" i="4" a="1"/>
  <c r="J85" i="4" s="1"/>
  <c r="P83" i="4" a="1"/>
  <c r="P83" i="4" s="1"/>
  <c r="F85" i="4" a="1"/>
  <c r="F85" i="4" s="1"/>
  <c r="P85" i="4" a="1"/>
  <c r="P85" i="4" s="1"/>
  <c r="K83" i="4" a="1"/>
  <c r="K83" i="4" s="1"/>
  <c r="J83" i="4" a="1"/>
  <c r="J83" i="4" s="1"/>
  <c r="I85" i="4" a="1"/>
  <c r="I85" i="4" s="1"/>
  <c r="L83" i="4" a="1"/>
  <c r="L83" i="4" s="1"/>
  <c r="Q83" i="4" a="1"/>
  <c r="Q83" i="4" s="1"/>
  <c r="N83" i="4" a="1"/>
  <c r="N83" i="4" s="1"/>
  <c r="I83" i="4" a="1"/>
  <c r="I83" i="4" s="1"/>
  <c r="G85" i="4" a="1"/>
  <c r="G85" i="4" s="1"/>
  <c r="G83" i="4" a="1"/>
  <c r="G83" i="4" s="1"/>
  <c r="H83" i="4" a="1"/>
  <c r="H83" i="4" s="1"/>
  <c r="F83" i="4" a="1"/>
  <c r="F83" i="4" s="1"/>
  <c r="L85" i="4" a="1"/>
  <c r="L85" i="4" s="1"/>
  <c r="O84" i="4" a="1"/>
  <c r="O84" i="4" s="1"/>
  <c r="I86" i="4" a="1"/>
  <c r="I86" i="4" s="1"/>
  <c r="F86" i="4" a="1"/>
  <c r="F86" i="4" s="1"/>
  <c r="J84" i="4" a="1"/>
  <c r="J84" i="4" s="1"/>
  <c r="I84" i="4" a="1"/>
  <c r="I84" i="4" s="1"/>
  <c r="M83" i="4" a="1"/>
  <c r="M83" i="4" s="1"/>
  <c r="P84" i="4" a="1"/>
  <c r="P84" i="4" s="1"/>
  <c r="F84" i="4" a="1"/>
  <c r="F84" i="4" s="1"/>
  <c r="L84" i="4" a="1"/>
  <c r="L84" i="4" s="1"/>
  <c r="O83" i="4" a="1"/>
  <c r="O83" i="4" s="1"/>
  <c r="G84" i="4" a="1"/>
  <c r="G84" i="4" s="1"/>
  <c r="J86" i="4" a="1"/>
  <c r="J86" i="4" s="1"/>
  <c r="G87" i="4" a="1"/>
  <c r="G87" i="4" s="1"/>
  <c r="M85" i="4" a="1"/>
  <c r="M85" i="4" s="1"/>
  <c r="F88" i="4" a="1"/>
  <c r="F88" i="4" s="1"/>
  <c r="O85" i="4" a="1"/>
  <c r="O85" i="4" s="1"/>
  <c r="M76" i="4" a="1"/>
  <c r="M76" i="4" s="1"/>
  <c r="G78" i="4" a="1"/>
  <c r="G78" i="4" s="1"/>
  <c r="J77" i="4" a="1"/>
  <c r="J77" i="4" s="1"/>
  <c r="J76" i="4" a="1"/>
  <c r="J76" i="4" s="1"/>
  <c r="M75" i="4" a="1"/>
  <c r="M75" i="4" s="1"/>
  <c r="G77" i="4" a="1"/>
  <c r="G77" i="4" s="1"/>
  <c r="H74" i="4" a="1"/>
  <c r="H74" i="4" s="1"/>
  <c r="I76" i="4" a="1"/>
  <c r="I76" i="4" s="1"/>
  <c r="I74" i="4" a="1"/>
  <c r="I74" i="4" s="1"/>
  <c r="J74" i="4" a="1"/>
  <c r="J74" i="4" s="1"/>
  <c r="K74" i="4" a="1"/>
  <c r="K74" i="4" s="1"/>
  <c r="L74" i="4" a="1"/>
  <c r="L74" i="4" s="1"/>
  <c r="F74" i="4" a="1"/>
  <c r="F74" i="4" s="1"/>
  <c r="N74" i="4" a="1"/>
  <c r="N74" i="4" s="1"/>
  <c r="P76" i="4" a="1"/>
  <c r="P76" i="4" s="1"/>
  <c r="F76" i="4" a="1"/>
  <c r="F76" i="4" s="1"/>
  <c r="P74" i="4" a="1"/>
  <c r="P74" i="4" s="1"/>
  <c r="Q74" i="4" a="1"/>
  <c r="Q74" i="4" s="1"/>
  <c r="G76" i="4" a="1"/>
  <c r="G76" i="4" s="1"/>
  <c r="G74" i="4" a="1"/>
  <c r="G74" i="4" s="1"/>
  <c r="F79" i="4" a="1"/>
  <c r="F79" i="4" s="1"/>
  <c r="O76" i="4" a="1"/>
  <c r="O76" i="4" s="1"/>
  <c r="G73" i="4" a="1"/>
  <c r="G73" i="4" s="1"/>
  <c r="H73" i="4" a="1"/>
  <c r="H73" i="4" s="1"/>
  <c r="I73" i="4" a="1"/>
  <c r="I73" i="4" s="1"/>
  <c r="J73" i="4" a="1"/>
  <c r="J73" i="4" s="1"/>
  <c r="F73" i="4" a="1"/>
  <c r="F73" i="4" s="1"/>
  <c r="K73" i="4" a="1"/>
  <c r="K73" i="4" s="1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Q73" i="4" a="1"/>
  <c r="Q73" i="4" s="1"/>
  <c r="L76" i="4" a="1"/>
  <c r="L76" i="4" s="1"/>
  <c r="O75" i="4" a="1"/>
  <c r="O75" i="4" s="1"/>
  <c r="F77" i="4" a="1"/>
  <c r="F77" i="4" s="1"/>
  <c r="I77" i="4" a="1"/>
  <c r="I77" i="4" s="1"/>
  <c r="L77" i="4" a="1"/>
  <c r="L77" i="4" s="1"/>
  <c r="M77" i="4" a="1"/>
  <c r="M77" i="4" s="1"/>
  <c r="I78" i="4" a="1"/>
  <c r="I78" i="4" s="1"/>
  <c r="G79" i="4" a="1"/>
  <c r="G79" i="4" s="1"/>
  <c r="F78" i="4" a="1"/>
  <c r="F78" i="4" s="1"/>
  <c r="J78" i="4" a="1"/>
  <c r="J78" i="4" s="1"/>
  <c r="I75" i="4" a="1"/>
  <c r="I75" i="4" s="1"/>
  <c r="J75" i="4" a="1"/>
  <c r="J75" i="4" s="1"/>
  <c r="L75" i="4" a="1"/>
  <c r="L75" i="4" s="1"/>
  <c r="M74" i="4" a="1"/>
  <c r="M74" i="4" s="1"/>
  <c r="F75" i="4" a="1"/>
  <c r="F75" i="4" s="1"/>
  <c r="O74" i="4" a="1"/>
  <c r="O74" i="4" s="1"/>
  <c r="P75" i="4" a="1"/>
  <c r="P75" i="4" s="1"/>
  <c r="G75" i="4" a="1"/>
  <c r="G75" i="4" s="1"/>
  <c r="N49" i="4" a="1"/>
  <c r="N49" i="4" s="1"/>
  <c r="O49" i="4" a="1"/>
  <c r="O49" i="4" s="1"/>
  <c r="G49" i="4" a="1"/>
  <c r="G49" i="4" s="1"/>
  <c r="P49" i="4" a="1"/>
  <c r="P49" i="4" s="1"/>
  <c r="F49" i="4" a="1"/>
  <c r="F49" i="4" s="1"/>
  <c r="H49" i="4" a="1"/>
  <c r="H49" i="4" s="1"/>
  <c r="Q49" i="4" a="1"/>
  <c r="Q49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O52" i="4" a="1"/>
  <c r="O52" i="4" s="1"/>
  <c r="O56" i="4" s="1" a="1"/>
  <c r="O56" i="4" s="1"/>
  <c r="F55" i="4" a="1"/>
  <c r="F55" i="4" s="1"/>
  <c r="F56" i="4" s="1" a="1"/>
  <c r="F56" i="4" s="1"/>
  <c r="O50" i="4" a="1"/>
  <c r="O50" i="4" s="1"/>
  <c r="P51" i="4" a="1"/>
  <c r="P51" i="4" s="1"/>
  <c r="I51" i="4" a="1"/>
  <c r="I51" i="4" s="1"/>
  <c r="J51" i="4" a="1"/>
  <c r="J51" i="4" s="1"/>
  <c r="F51" i="4" a="1"/>
  <c r="F51" i="4" s="1"/>
  <c r="G51" i="4" a="1"/>
  <c r="G51" i="4" s="1"/>
  <c r="L51" i="4" a="1"/>
  <c r="L51" i="4" s="1"/>
  <c r="M50" i="4" a="1"/>
  <c r="M50" i="4" s="1"/>
  <c r="O51" i="4" a="1"/>
  <c r="O51" i="4" s="1"/>
  <c r="I53" i="4" a="1"/>
  <c r="I53" i="4" s="1"/>
  <c r="L52" i="4" a="1"/>
  <c r="L52" i="4" s="1"/>
  <c r="F53" i="4" a="1"/>
  <c r="F53" i="4" s="1"/>
  <c r="I54" i="4" a="1"/>
  <c r="I54" i="4" s="1"/>
  <c r="I56" i="4" s="1" a="1"/>
  <c r="I56" i="4" s="1"/>
  <c r="J54" i="4" a="1"/>
  <c r="J54" i="4" s="1"/>
  <c r="J56" i="4" s="1" a="1"/>
  <c r="J56" i="4" s="1"/>
  <c r="G55" i="4" a="1"/>
  <c r="G55" i="4" s="1"/>
  <c r="G56" i="4" s="1" a="1"/>
  <c r="G56" i="4" s="1"/>
  <c r="L53" i="4" a="1"/>
  <c r="L53" i="4" s="1"/>
  <c r="L56" i="4" s="1" a="1"/>
  <c r="L56" i="4" s="1"/>
  <c r="M53" i="4" a="1"/>
  <c r="M53" i="4" s="1"/>
  <c r="M56" i="4" s="1" a="1"/>
  <c r="M56" i="4" s="1"/>
  <c r="F54" i="4" a="1"/>
  <c r="F54" i="4" s="1"/>
  <c r="J52" i="4" a="1"/>
  <c r="J52" i="4" s="1"/>
  <c r="M51" i="4" a="1"/>
  <c r="M51" i="4" s="1"/>
  <c r="G53" i="4" a="1"/>
  <c r="G53" i="4" s="1"/>
  <c r="P52" i="4" a="1"/>
  <c r="P52" i="4" s="1"/>
  <c r="P56" i="4" s="1" a="1"/>
  <c r="P56" i="4" s="1"/>
  <c r="P50" i="4" a="1"/>
  <c r="P50" i="4" s="1"/>
  <c r="Q50" i="4" a="1"/>
  <c r="Q50" i="4" s="1"/>
  <c r="Q56" i="4" s="1" a="1"/>
  <c r="Q56" i="4" s="1"/>
  <c r="I52" i="4" a="1"/>
  <c r="I52" i="4" s="1"/>
  <c r="G50" i="4" a="1"/>
  <c r="G50" i="4" s="1"/>
  <c r="I50" i="4" a="1"/>
  <c r="I50" i="4" s="1"/>
  <c r="H50" i="4" a="1"/>
  <c r="H50" i="4" s="1"/>
  <c r="H56" i="4" s="1" a="1"/>
  <c r="H56" i="4" s="1"/>
  <c r="F50" i="4" a="1"/>
  <c r="F50" i="4" s="1"/>
  <c r="J50" i="4" a="1"/>
  <c r="J50" i="4" s="1"/>
  <c r="F52" i="4" a="1"/>
  <c r="F52" i="4" s="1"/>
  <c r="K50" i="4" a="1"/>
  <c r="K50" i="4" s="1"/>
  <c r="K56" i="4" s="1" a="1"/>
  <c r="K56" i="4" s="1"/>
  <c r="G52" i="4" a="1"/>
  <c r="G52" i="4" s="1"/>
  <c r="L50" i="4" a="1"/>
  <c r="L50" i="4" s="1"/>
  <c r="N50" i="4" a="1"/>
  <c r="N50" i="4" s="1"/>
  <c r="N56" i="4" s="1" a="1"/>
  <c r="N56" i="4" s="1"/>
  <c r="G54" i="4" a="1"/>
  <c r="G54" i="4" s="1"/>
  <c r="J53" i="4" a="1"/>
  <c r="J53" i="4" s="1"/>
  <c r="M52" i="4" a="1"/>
  <c r="M52" i="4" s="1"/>
  <c r="J5" i="4"/>
  <c r="O7" i="4" s="1"/>
  <c r="L12" i="4"/>
  <c r="Q12" i="4" s="1"/>
  <c r="L9" i="4"/>
  <c r="Q9" i="4" s="1"/>
  <c r="J11" i="4"/>
  <c r="O11" i="4" s="1"/>
  <c r="L8" i="4"/>
  <c r="Q6" i="4" s="1"/>
  <c r="J6" i="4"/>
  <c r="O5" i="4" s="1"/>
  <c r="J13" i="4"/>
  <c r="O13" i="4" s="1"/>
  <c r="L13" i="4"/>
  <c r="Q13" i="4" s="1"/>
  <c r="J7" i="4"/>
  <c r="O10" i="4" s="1"/>
  <c r="J10" i="4"/>
  <c r="O8" i="4" s="1"/>
  <c r="L7" i="4"/>
  <c r="Q10" i="4" s="1"/>
  <c r="L10" i="4"/>
  <c r="Q8" i="4" s="1"/>
  <c r="J9" i="4"/>
  <c r="O9" i="4" s="1"/>
  <c r="J8" i="4"/>
  <c r="O6" i="4" s="1"/>
  <c r="L5" i="4"/>
  <c r="Q7" i="4" s="1"/>
  <c r="L6" i="4"/>
  <c r="Q5" i="4" s="1"/>
  <c r="L4" i="4"/>
  <c r="Q3" i="4" s="1"/>
  <c r="J4" i="4"/>
  <c r="O3" i="4" s="1"/>
  <c r="L11" i="4"/>
  <c r="Q11" i="4" s="1"/>
  <c r="C18" i="1"/>
  <c r="C17" i="1"/>
  <c r="C21" i="1"/>
  <c r="C20" i="1"/>
  <c r="C19" i="1"/>
  <c r="C16" i="1"/>
  <c r="C14" i="1"/>
  <c r="C13" i="1"/>
  <c r="C12" i="1"/>
  <c r="C11" i="1"/>
  <c r="C10" i="1"/>
  <c r="C9" i="1"/>
  <c r="C8" i="1"/>
  <c r="C7" i="1"/>
  <c r="C6" i="1"/>
  <c r="C5" i="1"/>
  <c r="C4" i="1"/>
  <c r="O66" i="4" l="1"/>
  <c r="O67" i="4" s="1"/>
  <c r="O68" i="4" s="1"/>
  <c r="P13" i="1" s="1"/>
  <c r="G66" i="4"/>
  <c r="G67" i="4" s="1"/>
  <c r="G68" i="4" s="1"/>
  <c r="P5" i="1" s="1"/>
  <c r="N66" i="4"/>
  <c r="N67" i="4" s="1"/>
  <c r="M66" i="4"/>
  <c r="M67" i="4" s="1"/>
  <c r="M68" i="4" s="1"/>
  <c r="P11" i="1" s="1"/>
  <c r="L66" i="4"/>
  <c r="L67" i="4" s="1"/>
  <c r="L68" i="4" s="1"/>
  <c r="P10" i="1" s="1"/>
  <c r="K66" i="4"/>
  <c r="K67" i="4" s="1"/>
  <c r="P66" i="4"/>
  <c r="P67" i="4" s="1"/>
  <c r="P68" i="4" s="1"/>
  <c r="P14" i="1" s="1"/>
  <c r="J66" i="4"/>
  <c r="J67" i="4" s="1"/>
  <c r="J68" i="4" s="1"/>
  <c r="P8" i="1" s="1"/>
  <c r="I66" i="4"/>
  <c r="I67" i="4" s="1"/>
  <c r="I68" i="4" s="1"/>
  <c r="P7" i="1" s="1"/>
  <c r="Q66" i="4"/>
  <c r="Q67" i="4" s="1"/>
  <c r="H66" i="4"/>
  <c r="H67" i="4" s="1"/>
  <c r="F66" i="4"/>
  <c r="F67" i="4" s="1"/>
  <c r="F68" i="4" s="1"/>
  <c r="P4" i="1" s="1"/>
  <c r="Q70" i="4" l="1"/>
  <c r="N15" i="1" s="1"/>
  <c r="Q68" i="4"/>
  <c r="P15" i="1" s="1"/>
  <c r="H70" i="4"/>
  <c r="N6" i="1" s="1"/>
  <c r="H68" i="4"/>
  <c r="P6" i="1" s="1"/>
  <c r="N70" i="4"/>
  <c r="N12" i="1" s="1"/>
  <c r="N68" i="4"/>
  <c r="P12" i="1" s="1"/>
  <c r="K70" i="4"/>
  <c r="N9" i="1" s="1"/>
  <c r="K68" i="4"/>
  <c r="P9" i="1" s="1"/>
  <c r="J70" i="4"/>
  <c r="J71" i="4"/>
  <c r="G70" i="4"/>
  <c r="G71" i="4"/>
  <c r="O71" i="4"/>
  <c r="O70" i="4"/>
  <c r="F71" i="4"/>
  <c r="F70" i="4"/>
  <c r="O69" i="4"/>
  <c r="P70" i="4"/>
  <c r="P71" i="4"/>
  <c r="M71" i="4"/>
  <c r="M70" i="4"/>
  <c r="I70" i="4"/>
  <c r="I71" i="4"/>
  <c r="L71" i="4"/>
  <c r="L70" i="4"/>
  <c r="H69" i="4"/>
  <c r="I69" i="4"/>
  <c r="I72" i="4" s="1"/>
  <c r="O7" i="1" s="1"/>
  <c r="P69" i="4"/>
  <c r="P72" i="4" s="1"/>
  <c r="O14" i="1" s="1"/>
  <c r="N69" i="4"/>
  <c r="F69" i="4"/>
  <c r="F72" i="4" s="1"/>
  <c r="O4" i="1" s="1"/>
  <c r="Q69" i="4"/>
  <c r="J69" i="4"/>
  <c r="K69" i="4"/>
  <c r="L69" i="4"/>
  <c r="M69" i="4"/>
  <c r="G69" i="4"/>
  <c r="H80" i="4" l="1"/>
  <c r="H71" i="4"/>
  <c r="H72" i="4" s="1"/>
  <c r="O6" i="1" s="1"/>
  <c r="Q80" i="4"/>
  <c r="Q71" i="4"/>
  <c r="Q72" i="4" s="1"/>
  <c r="O15" i="1" s="1"/>
  <c r="K80" i="4"/>
  <c r="K71" i="4"/>
  <c r="K72" i="4" s="1"/>
  <c r="O9" i="1" s="1"/>
  <c r="N71" i="4"/>
  <c r="N72" i="4" s="1"/>
  <c r="O12" i="1" s="1"/>
  <c r="N80" i="4"/>
  <c r="M89" i="4"/>
  <c r="M90" i="4" s="1"/>
  <c r="M91" i="4" s="1"/>
  <c r="S11" i="1" s="1"/>
  <c r="M72" i="4"/>
  <c r="O11" i="1" s="1"/>
  <c r="J89" i="4"/>
  <c r="J90" i="4" s="1"/>
  <c r="J91" i="4" s="1"/>
  <c r="S8" i="1" s="1"/>
  <c r="J72" i="4"/>
  <c r="O8" i="1" s="1"/>
  <c r="O89" i="4"/>
  <c r="O90" i="4" s="1"/>
  <c r="O91" i="4" s="1"/>
  <c r="O72" i="4"/>
  <c r="O13" i="1" s="1"/>
  <c r="L89" i="4"/>
  <c r="L90" i="4" s="1"/>
  <c r="L91" i="4" s="1"/>
  <c r="S10" i="1" s="1"/>
  <c r="L72" i="4"/>
  <c r="O10" i="1" s="1"/>
  <c r="G89" i="4"/>
  <c r="G90" i="4" s="1"/>
  <c r="G91" i="4" s="1"/>
  <c r="S5" i="1" s="1"/>
  <c r="G72" i="4"/>
  <c r="O5" i="1" s="1"/>
  <c r="I89" i="4"/>
  <c r="I90" i="4" s="1"/>
  <c r="I91" i="4" s="1"/>
  <c r="S7" i="1" s="1"/>
  <c r="M80" i="4"/>
  <c r="M81" i="4" s="1"/>
  <c r="Q11" i="1" s="1"/>
  <c r="N11" i="1"/>
  <c r="O80" i="4"/>
  <c r="O81" i="4" s="1"/>
  <c r="Q13" i="1" s="1"/>
  <c r="N13" i="1"/>
  <c r="P89" i="4"/>
  <c r="P90" i="4" s="1"/>
  <c r="P91" i="4" s="1"/>
  <c r="S14" i="1" s="1"/>
  <c r="F80" i="4"/>
  <c r="F81" i="4" s="1"/>
  <c r="Q4" i="1" s="1"/>
  <c r="N4" i="1"/>
  <c r="F89" i="4"/>
  <c r="F90" i="4" s="1"/>
  <c r="F91" i="4" s="1"/>
  <c r="S4" i="1" s="1"/>
  <c r="I80" i="4"/>
  <c r="I81" i="4" s="1"/>
  <c r="Q7" i="1" s="1"/>
  <c r="N7" i="1"/>
  <c r="P80" i="4"/>
  <c r="P81" i="4" s="1"/>
  <c r="Q14" i="1" s="1"/>
  <c r="N14" i="1"/>
  <c r="G80" i="4"/>
  <c r="G81" i="4" s="1"/>
  <c r="Q5" i="1" s="1"/>
  <c r="N5" i="1"/>
  <c r="L80" i="4"/>
  <c r="L81" i="4" s="1"/>
  <c r="Q10" i="1" s="1"/>
  <c r="N10" i="1"/>
  <c r="J80" i="4"/>
  <c r="J81" i="4" s="1"/>
  <c r="Q8" i="1" s="1"/>
  <c r="N8" i="1"/>
  <c r="H89" i="4"/>
  <c r="H90" i="4" s="1"/>
  <c r="H91" i="4" s="1"/>
  <c r="S6" i="1" s="1"/>
  <c r="Q81" i="4"/>
  <c r="Q15" i="1" s="1"/>
  <c r="H81" i="4" l="1"/>
  <c r="Q6" i="1" s="1"/>
  <c r="R5" i="1" s="1"/>
  <c r="R4" i="1" s="1"/>
  <c r="S13" i="1"/>
  <c r="Q89" i="4"/>
  <c r="Q90" i="4" s="1"/>
  <c r="Q91" i="4" s="1"/>
  <c r="S15" i="1" s="1"/>
  <c r="K89" i="4"/>
  <c r="K90" i="4" s="1"/>
  <c r="K91" i="4" s="1"/>
  <c r="S9" i="1" s="1"/>
  <c r="K81" i="4"/>
  <c r="Q9" i="1" s="1"/>
  <c r="N81" i="4"/>
  <c r="Q12" i="1" s="1"/>
  <c r="N89" i="4"/>
  <c r="N90" i="4" s="1"/>
  <c r="N91" i="4" s="1"/>
  <c r="S12" i="1" s="1"/>
  <c r="T5" i="1"/>
  <c r="T6" i="1" s="1"/>
  <c r="T7" i="1" s="1"/>
  <c r="T8" i="1" s="1"/>
  <c r="R7" i="1" l="1"/>
  <c r="R8" i="1" s="1"/>
  <c r="R9" i="1" s="1"/>
  <c r="R10" i="1" s="1"/>
  <c r="R11" i="1" s="1"/>
  <c r="R12" i="1" s="1"/>
  <c r="R13" i="1" s="1"/>
  <c r="R14" i="1" s="1"/>
  <c r="R15" i="1" s="1"/>
  <c r="T9" i="1"/>
  <c r="T10" i="1" s="1"/>
  <c r="T11" i="1" s="1"/>
  <c r="T12" i="1" s="1"/>
  <c r="T13" i="1" s="1"/>
  <c r="T14" i="1" s="1"/>
  <c r="T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<sst xmlns="http://schemas.openxmlformats.org/spreadsheetml/2006/main" count="198" uniqueCount="160">
  <si>
    <t>Skill</t>
    <phoneticPr fontId="1" type="noConversion"/>
  </si>
  <si>
    <t>Ishtar's Ring</t>
    <phoneticPr fontId="1" type="noConversion"/>
  </si>
  <si>
    <t>HEXA Ishtar's Ring</t>
    <phoneticPr fontId="1" type="noConversion"/>
  </si>
  <si>
    <t>Wrath Of Enlil</t>
    <phoneticPr fontId="1" type="noConversion"/>
  </si>
  <si>
    <t>Stunning Strikes</t>
    <phoneticPr fontId="1" type="noConversion"/>
  </si>
  <si>
    <t>Unicorn Spike</t>
    <phoneticPr fontId="1" type="noConversion"/>
  </si>
  <si>
    <t>Spikes Royal</t>
    <phoneticPr fontId="1" type="noConversion"/>
  </si>
  <si>
    <t>Leap Tornado</t>
    <phoneticPr fontId="1" type="noConversion"/>
  </si>
  <si>
    <t>Gust Dive</t>
    <phoneticPr fontId="1" type="noConversion"/>
  </si>
  <si>
    <t>Rising Rush</t>
    <phoneticPr fontId="1" type="noConversion"/>
  </si>
  <si>
    <t>Aerial Barrage</t>
    <phoneticPr fontId="1" type="noConversion"/>
  </si>
  <si>
    <t>Rolling Moonsault</t>
    <phoneticPr fontId="1" type="noConversion"/>
  </si>
  <si>
    <t>Lightning Edge</t>
    <phoneticPr fontId="1" type="noConversion"/>
  </si>
  <si>
    <t>Ishtar's Mark</t>
    <phoneticPr fontId="1" type="noConversion"/>
  </si>
  <si>
    <t>Ishtar's Mark Complete</t>
    <phoneticPr fontId="1" type="noConversion"/>
  </si>
  <si>
    <t>Spirit King</t>
    <phoneticPr fontId="1" type="noConversion"/>
  </si>
  <si>
    <t>Enhanced Spirit King</t>
    <phoneticPr fontId="1" type="noConversion"/>
  </si>
  <si>
    <t>skill</t>
    <phoneticPr fontId="1" type="noConversion"/>
  </si>
  <si>
    <t>action delay (ms)</t>
    <phoneticPr fontId="1" type="noConversion"/>
  </si>
  <si>
    <t>combo delay (ms)</t>
    <phoneticPr fontId="1" type="noConversion"/>
  </si>
  <si>
    <t>abbreviation</t>
    <phoneticPr fontId="1" type="noConversion"/>
  </si>
  <si>
    <t>we</t>
    <phoneticPr fontId="1" type="noConversion"/>
  </si>
  <si>
    <t>ss</t>
    <phoneticPr fontId="1" type="noConversion"/>
  </si>
  <si>
    <t>us</t>
    <phoneticPr fontId="1" type="noConversion"/>
  </si>
  <si>
    <t>sr</t>
    <phoneticPr fontId="1" type="noConversion"/>
  </si>
  <si>
    <t>lt</t>
    <phoneticPr fontId="1" type="noConversion"/>
  </si>
  <si>
    <t>gd</t>
    <phoneticPr fontId="1" type="noConversion"/>
  </si>
  <si>
    <t>rr</t>
    <phoneticPr fontId="1" type="noConversion"/>
  </si>
  <si>
    <t>ab</t>
    <phoneticPr fontId="1" type="noConversion"/>
  </si>
  <si>
    <t>rm</t>
    <phoneticPr fontId="1" type="noConversion"/>
  </si>
  <si>
    <t>le</t>
    <phoneticPr fontId="1" type="noConversion"/>
  </si>
  <si>
    <t>ir</t>
    <phoneticPr fontId="1" type="noConversion"/>
  </si>
  <si>
    <t>Param</t>
    <phoneticPr fontId="1" type="noConversion"/>
  </si>
  <si>
    <t>Value</t>
    <phoneticPr fontId="1" type="noConversion"/>
  </si>
  <si>
    <t>is_cms</t>
    <phoneticPr fontId="1" type="noConversion"/>
  </si>
  <si>
    <t>Key</t>
    <phoneticPr fontId="1" type="noConversion"/>
  </si>
  <si>
    <t>Text</t>
    <phoneticPr fontId="1" type="noConversion"/>
  </si>
  <si>
    <t>Text CMS</t>
    <phoneticPr fontId="1" type="noConversion"/>
  </si>
  <si>
    <t>we_name</t>
    <phoneticPr fontId="1" type="noConversion"/>
  </si>
  <si>
    <t>ir_name</t>
    <phoneticPr fontId="1" type="noConversion"/>
  </si>
  <si>
    <t>伊师塔之环</t>
    <phoneticPr fontId="1" type="noConversion"/>
  </si>
  <si>
    <t>艾琳之怒</t>
    <phoneticPr fontId="1" type="noConversion"/>
  </si>
  <si>
    <t>Wrath of Enlil</t>
    <phoneticPr fontId="1" type="noConversion"/>
  </si>
  <si>
    <t>ss_name</t>
    <phoneticPr fontId="1" type="noConversion"/>
  </si>
  <si>
    <t>急袭双杀</t>
    <phoneticPr fontId="1" type="noConversion"/>
  </si>
  <si>
    <t>us_name</t>
    <phoneticPr fontId="1" type="noConversion"/>
  </si>
  <si>
    <t>独角兽之角</t>
    <phoneticPr fontId="1" type="noConversion"/>
  </si>
  <si>
    <t>sr_name</t>
    <phoneticPr fontId="1" type="noConversion"/>
  </si>
  <si>
    <t>传说之矛</t>
    <phoneticPr fontId="1" type="noConversion"/>
  </si>
  <si>
    <t>lt_name</t>
    <phoneticPr fontId="1" type="noConversion"/>
  </si>
  <si>
    <t>Leaf Tornado</t>
    <phoneticPr fontId="1" type="noConversion"/>
  </si>
  <si>
    <t>gd_name</t>
    <phoneticPr fontId="1" type="noConversion"/>
  </si>
  <si>
    <t>rr_name</t>
    <phoneticPr fontId="1" type="noConversion"/>
  </si>
  <si>
    <t>ab_name</t>
    <phoneticPr fontId="1" type="noConversion"/>
  </si>
  <si>
    <t>rm_name</t>
    <phoneticPr fontId="1" type="noConversion"/>
  </si>
  <si>
    <t>le_name</t>
    <phoneticPr fontId="1" type="noConversion"/>
  </si>
  <si>
    <t>hir_name</t>
    <phoneticPr fontId="1" type="noConversion"/>
  </si>
  <si>
    <t>v1_tree_name</t>
    <phoneticPr fontId="1" type="noConversion"/>
  </si>
  <si>
    <t>Spirit of Elluel - Tree</t>
    <phoneticPr fontId="1" type="noConversion"/>
  </si>
  <si>
    <t>irm_name</t>
    <phoneticPr fontId="1" type="noConversion"/>
  </si>
  <si>
    <t>irmc_name</t>
    <phoneticPr fontId="1" type="noConversion"/>
  </si>
  <si>
    <t>h1_deer_name</t>
    <phoneticPr fontId="1" type="noConversion"/>
  </si>
  <si>
    <t>飞叶龙卷风</t>
    <phoneticPr fontId="1" type="noConversion"/>
  </si>
  <si>
    <t>狂风俯冲</t>
    <phoneticPr fontId="1" type="noConversion"/>
  </si>
  <si>
    <t>冲锋拳</t>
    <phoneticPr fontId="1" type="noConversion"/>
  </si>
  <si>
    <t>爆裂飞腿</t>
    <phoneticPr fontId="1" type="noConversion"/>
  </si>
  <si>
    <t>旋转月瀑坠击</t>
    <phoneticPr fontId="1" type="noConversion"/>
  </si>
  <si>
    <t>闪电刀刃</t>
    <phoneticPr fontId="1" type="noConversion"/>
  </si>
  <si>
    <t>精灵元素樱花树</t>
    <phoneticPr fontId="1" type="noConversion"/>
  </si>
  <si>
    <t>精灵王的形象</t>
    <phoneticPr fontId="1" type="noConversion"/>
  </si>
  <si>
    <t>精灵王的形象-强化</t>
    <phoneticPr fontId="1" type="noConversion"/>
  </si>
  <si>
    <t>伊师塔之环VI</t>
    <phoneticPr fontId="1" type="noConversion"/>
  </si>
  <si>
    <t>伊师塔的烙印</t>
    <phoneticPr fontId="1" type="noConversion"/>
  </si>
  <si>
    <t>伊师塔烙印完成</t>
    <phoneticPr fontId="1" type="noConversion"/>
  </si>
  <si>
    <t>h1_addeer_name</t>
    <phoneticPr fontId="1" type="noConversion"/>
  </si>
  <si>
    <t>fa_name</t>
    <phoneticPr fontId="1" type="noConversion"/>
  </si>
  <si>
    <t>Advanced Final Attack</t>
    <phoneticPr fontId="1" type="noConversion"/>
  </si>
  <si>
    <t>进阶终极攻击</t>
    <phoneticPr fontId="1" type="noConversion"/>
  </si>
  <si>
    <t>fa_rate</t>
    <phoneticPr fontId="1" type="noConversion"/>
  </si>
  <si>
    <t>hv1</t>
    <phoneticPr fontId="1" type="noConversion"/>
  </si>
  <si>
    <t>hv2</t>
    <phoneticPr fontId="1" type="noConversion"/>
  </si>
  <si>
    <t>HEXA Spirit of Elluel</t>
    <phoneticPr fontId="1" type="noConversion"/>
  </si>
  <si>
    <t>HEXA Sylvidia's Fight</t>
    <phoneticPr fontId="1" type="noConversion"/>
  </si>
  <si>
    <t>六转精灵元素</t>
    <phoneticPr fontId="1" type="noConversion"/>
  </si>
  <si>
    <t>六转希比迪亚</t>
    <phoneticPr fontId="1" type="noConversion"/>
  </si>
  <si>
    <t>v1_shadow_fd</t>
    <phoneticPr fontId="1" type="noConversion"/>
  </si>
  <si>
    <t>Ishtar's Ring Prepare</t>
    <phoneticPr fontId="1" type="noConversion"/>
  </si>
  <si>
    <t>Staggering Strikes</t>
    <phoneticPr fontId="1" type="noConversion"/>
  </si>
  <si>
    <t>v1_tree_hv1_extra_fd</t>
    <phoneticPr fontId="1" type="noConversion"/>
  </si>
  <si>
    <t>v1_shadow_rate</t>
    <phoneticPr fontId="1" type="noConversion"/>
  </si>
  <si>
    <t>hir</t>
    <phoneticPr fontId="1" type="noConversion"/>
  </si>
  <si>
    <t>fa</t>
    <phoneticPr fontId="1" type="noConversion"/>
  </si>
  <si>
    <t>v1_tree</t>
    <phoneticPr fontId="1" type="noConversion"/>
  </si>
  <si>
    <t>h1_deer</t>
    <phoneticPr fontId="1" type="noConversion"/>
  </si>
  <si>
    <t>h1_addeer</t>
    <phoneticPr fontId="1" type="noConversion"/>
  </si>
  <si>
    <t>irm</t>
    <phoneticPr fontId="1" type="noConversion"/>
  </si>
  <si>
    <t>irmc</t>
    <phoneticPr fontId="1" type="noConversion"/>
  </si>
  <si>
    <t>Ishtar's Ring Loop</t>
    <phoneticPr fontId="1" type="noConversion"/>
  </si>
  <si>
    <t>speed</t>
    <phoneticPr fontId="1" type="noConversion"/>
  </si>
  <si>
    <t>Skill Percentage</t>
    <phoneticPr fontId="1" type="noConversion"/>
  </si>
  <si>
    <t>Ishtar's Ring End</t>
    <phoneticPr fontId="1" type="noConversion"/>
  </si>
  <si>
    <t>delay</t>
    <phoneticPr fontId="1" type="noConversion"/>
  </si>
  <si>
    <t>combo delay</t>
    <phoneticPr fontId="1" type="noConversion"/>
  </si>
  <si>
    <t>hv2_fd</t>
    <phoneticPr fontId="1" type="noConversion"/>
  </si>
  <si>
    <t>CMS</t>
  </si>
  <si>
    <t>Total Percentage</t>
    <phoneticPr fontId="1" type="noConversion"/>
  </si>
  <si>
    <t>fa_bias_pctg</t>
    <phoneticPr fontId="1" type="noConversion"/>
  </si>
  <si>
    <t>irm_bias_pctg</t>
    <phoneticPr fontId="1" type="noConversion"/>
  </si>
  <si>
    <t>V1 Total Percentage</t>
    <phoneticPr fontId="1" type="noConversion"/>
  </si>
  <si>
    <t>v1_skill_amt_rate</t>
    <phoneticPr fontId="1" type="noConversion"/>
  </si>
  <si>
    <t>v1_skill_pctg_rate</t>
    <phoneticPr fontId="1" type="noConversion"/>
  </si>
  <si>
    <t>v1_ir_amt_rate</t>
    <phoneticPr fontId="1" type="noConversion"/>
  </si>
  <si>
    <t>v1_ir_pctg_rate</t>
    <phoneticPr fontId="1" type="noConversion"/>
  </si>
  <si>
    <t>Density</t>
    <phoneticPr fontId="1" type="noConversion"/>
  </si>
  <si>
    <t>al</t>
    <phoneticPr fontId="1" type="noConversion"/>
  </si>
  <si>
    <t>dj</t>
    <phoneticPr fontId="1" type="noConversion"/>
  </si>
  <si>
    <t>cs</t>
    <phoneticPr fontId="1" type="noConversion"/>
  </si>
  <si>
    <t>reload time</t>
    <phoneticPr fontId="1" type="noConversion"/>
  </si>
  <si>
    <t>we,ss,us,ss,sr,lt,gd</t>
    <phoneticPr fontId="1" type="noConversion"/>
  </si>
  <si>
    <t>server_delay</t>
    <phoneticPr fontId="1" type="noConversion"/>
  </si>
  <si>
    <t>we,ss,us,ss,rr,ab,lt</t>
    <phoneticPr fontId="1" type="noConversion"/>
  </si>
  <si>
    <t>we,ss,us,ss,sr,lt</t>
    <phoneticPr fontId="1" type="noConversion"/>
  </si>
  <si>
    <t>we,ss,us,rr,ab,lt</t>
    <phoneticPr fontId="1" type="noConversion"/>
  </si>
  <si>
    <t>we,ss,us,sr,lt</t>
    <phoneticPr fontId="1" type="noConversion"/>
  </si>
  <si>
    <t>we,us,rr,ab,lt</t>
    <phoneticPr fontId="1" type="noConversion"/>
  </si>
  <si>
    <t>we,ss,us,ss</t>
    <phoneticPr fontId="1" type="noConversion"/>
  </si>
  <si>
    <t>we,us,sr,gd</t>
    <phoneticPr fontId="1" type="noConversion"/>
  </si>
  <si>
    <t>CMS</t>
    <phoneticPr fontId="1" type="noConversion"/>
  </si>
  <si>
    <t>GMS</t>
    <phoneticPr fontId="1" type="noConversion"/>
  </si>
  <si>
    <t>cd</t>
    <phoneticPr fontId="1" type="noConversion"/>
  </si>
  <si>
    <t>0/-1</t>
    <phoneticPr fontId="1" type="noConversion"/>
  </si>
  <si>
    <t>-1/-2</t>
    <phoneticPr fontId="1" type="noConversion"/>
  </si>
  <si>
    <t>-4/-5</t>
    <phoneticPr fontId="1" type="noConversion"/>
  </si>
  <si>
    <t>-8/-9</t>
    <phoneticPr fontId="1" type="noConversion"/>
  </si>
  <si>
    <t>we,ss</t>
    <phoneticPr fontId="1" type="noConversion"/>
  </si>
  <si>
    <t>combo</t>
    <phoneticPr fontId="1" type="noConversion"/>
  </si>
  <si>
    <t>skill_amt</t>
    <phoneticPr fontId="1" type="noConversion"/>
  </si>
  <si>
    <t>cdelay</t>
    <phoneticPr fontId="1" type="noConversion"/>
  </si>
  <si>
    <t>reload_time</t>
    <phoneticPr fontId="1" type="noConversion"/>
  </si>
  <si>
    <t>required_time</t>
    <phoneticPr fontId="1" type="noConversion"/>
  </si>
  <si>
    <t>mercedes_reduce</t>
    <phoneticPr fontId="1" type="noConversion"/>
  </si>
  <si>
    <t>loop_time</t>
    <phoneticPr fontId="1" type="noConversion"/>
  </si>
  <si>
    <t>pause_time</t>
    <phoneticPr fontId="1" type="noConversion"/>
  </si>
  <si>
    <t>recyclable</t>
    <phoneticPr fontId="1" type="noConversion"/>
  </si>
  <si>
    <t>max_pause_delay</t>
    <phoneticPr fontId="1" type="noConversion"/>
  </si>
  <si>
    <t>cdelay_time</t>
    <phoneticPr fontId="1" type="noConversion"/>
  </si>
  <si>
    <t>last_delay_bias</t>
    <phoneticPr fontId="1" type="noConversion"/>
  </si>
  <si>
    <t>ir_amt</t>
    <phoneticPr fontId="1" type="noConversion"/>
  </si>
  <si>
    <t>hir_pre</t>
    <phoneticPr fontId="1" type="noConversion"/>
  </si>
  <si>
    <t>unloop_time</t>
    <phoneticPr fontId="1" type="noConversion"/>
  </si>
  <si>
    <t>total_single_pctg</t>
    <phoneticPr fontId="1" type="noConversion"/>
  </si>
  <si>
    <t>total_pctg</t>
    <phoneticPr fontId="1" type="noConversion"/>
  </si>
  <si>
    <t>total_pctg_density</t>
    <phoneticPr fontId="1" type="noConversion"/>
  </si>
  <si>
    <t>v1_total_single_pctg</t>
    <phoneticPr fontId="1" type="noConversion"/>
  </si>
  <si>
    <t>v1_total_pctg</t>
    <phoneticPr fontId="1" type="noConversion"/>
  </si>
  <si>
    <t>v1_total_pctg_density</t>
    <phoneticPr fontId="1" type="noConversion"/>
  </si>
  <si>
    <t>v1_tree_pctg</t>
    <phoneticPr fontId="1" type="noConversion"/>
  </si>
  <si>
    <t>final_time</t>
    <phoneticPr fontId="1" type="noConversion"/>
  </si>
  <si>
    <t>password</t>
    <phoneticPr fontId="1" type="noConversion"/>
  </si>
  <si>
    <t>mercedes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</si>
</sst>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_ "/>
  </numFmts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onsola"/>
    </font>
    <font>
      <b/>
      <sz val="12"/>
      <color theme="1"/>
      <name val="Consola"/>
      <family val="3"/>
    </font>
    <font>
      <sz val="12"/>
      <color theme="1"/>
      <name val="Consola"/>
      <family val="3"/>
    </font>
    <font>
      <sz val="10"/>
      <color theme="1"/>
      <name val="Consola"/>
    </font>
    <font>
      <sz val="10"/>
      <color theme="1"/>
      <name val="Consola"/>
      <family val="3"/>
    </font>
    <font>
      <sz val="10"/>
      <color theme="1"/>
      <name val="Consolas"/>
      <family val="3"/>
    </font>
    <font>
      <sz val="10"/>
      <color theme="1"/>
      <name val="微软雅黑"/>
      <family val="3"/>
      <charset val="134"/>
    </font>
    <font>
      <sz val="10"/>
      <color theme="1"/>
      <name val="微软雅黑"/>
      <family val="2"/>
      <charset val="134"/>
    </font>
    <font>
      <b/>
      <sz val="20"/>
      <color theme="1"/>
      <name val="Consola"/>
    </font>
    <font>
      <b/>
      <sz val="20"/>
      <color theme="1"/>
      <name val="Consola"/>
      <family val="3"/>
    </font>
    <font>
      <b/>
      <sz val="16"/>
      <color theme="1"/>
      <name val="Consola"/>
    </font>
    <font>
      <b/>
      <sz val="16"/>
      <color theme="1"/>
      <name val="Consola"/>
      <family val="3"/>
    </font>
    <font>
      <sz val="8"/>
      <color theme="1"/>
      <name val="Consola"/>
    </font>
    <font>
      <sz val="8"/>
      <color theme="1"/>
      <name val="Consola"/>
      <family val="3"/>
    </font>
    <font>
      <sz val="16"/>
      <color theme="1"/>
      <name val="Consola"/>
    </font>
    <font>
      <b/>
      <sz val="11"/>
      <color theme="1"/>
      <name val="等线"/>
      <family val="3"/>
      <charset val="134"/>
      <scheme val="minor"/>
    </font>
    <font>
      <b/>
      <sz val="16"/>
      <color rgb="FF0070C0"/>
      <name val="Consola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12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176" fontId="3" fillId="3" borderId="13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77" fontId="2" fillId="4" borderId="8" xfId="0" applyNumberFormat="1" applyFont="1" applyFill="1" applyBorder="1" applyAlignment="1">
      <alignment horizontal="center" vertical="center"/>
    </xf>
    <xf numFmtId="176" fontId="2" fillId="4" borderId="8" xfId="0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/>
    </xf>
    <xf numFmtId="177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77" fontId="2" fillId="4" borderId="5" xfId="0" applyNumberFormat="1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176" fontId="2" fillId="4" borderId="6" xfId="0" applyNumberFormat="1" applyFont="1" applyFill="1" applyBorder="1" applyAlignment="1">
      <alignment horizontal="center" vertical="center"/>
    </xf>
    <xf numFmtId="176" fontId="18" fillId="4" borderId="1" xfId="0" applyNumberFormat="1" applyFont="1" applyFill="1" applyBorder="1" applyAlignment="1">
      <alignment horizontal="center" vertical="center"/>
    </xf>
    <xf numFmtId="176" fontId="18" fillId="4" borderId="9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 applyProtection="1">
      <alignment horizontal="center" vertical="center"/>
      <protection locked="0"/>
    </xf>
    <xf numFmtId="176" fontId="2" fillId="0" borderId="14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5" xfId="0" applyNumberFormat="1" applyFont="1" applyBorder="1" applyAlignment="1" applyProtection="1">
      <alignment horizontal="center" vertical="center"/>
      <protection locked="0"/>
    </xf>
    <xf numFmtId="176" fontId="2" fillId="0" borderId="16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176" fontId="4" fillId="0" borderId="3" xfId="0" applyNumberFormat="1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MiddleParam!$Q$2</c:f>
              <c:strCache>
                <c:ptCount val="1"/>
                <c:pt idx="0">
                  <c:v>V1单技能综合伤害密度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MiddleParam!$P$3:$P$13</c:f>
              <c:strCache>
                <c:ptCount val="11"/>
                <c:pt idx="0">
                  <c:v>艾琳之怒</c:v>
                </c:pt>
                <c:pt idx="1">
                  <c:v>伊师塔之环VI</c:v>
                </c:pt>
                <c:pt idx="2">
                  <c:v>独角兽之角</c:v>
                </c:pt>
                <c:pt idx="3">
                  <c:v>飞叶龙卷风</c:v>
                </c:pt>
                <c:pt idx="4">
                  <c:v>急袭双杀</c:v>
                </c:pt>
                <c:pt idx="5">
                  <c:v>冲锋拳</c:v>
                </c:pt>
                <c:pt idx="6">
                  <c:v>狂风俯冲</c:v>
                </c:pt>
                <c:pt idx="7">
                  <c:v>传说之矛</c:v>
                </c:pt>
                <c:pt idx="8">
                  <c:v>爆裂飞腿</c:v>
                </c:pt>
                <c:pt idx="9">
                  <c:v>旋转月瀑坠击</c:v>
                </c:pt>
                <c:pt idx="10">
                  <c:v>闪电刀刃</c:v>
                </c:pt>
              </c:strCache>
            </c:strRef>
          </c:cat>
          <c:val>
            <c:numRef>
              <c:f>MiddleParam!$Q$3:$Q$13</c:f>
              <c:numCache>
                <c:formatCode>General</c:formatCode>
                <c:ptCount val="11"/>
                <c:pt idx="0">
                  <c:v>140.06969577777781</c:v>
                </c:pt>
                <c:pt idx="1">
                  <c:v>40.029646649305548</c:v>
                </c:pt>
                <c:pt idx="2">
                  <c:v>45.128350251851849</c:v>
                </c:pt>
                <c:pt idx="3">
                  <c:v>34.072051703703707</c:v>
                </c:pt>
                <c:pt idx="4">
                  <c:v>33.256279481481485</c:v>
                </c:pt>
                <c:pt idx="5">
                  <c:v>33.933158805555557</c:v>
                </c:pt>
                <c:pt idx="6">
                  <c:v>27.739142944444446</c:v>
                </c:pt>
                <c:pt idx="7">
                  <c:v>23.987922141414142</c:v>
                </c:pt>
                <c:pt idx="8">
                  <c:v>23.351626692810463</c:v>
                </c:pt>
                <c:pt idx="9">
                  <c:v>21.950357322751323</c:v>
                </c:pt>
                <c:pt idx="10">
                  <c:v>14.433598989417991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9-49A7-A8D7-FD7DF70D1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7146351"/>
        <c:axId val="1047996271"/>
      </c:barChart>
      <c:catAx>
        <c:axId val="120714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7996271"/>
        <c:crosses val="autoZero"/>
        <c:auto val="1"/>
        <c:lblAlgn val="ctr"/>
        <c:lblOffset val="100"/>
        <c:noMultiLvlLbl val="0"/>
      </c:catAx>
      <c:valAx>
        <c:axId val="104799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714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MiddleParam!$O$2</c:f>
              <c:strCache>
                <c:ptCount val="1"/>
                <c:pt idx="0">
                  <c:v>单技能综合伤害密度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MiddleParam!$N$3:$N$13</c:f>
              <c:strCache>
                <c:ptCount val="11"/>
                <c:pt idx="0">
                  <c:v>艾琳之怒</c:v>
                </c:pt>
                <c:pt idx="1">
                  <c:v>伊师塔之环VI</c:v>
                </c:pt>
                <c:pt idx="2">
                  <c:v>独角兽之角</c:v>
                </c:pt>
                <c:pt idx="3">
                  <c:v>飞叶龙卷风</c:v>
                </c:pt>
                <c:pt idx="4">
                  <c:v>急袭双杀</c:v>
                </c:pt>
                <c:pt idx="5">
                  <c:v>冲锋拳</c:v>
                </c:pt>
                <c:pt idx="6">
                  <c:v>狂风俯冲</c:v>
                </c:pt>
                <c:pt idx="7">
                  <c:v>传说之矛</c:v>
                </c:pt>
                <c:pt idx="8">
                  <c:v>爆裂飞腿</c:v>
                </c:pt>
                <c:pt idx="9">
                  <c:v>旋转月瀑坠击</c:v>
                </c:pt>
                <c:pt idx="10">
                  <c:v>闪电刀刃</c:v>
                </c:pt>
              </c:strCache>
            </c:strRef>
          </c:cat>
          <c:val>
            <c:numRef>
              <c:f>MiddleParam!$O$3:$O$13</c:f>
              <c:numCache>
                <c:formatCode>General</c:formatCode>
                <c:ptCount val="11"/>
                <c:pt idx="0">
                  <c:v>57.980749206349216</c:v>
                </c:pt>
                <c:pt idx="1">
                  <c:v>26.385755555555555</c:v>
                </c:pt>
                <c:pt idx="2">
                  <c:v>18.567905185185182</c:v>
                </c:pt>
                <c:pt idx="3">
                  <c:v>13.838770370370369</c:v>
                </c:pt>
                <c:pt idx="4">
                  <c:v>13.496548148148147</c:v>
                </c:pt>
                <c:pt idx="5">
                  <c:v>13.553155555555557</c:v>
                </c:pt>
                <c:pt idx="6">
                  <c:v>11.295744444444443</c:v>
                </c:pt>
                <c:pt idx="7">
                  <c:v>9.8150868686868673</c:v>
                </c:pt>
                <c:pt idx="8">
                  <c:v>9.4752104575163401</c:v>
                </c:pt>
                <c:pt idx="9">
                  <c:v>8.9485037037037038</c:v>
                </c:pt>
                <c:pt idx="10">
                  <c:v>5.7951703703703714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2-4B37-A36A-D17AF6150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23245583"/>
        <c:axId val="1123246063"/>
      </c:barChart>
      <c:catAx>
        <c:axId val="112324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3246063"/>
        <c:crosses val="autoZero"/>
        <c:auto val="1"/>
        <c:lblAlgn val="ctr"/>
        <c:lblOffset val="100"/>
        <c:noMultiLvlLbl val="0"/>
      </c:catAx>
      <c:valAx>
        <c:axId val="11232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324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chart" Target="../charts/chart2.xml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sv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306000</xdr:colOff>
      <xdr:row>18</xdr:row>
      <xdr:rowOff>306000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1264920"/>
          <a:ext cx="306000" cy="306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304843</xdr:colOff>
      <xdr:row>4</xdr:row>
      <xdr:rowOff>304843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1143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304843</xdr:colOff>
      <xdr:row>5</xdr:row>
      <xdr:rowOff>304843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1524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304843</xdr:colOff>
      <xdr:row>6</xdr:row>
      <xdr:rowOff>304843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1905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304843</xdr:colOff>
      <xdr:row>7</xdr:row>
      <xdr:rowOff>304843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2286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304843</xdr:colOff>
      <xdr:row>8</xdr:row>
      <xdr:rowOff>304843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2667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304843</xdr:colOff>
      <xdr:row>10</xdr:row>
      <xdr:rowOff>304843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3048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304843</xdr:colOff>
      <xdr:row>11</xdr:row>
      <xdr:rowOff>304843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4957482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304843</xdr:colOff>
      <xdr:row>12</xdr:row>
      <xdr:rowOff>304843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3810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304843</xdr:colOff>
      <xdr:row>13</xdr:row>
      <xdr:rowOff>304843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4191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304843</xdr:colOff>
      <xdr:row>9</xdr:row>
      <xdr:rowOff>304843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30480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304843</xdr:colOff>
      <xdr:row>16</xdr:row>
      <xdr:rowOff>304843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583692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304843</xdr:colOff>
      <xdr:row>16</xdr:row>
      <xdr:rowOff>304843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621792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304843</xdr:colOff>
      <xdr:row>17</xdr:row>
      <xdr:rowOff>304843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659892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304843</xdr:colOff>
      <xdr:row>19</xdr:row>
      <xdr:rowOff>304843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507492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304843</xdr:colOff>
      <xdr:row>20</xdr:row>
      <xdr:rowOff>304843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545592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304843</xdr:colOff>
      <xdr:row>3</xdr:row>
      <xdr:rowOff>304843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88392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304843</xdr:colOff>
      <xdr:row>15</xdr:row>
      <xdr:rowOff>304843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539496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304843</xdr:colOff>
      <xdr:row>14</xdr:row>
      <xdr:rowOff>304843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5127812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304843</xdr:colOff>
      <xdr:row>4</xdr:row>
      <xdr:rowOff>304843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1792941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304843</xdr:colOff>
      <xdr:row>5</xdr:row>
      <xdr:rowOff>304843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2178424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304843</xdr:colOff>
      <xdr:row>6</xdr:row>
      <xdr:rowOff>304843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2563906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304843</xdr:colOff>
      <xdr:row>7</xdr:row>
      <xdr:rowOff>304843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2949388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304843</xdr:colOff>
      <xdr:row>8</xdr:row>
      <xdr:rowOff>304843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3334871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304843</xdr:colOff>
      <xdr:row>9</xdr:row>
      <xdr:rowOff>304843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410583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304843</xdr:colOff>
      <xdr:row>3</xdr:row>
      <xdr:rowOff>304843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388" y="1407459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304843</xdr:colOff>
      <xdr:row>10</xdr:row>
      <xdr:rowOff>304843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9529" y="4356847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304843</xdr:colOff>
      <xdr:row>17</xdr:row>
      <xdr:rowOff>304843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9529" y="5513294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365760</xdr:colOff>
      <xdr:row>16</xdr:row>
      <xdr:rowOff>365760</xdr:rowOff>
    </xdr:to>
    <xdr:pic>
      <xdr:nvPicPr>
        <xdr:cNvPr id="41" name="图形 40" descr="计算机 纯色填充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5199529" y="5127812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304843</xdr:colOff>
      <xdr:row>13</xdr:row>
      <xdr:rowOff>304843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9529" y="5262282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304843</xdr:colOff>
      <xdr:row>14</xdr:row>
      <xdr:rowOff>304843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9529" y="564776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2142000</xdr:colOff>
      <xdr:row>3</xdr:row>
      <xdr:rowOff>306000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>
          <a:grpSpLocks noChangeAspect="1"/>
        </xdr:cNvGrpSpPr>
      </xdr:nvGrpSpPr>
      <xdr:grpSpPr>
        <a:xfrm>
          <a:off x="9971314" y="1164771"/>
          <a:ext cx="2142000" cy="306000"/>
          <a:chOff x="720000" y="720000"/>
          <a:chExt cx="4284000" cy="612000"/>
        </a:xfrm>
      </xdr:grpSpPr>
      <xdr:pic>
        <xdr:nvPicPr>
          <xdr:cNvPr id="35" name="图片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720000"/>
            <a:ext cx="612000" cy="612000"/>
          </a:xfrm>
          <a:prstGeom prst="rect">
            <a:avLst/>
          </a:prstGeom>
        </xdr:spPr>
      </xdr:pic>
      <xdr:pic>
        <xdr:nvPicPr>
          <xdr:cNvPr id="37" name="图片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720000"/>
            <a:ext cx="612000" cy="612000"/>
          </a:xfrm>
          <a:prstGeom prst="rect">
            <a:avLst/>
          </a:prstGeom>
        </xdr:spPr>
      </xdr:pic>
      <xdr:pic>
        <xdr:nvPicPr>
          <xdr:cNvPr id="38" name="图片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720000"/>
            <a:ext cx="612000" cy="612000"/>
          </a:xfrm>
          <a:prstGeom prst="rect">
            <a:avLst/>
          </a:prstGeom>
        </xdr:spPr>
      </xdr:pic>
      <xdr:pic>
        <xdr:nvPicPr>
          <xdr:cNvPr id="40" name="图片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720000"/>
            <a:ext cx="612000" cy="612000"/>
          </a:xfrm>
          <a:prstGeom prst="rect">
            <a:avLst/>
          </a:prstGeom>
        </xdr:spPr>
      </xdr:pic>
      <xdr:pic>
        <xdr:nvPicPr>
          <xdr:cNvPr id="44" name="图片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720000"/>
            <a:ext cx="612000" cy="612000"/>
          </a:xfrm>
          <a:prstGeom prst="rect">
            <a:avLst/>
          </a:prstGeom>
        </xdr:spPr>
      </xdr:pic>
      <xdr:pic>
        <xdr:nvPicPr>
          <xdr:cNvPr id="45" name="图片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720000"/>
            <a:ext cx="612000" cy="612000"/>
          </a:xfrm>
          <a:prstGeom prst="rect">
            <a:avLst/>
          </a:prstGeom>
        </xdr:spPr>
      </xdr:pic>
      <xdr:pic>
        <xdr:nvPicPr>
          <xdr:cNvPr id="46" name="图片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2000" y="72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2142000</xdr:colOff>
      <xdr:row>4</xdr:row>
      <xdr:rowOff>306000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>
          <a:grpSpLocks noChangeAspect="1"/>
        </xdr:cNvGrpSpPr>
      </xdr:nvGrpSpPr>
      <xdr:grpSpPr>
        <a:xfrm>
          <a:off x="9971314" y="1621971"/>
          <a:ext cx="2142000" cy="306000"/>
          <a:chOff x="720000" y="2160000"/>
          <a:chExt cx="4284000" cy="612000"/>
        </a:xfrm>
      </xdr:grpSpPr>
      <xdr:pic>
        <xdr:nvPicPr>
          <xdr:cNvPr id="48" name="图片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2160000"/>
            <a:ext cx="612000" cy="612000"/>
          </a:xfrm>
          <a:prstGeom prst="rect">
            <a:avLst/>
          </a:prstGeom>
        </xdr:spPr>
      </xdr:pic>
      <xdr:pic>
        <xdr:nvPicPr>
          <xdr:cNvPr id="49" name="图片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2160000"/>
            <a:ext cx="612000" cy="612000"/>
          </a:xfrm>
          <a:prstGeom prst="rect">
            <a:avLst/>
          </a:prstGeom>
        </xdr:spPr>
      </xdr:pic>
      <xdr:pic>
        <xdr:nvPicPr>
          <xdr:cNvPr id="50" name="图片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2160000"/>
            <a:ext cx="612000" cy="612000"/>
          </a:xfrm>
          <a:prstGeom prst="rect">
            <a:avLst/>
          </a:prstGeom>
        </xdr:spPr>
      </xdr:pic>
      <xdr:pic>
        <xdr:nvPicPr>
          <xdr:cNvPr id="51" name="图片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2160000"/>
            <a:ext cx="612000" cy="612000"/>
          </a:xfrm>
          <a:prstGeom prst="rect">
            <a:avLst/>
          </a:prstGeom>
        </xdr:spPr>
      </xdr:pic>
      <xdr:pic>
        <xdr:nvPicPr>
          <xdr:cNvPr id="52" name="图片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2160000"/>
            <a:ext cx="612000" cy="612000"/>
          </a:xfrm>
          <a:prstGeom prst="rect">
            <a:avLst/>
          </a:prstGeom>
        </xdr:spPr>
      </xdr:pic>
      <xdr:pic>
        <xdr:nvPicPr>
          <xdr:cNvPr id="53" name="图片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2160000"/>
            <a:ext cx="612000" cy="612000"/>
          </a:xfrm>
          <a:prstGeom prst="rect">
            <a:avLst/>
          </a:prstGeom>
        </xdr:spPr>
      </xdr:pic>
      <xdr:pic>
        <xdr:nvPicPr>
          <xdr:cNvPr id="54" name="图片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2000" y="216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1836000</xdr:colOff>
      <xdr:row>6</xdr:row>
      <xdr:rowOff>306000</xdr:rowOff>
    </xdr:to>
    <xdr:grpSp>
      <xdr:nvGrpSpPr>
        <xdr:cNvPr id="55" name="组合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>
          <a:grpSpLocks noChangeAspect="1"/>
        </xdr:cNvGrpSpPr>
      </xdr:nvGrpSpPr>
      <xdr:grpSpPr>
        <a:xfrm>
          <a:off x="9971314" y="2536371"/>
          <a:ext cx="1836000" cy="306000"/>
          <a:chOff x="720000" y="1440000"/>
          <a:chExt cx="3672000" cy="612000"/>
        </a:xfrm>
      </xdr:grpSpPr>
      <xdr:pic>
        <xdr:nvPicPr>
          <xdr:cNvPr id="56" name="图片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1440000"/>
            <a:ext cx="612000" cy="612000"/>
          </a:xfrm>
          <a:prstGeom prst="rect">
            <a:avLst/>
          </a:prstGeom>
        </xdr:spPr>
      </xdr:pic>
      <xdr:pic>
        <xdr:nvPicPr>
          <xdr:cNvPr id="57" name="图片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1440000"/>
            <a:ext cx="612000" cy="612000"/>
          </a:xfrm>
          <a:prstGeom prst="rect">
            <a:avLst/>
          </a:prstGeom>
        </xdr:spPr>
      </xdr:pic>
      <xdr:pic>
        <xdr:nvPicPr>
          <xdr:cNvPr id="58" name="图片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1440000"/>
            <a:ext cx="612000" cy="612000"/>
          </a:xfrm>
          <a:prstGeom prst="rect">
            <a:avLst/>
          </a:prstGeom>
        </xdr:spPr>
      </xdr:pic>
      <xdr:pic>
        <xdr:nvPicPr>
          <xdr:cNvPr id="59" name="图片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1440000"/>
            <a:ext cx="612000" cy="612000"/>
          </a:xfrm>
          <a:prstGeom prst="rect">
            <a:avLst/>
          </a:prstGeom>
        </xdr:spPr>
      </xdr:pic>
      <xdr:pic>
        <xdr:nvPicPr>
          <xdr:cNvPr id="60" name="图片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1440000"/>
            <a:ext cx="612000" cy="612000"/>
          </a:xfrm>
          <a:prstGeom prst="rect">
            <a:avLst/>
          </a:prstGeom>
        </xdr:spPr>
      </xdr:pic>
      <xdr:pic>
        <xdr:nvPicPr>
          <xdr:cNvPr id="61" name="图片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144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1836000</xdr:colOff>
      <xdr:row>7</xdr:row>
      <xdr:rowOff>306000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>
          <a:grpSpLocks noChangeAspect="1"/>
        </xdr:cNvGrpSpPr>
      </xdr:nvGrpSpPr>
      <xdr:grpSpPr>
        <a:xfrm>
          <a:off x="9971314" y="2993571"/>
          <a:ext cx="1836000" cy="306000"/>
          <a:chOff x="720000" y="4320000"/>
          <a:chExt cx="3672000" cy="612000"/>
        </a:xfrm>
      </xdr:grpSpPr>
      <xdr:pic>
        <xdr:nvPicPr>
          <xdr:cNvPr id="63" name="图片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4320000"/>
            <a:ext cx="612000" cy="612000"/>
          </a:xfrm>
          <a:prstGeom prst="rect">
            <a:avLst/>
          </a:prstGeom>
        </xdr:spPr>
      </xdr:pic>
      <xdr:pic>
        <xdr:nvPicPr>
          <xdr:cNvPr id="64" name="图片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4320000"/>
            <a:ext cx="612000" cy="612000"/>
          </a:xfrm>
          <a:prstGeom prst="rect">
            <a:avLst/>
          </a:prstGeom>
        </xdr:spPr>
      </xdr:pic>
      <xdr:pic>
        <xdr:nvPicPr>
          <xdr:cNvPr id="65" name="图片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4320000"/>
            <a:ext cx="612000" cy="612000"/>
          </a:xfrm>
          <a:prstGeom prst="rect">
            <a:avLst/>
          </a:prstGeom>
        </xdr:spPr>
      </xdr:pic>
      <xdr:pic>
        <xdr:nvPicPr>
          <xdr:cNvPr id="66" name="图片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4320000"/>
            <a:ext cx="612000" cy="612000"/>
          </a:xfrm>
          <a:prstGeom prst="rect">
            <a:avLst/>
          </a:prstGeom>
        </xdr:spPr>
      </xdr:pic>
      <xdr:pic>
        <xdr:nvPicPr>
          <xdr:cNvPr id="67" name="图片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4320000"/>
            <a:ext cx="612000" cy="612000"/>
          </a:xfrm>
          <a:prstGeom prst="rect">
            <a:avLst/>
          </a:prstGeom>
        </xdr:spPr>
      </xdr:pic>
      <xdr:pic>
        <xdr:nvPicPr>
          <xdr:cNvPr id="68" name="图片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1530000</xdr:colOff>
      <xdr:row>9</xdr:row>
      <xdr:rowOff>306000</xdr:rowOff>
    </xdr:to>
    <xdr:grpSp>
      <xdr:nvGrpSpPr>
        <xdr:cNvPr id="69" name="组合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>
          <a:grpSpLocks noChangeAspect="1"/>
        </xdr:cNvGrpSpPr>
      </xdr:nvGrpSpPr>
      <xdr:grpSpPr>
        <a:xfrm>
          <a:off x="9971314" y="3907971"/>
          <a:ext cx="1530000" cy="306000"/>
          <a:chOff x="720000" y="2880000"/>
          <a:chExt cx="3060000" cy="612000"/>
        </a:xfrm>
      </xdr:grpSpPr>
      <xdr:pic>
        <xdr:nvPicPr>
          <xdr:cNvPr id="70" name="图片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2880000"/>
            <a:ext cx="612000" cy="612000"/>
          </a:xfrm>
          <a:prstGeom prst="rect">
            <a:avLst/>
          </a:prstGeom>
        </xdr:spPr>
      </xdr:pic>
      <xdr:pic>
        <xdr:nvPicPr>
          <xdr:cNvPr id="71" name="图片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2880000"/>
            <a:ext cx="612000" cy="612000"/>
          </a:xfrm>
          <a:prstGeom prst="rect">
            <a:avLst/>
          </a:prstGeom>
        </xdr:spPr>
      </xdr:pic>
      <xdr:pic>
        <xdr:nvPicPr>
          <xdr:cNvPr id="72" name="图片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2880000"/>
            <a:ext cx="612000" cy="612000"/>
          </a:xfrm>
          <a:prstGeom prst="rect">
            <a:avLst/>
          </a:prstGeom>
        </xdr:spPr>
      </xdr:pic>
      <xdr:pic>
        <xdr:nvPicPr>
          <xdr:cNvPr id="73" name="图片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2880000"/>
            <a:ext cx="612000" cy="612000"/>
          </a:xfrm>
          <a:prstGeom prst="rect">
            <a:avLst/>
          </a:prstGeom>
        </xdr:spPr>
      </xdr:pic>
      <xdr:pic>
        <xdr:nvPicPr>
          <xdr:cNvPr id="74" name="图片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288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1530000</xdr:colOff>
      <xdr:row>10</xdr:row>
      <xdr:rowOff>306000</xdr:rowOff>
    </xdr:to>
    <xdr:grpSp>
      <xdr:nvGrpSpPr>
        <xdr:cNvPr id="75" name="组合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>
          <a:grpSpLocks noChangeAspect="1"/>
        </xdr:cNvGrpSpPr>
      </xdr:nvGrpSpPr>
      <xdr:grpSpPr>
        <a:xfrm>
          <a:off x="9971314" y="4365171"/>
          <a:ext cx="1530000" cy="306000"/>
          <a:chOff x="720000" y="5040000"/>
          <a:chExt cx="3060000" cy="612000"/>
        </a:xfrm>
      </xdr:grpSpPr>
      <xdr:pic>
        <xdr:nvPicPr>
          <xdr:cNvPr id="76" name="图片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5040000"/>
            <a:ext cx="612000" cy="612000"/>
          </a:xfrm>
          <a:prstGeom prst="rect">
            <a:avLst/>
          </a:prstGeom>
        </xdr:spPr>
      </xdr:pic>
      <xdr:pic>
        <xdr:nvPicPr>
          <xdr:cNvPr id="77" name="图片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5040000"/>
            <a:ext cx="612000" cy="612000"/>
          </a:xfrm>
          <a:prstGeom prst="rect">
            <a:avLst/>
          </a:prstGeom>
        </xdr:spPr>
      </xdr:pic>
      <xdr:pic>
        <xdr:nvPicPr>
          <xdr:cNvPr id="78" name="图片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5040000"/>
            <a:ext cx="612000" cy="612000"/>
          </a:xfrm>
          <a:prstGeom prst="rect">
            <a:avLst/>
          </a:prstGeom>
        </xdr:spPr>
      </xdr:pic>
      <xdr:pic>
        <xdr:nvPicPr>
          <xdr:cNvPr id="79" name="图片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5040000"/>
            <a:ext cx="612000" cy="612000"/>
          </a:xfrm>
          <a:prstGeom prst="rect">
            <a:avLst/>
          </a:prstGeom>
        </xdr:spPr>
      </xdr:pic>
      <xdr:pic>
        <xdr:nvPicPr>
          <xdr:cNvPr id="80" name="图片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504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1224000</xdr:colOff>
      <xdr:row>12</xdr:row>
      <xdr:rowOff>306000</xdr:rowOff>
    </xdr:to>
    <xdr:grpSp>
      <xdr:nvGrpSpPr>
        <xdr:cNvPr id="81" name="组合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>
          <a:grpSpLocks noChangeAspect="1"/>
        </xdr:cNvGrpSpPr>
      </xdr:nvGrpSpPr>
      <xdr:grpSpPr>
        <a:xfrm>
          <a:off x="9971314" y="5279571"/>
          <a:ext cx="1224000" cy="306000"/>
          <a:chOff x="720000" y="4320000"/>
          <a:chExt cx="2448000" cy="612000"/>
        </a:xfrm>
      </xdr:grpSpPr>
      <xdr:pic>
        <xdr:nvPicPr>
          <xdr:cNvPr id="82" name="图片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4320000"/>
            <a:ext cx="612000" cy="612000"/>
          </a:xfrm>
          <a:prstGeom prst="rect">
            <a:avLst/>
          </a:prstGeom>
        </xdr:spPr>
      </xdr:pic>
      <xdr:pic>
        <xdr:nvPicPr>
          <xdr:cNvPr id="83" name="图片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4320000"/>
            <a:ext cx="612000" cy="612000"/>
          </a:xfrm>
          <a:prstGeom prst="rect">
            <a:avLst/>
          </a:prstGeom>
        </xdr:spPr>
      </xdr:pic>
      <xdr:pic>
        <xdr:nvPicPr>
          <xdr:cNvPr id="84" name="图片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4320000"/>
            <a:ext cx="612000" cy="612000"/>
          </a:xfrm>
          <a:prstGeom prst="rect">
            <a:avLst/>
          </a:prstGeom>
        </xdr:spPr>
      </xdr:pic>
      <xdr:pic>
        <xdr:nvPicPr>
          <xdr:cNvPr id="85" name="图片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1224000</xdr:colOff>
      <xdr:row>13</xdr:row>
      <xdr:rowOff>306000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>
          <a:grpSpLocks noChangeAspect="1"/>
        </xdr:cNvGrpSpPr>
      </xdr:nvGrpSpPr>
      <xdr:grpSpPr>
        <a:xfrm>
          <a:off x="9971314" y="5736771"/>
          <a:ext cx="1224000" cy="306000"/>
          <a:chOff x="720000" y="1440000"/>
          <a:chExt cx="2448000" cy="612000"/>
        </a:xfrm>
      </xdr:grpSpPr>
      <xdr:pic>
        <xdr:nvPicPr>
          <xdr:cNvPr id="87" name="图片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1440000"/>
            <a:ext cx="612000" cy="612000"/>
          </a:xfrm>
          <a:prstGeom prst="rect">
            <a:avLst/>
          </a:prstGeom>
        </xdr:spPr>
      </xdr:pic>
      <xdr:pic>
        <xdr:nvPicPr>
          <xdr:cNvPr id="88" name="图片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1440000"/>
            <a:ext cx="612000" cy="612000"/>
          </a:xfrm>
          <a:prstGeom prst="rect">
            <a:avLst/>
          </a:prstGeom>
        </xdr:spPr>
      </xdr:pic>
      <xdr:pic>
        <xdr:nvPicPr>
          <xdr:cNvPr id="89" name="图片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1440000"/>
            <a:ext cx="612000" cy="612000"/>
          </a:xfrm>
          <a:prstGeom prst="rect">
            <a:avLst/>
          </a:prstGeom>
        </xdr:spPr>
      </xdr:pic>
      <xdr:pic>
        <xdr:nvPicPr>
          <xdr:cNvPr id="90" name="图片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144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972000</xdr:colOff>
      <xdr:row>5</xdr:row>
      <xdr:rowOff>306000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>
          <a:grpSpLocks noChangeAspect="1"/>
        </xdr:cNvGrpSpPr>
      </xdr:nvGrpSpPr>
      <xdr:grpSpPr>
        <a:xfrm>
          <a:off x="9971314" y="2079171"/>
          <a:ext cx="972000" cy="306000"/>
          <a:chOff x="5400000" y="5400000"/>
          <a:chExt cx="1944000" cy="612000"/>
        </a:xfrm>
      </xdr:grpSpPr>
      <xdr:pic>
        <xdr:nvPicPr>
          <xdr:cNvPr id="96" name="图片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00000" y="5400000"/>
            <a:ext cx="612000" cy="612000"/>
          </a:xfrm>
          <a:prstGeom prst="rect">
            <a:avLst/>
          </a:prstGeom>
        </xdr:spPr>
      </xdr:pic>
      <xdr:pic>
        <xdr:nvPicPr>
          <xdr:cNvPr id="97" name="图片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2000" y="5400000"/>
            <a:ext cx="612000" cy="612000"/>
          </a:xfrm>
          <a:prstGeom prst="rect">
            <a:avLst/>
          </a:prstGeom>
        </xdr:spPr>
      </xdr:pic>
      <xdr:pic>
        <xdr:nvPicPr>
          <xdr:cNvPr id="98" name="图片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2000" y="540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972000</xdr:colOff>
      <xdr:row>8</xdr:row>
      <xdr:rowOff>306000</xdr:rowOff>
    </xdr:to>
    <xdr:grpSp>
      <xdr:nvGrpSpPr>
        <xdr:cNvPr id="99" name="组合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>
          <a:grpSpLocks noChangeAspect="1"/>
        </xdr:cNvGrpSpPr>
      </xdr:nvGrpSpPr>
      <xdr:grpSpPr>
        <a:xfrm>
          <a:off x="9971314" y="3450771"/>
          <a:ext cx="972000" cy="306000"/>
          <a:chOff x="5400000" y="5400000"/>
          <a:chExt cx="1944000" cy="612000"/>
        </a:xfrm>
      </xdr:grpSpPr>
      <xdr:pic>
        <xdr:nvPicPr>
          <xdr:cNvPr id="100" name="图片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00000" y="5400000"/>
            <a:ext cx="612000" cy="612000"/>
          </a:xfrm>
          <a:prstGeom prst="rect">
            <a:avLst/>
          </a:prstGeom>
        </xdr:spPr>
      </xdr:pic>
      <xdr:pic>
        <xdr:nvPicPr>
          <xdr:cNvPr id="101" name="图片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2000" y="5400000"/>
            <a:ext cx="612000" cy="612000"/>
          </a:xfrm>
          <a:prstGeom prst="rect">
            <a:avLst/>
          </a:prstGeom>
        </xdr:spPr>
      </xdr:pic>
      <xdr:pic>
        <xdr:nvPicPr>
          <xdr:cNvPr id="102" name="图片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2000" y="540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972000</xdr:colOff>
      <xdr:row>11</xdr:row>
      <xdr:rowOff>306000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>
          <a:grpSpLocks noChangeAspect="1"/>
        </xdr:cNvGrpSpPr>
      </xdr:nvGrpSpPr>
      <xdr:grpSpPr>
        <a:xfrm>
          <a:off x="9971314" y="4822371"/>
          <a:ext cx="972000" cy="306000"/>
          <a:chOff x="5400000" y="5400000"/>
          <a:chExt cx="1944000" cy="612000"/>
        </a:xfrm>
      </xdr:grpSpPr>
      <xdr:pic>
        <xdr:nvPicPr>
          <xdr:cNvPr id="104" name="图片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00000" y="5400000"/>
            <a:ext cx="612000" cy="612000"/>
          </a:xfrm>
          <a:prstGeom prst="rect">
            <a:avLst/>
          </a:prstGeom>
        </xdr:spPr>
      </xdr:pic>
      <xdr:pic>
        <xdr:nvPicPr>
          <xdr:cNvPr id="105" name="图片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2000" y="5400000"/>
            <a:ext cx="612000" cy="612000"/>
          </a:xfrm>
          <a:prstGeom prst="rect">
            <a:avLst/>
          </a:prstGeom>
        </xdr:spPr>
      </xdr:pic>
      <xdr:pic>
        <xdr:nvPicPr>
          <xdr:cNvPr id="106" name="图片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2000" y="540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972000</xdr:colOff>
      <xdr:row>14</xdr:row>
      <xdr:rowOff>306000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>
          <a:grpSpLocks noChangeAspect="1"/>
        </xdr:cNvGrpSpPr>
      </xdr:nvGrpSpPr>
      <xdr:grpSpPr>
        <a:xfrm>
          <a:off x="9971314" y="6193971"/>
          <a:ext cx="972000" cy="306000"/>
          <a:chOff x="5400000" y="5400000"/>
          <a:chExt cx="1944000" cy="612000"/>
        </a:xfrm>
      </xdr:grpSpPr>
      <xdr:pic>
        <xdr:nvPicPr>
          <xdr:cNvPr id="108" name="图片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00000" y="5400000"/>
            <a:ext cx="612000" cy="612000"/>
          </a:xfrm>
          <a:prstGeom prst="rect">
            <a:avLst/>
          </a:prstGeom>
        </xdr:spPr>
      </xdr:pic>
      <xdr:pic>
        <xdr:nvPicPr>
          <xdr:cNvPr id="109" name="图片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2000" y="5400000"/>
            <a:ext cx="612000" cy="612000"/>
          </a:xfrm>
          <a:prstGeom prst="rect">
            <a:avLst/>
          </a:prstGeom>
        </xdr:spPr>
      </xdr:pic>
      <xdr:pic>
        <xdr:nvPicPr>
          <xdr:cNvPr id="110" name="图片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2000" y="5400000"/>
            <a:ext cx="612000" cy="612000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0</xdr:colOff>
      <xdr:row>15</xdr:row>
      <xdr:rowOff>0</xdr:rowOff>
    </xdr:from>
    <xdr:to>
      <xdr:col>19</xdr:col>
      <xdr:colOff>582706</xdr:colOff>
      <xdr:row>21</xdr:row>
      <xdr:rowOff>0</xdr:rowOff>
    </xdr:to>
    <xdr:graphicFrame macro="">
      <xdr:nvGraphicFramePr>
        <xdr:cNvPr id="114" name="图表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10</xdr:col>
      <xdr:colOff>0</xdr:colOff>
      <xdr:row>15</xdr:row>
      <xdr:rowOff>0</xdr:rowOff>
    </xdr:from>
    <xdr:to>
      <xdr:col>14</xdr:col>
      <xdr:colOff>116540</xdr:colOff>
      <xdr:row>21</xdr:row>
      <xdr:rowOff>0</xdr:rowOff>
    </xdr:to>
    <xdr:graphicFrame macro="">
      <xdr:nvGraphicFramePr>
        <xdr:cNvPr id="115" name="图表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7"/>
  <sheetViews>
    <sheetView tabSelected="1" zoomScale="70" zoomScaleNormal="70" workbookViewId="0">
      <selection activeCell="K2" sqref="K2:T2"/>
    </sheetView>
  </sheetViews>
  <sheetFormatPr defaultColWidth="20.77734375" defaultRowHeight="30" customHeight="1"/>
  <cols>
    <col min="1" max="1" width="2.77734375" style="11" customWidth="1"/>
    <col min="2" max="2" width="5.77734375" style="11" customWidth="1"/>
    <col min="3" max="3" width="36.77734375" style="11" customWidth="1"/>
    <col min="4" max="5" width="10.77734375" style="11" customWidth="1"/>
    <col min="6" max="6" width="5.77734375" style="11" customWidth="1"/>
    <col min="7" max="7" width="36.77734375" style="11" customWidth="1"/>
    <col min="8" max="8" width="10.77734375" style="11" customWidth="1"/>
    <col min="9" max="9" width="1.77734375" style="14" customWidth="1"/>
    <col min="10" max="10" width="1.77734375" style="11" customWidth="1"/>
    <col min="11" max="12" width="10.77734375" style="11" customWidth="1"/>
    <col min="13" max="13" width="32.77734375" style="11" customWidth="1"/>
    <col min="14" max="16" width="10.77734375" style="11" customWidth="1"/>
    <col min="17" max="20" width="15.77734375" style="11" customWidth="1"/>
    <col min="21" max="21" width="2.77734375" style="11" customWidth="1"/>
    <col min="22" max="16384" width="20.77734375" style="11"/>
  </cols>
  <sheetData>
    <row r="1" spans="2:20" ht="19.95" customHeight="1" thickBot="1"/>
    <row r="2" spans="2:20" ht="36" customHeight="1" thickBot="1">
      <c r="B2" s="58" t="str">
        <f>IF(is_cms,"技能","Skill")</f>
        <v>技能</v>
      </c>
      <c r="C2" s="59"/>
      <c r="D2" s="59"/>
      <c r="E2" s="62"/>
      <c r="F2" s="61" t="str">
        <f>IF(is_cms,"五转强化核心","V Enhancing Core")</f>
        <v>五转强化核心</v>
      </c>
      <c r="G2" s="59"/>
      <c r="H2" s="60"/>
      <c r="K2" s="58" t="str">
        <f>IF(is_cms,"双弩连招表        版本：New Age","Mercedes Combo Sheet        Version: New Age")</f>
        <v>双弩连招表        版本：New Age</v>
      </c>
      <c r="L2" s="59"/>
      <c r="M2" s="59"/>
      <c r="N2" s="59"/>
      <c r="O2" s="59"/>
      <c r="P2" s="59"/>
      <c r="Q2" s="59"/>
      <c r="R2" s="59"/>
      <c r="S2" s="59"/>
      <c r="T2" s="60"/>
    </row>
    <row r="3" spans="2:20" ht="36" customHeight="1" thickBot="1">
      <c r="B3" s="35" t="str">
        <f>IF(is_cms,"图","I")</f>
        <v>图</v>
      </c>
      <c r="C3" s="15" t="str">
        <f>IF(is_cms,"技能名","Skill Name")</f>
        <v>技能名</v>
      </c>
      <c r="D3" s="16" t="str">
        <f>IF(is_cms,"等级","Level")</f>
        <v>等级</v>
      </c>
      <c r="E3" s="17" t="str">
        <f>IF(is_cms,"最终
伤害","Final
Damage")</f>
        <v>最终
伤害</v>
      </c>
      <c r="F3" s="35" t="str">
        <f>IF(is_cms,"图","I")</f>
        <v>图</v>
      </c>
      <c r="G3" s="15" t="str">
        <f>IF(is_cms,"核心","Core")</f>
        <v>核心</v>
      </c>
      <c r="H3" s="18" t="str">
        <f>IF(is_cms,"等级","Level")</f>
        <v>等级</v>
      </c>
      <c r="K3" s="35" t="str">
        <f>IF(is_cms,"序号","Order")</f>
        <v>序号</v>
      </c>
      <c r="L3" s="36" t="str">
        <f>IF(is_cms,"CD","CD")</f>
        <v>CD</v>
      </c>
      <c r="M3" s="16" t="str">
        <f>IF(is_cms,"连招","Combo")</f>
        <v>连招</v>
      </c>
      <c r="N3" s="37" t="str">
        <f>IF(is_cms,"伊师塔
数量","IR
Amt")</f>
        <v>伊师塔
数量</v>
      </c>
      <c r="O3" s="37" t="str">
        <f>IF(is_cms,"周期
(ms)","Cycle
(ms)")</f>
        <v>周期
(ms)</v>
      </c>
      <c r="P3" s="37" t="str">
        <f>IF(is_cms,"停顿
(ms)","Pause
(ms)")</f>
        <v>停顿
(ms)</v>
      </c>
      <c r="Q3" s="37" t="str">
        <f>IF(is_cms,"伤害密度","Damage
Density")</f>
        <v>伤害密度</v>
      </c>
      <c r="R3" s="37" t="str">
        <f>IF(is_cms,"百分比比较","Percentage
Comparison")</f>
        <v>百分比比较</v>
      </c>
      <c r="S3" s="37" t="str">
        <f>IF(is_cms,"V1伤害密度","V1 Damage
Density")</f>
        <v>V1伤害密度</v>
      </c>
      <c r="T3" s="38" t="str">
        <f>IF(is_cms,"百分比比较","Percentage
Comparison")</f>
        <v>百分比比较</v>
      </c>
    </row>
    <row r="4" spans="2:20" ht="36" customHeight="1">
      <c r="B4" s="19"/>
      <c r="C4" s="20" t="str">
        <f>IF(is_cms, ir_name_cms, ir_name_gms)</f>
        <v>伊师塔之环</v>
      </c>
      <c r="D4" s="67">
        <v>31</v>
      </c>
      <c r="E4" s="68">
        <v>1</v>
      </c>
      <c r="F4" s="19"/>
      <c r="G4" s="20" t="str">
        <f>IF(is_cms, ir_name_cms, ir_name_gms)</f>
        <v>伊师塔之环</v>
      </c>
      <c r="H4" s="74">
        <v>60</v>
      </c>
      <c r="K4" s="39">
        <v>1</v>
      </c>
      <c r="L4" s="40">
        <v>0</v>
      </c>
      <c r="M4" s="41" t="s">
        <v>118</v>
      </c>
      <c r="N4" s="20">
        <f>combo1_ir_amt</f>
        <v>0</v>
      </c>
      <c r="O4" s="20">
        <f>combo1_final_time</f>
        <v>2880</v>
      </c>
      <c r="P4" s="20">
        <f>combo1_pause_time</f>
        <v>0</v>
      </c>
      <c r="Q4" s="42">
        <f>combo1_density*10</f>
        <v>163.64896296296294</v>
      </c>
      <c r="R4" s="43">
        <f ca="1">Q4/Q5*R5</f>
        <v>0.63322998783814866</v>
      </c>
      <c r="S4" s="42">
        <f>combo1_v1_density*10</f>
        <v>439.10219025462965</v>
      </c>
      <c r="T4" s="57">
        <v>1</v>
      </c>
    </row>
    <row r="5" spans="2:20" ht="36" customHeight="1">
      <c r="B5" s="21"/>
      <c r="C5" s="22" t="str">
        <f>IF(is_cms, we_name_cms, we_name_gms)</f>
        <v>艾琳之怒</v>
      </c>
      <c r="D5" s="69">
        <v>1</v>
      </c>
      <c r="E5" s="70">
        <v>1</v>
      </c>
      <c r="F5" s="21"/>
      <c r="G5" s="22" t="str">
        <f>IF(is_cms, we_name_cms, we_name_gms)</f>
        <v>艾琳之怒</v>
      </c>
      <c r="H5" s="75">
        <v>60</v>
      </c>
      <c r="K5" s="44">
        <v>2</v>
      </c>
      <c r="L5" s="45">
        <v>0</v>
      </c>
      <c r="M5" s="46" t="s">
        <v>120</v>
      </c>
      <c r="N5" s="22">
        <f>combo2_ir_amt</f>
        <v>0</v>
      </c>
      <c r="O5" s="22">
        <f>combo2_final_time</f>
        <v>2490</v>
      </c>
      <c r="P5" s="22">
        <f>combo2_pause_time</f>
        <v>0</v>
      </c>
      <c r="Q5" s="47">
        <f>combo2_density*10</f>
        <v>173.96024631860774</v>
      </c>
      <c r="R5" s="48">
        <f ca="1">Q5/Q6*R6</f>
        <v>0.67312888921626746</v>
      </c>
      <c r="S5" s="47">
        <f>combo2_v1_density*10</f>
        <v>469.55269595716203</v>
      </c>
      <c r="T5" s="49">
        <f>S5/S4*T4</f>
        <v>1.0693471961159531</v>
      </c>
    </row>
    <row r="6" spans="2:20" ht="36" customHeight="1">
      <c r="B6" s="21"/>
      <c r="C6" s="22" t="str">
        <f>IF(is_cms, ss_name_cms, ss_name_gms)</f>
        <v>急袭双杀</v>
      </c>
      <c r="D6" s="69">
        <v>10</v>
      </c>
      <c r="E6" s="70">
        <v>1</v>
      </c>
      <c r="F6" s="21"/>
      <c r="G6" s="22" t="str">
        <f>IF(is_cms, ss_name_cms, ss_name_gms)</f>
        <v>急袭双杀</v>
      </c>
      <c r="H6" s="75">
        <v>60</v>
      </c>
      <c r="K6" s="44">
        <v>3</v>
      </c>
      <c r="L6" s="45">
        <v>0</v>
      </c>
      <c r="M6" s="46" t="s">
        <v>134</v>
      </c>
      <c r="N6" s="22">
        <f ca="1">combo3_ir_amt</f>
        <v>48</v>
      </c>
      <c r="O6" s="22">
        <f ca="1">combo3_final_time</f>
        <v>6540</v>
      </c>
      <c r="P6" s="22">
        <f>combo3_pause_time</f>
        <v>0</v>
      </c>
      <c r="Q6" s="47">
        <f ca="1">combo3_density*10</f>
        <v>258.43527013251781</v>
      </c>
      <c r="R6" s="56">
        <v>1</v>
      </c>
      <c r="S6" s="47">
        <f ca="1">combo3_v1_density*10</f>
        <v>429.11887068297659</v>
      </c>
      <c r="T6" s="49">
        <f t="shared" ref="T6:T15" ca="1" si="0">S6/S5*T5</f>
        <v>0.97726424556009639</v>
      </c>
    </row>
    <row r="7" spans="2:20" ht="36" customHeight="1">
      <c r="B7" s="21"/>
      <c r="C7" s="22" t="str">
        <f>IF(is_cms,us_name_cms, us_name_gms)</f>
        <v>独角兽之角</v>
      </c>
      <c r="D7" s="69">
        <v>20</v>
      </c>
      <c r="E7" s="70">
        <v>1</v>
      </c>
      <c r="F7" s="21"/>
      <c r="G7" s="22" t="str">
        <f>IF(is_cms,us_name_cms, us_name_gms)</f>
        <v>独角兽之角</v>
      </c>
      <c r="H7" s="75">
        <v>60</v>
      </c>
      <c r="K7" s="44">
        <v>4</v>
      </c>
      <c r="L7" s="45">
        <f>IF(is_cms,-1,-2)</f>
        <v>-1</v>
      </c>
      <c r="M7" s="46" t="s">
        <v>121</v>
      </c>
      <c r="N7" s="22">
        <f>combo4_ir_amt</f>
        <v>0</v>
      </c>
      <c r="O7" s="22">
        <f>combo4_final_time</f>
        <v>2400</v>
      </c>
      <c r="P7" s="22">
        <f>combo4_pause_time</f>
        <v>0</v>
      </c>
      <c r="Q7" s="47">
        <f>combo4_density*10</f>
        <v>173.78726666666665</v>
      </c>
      <c r="R7" s="48">
        <f ca="1">Q7/Q6*R6</f>
        <v>0.67245955467902574</v>
      </c>
      <c r="S7" s="47">
        <f>combo4_v1_density*10</f>
        <v>464.34034241666666</v>
      </c>
      <c r="T7" s="49">
        <f t="shared" ca="1" si="0"/>
        <v>1.0574767166326402</v>
      </c>
    </row>
    <row r="8" spans="2:20" ht="36" customHeight="1">
      <c r="B8" s="21"/>
      <c r="C8" s="22" t="str">
        <f>IF(is_cms,sr_name_cms,sr_name_gms)</f>
        <v>传说之矛</v>
      </c>
      <c r="D8" s="69">
        <v>21</v>
      </c>
      <c r="E8" s="70">
        <v>1</v>
      </c>
      <c r="F8" s="21"/>
      <c r="G8" s="22" t="str">
        <f>IF(is_cms,sr_name_cms,sr_name_gms)</f>
        <v>传说之矛</v>
      </c>
      <c r="H8" s="75">
        <v>60</v>
      </c>
      <c r="K8" s="44">
        <v>5</v>
      </c>
      <c r="L8" s="45">
        <f>IF(is_cms,-1,-2)</f>
        <v>-1</v>
      </c>
      <c r="M8" s="46" t="s">
        <v>122</v>
      </c>
      <c r="N8" s="22">
        <f>combo5_ir_amt</f>
        <v>0</v>
      </c>
      <c r="O8" s="22">
        <f>combo5_final_time</f>
        <v>2190</v>
      </c>
      <c r="P8" s="22">
        <f>combo5_pause_time</f>
        <v>60</v>
      </c>
      <c r="Q8" s="47">
        <f>combo5_density*10</f>
        <v>175.60431050228311</v>
      </c>
      <c r="R8" s="48">
        <f t="shared" ref="R8:R15" ca="1" si="1">Q8/Q7*R7</f>
        <v>0.67949049838374809</v>
      </c>
      <c r="S8" s="47">
        <f>combo5_v1_density*10</f>
        <v>472.3687702283105</v>
      </c>
      <c r="T8" s="49">
        <f t="shared" ca="1" si="0"/>
        <v>1.0757604510111645</v>
      </c>
    </row>
    <row r="9" spans="2:20" ht="36" customHeight="1">
      <c r="B9" s="21"/>
      <c r="C9" s="22" t="str">
        <f>IF(is_cms,lt_name_cms,lt_name_gms)</f>
        <v>飞叶龙卷风</v>
      </c>
      <c r="D9" s="69">
        <v>20</v>
      </c>
      <c r="E9" s="70">
        <v>1</v>
      </c>
      <c r="F9" s="21"/>
      <c r="G9" s="22" t="str">
        <f>IF(is_cms,lt_name_cms,lt_name_gms)</f>
        <v>飞叶龙卷风</v>
      </c>
      <c r="H9" s="75">
        <v>60</v>
      </c>
      <c r="K9" s="44">
        <v>6</v>
      </c>
      <c r="L9" s="45">
        <f>IF(is_cms,-1,-2)</f>
        <v>-1</v>
      </c>
      <c r="M9" s="46" t="s">
        <v>134</v>
      </c>
      <c r="N9" s="22">
        <f ca="1">combo6_ir_amt</f>
        <v>45</v>
      </c>
      <c r="O9" s="22">
        <f ca="1">combo6_final_time</f>
        <v>6180</v>
      </c>
      <c r="P9" s="22">
        <f>combo6_pause_time</f>
        <v>0</v>
      </c>
      <c r="Q9" s="47">
        <f ca="1">combo6_density*10</f>
        <v>258.11940884573897</v>
      </c>
      <c r="R9" s="48">
        <f t="shared" ca="1" si="1"/>
        <v>0.99877779342340967</v>
      </c>
      <c r="S9" s="47">
        <f ca="1">combo6_v1_density*10</f>
        <v>430.12677772316607</v>
      </c>
      <c r="T9" s="49">
        <f t="shared" ca="1" si="0"/>
        <v>0.9795596270511453</v>
      </c>
    </row>
    <row r="10" spans="2:20" ht="36" customHeight="1">
      <c r="B10" s="21"/>
      <c r="C10" s="22" t="str">
        <f>IF(is_cms,gd_name_cms,gd_name_gms)</f>
        <v>狂风俯冲</v>
      </c>
      <c r="D10" s="69">
        <v>20</v>
      </c>
      <c r="E10" s="70">
        <v>1</v>
      </c>
      <c r="F10" s="21"/>
      <c r="G10" s="22" t="str">
        <f>IF(is_cms,rr_name_cms,rr_name_gms)</f>
        <v>冲锋拳</v>
      </c>
      <c r="H10" s="75">
        <v>60</v>
      </c>
      <c r="K10" s="44">
        <v>7</v>
      </c>
      <c r="L10" s="45">
        <f>IF(is_cms,-4,-5)</f>
        <v>-4</v>
      </c>
      <c r="M10" s="46" t="s">
        <v>123</v>
      </c>
      <c r="N10" s="22">
        <f>combo7_ir_amt</f>
        <v>0</v>
      </c>
      <c r="O10" s="22">
        <f>combo7_final_time</f>
        <v>2040</v>
      </c>
      <c r="P10" s="22">
        <f>combo7_pause_time</f>
        <v>0</v>
      </c>
      <c r="Q10" s="47">
        <f>combo7_density*10</f>
        <v>180.63816993464047</v>
      </c>
      <c r="R10" s="48">
        <f t="shared" ca="1" si="1"/>
        <v>0.69896871987331555</v>
      </c>
      <c r="S10" s="47">
        <f>combo7_v1_density*10</f>
        <v>479.91520375816998</v>
      </c>
      <c r="T10" s="49">
        <f t="shared" ca="1" si="0"/>
        <v>1.0929465040469812</v>
      </c>
    </row>
    <row r="11" spans="2:20" ht="36" customHeight="1" thickBot="1">
      <c r="B11" s="21"/>
      <c r="C11" s="22" t="str">
        <f>IF(is_cms,rr_name_cms,rr_name_gms)</f>
        <v>冲锋拳</v>
      </c>
      <c r="D11" s="69">
        <v>10</v>
      </c>
      <c r="E11" s="70">
        <v>1</v>
      </c>
      <c r="F11" s="25"/>
      <c r="G11" s="26" t="str">
        <f>IF(is_cms,le_name_cms,le_name_gms)</f>
        <v>闪电刀刃</v>
      </c>
      <c r="H11" s="76">
        <v>60</v>
      </c>
      <c r="K11" s="44">
        <v>8</v>
      </c>
      <c r="L11" s="45">
        <f>IF(is_cms,-4,-5)</f>
        <v>-4</v>
      </c>
      <c r="M11" s="46" t="s">
        <v>124</v>
      </c>
      <c r="N11" s="22">
        <f>combo8_ir_amt</f>
        <v>0</v>
      </c>
      <c r="O11" s="22">
        <f>combo8_final_time</f>
        <v>1920</v>
      </c>
      <c r="P11" s="22">
        <f>combo8_pause_time</f>
        <v>150</v>
      </c>
      <c r="Q11" s="47">
        <f>combo8_density*10</f>
        <v>174.99263888888891</v>
      </c>
      <c r="R11" s="48">
        <f t="shared" ca="1" si="1"/>
        <v>0.67712367123557848</v>
      </c>
      <c r="S11" s="47">
        <f>combo8_v1_density*10</f>
        <v>468.82010451388885</v>
      </c>
      <c r="T11" s="49">
        <f t="shared" ca="1" si="0"/>
        <v>1.0676788112626496</v>
      </c>
    </row>
    <row r="12" spans="2:20" ht="36" customHeight="1" thickBot="1">
      <c r="B12" s="21"/>
      <c r="C12" s="22" t="str">
        <f>IF(is_cms,ab_name_cms,ab_name_gms)</f>
        <v>爆裂飞腿</v>
      </c>
      <c r="D12" s="69">
        <v>5</v>
      </c>
      <c r="E12" s="70">
        <v>1</v>
      </c>
      <c r="F12" s="58" t="str">
        <f>IF(is_cms,"六转强化核心","HEXA Enhancing Core")</f>
        <v>六转强化核心</v>
      </c>
      <c r="G12" s="59"/>
      <c r="H12" s="60"/>
      <c r="K12" s="44">
        <v>9</v>
      </c>
      <c r="L12" s="45">
        <f>IF(is_cms,-4,-5)</f>
        <v>-4</v>
      </c>
      <c r="M12" s="46" t="s">
        <v>134</v>
      </c>
      <c r="N12" s="22">
        <f ca="1">combo9_ir_amt</f>
        <v>36</v>
      </c>
      <c r="O12" s="22">
        <f ca="1">combo9_final_time</f>
        <v>5100</v>
      </c>
      <c r="P12" s="22">
        <f>combo9_pause_time</f>
        <v>0</v>
      </c>
      <c r="Q12" s="47">
        <f ca="1">combo9_density*10</f>
        <v>256.90427189542487</v>
      </c>
      <c r="R12" s="48">
        <f ca="1">Q12/Q11*R11</f>
        <v>0.99407589282876174</v>
      </c>
      <c r="S12" s="47">
        <f ca="1">combo9_v1_density*10</f>
        <v>434.00425539542488</v>
      </c>
      <c r="T12" s="49">
        <f t="shared" ca="1" si="0"/>
        <v>0.98839009466965166</v>
      </c>
    </row>
    <row r="13" spans="2:20" ht="36" customHeight="1" thickBot="1">
      <c r="B13" s="21"/>
      <c r="C13" s="22" t="str">
        <f>IF(is_cms,rm_name_cms,rm_name_gms)</f>
        <v>旋转月瀑坠击</v>
      </c>
      <c r="D13" s="69">
        <v>21</v>
      </c>
      <c r="E13" s="70">
        <v>1</v>
      </c>
      <c r="F13" s="35" t="str">
        <f>IF(is_cms,"图","I")</f>
        <v>图</v>
      </c>
      <c r="G13" s="16" t="str">
        <f>IF(is_cms,"核心","Core")</f>
        <v>核心</v>
      </c>
      <c r="H13" s="18" t="str">
        <f>IF(is_cms,"等级","Level")</f>
        <v>等级</v>
      </c>
      <c r="K13" s="44">
        <v>10</v>
      </c>
      <c r="L13" s="45">
        <v>-7</v>
      </c>
      <c r="M13" s="46" t="s">
        <v>126</v>
      </c>
      <c r="N13" s="22">
        <f>combo10_ir_amt</f>
        <v>0</v>
      </c>
      <c r="O13" s="22">
        <f>combo10_final_time</f>
        <v>1800</v>
      </c>
      <c r="P13" s="22">
        <f>combo10_pause_time</f>
        <v>0</v>
      </c>
      <c r="Q13" s="47">
        <f>combo10_density*10*(1+v2_att_fd)*(1+hv2_fd)</f>
        <v>209.00254459259259</v>
      </c>
      <c r="R13" s="48">
        <f t="shared" ca="1" si="1"/>
        <v>0.80872299081089971</v>
      </c>
      <c r="S13" s="47">
        <f>(combo10_v1_density*10-(v1_skill_amt_rate-1)*(fa_bias_pctg+irm_bias_pctg)/O13*10)*(1+v2_att_fd)*(1+hv2_fd)</f>
        <v>541.26901567259267</v>
      </c>
      <c r="T13" s="49">
        <f t="shared" ca="1" si="0"/>
        <v>1.2326720924774202</v>
      </c>
    </row>
    <row r="14" spans="2:20" ht="36" customHeight="1">
      <c r="B14" s="21"/>
      <c r="C14" s="22" t="str">
        <f>IF(is_cms,le_name_cms,le_name_gms)</f>
        <v>闪电刀刃</v>
      </c>
      <c r="D14" s="69">
        <v>31</v>
      </c>
      <c r="E14" s="70">
        <v>1</v>
      </c>
      <c r="F14" s="27"/>
      <c r="G14" s="22" t="str">
        <f>IF(is_cms,hv1_name_cms,hv1_name_gms)</f>
        <v>六转精灵元素</v>
      </c>
      <c r="H14" s="75">
        <v>30</v>
      </c>
      <c r="K14" s="44">
        <v>11</v>
      </c>
      <c r="L14" s="45">
        <v>-8</v>
      </c>
      <c r="M14" s="46" t="s">
        <v>125</v>
      </c>
      <c r="N14" s="22">
        <f>combo11_ir_amt</f>
        <v>0</v>
      </c>
      <c r="O14" s="22">
        <f>combo11_final_time</f>
        <v>1380</v>
      </c>
      <c r="P14" s="22">
        <f>combo11_pause_time</f>
        <v>0</v>
      </c>
      <c r="Q14" s="47">
        <f>combo11_density*10</f>
        <v>219.19586473429951</v>
      </c>
      <c r="R14" s="48">
        <f t="shared" ca="1" si="1"/>
        <v>0.8481654405062532</v>
      </c>
      <c r="S14" s="47">
        <f>combo11_v1_density*10</f>
        <v>578.72952864734305</v>
      </c>
      <c r="T14" s="49">
        <f t="shared" ca="1" si="0"/>
        <v>1.3179836983089182</v>
      </c>
    </row>
    <row r="15" spans="2:20" ht="36" customHeight="1" thickBot="1">
      <c r="B15" s="21"/>
      <c r="C15" s="22" t="str">
        <f>IF(is_cms,fa_name_cms,fa_name_gms)</f>
        <v>进阶终极攻击</v>
      </c>
      <c r="D15" s="69">
        <v>31</v>
      </c>
      <c r="E15" s="70">
        <v>1</v>
      </c>
      <c r="F15" s="23"/>
      <c r="G15" s="24" t="str">
        <f>IF(is_cms,hv2_name_cms,hv2_name_gms)</f>
        <v>六转希比迪亚</v>
      </c>
      <c r="H15" s="77">
        <v>0</v>
      </c>
      <c r="K15" s="50">
        <v>12</v>
      </c>
      <c r="L15" s="51">
        <v>-8</v>
      </c>
      <c r="M15" s="52" t="s">
        <v>134</v>
      </c>
      <c r="N15" s="24">
        <f ca="1">combo12_ir_amt</f>
        <v>27</v>
      </c>
      <c r="O15" s="24">
        <f ca="1">combo12_final_time</f>
        <v>4020</v>
      </c>
      <c r="P15" s="24">
        <f>combo12_pause_time</f>
        <v>0</v>
      </c>
      <c r="Q15" s="53">
        <f ca="1">combo12_density*10</f>
        <v>255.03622553897179</v>
      </c>
      <c r="R15" s="54">
        <f t="shared" ca="1" si="1"/>
        <v>0.98684759788475052</v>
      </c>
      <c r="S15" s="53">
        <f ca="1">combo12_v1_density*10</f>
        <v>439.96515390650904</v>
      </c>
      <c r="T15" s="55">
        <f t="shared" ca="1" si="0"/>
        <v>1.001965291157803</v>
      </c>
    </row>
    <row r="16" spans="2:20" ht="36" customHeight="1" thickBot="1">
      <c r="B16" s="21"/>
      <c r="C16" s="22" t="str">
        <f>IF(is_cms,v1_tree_name_cms,v1_tree_name_gms)</f>
        <v>精灵元素樱花树</v>
      </c>
      <c r="D16" s="69">
        <v>30</v>
      </c>
      <c r="E16" s="70">
        <v>1</v>
      </c>
      <c r="F16" s="63" t="str">
        <f>IF(is_cms,"参数","Params")</f>
        <v>参数</v>
      </c>
      <c r="G16" s="64"/>
      <c r="H16" s="65"/>
    </row>
    <row r="17" spans="2:8" ht="36" customHeight="1">
      <c r="B17" s="21"/>
      <c r="C17" s="22" t="str">
        <f>IF(is_cms,h1_deer_name_cms,h1_deer_name_gms)</f>
        <v>精灵王的形象</v>
      </c>
      <c r="D17" s="72">
        <v>2</v>
      </c>
      <c r="E17" s="70">
        <v>1</v>
      </c>
      <c r="F17" s="28"/>
      <c r="G17" s="29" t="str">
        <f>IF(is_cms,"服务器","Server")</f>
        <v>服务器</v>
      </c>
      <c r="H17" s="74" t="s">
        <v>104</v>
      </c>
    </row>
    <row r="18" spans="2:8" ht="36" customHeight="1">
      <c r="B18" s="21"/>
      <c r="C18" s="22" t="str">
        <f>IF(is_cms,h1_addeer_name_cms,h1_addeer_name_gms)</f>
        <v>精灵王的形象-强化</v>
      </c>
      <c r="D18" s="72"/>
      <c r="E18" s="70">
        <v>1</v>
      </c>
      <c r="F18" s="30"/>
      <c r="G18" s="31" t="str">
        <f>IF(is_cms,"希比迪亚攻击力百分比等效终伤","Final Damage from
Attack Percentage of V2")</f>
        <v>希比迪亚攻击力百分比等效终伤</v>
      </c>
      <c r="H18" s="78">
        <v>0.16</v>
      </c>
    </row>
    <row r="19" spans="2:8" ht="36" customHeight="1">
      <c r="B19" s="21"/>
      <c r="C19" s="22" t="str">
        <f>IF(is_cms,hir_name_cms,hir_name_gms)</f>
        <v>伊师塔之环VI</v>
      </c>
      <c r="D19" s="72">
        <v>30</v>
      </c>
      <c r="E19" s="70">
        <v>1.1000000000000001</v>
      </c>
      <c r="F19" s="30"/>
      <c r="G19" s="32"/>
      <c r="H19" s="79"/>
    </row>
    <row r="20" spans="2:8" ht="36" customHeight="1">
      <c r="B20" s="21"/>
      <c r="C20" s="22" t="str">
        <f>IF(is_cms,irm_name_cms,irm_name_gms)</f>
        <v>伊师塔的烙印</v>
      </c>
      <c r="D20" s="72"/>
      <c r="E20" s="70">
        <v>1</v>
      </c>
      <c r="F20" s="30"/>
      <c r="G20" s="32"/>
      <c r="H20" s="79"/>
    </row>
    <row r="21" spans="2:8" ht="36" customHeight="1" thickBot="1">
      <c r="B21" s="23"/>
      <c r="C21" s="24" t="str">
        <f>IF(is_cms,irmc_name_cms,irmc_name_gms)</f>
        <v>伊师塔烙印完成</v>
      </c>
      <c r="D21" s="73"/>
      <c r="E21" s="71">
        <v>1</v>
      </c>
      <c r="F21" s="33"/>
      <c r="G21" s="34"/>
      <c r="H21" s="80"/>
    </row>
    <row r="22" spans="2:8" ht="19.95" customHeight="1">
      <c r="E22" s="12"/>
      <c r="H22" s="13"/>
    </row>
    <row r="23" spans="2:8" ht="30" customHeight="1">
      <c r="E23" s="12"/>
      <c r="H23" s="13"/>
    </row>
    <row r="24" spans="2:8" ht="30" customHeight="1">
      <c r="H24" s="13"/>
    </row>
    <row r="25" spans="2:8" ht="30" customHeight="1">
      <c r="H25" s="13"/>
    </row>
    <row r="26" spans="2:8" ht="30" customHeight="1">
      <c r="H26" s="13"/>
    </row>
    <row r="27" spans="2:8" ht="30" customHeight="1">
      <c r="H27" s="13"/>
    </row>
  </sheetData>
  <sheetProtection algorithmName="SHA-512" hashValue="nlzzbyiElMgbW4P4GRxCmIZVS/cAAUCzYqk/30zdY88BZkNy204PjXLdbp2AiC5tioEGx3np846+yqKllsRqyA==" saltValue="0F4VxEtNElOmY36aaTdYeQ==" spinCount="100000" sheet="1" objects="1" scenarios="1"/>
  <dataConsolidate/>
  <mergeCells count="7">
    <mergeCell ref="K2:T2"/>
    <mergeCell ref="D17:D18"/>
    <mergeCell ref="D19:D21"/>
    <mergeCell ref="F2:H2"/>
    <mergeCell ref="B2:E2"/>
    <mergeCell ref="F16:H16"/>
    <mergeCell ref="F12:H12"/>
  </mergeCells>
  <phoneticPr fontId="1" type="noConversion"/>
  <conditionalFormatting sqref="P4:P15">
    <cfRule type="cellIs" dxfId="0" priority="1" operator="greaterThan">
      <formula>0</formula>
    </cfRule>
  </conditionalFormatting>
  <dataValidations count="2">
    <dataValidation allowBlank="1" showErrorMessage="1" promptTitle="服务器" prompt="服务器" sqref="A3" xr:uid="{AB0288BA-DE9F-410B-9E25-342341760D9E}"/>
    <dataValidation type="list" allowBlank="1" showInputMessage="1" showErrorMessage="1" sqref="H17" xr:uid="{16E70C8D-3F80-4DDF-9458-D9D7FCB5A4D0}">
      <formula1>"CMS,GMS"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4FA1-6D61-4E83-8FD1-0F6EB108FDC0}">
  <dimension ref="A2:D15"/>
  <sheetViews>
    <sheetView workbookViewId="0"/>
  </sheetViews>
  <sheetFormatPr defaultColWidth="15.77734375" defaultRowHeight="19.95" customHeight="1"/>
  <cols>
    <col min="1" max="1" width="15.77734375" style="1"/>
    <col min="2" max="2" width="20.77734375" style="1" customWidth="1"/>
    <col min="3" max="16384" width="15.77734375" style="1"/>
  </cols>
  <sheetData>
    <row r="2" spans="1:4" ht="19.95" customHeight="1">
      <c r="A2" s="1" t="s">
        <v>20</v>
      </c>
      <c r="B2" s="1" t="s">
        <v>17</v>
      </c>
      <c r="C2" s="1" t="s">
        <v>18</v>
      </c>
      <c r="D2" s="1" t="s">
        <v>19</v>
      </c>
    </row>
    <row r="3" spans="1:4" ht="19.95" customHeight="1">
      <c r="A3" s="1" t="s">
        <v>21</v>
      </c>
      <c r="B3" s="1" t="s">
        <v>3</v>
      </c>
      <c r="C3" s="1">
        <v>900</v>
      </c>
      <c r="D3" s="1">
        <v>270</v>
      </c>
    </row>
    <row r="4" spans="1:4" ht="19.95" customHeight="1">
      <c r="A4" s="1" t="s">
        <v>22</v>
      </c>
      <c r="B4" s="1" t="s">
        <v>4</v>
      </c>
      <c r="C4" s="1">
        <v>630</v>
      </c>
      <c r="D4" s="1">
        <v>450</v>
      </c>
    </row>
    <row r="5" spans="1:4" ht="19.95" customHeight="1">
      <c r="A5" s="1" t="s">
        <v>23</v>
      </c>
      <c r="B5" s="1" t="s">
        <v>5</v>
      </c>
      <c r="C5" s="1">
        <v>810</v>
      </c>
      <c r="D5" s="1">
        <v>600</v>
      </c>
    </row>
    <row r="6" spans="1:4" ht="19.95" customHeight="1">
      <c r="A6" s="1" t="s">
        <v>24</v>
      </c>
      <c r="B6" s="1" t="s">
        <v>6</v>
      </c>
      <c r="C6" s="1">
        <v>870</v>
      </c>
      <c r="D6" s="1">
        <v>870</v>
      </c>
    </row>
    <row r="7" spans="1:4" ht="19.95" customHeight="1">
      <c r="A7" s="1" t="s">
        <v>25</v>
      </c>
      <c r="B7" s="1" t="s">
        <v>7</v>
      </c>
      <c r="C7" s="1">
        <v>750</v>
      </c>
      <c r="D7" s="1">
        <v>480</v>
      </c>
    </row>
    <row r="8" spans="1:4" ht="19.95" customHeight="1">
      <c r="A8" s="1" t="s">
        <v>26</v>
      </c>
      <c r="B8" s="1" t="s">
        <v>8</v>
      </c>
      <c r="C8" s="1">
        <v>690</v>
      </c>
      <c r="D8" s="1">
        <v>630</v>
      </c>
    </row>
    <row r="9" spans="1:4" ht="19.95" customHeight="1">
      <c r="A9" s="1" t="s">
        <v>27</v>
      </c>
      <c r="B9" s="1" t="s">
        <v>9</v>
      </c>
      <c r="C9" s="1">
        <v>540</v>
      </c>
      <c r="D9" s="1">
        <v>300</v>
      </c>
    </row>
    <row r="10" spans="1:4" ht="19.95" customHeight="1">
      <c r="A10" s="1" t="s">
        <v>28</v>
      </c>
      <c r="B10" s="1" t="s">
        <v>10</v>
      </c>
      <c r="C10" s="1">
        <v>660</v>
      </c>
      <c r="D10" s="1">
        <v>660</v>
      </c>
    </row>
    <row r="11" spans="1:4" ht="19.95" customHeight="1">
      <c r="A11" s="1" t="s">
        <v>29</v>
      </c>
      <c r="B11" s="1" t="s">
        <v>11</v>
      </c>
      <c r="C11" s="1">
        <v>840</v>
      </c>
      <c r="D11" s="1">
        <v>840</v>
      </c>
    </row>
    <row r="12" spans="1:4" ht="19.95" customHeight="1">
      <c r="A12" s="1" t="s">
        <v>30</v>
      </c>
      <c r="B12" s="1" t="s">
        <v>12</v>
      </c>
      <c r="C12" s="1">
        <v>840</v>
      </c>
      <c r="D12" s="1">
        <v>810</v>
      </c>
    </row>
    <row r="13" spans="1:4" ht="19.95" customHeight="1">
      <c r="A13" s="1" t="s">
        <v>31</v>
      </c>
      <c r="B13" s="1" t="s">
        <v>86</v>
      </c>
      <c r="C13" s="1">
        <v>90</v>
      </c>
      <c r="D13" s="1">
        <v>90</v>
      </c>
    </row>
    <row r="14" spans="1:4" ht="19.95" customHeight="1">
      <c r="A14" s="1" t="s">
        <v>31</v>
      </c>
      <c r="B14" s="1" t="s">
        <v>97</v>
      </c>
      <c r="C14" s="1">
        <v>120</v>
      </c>
      <c r="D14" s="1">
        <v>120</v>
      </c>
    </row>
    <row r="15" spans="1:4" ht="19.95" customHeight="1">
      <c r="A15" s="1" t="s">
        <v>31</v>
      </c>
      <c r="B15" s="1" t="s">
        <v>100</v>
      </c>
      <c r="C15" s="1">
        <v>0</v>
      </c>
      <c r="D15" s="1">
        <v>0</v>
      </c>
    </row>
  </sheetData>
  <sheetProtection algorithmName="SHA-512" hashValue="7nfxvOGRU3Wm30EL0n3Sp2+TT4907m+VuGJBvUlRwrgM0toHuZdf55SgBiw1hqfSsZbCy+fZIdGkERCYoduvqA==" saltValue="B3EUfK88rUy2bcVO5qLK/A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1107-A7C8-4A72-A518-B93E7518AA9E}">
  <dimension ref="B2:Q92"/>
  <sheetViews>
    <sheetView workbookViewId="0"/>
  </sheetViews>
  <sheetFormatPr defaultColWidth="20.77734375" defaultRowHeight="19.95" customHeight="1"/>
  <cols>
    <col min="1" max="16384" width="20.77734375" style="1"/>
  </cols>
  <sheetData>
    <row r="2" spans="2:17" ht="19.95" customHeight="1">
      <c r="B2" s="1" t="s">
        <v>32</v>
      </c>
      <c r="C2" s="1" t="s">
        <v>33</v>
      </c>
      <c r="F2" s="1" t="s">
        <v>99</v>
      </c>
      <c r="G2" s="1" t="s">
        <v>101</v>
      </c>
      <c r="H2" s="1" t="s">
        <v>102</v>
      </c>
      <c r="I2" s="1" t="s">
        <v>105</v>
      </c>
      <c r="J2" s="1" t="s">
        <v>113</v>
      </c>
      <c r="K2" s="1" t="s">
        <v>108</v>
      </c>
      <c r="L2" s="1" t="s">
        <v>113</v>
      </c>
      <c r="N2" s="7" t="s">
        <v>0</v>
      </c>
      <c r="O2" s="8" t="str">
        <f>IF(is_cms,"单技能综合伤害密度","Single Skill Comprehensive Percentage Density")</f>
        <v>单技能综合伤害密度</v>
      </c>
      <c r="P2" s="8" t="s">
        <v>0</v>
      </c>
      <c r="Q2" s="8" t="str">
        <f>IF(is_cms,"V1单技能综合伤害密度","V1 Single Skill Comprehensive Percentage Density")</f>
        <v>V1单技能综合伤害密度</v>
      </c>
    </row>
    <row r="3" spans="2:17" ht="19.95" customHeight="1">
      <c r="B3" s="1" t="s">
        <v>34</v>
      </c>
      <c r="C3" s="1" t="b">
        <f>EXACT(Main!H17,"CMS")</f>
        <v>1</v>
      </c>
      <c r="E3" s="1" t="s">
        <v>31</v>
      </c>
      <c r="F3" s="1">
        <f>(256+2*ir_level)*2*(1+0.02*vir_level)*ir_extra_fd</f>
        <v>1399.2</v>
      </c>
      <c r="N3" s="6" t="str">
        <f>IF(is_cms, we_name_cms, we_name_gms)</f>
        <v>艾琳之怒</v>
      </c>
      <c r="O3" s="1">
        <f>we_tpctg_density</f>
        <v>57.980749206349216</v>
      </c>
      <c r="P3" s="6" t="str">
        <f>IF(is_cms, we_name_cms, we_name_gms)</f>
        <v>艾琳之怒</v>
      </c>
      <c r="Q3" s="1">
        <f>we_v1_tpctg_density</f>
        <v>140.06969577777781</v>
      </c>
    </row>
    <row r="4" spans="2:17" ht="19.95" customHeight="1">
      <c r="B4" s="1" t="s">
        <v>98</v>
      </c>
      <c r="C4" s="1">
        <f>IF(is_cms,12,10)</f>
        <v>12</v>
      </c>
      <c r="E4" s="1" t="s">
        <v>21</v>
      </c>
      <c r="F4" s="1">
        <f>515*10*(1+0.02*vwe_level)*we_extra_fd</f>
        <v>11330.000000000002</v>
      </c>
      <c r="G4" s="1">
        <f>_xlfn.CEILING.MATH(we_odelay*speed/480)*30</f>
        <v>690</v>
      </c>
      <c r="H4" s="1">
        <f>_xlfn.CEILING.MATH(we_ocdelay*speed/480)*30</f>
        <v>210</v>
      </c>
      <c r="I4" s="1">
        <f t="shared" ref="I4:I13" si="0">F4+fa_bias_pctg+irm_bias_pctg</f>
        <v>12175.957333333336</v>
      </c>
      <c r="J4" s="1">
        <f>I4/H4</f>
        <v>57.980749206349216</v>
      </c>
      <c r="K4" s="1">
        <f t="shared" ref="K4:K13" si="1">F4*v1_skill_pctg_rate+v1_skill_amt_rate*(fa_bias_pctg+irm_bias_pctg)</f>
        <v>29414.636113333338</v>
      </c>
      <c r="L4" s="1">
        <f>K4/H4</f>
        <v>140.06969577777781</v>
      </c>
      <c r="N4" s="6" t="str">
        <f>IF(is_cms,hir_name_cms,hir_name_gms)</f>
        <v>伊师塔之环VI</v>
      </c>
      <c r="O4" s="1">
        <f>hir_tpctg_density</f>
        <v>26.385755555555555</v>
      </c>
      <c r="P4" s="6" t="str">
        <f>IF(is_cms,hir_name_cms,hir_name_gms)</f>
        <v>伊师塔之环VI</v>
      </c>
      <c r="Q4" s="1">
        <f>hir_v1_tpctg_density</f>
        <v>40.029646649305548</v>
      </c>
    </row>
    <row r="5" spans="2:17" ht="19.95" customHeight="1">
      <c r="B5" s="1" t="s">
        <v>78</v>
      </c>
      <c r="C5" s="5">
        <f>(fa_level+45)/100</f>
        <v>0.76</v>
      </c>
      <c r="E5" s="1" t="s">
        <v>22</v>
      </c>
      <c r="F5" s="1">
        <f>(406+5*ss_level)*4*(1+0.02*vss_level)*ss_extra_fd</f>
        <v>4012.8</v>
      </c>
      <c r="G5" s="1">
        <f>_xlfn.CEILING.MATH(ss_odelay*speed/480)*30</f>
        <v>480</v>
      </c>
      <c r="H5" s="1">
        <f>_xlfn.CEILING.MATH(ss_ocdelay*speed/480)*30</f>
        <v>360</v>
      </c>
      <c r="I5" s="1">
        <f t="shared" si="0"/>
        <v>4858.757333333333</v>
      </c>
      <c r="J5" s="1">
        <f t="shared" ref="J5:J13" si="2">I5/H5</f>
        <v>13.496548148148147</v>
      </c>
      <c r="K5" s="1">
        <f t="shared" si="1"/>
        <v>11972.260613333334</v>
      </c>
      <c r="L5" s="1">
        <f t="shared" ref="L5:L13" si="3">K5/H5</f>
        <v>33.256279481481485</v>
      </c>
      <c r="N5" s="6" t="str">
        <f>IF(is_cms,us_name_cms, us_name_gms)</f>
        <v>独角兽之角</v>
      </c>
      <c r="O5" s="1">
        <f>us_tpctg_density</f>
        <v>18.567905185185182</v>
      </c>
      <c r="P5" s="6" t="str">
        <f>IF(is_cms,us_name_cms, us_name_gms)</f>
        <v>独角兽之角</v>
      </c>
      <c r="Q5" s="1">
        <f>us_v1_tpctg_density</f>
        <v>45.128350251851849</v>
      </c>
    </row>
    <row r="6" spans="2:17" ht="19.95" customHeight="1">
      <c r="B6" s="1" t="s">
        <v>89</v>
      </c>
      <c r="C6" s="5">
        <v>0.9</v>
      </c>
      <c r="E6" s="1" t="s">
        <v>23</v>
      </c>
      <c r="F6" s="1">
        <f>(265+4*us_level+40+2*ir_level)*6*(1+0.03*vus_level)*us_extra_fd</f>
        <v>7509.5999999999995</v>
      </c>
      <c r="G6" s="1">
        <f>_xlfn.CEILING.MATH(us_odelay*speed/480)*30</f>
        <v>630</v>
      </c>
      <c r="H6" s="1">
        <f>_xlfn.CEILING.MATH(us_ocdelay*speed/480)*30</f>
        <v>450</v>
      </c>
      <c r="I6" s="1">
        <f t="shared" si="0"/>
        <v>8355.5573333333323</v>
      </c>
      <c r="J6" s="1">
        <f t="shared" si="2"/>
        <v>18.567905185185182</v>
      </c>
      <c r="K6" s="1">
        <f t="shared" si="1"/>
        <v>20307.757613333331</v>
      </c>
      <c r="L6" s="1">
        <f t="shared" si="3"/>
        <v>45.128350251851849</v>
      </c>
      <c r="N6" s="6" t="str">
        <f>IF(is_cms,lt_name_cms,lt_name_gms)</f>
        <v>飞叶龙卷风</v>
      </c>
      <c r="O6" s="1">
        <f>lt_tpctg_density</f>
        <v>13.838770370370369</v>
      </c>
      <c r="P6" s="6" t="str">
        <f>IF(is_cms,lt_name_cms,lt_name_gms)</f>
        <v>飞叶龙卷风</v>
      </c>
      <c r="Q6" s="1">
        <f>lt_v1_tpctg_density</f>
        <v>34.072051703703707</v>
      </c>
    </row>
    <row r="7" spans="2:17" ht="19.95" customHeight="1">
      <c r="B7" s="1" t="s">
        <v>109</v>
      </c>
      <c r="C7" s="1">
        <f>1+v1_shadow_rate+v1_shadow_rate*(v1_shadow_rate-0.2)+v1_shadow_rate*(v1_shadow_rate-0.2)*(v1_shadow_rate-0.4)</f>
        <v>2.8449999999999998</v>
      </c>
      <c r="E7" s="1" t="s">
        <v>24</v>
      </c>
      <c r="F7" s="1">
        <f>(430+10*sr_level)*4*(1+0.02*vsr_level)*sr_extra_fd</f>
        <v>5632</v>
      </c>
      <c r="G7" s="1">
        <f>_xlfn.CEILING.MATH(sr_odelay*speed/480)*30</f>
        <v>660</v>
      </c>
      <c r="H7" s="1">
        <f>_xlfn.CEILING.MATH(sr_ocdelay*speed/480)*30</f>
        <v>660</v>
      </c>
      <c r="I7" s="1">
        <f t="shared" si="0"/>
        <v>6477.9573333333328</v>
      </c>
      <c r="J7" s="1">
        <f t="shared" si="2"/>
        <v>9.8150868686868673</v>
      </c>
      <c r="K7" s="1">
        <f t="shared" si="1"/>
        <v>15832.028613333334</v>
      </c>
      <c r="L7" s="1">
        <f t="shared" si="3"/>
        <v>23.987922141414142</v>
      </c>
      <c r="N7" s="6" t="str">
        <f>IF(is_cms, ss_name_cms, ss_name_gms)</f>
        <v>急袭双杀</v>
      </c>
      <c r="O7" s="1">
        <f>ss_tpctg_density</f>
        <v>13.496548148148147</v>
      </c>
      <c r="P7" s="6" t="str">
        <f>IF(is_cms, ss_name_cms, ss_name_gms)</f>
        <v>急袭双杀</v>
      </c>
      <c r="Q7" s="1">
        <f>ss_v1_tpctg_density</f>
        <v>33.256279481481485</v>
      </c>
    </row>
    <row r="8" spans="2:17" ht="19.95" customHeight="1">
      <c r="B8" s="1" t="s">
        <v>110</v>
      </c>
      <c r="C8" s="1">
        <f>1+(v1_skill_amt_rate-1)*v1_shadow_fd</f>
        <v>2.38375</v>
      </c>
      <c r="E8" s="1" t="s">
        <v>25</v>
      </c>
      <c r="F8" s="1">
        <f>(180+4*lt_level+126+4*sr_level)*4*(1+0.02*vlt_level)*lt_extra_fd</f>
        <v>4136</v>
      </c>
      <c r="G8" s="1">
        <f>_xlfn.CEILING.MATH(lt_odelay*speed/480)*30</f>
        <v>570</v>
      </c>
      <c r="H8" s="1">
        <f>_xlfn.CEILING.MATH(lt_ocdelay*speed/480)*30</f>
        <v>360</v>
      </c>
      <c r="I8" s="1">
        <f t="shared" si="0"/>
        <v>4981.9573333333328</v>
      </c>
      <c r="J8" s="1">
        <f t="shared" si="2"/>
        <v>13.838770370370369</v>
      </c>
      <c r="K8" s="1">
        <f t="shared" si="1"/>
        <v>12265.938613333334</v>
      </c>
      <c r="L8" s="1">
        <f t="shared" si="3"/>
        <v>34.072051703703707</v>
      </c>
      <c r="N8" s="6" t="str">
        <f>IF(is_cms,rr_name_cms,rr_name_gms)</f>
        <v>冲锋拳</v>
      </c>
      <c r="O8" s="1">
        <f>rr_tpctg_density</f>
        <v>13.553155555555557</v>
      </c>
      <c r="P8" s="6" t="str">
        <f>IF(is_cms,rr_name_cms,rr_name_gms)</f>
        <v>冲锋拳</v>
      </c>
      <c r="Q8" s="1">
        <f>rr_v1_tpctg_density</f>
        <v>33.933158805555557</v>
      </c>
    </row>
    <row r="9" spans="2:17" ht="19.95" customHeight="1">
      <c r="B9" s="1" t="s">
        <v>111</v>
      </c>
      <c r="C9" s="1">
        <f>1+v1_shadow_rate/2+v1_shadow_rate/2*(v1_shadow_rate/2-0.1)+v1_shadow_rate/2*(v1_shadow_rate/2-0.1)*(v1_shadow_rate/2-0.2)</f>
        <v>1.6468749999999999</v>
      </c>
      <c r="E9" s="1" t="s">
        <v>26</v>
      </c>
      <c r="F9" s="1">
        <f>(220+3*gd_level+147+3*le_level)*4*(1+0.02*vlt_level)*gd_extra_fd</f>
        <v>4576</v>
      </c>
      <c r="G9" s="1">
        <f>_xlfn.CEILING.MATH(gd_odelay*speed/480)*30</f>
        <v>540</v>
      </c>
      <c r="H9" s="1">
        <f>_xlfn.CEILING.MATH(gd_ocdelay*speed/480)*30</f>
        <v>480</v>
      </c>
      <c r="I9" s="1">
        <f t="shared" si="0"/>
        <v>5421.9573333333328</v>
      </c>
      <c r="J9" s="1">
        <f t="shared" si="2"/>
        <v>11.295744444444443</v>
      </c>
      <c r="K9" s="1">
        <f t="shared" si="1"/>
        <v>13314.788613333334</v>
      </c>
      <c r="L9" s="1">
        <f t="shared" si="3"/>
        <v>27.739142944444446</v>
      </c>
      <c r="N9" s="6" t="str">
        <f>IF(is_cms,gd_name_cms,gd_name_gms)</f>
        <v>狂风俯冲</v>
      </c>
      <c r="O9" s="1">
        <f>gd_tpctg_density</f>
        <v>11.295744444444443</v>
      </c>
      <c r="P9" s="6" t="str">
        <f>IF(is_cms,gd_name_cms,gd_name_gms)</f>
        <v>狂风俯冲</v>
      </c>
      <c r="Q9" s="1">
        <f>gd_v1_tpctg_density</f>
        <v>27.739142944444446</v>
      </c>
    </row>
    <row r="10" spans="2:17" ht="19.95" customHeight="1">
      <c r="B10" s="1" t="s">
        <v>112</v>
      </c>
      <c r="C10" s="1">
        <f>1+(v1_ir_amt_rate-1)*v1_shadow_fd</f>
        <v>1.48515625</v>
      </c>
      <c r="E10" s="1" t="s">
        <v>27</v>
      </c>
      <c r="F10" s="1">
        <f>(150+10*rr_level+50+10*ab_level+155+2*rm_level)*2*(1+0.02*vrr_level)*rr_extra_fd</f>
        <v>2406.8000000000002</v>
      </c>
      <c r="G10" s="1">
        <f>_xlfn.CEILING.MATH(rr_odelay*speed/480)*30</f>
        <v>420</v>
      </c>
      <c r="H10" s="1">
        <f>_xlfn.CEILING.MATH(rr_ocdelay*speed/480)*30</f>
        <v>240</v>
      </c>
      <c r="I10" s="1">
        <f t="shared" si="0"/>
        <v>3252.7573333333339</v>
      </c>
      <c r="J10" s="1">
        <f t="shared" si="2"/>
        <v>13.553155555555557</v>
      </c>
      <c r="K10" s="1">
        <f t="shared" si="1"/>
        <v>8143.958113333334</v>
      </c>
      <c r="L10" s="1">
        <f t="shared" si="3"/>
        <v>33.933158805555557</v>
      </c>
      <c r="N10" s="6" t="str">
        <f>IF(is_cms,sr_name_cms,sr_name_gms)</f>
        <v>传说之矛</v>
      </c>
      <c r="O10" s="1">
        <f>sr_tpctg_density</f>
        <v>9.8150868686868673</v>
      </c>
      <c r="P10" s="6" t="str">
        <f>IF(is_cms,sr_name_cms,sr_name_gms)</f>
        <v>传说之矛</v>
      </c>
      <c r="Q10" s="1">
        <f>sr_v1_tpctg_density</f>
        <v>23.987922141414142</v>
      </c>
    </row>
    <row r="11" spans="2:17" ht="19.95" customHeight="1">
      <c r="B11" s="1" t="s">
        <v>85</v>
      </c>
      <c r="C11" s="5">
        <f>(v1_level+30+_xlfn.CEILING.MATH(hv1_level/2))/100</f>
        <v>0.75</v>
      </c>
      <c r="E11" s="1" t="s">
        <v>28</v>
      </c>
      <c r="F11" s="1">
        <f>(95+2*ab_level+155+2*rm_level)*6*(1+0.02*vrr_level)*ab_extra_fd</f>
        <v>3986.4000000000005</v>
      </c>
      <c r="G11" s="1">
        <f>_xlfn.CEILING.MATH(ab_odelay*speed/480)*30</f>
        <v>510</v>
      </c>
      <c r="H11" s="1">
        <f>_xlfn.CEILING.MATH(ab_ocdelay*speed/480)*30</f>
        <v>510</v>
      </c>
      <c r="I11" s="1">
        <f t="shared" si="0"/>
        <v>4832.3573333333334</v>
      </c>
      <c r="J11" s="1">
        <f t="shared" si="2"/>
        <v>9.4752104575163401</v>
      </c>
      <c r="K11" s="1">
        <f t="shared" si="1"/>
        <v>11909.329613333335</v>
      </c>
      <c r="L11" s="1">
        <f t="shared" si="3"/>
        <v>23.351626692810463</v>
      </c>
      <c r="N11" s="6" t="str">
        <f>IF(is_cms,ab_name_cms,ab_name_gms)</f>
        <v>爆裂飞腿</v>
      </c>
      <c r="O11" s="1">
        <f>ab_tpctg_density</f>
        <v>9.4752104575163401</v>
      </c>
      <c r="P11" s="6" t="str">
        <f>IF(is_cms,ab_name_cms,ab_name_gms)</f>
        <v>爆裂飞腿</v>
      </c>
      <c r="Q11" s="1">
        <f>ab_v1_tpctg_density</f>
        <v>23.351626692810463</v>
      </c>
    </row>
    <row r="12" spans="2:17" ht="19.95" customHeight="1">
      <c r="B12" s="1" t="s">
        <v>88</v>
      </c>
      <c r="C12" s="5">
        <f>IF(hv1_level=0,0,10+hv1_level+IF(hv1_level&gt;=10,5,0)+IF(hv1_level&gt;=20,5,0)+IF(hv1_level&gt;=30,10,0))/100</f>
        <v>0.6</v>
      </c>
      <c r="E12" s="1" t="s">
        <v>29</v>
      </c>
      <c r="F12" s="1">
        <f>(300+3*rm_level)*6*(1+0.02*vrr_level)*rm_extra_fd</f>
        <v>4791.6000000000004</v>
      </c>
      <c r="G12" s="1">
        <f>_xlfn.CEILING.MATH(rm_odelay*speed/480)*30</f>
        <v>630</v>
      </c>
      <c r="H12" s="1">
        <f>_xlfn.CEILING.MATH(rm_ocdelay*speed/480)*30</f>
        <v>630</v>
      </c>
      <c r="I12" s="1">
        <f t="shared" si="0"/>
        <v>5637.5573333333332</v>
      </c>
      <c r="J12" s="1">
        <f t="shared" si="2"/>
        <v>8.9485037037037038</v>
      </c>
      <c r="K12" s="1">
        <f t="shared" si="1"/>
        <v>13828.725113333334</v>
      </c>
      <c r="L12" s="1">
        <f t="shared" si="3"/>
        <v>21.950357322751323</v>
      </c>
      <c r="N12" s="6" t="str">
        <f>IF(is_cms,rm_name_cms,rm_name_gms)</f>
        <v>旋转月瀑坠击</v>
      </c>
      <c r="O12" s="1">
        <f>rm_tpctg_density</f>
        <v>8.9485037037037038</v>
      </c>
      <c r="P12" s="6" t="str">
        <f>IF(is_cms,rm_name_cms,rm_name_gms)</f>
        <v>旋转月瀑坠击</v>
      </c>
      <c r="Q12" s="1">
        <f>rm_v1_tpctg_density</f>
        <v>21.950357322751323</v>
      </c>
    </row>
    <row r="13" spans="2:17" ht="19.95" customHeight="1">
      <c r="B13" s="1" t="s">
        <v>103</v>
      </c>
      <c r="C13" s="5">
        <f>_xlfn.CEILING.MATH(hv2_level/6)/100</f>
        <v>0</v>
      </c>
      <c r="E13" s="1" t="s">
        <v>30</v>
      </c>
      <c r="F13" s="1">
        <f>(270+5*le_level)*3*(1+0.02*vle_level)*le_extra_fd</f>
        <v>2805</v>
      </c>
      <c r="G13" s="1">
        <f>_xlfn.CEILING.MATH(le_odelay*speed/480)*30</f>
        <v>630</v>
      </c>
      <c r="H13" s="1">
        <f>_xlfn.CEILING.MATH(le_ocdelay*speed/480)*30</f>
        <v>630</v>
      </c>
      <c r="I13" s="1">
        <f t="shared" si="0"/>
        <v>3650.9573333333337</v>
      </c>
      <c r="J13" s="1">
        <f t="shared" si="2"/>
        <v>5.7951703703703714</v>
      </c>
      <c r="K13" s="1">
        <f t="shared" si="1"/>
        <v>9093.1673633333339</v>
      </c>
      <c r="L13" s="1">
        <f t="shared" si="3"/>
        <v>14.433598989417991</v>
      </c>
      <c r="N13" s="6" t="str">
        <f>IF(is_cms,le_name_cms,le_name_gms)</f>
        <v>闪电刀刃</v>
      </c>
      <c r="O13" s="1">
        <f>le_tpctg_density</f>
        <v>5.7951703703703714</v>
      </c>
      <c r="P13" s="6" t="str">
        <f>IF(is_cms,le_name_cms,le_name_gms)</f>
        <v>闪电刀刃</v>
      </c>
      <c r="Q13" s="1">
        <f>le_v1_tpctg_density</f>
        <v>14.433598989417991</v>
      </c>
    </row>
    <row r="14" spans="2:17" ht="19.95" customHeight="1">
      <c r="B14" s="1" t="s">
        <v>106</v>
      </c>
      <c r="C14" s="1">
        <f>fa_rate*fa_pctg</f>
        <v>404.62400000000008</v>
      </c>
      <c r="E14" s="1" t="s">
        <v>91</v>
      </c>
      <c r="F14" s="1">
        <f>(90+fa_level)*2*(1+0.02*vss_level)*fa_extra_fd</f>
        <v>532.40000000000009</v>
      </c>
    </row>
    <row r="15" spans="2:17" ht="19.95" customHeight="1">
      <c r="B15" s="1" t="s">
        <v>107</v>
      </c>
      <c r="C15" s="1">
        <f>(0.8*irm_pctg+0.2*irmc_pctg)/6</f>
        <v>441.33333333333331</v>
      </c>
      <c r="E15" s="1" t="s">
        <v>92</v>
      </c>
      <c r="F15" s="1">
        <f>(450+15*v1_level)*8*(1+v1_tree_hv1_extra_fd)*v1_tree_extra_fd</f>
        <v>11520</v>
      </c>
    </row>
    <row r="16" spans="2:17" ht="19.95" customHeight="1">
      <c r="B16" s="1" t="s">
        <v>119</v>
      </c>
      <c r="C16" s="1">
        <v>150</v>
      </c>
      <c r="E16" s="1" t="s">
        <v>93</v>
      </c>
      <c r="F16" s="1">
        <f>(2700+90*h1_level)*10*h1_deer_extra_fd</f>
        <v>28800</v>
      </c>
    </row>
    <row r="17" spans="2:12" ht="19.95" customHeight="1">
      <c r="B17" s="1" t="s">
        <v>144</v>
      </c>
      <c r="C17" s="1">
        <v>210</v>
      </c>
      <c r="E17" s="1" t="s">
        <v>94</v>
      </c>
      <c r="F17" s="1">
        <f>(3600+120*h1_level)*12*h1_addeer_extra_fd</f>
        <v>46080</v>
      </c>
    </row>
    <row r="18" spans="2:12" ht="19.95" customHeight="1">
      <c r="B18" s="1" t="s">
        <v>140</v>
      </c>
      <c r="C18" s="5">
        <v>0.06</v>
      </c>
      <c r="E18" s="1" t="s">
        <v>90</v>
      </c>
      <c r="F18" s="1">
        <f>IF(hir_level&gt;0,(345+6*hir_level)*2*(1+0.02*vir_level)*hir_extra_fd,ir_pctg)</f>
        <v>2541</v>
      </c>
      <c r="G18" s="1">
        <v>120</v>
      </c>
      <c r="H18" s="1">
        <v>120</v>
      </c>
      <c r="I18" s="1">
        <f>hir_pctg+fa_bias_pctg+irm_bias_pctg/2</f>
        <v>3166.2906666666668</v>
      </c>
      <c r="J18" s="1">
        <f t="shared" ref="J18" si="4">I18/H18</f>
        <v>26.385755555555555</v>
      </c>
      <c r="K18" s="1">
        <f>F18*v1_ir_pctg_rate+v1_ir_amt_rate*(fa_bias_pctg+irm_bias_pctg/2)</f>
        <v>4803.5575979166661</v>
      </c>
      <c r="L18" s="1">
        <f t="shared" ref="L18" si="5">K18/H18</f>
        <v>40.029646649305548</v>
      </c>
    </row>
    <row r="19" spans="2:12" ht="19.95" customHeight="1">
      <c r="E19" s="1" t="s">
        <v>95</v>
      </c>
      <c r="F19" s="1">
        <f>IF(hir_level&gt;0,(400+7*hir_level)*3*irm_extra_fd,0)</f>
        <v>1830</v>
      </c>
    </row>
    <row r="20" spans="2:12" ht="19.95" customHeight="1">
      <c r="E20" s="1" t="s">
        <v>96</v>
      </c>
      <c r="F20" s="1">
        <f>IF(hir_level&gt;0,(500+8*hir_level)*8*irmc_extra_fd,0)</f>
        <v>5920</v>
      </c>
    </row>
    <row r="21" spans="2:12" ht="19.95" customHeight="1">
      <c r="E21" s="1" t="s">
        <v>148</v>
      </c>
      <c r="G21" s="1">
        <f>_xlfn.CEILING.MATH(ir_pre_odelay*speed/480)*30</f>
        <v>90</v>
      </c>
    </row>
    <row r="23" spans="2:12" ht="19.95" customHeight="1">
      <c r="E23" s="1" t="s">
        <v>17</v>
      </c>
      <c r="F23" s="1" t="s">
        <v>117</v>
      </c>
    </row>
    <row r="24" spans="2:12" ht="19.95" customHeight="1">
      <c r="E24" s="1" t="s">
        <v>114</v>
      </c>
      <c r="F24" s="1">
        <v>8000</v>
      </c>
    </row>
    <row r="25" spans="2:12" ht="19.95" customHeight="1">
      <c r="E25" s="1" t="s">
        <v>115</v>
      </c>
      <c r="F25" s="1">
        <v>9000</v>
      </c>
    </row>
    <row r="26" spans="2:12" ht="19.95" customHeight="1">
      <c r="E26" s="1" t="s">
        <v>116</v>
      </c>
      <c r="F26" s="1">
        <v>5000</v>
      </c>
    </row>
    <row r="27" spans="2:12" ht="19.95" customHeight="1">
      <c r="E27" s="1" t="s">
        <v>92</v>
      </c>
      <c r="F27" s="1">
        <v>10000</v>
      </c>
    </row>
    <row r="29" spans="2:12" ht="19.95" customHeight="1">
      <c r="F29" s="1" t="s">
        <v>127</v>
      </c>
      <c r="H29" s="1" t="s">
        <v>128</v>
      </c>
      <c r="K29" s="1" t="s">
        <v>129</v>
      </c>
    </row>
    <row r="30" spans="2:12" ht="19.95" customHeight="1">
      <c r="E30" s="1" t="s">
        <v>118</v>
      </c>
      <c r="F30" s="1">
        <v>2880</v>
      </c>
      <c r="G30" s="1">
        <v>0</v>
      </c>
      <c r="H30" s="1">
        <v>2460</v>
      </c>
      <c r="I30" s="1">
        <v>0</v>
      </c>
      <c r="K30" s="1">
        <v>0</v>
      </c>
      <c r="L30" s="1">
        <f>9000*0.94*(1-0.05*K30)</f>
        <v>8460</v>
      </c>
    </row>
    <row r="31" spans="2:12" ht="19.95" customHeight="1">
      <c r="E31" s="1" t="s">
        <v>120</v>
      </c>
      <c r="F31" s="1">
        <v>2490</v>
      </c>
      <c r="G31" s="1">
        <v>0</v>
      </c>
      <c r="H31" s="1">
        <v>2100</v>
      </c>
      <c r="I31" s="1">
        <v>0</v>
      </c>
      <c r="K31" s="1">
        <v>1</v>
      </c>
      <c r="L31" s="1">
        <f t="shared" ref="L31:L38" si="6">9000*0.94*(1-0.05*K31)</f>
        <v>8037</v>
      </c>
    </row>
    <row r="32" spans="2:12" ht="19.95" customHeight="1">
      <c r="E32" s="1" t="s">
        <v>121</v>
      </c>
      <c r="F32" s="1">
        <v>2400</v>
      </c>
      <c r="G32" s="1" t="s">
        <v>130</v>
      </c>
      <c r="H32" s="1">
        <v>2040</v>
      </c>
      <c r="I32" s="9" t="s">
        <v>131</v>
      </c>
      <c r="K32" s="1">
        <v>2</v>
      </c>
      <c r="L32" s="1">
        <f t="shared" si="6"/>
        <v>7614</v>
      </c>
    </row>
    <row r="33" spans="5:17" ht="19.95" customHeight="1">
      <c r="E33" s="1" t="s">
        <v>122</v>
      </c>
      <c r="F33" s="1">
        <v>2130</v>
      </c>
      <c r="G33" s="9" t="s">
        <v>131</v>
      </c>
      <c r="H33" s="1">
        <v>1800</v>
      </c>
      <c r="I33" s="1">
        <v>-2</v>
      </c>
      <c r="K33" s="1">
        <v>3</v>
      </c>
      <c r="L33" s="1">
        <f t="shared" si="6"/>
        <v>7191</v>
      </c>
    </row>
    <row r="34" spans="5:17" ht="19.95" customHeight="1">
      <c r="E34" s="1" t="s">
        <v>123</v>
      </c>
      <c r="F34" s="1">
        <v>2040</v>
      </c>
      <c r="G34" s="1">
        <v>-4</v>
      </c>
      <c r="H34" s="1">
        <v>1740</v>
      </c>
      <c r="I34" s="1">
        <v>-5</v>
      </c>
      <c r="K34" s="1">
        <v>4</v>
      </c>
      <c r="L34" s="1">
        <f t="shared" si="6"/>
        <v>6768</v>
      </c>
    </row>
    <row r="35" spans="5:17" ht="19.95" customHeight="1">
      <c r="E35" s="1" t="s">
        <v>124</v>
      </c>
      <c r="F35" s="1">
        <v>1770</v>
      </c>
      <c r="G35" s="9" t="s">
        <v>132</v>
      </c>
      <c r="H35" s="1">
        <v>1500</v>
      </c>
      <c r="I35" s="1">
        <v>-5</v>
      </c>
      <c r="K35" s="1">
        <v>5</v>
      </c>
      <c r="L35" s="1">
        <f t="shared" si="6"/>
        <v>6345</v>
      </c>
    </row>
    <row r="36" spans="5:17" ht="19.95" customHeight="1">
      <c r="E36" s="1" t="s">
        <v>126</v>
      </c>
      <c r="F36" s="1">
        <v>1800</v>
      </c>
      <c r="G36" s="1">
        <v>-7</v>
      </c>
      <c r="H36" s="1">
        <v>1560</v>
      </c>
      <c r="I36" s="1">
        <v>-7</v>
      </c>
      <c r="K36" s="1">
        <v>6</v>
      </c>
      <c r="L36" s="1">
        <f t="shared" si="6"/>
        <v>5922</v>
      </c>
    </row>
    <row r="37" spans="5:17" ht="19.95" customHeight="1">
      <c r="E37" s="1" t="s">
        <v>125</v>
      </c>
      <c r="F37" s="1">
        <v>1380</v>
      </c>
      <c r="G37" s="1">
        <v>-8</v>
      </c>
      <c r="H37" s="1">
        <v>1170</v>
      </c>
      <c r="I37" s="9" t="s">
        <v>133</v>
      </c>
      <c r="K37" s="1">
        <v>7</v>
      </c>
      <c r="L37" s="1">
        <f t="shared" si="6"/>
        <v>5498.9999999999991</v>
      </c>
    </row>
    <row r="38" spans="5:17" ht="19.95" customHeight="1">
      <c r="K38" s="1">
        <v>8</v>
      </c>
      <c r="L38" s="1">
        <f t="shared" si="6"/>
        <v>5076</v>
      </c>
    </row>
    <row r="40" spans="5:17" ht="19.95" customHeight="1">
      <c r="E40" s="10" t="s">
        <v>135</v>
      </c>
      <c r="F40" s="1" t="str">
        <f>combo1</f>
        <v>we,ss,us,ss,sr,lt,gd</v>
      </c>
      <c r="G40" s="1" t="str">
        <f>combo2</f>
        <v>we,ss,us,ss,rr,ab,lt</v>
      </c>
      <c r="H40" s="1" t="str">
        <f>combo3</f>
        <v>we,ss</v>
      </c>
      <c r="I40" s="1" t="str">
        <f>combo4</f>
        <v>we,ss,us,ss,sr,lt</v>
      </c>
      <c r="J40" s="1" t="str">
        <f>combo5</f>
        <v>we,ss,us,rr,ab,lt</v>
      </c>
      <c r="K40" s="1" t="str">
        <f>combo6</f>
        <v>we,ss</v>
      </c>
      <c r="L40" s="1" t="str">
        <f>combo7</f>
        <v>we,ss,us,sr,lt</v>
      </c>
      <c r="M40" s="1" t="str">
        <f>combo8</f>
        <v>we,us,rr,ab,lt</v>
      </c>
      <c r="N40" s="1" t="str">
        <f>combo9</f>
        <v>we,ss</v>
      </c>
      <c r="O40" s="1" t="str">
        <f>combo10</f>
        <v>we,us,sr,gd</v>
      </c>
      <c r="P40" s="1" t="str">
        <f>combo11</f>
        <v>we,ss,us,ss</v>
      </c>
      <c r="Q40" s="1" t="str">
        <f>combo12</f>
        <v>we,ss</v>
      </c>
    </row>
    <row r="41" spans="5:17" ht="19.95" customHeight="1">
      <c r="E41" s="1" t="s">
        <v>136</v>
      </c>
      <c r="F41" s="1">
        <f>(LEN(F40)+1)/3</f>
        <v>7</v>
      </c>
      <c r="G41" s="1">
        <f t="shared" ref="G41:Q41" si="7">(LEN(G40)+1)/3</f>
        <v>7</v>
      </c>
      <c r="H41" s="1">
        <f t="shared" si="7"/>
        <v>2</v>
      </c>
      <c r="I41" s="1">
        <f t="shared" si="7"/>
        <v>6</v>
      </c>
      <c r="J41" s="1">
        <f t="shared" si="7"/>
        <v>6</v>
      </c>
      <c r="K41" s="1">
        <f t="shared" si="7"/>
        <v>2</v>
      </c>
      <c r="L41" s="1">
        <f t="shared" si="7"/>
        <v>5</v>
      </c>
      <c r="M41" s="1">
        <f t="shared" si="7"/>
        <v>5</v>
      </c>
      <c r="N41" s="1">
        <f t="shared" si="7"/>
        <v>2</v>
      </c>
      <c r="O41" s="1">
        <f t="shared" si="7"/>
        <v>4</v>
      </c>
      <c r="P41" s="1">
        <f t="shared" si="7"/>
        <v>4</v>
      </c>
      <c r="Q41" s="1">
        <f t="shared" si="7"/>
        <v>2</v>
      </c>
    </row>
    <row r="42" spans="5:17" ht="19.95" customHeight="1">
      <c r="E42" s="66" t="s">
        <v>17</v>
      </c>
      <c r="F42" s="1" t="str">
        <f>IF(F$41&gt;=1,MID(F$40,1,2),FALSE)</f>
        <v>we</v>
      </c>
      <c r="G42" s="1" t="str">
        <f t="shared" ref="G42:Q42" si="8">IF(G$41&gt;=1,MID(G$40,1,2),FALSE)</f>
        <v>we</v>
      </c>
      <c r="H42" s="1" t="str">
        <f t="shared" si="8"/>
        <v>we</v>
      </c>
      <c r="I42" s="1" t="str">
        <f t="shared" si="8"/>
        <v>we</v>
      </c>
      <c r="J42" s="1" t="str">
        <f t="shared" si="8"/>
        <v>we</v>
      </c>
      <c r="K42" s="1" t="str">
        <f t="shared" si="8"/>
        <v>we</v>
      </c>
      <c r="L42" s="1" t="str">
        <f t="shared" si="8"/>
        <v>we</v>
      </c>
      <c r="M42" s="1" t="str">
        <f t="shared" si="8"/>
        <v>we</v>
      </c>
      <c r="N42" s="1" t="str">
        <f t="shared" si="8"/>
        <v>we</v>
      </c>
      <c r="O42" s="1" t="str">
        <f t="shared" si="8"/>
        <v>we</v>
      </c>
      <c r="P42" s="1" t="str">
        <f t="shared" si="8"/>
        <v>we</v>
      </c>
      <c r="Q42" s="1" t="str">
        <f t="shared" si="8"/>
        <v>we</v>
      </c>
    </row>
    <row r="43" spans="5:17" ht="19.95" customHeight="1">
      <c r="E43" s="66"/>
      <c r="F43" s="1" t="str">
        <f>IF(F$41&gt;=2,MID(F$40,4,2),FALSE)</f>
        <v>ss</v>
      </c>
      <c r="G43" s="1" t="str">
        <f t="shared" ref="G43:Q43" si="9">IF(G$41&gt;=2,MID(G$40,4,2),FALSE)</f>
        <v>ss</v>
      </c>
      <c r="H43" s="1" t="str">
        <f t="shared" si="9"/>
        <v>ss</v>
      </c>
      <c r="I43" s="1" t="str">
        <f t="shared" si="9"/>
        <v>ss</v>
      </c>
      <c r="J43" s="1" t="str">
        <f t="shared" si="9"/>
        <v>ss</v>
      </c>
      <c r="K43" s="1" t="str">
        <f t="shared" si="9"/>
        <v>ss</v>
      </c>
      <c r="L43" s="1" t="str">
        <f t="shared" si="9"/>
        <v>ss</v>
      </c>
      <c r="M43" s="1" t="str">
        <f t="shared" si="9"/>
        <v>us</v>
      </c>
      <c r="N43" s="1" t="str">
        <f t="shared" si="9"/>
        <v>ss</v>
      </c>
      <c r="O43" s="1" t="str">
        <f t="shared" si="9"/>
        <v>us</v>
      </c>
      <c r="P43" s="1" t="str">
        <f t="shared" si="9"/>
        <v>ss</v>
      </c>
      <c r="Q43" s="1" t="str">
        <f t="shared" si="9"/>
        <v>ss</v>
      </c>
    </row>
    <row r="44" spans="5:17" ht="19.95" customHeight="1">
      <c r="E44" s="66"/>
      <c r="F44" s="1" t="str">
        <f>IF(F$41&gt;=3,MID(F$40,7,2),FALSE)</f>
        <v>us</v>
      </c>
      <c r="G44" s="1" t="str">
        <f t="shared" ref="G44:Q44" si="10">IF(G$41&gt;=3,MID(G$40,7,2),FALSE)</f>
        <v>us</v>
      </c>
      <c r="H44" s="1" t="b">
        <f t="shared" si="10"/>
        <v>0</v>
      </c>
      <c r="I44" s="1" t="str">
        <f t="shared" si="10"/>
        <v>us</v>
      </c>
      <c r="J44" s="1" t="str">
        <f t="shared" si="10"/>
        <v>us</v>
      </c>
      <c r="K44" s="1" t="b">
        <f t="shared" si="10"/>
        <v>0</v>
      </c>
      <c r="L44" s="1" t="str">
        <f t="shared" si="10"/>
        <v>us</v>
      </c>
      <c r="M44" s="1" t="str">
        <f t="shared" si="10"/>
        <v>rr</v>
      </c>
      <c r="N44" s="1" t="b">
        <f t="shared" si="10"/>
        <v>0</v>
      </c>
      <c r="O44" s="1" t="str">
        <f t="shared" si="10"/>
        <v>sr</v>
      </c>
      <c r="P44" s="1" t="str">
        <f t="shared" si="10"/>
        <v>us</v>
      </c>
      <c r="Q44" s="1" t="b">
        <f t="shared" si="10"/>
        <v>0</v>
      </c>
    </row>
    <row r="45" spans="5:17" ht="19.95" customHeight="1">
      <c r="E45" s="66"/>
      <c r="F45" s="1" t="str">
        <f>IF(F$41&gt;=4,MID(F$40,10,2),FALSE)</f>
        <v>ss</v>
      </c>
      <c r="G45" s="1" t="str">
        <f t="shared" ref="G45:Q45" si="11">IF(G$41&gt;=4,MID(G$40,10,2),FALSE)</f>
        <v>ss</v>
      </c>
      <c r="H45" s="1" t="b">
        <f t="shared" si="11"/>
        <v>0</v>
      </c>
      <c r="I45" s="1" t="str">
        <f t="shared" si="11"/>
        <v>ss</v>
      </c>
      <c r="J45" s="1" t="str">
        <f t="shared" si="11"/>
        <v>rr</v>
      </c>
      <c r="K45" s="1" t="b">
        <f t="shared" si="11"/>
        <v>0</v>
      </c>
      <c r="L45" s="1" t="str">
        <f t="shared" si="11"/>
        <v>sr</v>
      </c>
      <c r="M45" s="1" t="str">
        <f t="shared" si="11"/>
        <v>ab</v>
      </c>
      <c r="N45" s="1" t="b">
        <f t="shared" si="11"/>
        <v>0</v>
      </c>
      <c r="O45" s="1" t="str">
        <f t="shared" si="11"/>
        <v>gd</v>
      </c>
      <c r="P45" s="1" t="str">
        <f t="shared" si="11"/>
        <v>ss</v>
      </c>
      <c r="Q45" s="1" t="b">
        <f t="shared" si="11"/>
        <v>0</v>
      </c>
    </row>
    <row r="46" spans="5:17" ht="19.95" customHeight="1">
      <c r="E46" s="66"/>
      <c r="F46" s="1" t="str">
        <f>IF(F$41&gt;=5,MID(F$40,13,2),FALSE)</f>
        <v>sr</v>
      </c>
      <c r="G46" s="1" t="str">
        <f t="shared" ref="G46:Q46" si="12">IF(G$41&gt;=5,MID(G$40,13,2),FALSE)</f>
        <v>rr</v>
      </c>
      <c r="H46" s="1" t="b">
        <f t="shared" si="12"/>
        <v>0</v>
      </c>
      <c r="I46" s="1" t="str">
        <f t="shared" si="12"/>
        <v>sr</v>
      </c>
      <c r="J46" s="1" t="str">
        <f t="shared" si="12"/>
        <v>ab</v>
      </c>
      <c r="K46" s="1" t="b">
        <f t="shared" si="12"/>
        <v>0</v>
      </c>
      <c r="L46" s="1" t="str">
        <f t="shared" si="12"/>
        <v>lt</v>
      </c>
      <c r="M46" s="1" t="str">
        <f t="shared" si="12"/>
        <v>lt</v>
      </c>
      <c r="N46" s="1" t="b">
        <f t="shared" si="12"/>
        <v>0</v>
      </c>
      <c r="O46" s="1" t="b">
        <f t="shared" si="12"/>
        <v>0</v>
      </c>
      <c r="P46" s="1" t="b">
        <f t="shared" si="12"/>
        <v>0</v>
      </c>
      <c r="Q46" s="1" t="b">
        <f t="shared" si="12"/>
        <v>0</v>
      </c>
    </row>
    <row r="47" spans="5:17" ht="19.95" customHeight="1">
      <c r="E47" s="66"/>
      <c r="F47" s="1" t="str">
        <f>IF(F$41&gt;=6,MID(F$40,16,2),FALSE)</f>
        <v>lt</v>
      </c>
      <c r="G47" s="1" t="str">
        <f t="shared" ref="G47:Q47" si="13">IF(G$41&gt;=6,MID(G$40,16,2),FALSE)</f>
        <v>ab</v>
      </c>
      <c r="H47" s="1" t="b">
        <f t="shared" si="13"/>
        <v>0</v>
      </c>
      <c r="I47" s="1" t="str">
        <f t="shared" si="13"/>
        <v>lt</v>
      </c>
      <c r="J47" s="1" t="str">
        <f t="shared" si="13"/>
        <v>lt</v>
      </c>
      <c r="K47" s="1" t="b">
        <f t="shared" si="13"/>
        <v>0</v>
      </c>
      <c r="L47" s="1" t="b">
        <f t="shared" si="13"/>
        <v>0</v>
      </c>
      <c r="M47" s="1" t="b">
        <f t="shared" si="13"/>
        <v>0</v>
      </c>
      <c r="N47" s="1" t="b">
        <f t="shared" si="13"/>
        <v>0</v>
      </c>
      <c r="O47" s="1" t="b">
        <f t="shared" si="13"/>
        <v>0</v>
      </c>
      <c r="P47" s="1" t="b">
        <f t="shared" si="13"/>
        <v>0</v>
      </c>
      <c r="Q47" s="1" t="b">
        <f t="shared" si="13"/>
        <v>0</v>
      </c>
    </row>
    <row r="48" spans="5:17" ht="19.95" customHeight="1">
      <c r="E48" s="66"/>
      <c r="F48" s="1" t="str">
        <f>IF(F$41&gt;=7,MID(F$40,19,2),FALSE)</f>
        <v>gd</v>
      </c>
      <c r="G48" s="1" t="str">
        <f t="shared" ref="G48:Q48" si="14">IF(G$41&gt;=7,MID(G$40,19,2),FALSE)</f>
        <v>lt</v>
      </c>
      <c r="H48" s="1" t="b">
        <f t="shared" si="14"/>
        <v>0</v>
      </c>
      <c r="I48" s="1" t="b">
        <f t="shared" si="14"/>
        <v>0</v>
      </c>
      <c r="J48" s="1" t="b">
        <f t="shared" si="14"/>
        <v>0</v>
      </c>
      <c r="K48" s="1" t="b">
        <f t="shared" si="14"/>
        <v>0</v>
      </c>
      <c r="L48" s="1" t="b">
        <f t="shared" si="14"/>
        <v>0</v>
      </c>
      <c r="M48" s="1" t="b">
        <f t="shared" si="14"/>
        <v>0</v>
      </c>
      <c r="N48" s="1" t="b">
        <f t="shared" si="14"/>
        <v>0</v>
      </c>
      <c r="O48" s="1" t="b">
        <f t="shared" si="14"/>
        <v>0</v>
      </c>
      <c r="P48" s="1" t="b">
        <f t="shared" si="14"/>
        <v>0</v>
      </c>
      <c r="Q48" s="1" t="b">
        <f t="shared" si="14"/>
        <v>0</v>
      </c>
    </row>
    <row r="49" spans="5:17" ht="19.95" customHeight="1">
      <c r="E49" s="66" t="s">
        <v>137</v>
      </c>
      <c r="F49" s="1" cm="1">
        <f t="array" ref="F49">_xlfn.SWITCH(F42,"we", we_cdelay,"ss",ss_cdelay,"us",us_cdelay,"sr",sr_cdelay,"lt",lt_cdelay,"gd",gd_cdelay,"rr",rr_cdelay,"ab",ab_cdelay,"rm",rm_cdelay,"le",le_cdelay,FALSE)</f>
        <v>210</v>
      </c>
      <c r="G49" s="1" cm="1">
        <f t="array" ref="G49">_xlfn.SWITCH(G42,"we", we_cdelay,"ss",ss_cdelay,"us",us_cdelay,"sr",sr_cdelay,"lt",lt_cdelay,"gd",gd_cdelay,"rr",rr_cdelay,"ab",ab_cdelay,"rm",rm_cdelay,"le",le_cdelay,FALSE)</f>
        <v>210</v>
      </c>
      <c r="H49" s="1" cm="1">
        <f t="array" ref="H49">_xlfn.SWITCH(H42,"we", we_cdelay,"ss",ss_cdelay,"us",us_cdelay,"sr",sr_cdelay,"lt",lt_cdelay,"gd",gd_cdelay,"rr",rr_cdelay,"ab",ab_cdelay,"rm",rm_cdelay,"le",le_cdelay,FALSE)</f>
        <v>210</v>
      </c>
      <c r="I49" s="1" cm="1">
        <f t="array" ref="I49">_xlfn.SWITCH(I42,"we", we_cdelay,"ss",ss_cdelay,"us",us_cdelay,"sr",sr_cdelay,"lt",lt_cdelay,"gd",gd_cdelay,"rr",rr_cdelay,"ab",ab_cdelay,"rm",rm_cdelay,"le",le_cdelay,FALSE)</f>
        <v>210</v>
      </c>
      <c r="J49" s="1" cm="1">
        <f t="array" ref="J49">_xlfn.SWITCH(J42,"we", we_cdelay,"ss",ss_cdelay,"us",us_cdelay,"sr",sr_cdelay,"lt",lt_cdelay,"gd",gd_cdelay,"rr",rr_cdelay,"ab",ab_cdelay,"rm",rm_cdelay,"le",le_cdelay,FALSE)</f>
        <v>210</v>
      </c>
      <c r="K49" s="1" cm="1">
        <f t="array" ref="K49">_xlfn.SWITCH(K42,"we", we_cdelay,"ss",ss_cdelay,"us",us_cdelay,"sr",sr_cdelay,"lt",lt_cdelay,"gd",gd_cdelay,"rr",rr_cdelay,"ab",ab_cdelay,"rm",rm_cdelay,"le",le_cdelay,FALSE)</f>
        <v>210</v>
      </c>
      <c r="L49" s="1" cm="1">
        <f t="array" ref="L49">_xlfn.SWITCH(L42,"we", we_cdelay,"ss",ss_cdelay,"us",us_cdelay,"sr",sr_cdelay,"lt",lt_cdelay,"gd",gd_cdelay,"rr",rr_cdelay,"ab",ab_cdelay,"rm",rm_cdelay,"le",le_cdelay,FALSE)</f>
        <v>210</v>
      </c>
      <c r="M49" s="1" cm="1">
        <f t="array" ref="M49">_xlfn.SWITCH(M42,"we", we_cdelay,"ss",ss_cdelay,"us",us_cdelay,"sr",sr_cdelay,"lt",lt_cdelay,"gd",gd_cdelay,"rr",rr_cdelay,"ab",ab_cdelay,"rm",rm_cdelay,"le",le_cdelay,FALSE)</f>
        <v>210</v>
      </c>
      <c r="N49" s="1" cm="1">
        <f t="array" ref="N49">_xlfn.SWITCH(N42,"we", we_cdelay,"ss",ss_cdelay,"us",us_cdelay,"sr",sr_cdelay,"lt",lt_cdelay,"gd",gd_cdelay,"rr",rr_cdelay,"ab",ab_cdelay,"rm",rm_cdelay,"le",le_cdelay,FALSE)</f>
        <v>210</v>
      </c>
      <c r="O49" s="1" cm="1">
        <f t="array" ref="O49">_xlfn.SWITCH(O42,"we", we_cdelay,"ss",ss_cdelay,"us",us_cdelay,"sr",sr_cdelay,"lt",lt_cdelay,"gd",gd_cdelay,"rr",rr_cdelay,"ab",ab_cdelay,"rm",rm_cdelay,"le",le_cdelay,FALSE)</f>
        <v>210</v>
      </c>
      <c r="P49" s="1" cm="1">
        <f t="array" ref="P49">_xlfn.SWITCH(P42,"we", we_cdelay,"ss",ss_cdelay,"us",us_cdelay,"sr",sr_cdelay,"lt",lt_cdelay,"gd",gd_cdelay,"rr",rr_cdelay,"ab",ab_cdelay,"rm",rm_cdelay,"le",le_cdelay,FALSE)</f>
        <v>210</v>
      </c>
      <c r="Q49" s="1" cm="1">
        <f t="array" ref="Q49">_xlfn.SWITCH(Q42,"we", we_cdelay,"ss",ss_cdelay,"us",us_cdelay,"sr",sr_cdelay,"lt",lt_cdelay,"gd",gd_cdelay,"rr",rr_cdelay,"ab",ab_cdelay,"rm",rm_cdelay,"le",le_cdelay,FALSE)</f>
        <v>210</v>
      </c>
    </row>
    <row r="50" spans="5:17" ht="19.95" customHeight="1">
      <c r="E50" s="66"/>
      <c r="F50" s="1" cm="1">
        <f t="array" ref="F50">_xlfn.SWITCH(F43,"we", we_cdelay,"ss",ss_cdelay,"us",us_cdelay,"sr",sr_cdelay,"lt",lt_cdelay,"gd",gd_cdelay,"rr",rr_cdelay,"ab",ab_cdelay,"rm",rm_cdelay,"le",le_cdelay,FALSE)</f>
        <v>360</v>
      </c>
      <c r="G50" s="1" cm="1">
        <f t="array" ref="G50">_xlfn.SWITCH(G43,"we", we_cdelay,"ss",ss_cdelay,"us",us_cdelay,"sr",sr_cdelay,"lt",lt_cdelay,"gd",gd_cdelay,"rr",rr_cdelay,"ab",ab_cdelay,"rm",rm_cdelay,"le",le_cdelay,FALSE)</f>
        <v>360</v>
      </c>
      <c r="H50" s="1" cm="1">
        <f t="array" ref="H50">_xlfn.SWITCH(H43,"we", we_cdelay,"ss",ss_cdelay,"us",us_cdelay,"sr",sr_cdelay,"lt",lt_cdelay,"gd",gd_cdelay,"rr",rr_cdelay,"ab",ab_cdelay,"rm",rm_cdelay,"le",le_cdelay,FALSE)</f>
        <v>360</v>
      </c>
      <c r="I50" s="1" cm="1">
        <f t="array" ref="I50">_xlfn.SWITCH(I43,"we", we_cdelay,"ss",ss_cdelay,"us",us_cdelay,"sr",sr_cdelay,"lt",lt_cdelay,"gd",gd_cdelay,"rr",rr_cdelay,"ab",ab_cdelay,"rm",rm_cdelay,"le",le_cdelay,FALSE)</f>
        <v>360</v>
      </c>
      <c r="J50" s="1" cm="1">
        <f t="array" ref="J50">_xlfn.SWITCH(J43,"we", we_cdelay,"ss",ss_cdelay,"us",us_cdelay,"sr",sr_cdelay,"lt",lt_cdelay,"gd",gd_cdelay,"rr",rr_cdelay,"ab",ab_cdelay,"rm",rm_cdelay,"le",le_cdelay,FALSE)</f>
        <v>360</v>
      </c>
      <c r="K50" s="1" cm="1">
        <f t="array" ref="K50">_xlfn.SWITCH(K43,"we", we_cdelay,"ss",ss_cdelay,"us",us_cdelay,"sr",sr_cdelay,"lt",lt_cdelay,"gd",gd_cdelay,"rr",rr_cdelay,"ab",ab_cdelay,"rm",rm_cdelay,"le",le_cdelay,FALSE)</f>
        <v>360</v>
      </c>
      <c r="L50" s="1" cm="1">
        <f t="array" ref="L50">_xlfn.SWITCH(L43,"we", we_cdelay,"ss",ss_cdelay,"us",us_cdelay,"sr",sr_cdelay,"lt",lt_cdelay,"gd",gd_cdelay,"rr",rr_cdelay,"ab",ab_cdelay,"rm",rm_cdelay,"le",le_cdelay,FALSE)</f>
        <v>360</v>
      </c>
      <c r="M50" s="1" cm="1">
        <f t="array" ref="M50">_xlfn.SWITCH(M43,"we", we_cdelay,"ss",ss_cdelay,"us",us_cdelay,"sr",sr_cdelay,"lt",lt_cdelay,"gd",gd_cdelay,"rr",rr_cdelay,"ab",ab_cdelay,"rm",rm_cdelay,"le",le_cdelay,FALSE)</f>
        <v>450</v>
      </c>
      <c r="N50" s="1" cm="1">
        <f t="array" ref="N50">_xlfn.SWITCH(N43,"we", we_cdelay,"ss",ss_cdelay,"us",us_cdelay,"sr",sr_cdelay,"lt",lt_cdelay,"gd",gd_cdelay,"rr",rr_cdelay,"ab",ab_cdelay,"rm",rm_cdelay,"le",le_cdelay,FALSE)</f>
        <v>360</v>
      </c>
      <c r="O50" s="1" cm="1">
        <f t="array" ref="O50">_xlfn.SWITCH(O43,"we", we_cdelay,"ss",ss_cdelay,"us",us_cdelay,"sr",sr_cdelay,"lt",lt_cdelay,"gd",gd_cdelay,"rr",rr_cdelay,"ab",ab_cdelay,"rm",rm_cdelay,"le",le_cdelay,FALSE)</f>
        <v>450</v>
      </c>
      <c r="P50" s="1" cm="1">
        <f t="array" ref="P50">_xlfn.SWITCH(P43,"we", we_cdelay,"ss",ss_cdelay,"us",us_cdelay,"sr",sr_cdelay,"lt",lt_cdelay,"gd",gd_cdelay,"rr",rr_cdelay,"ab",ab_cdelay,"rm",rm_cdelay,"le",le_cdelay,FALSE)</f>
        <v>360</v>
      </c>
      <c r="Q50" s="1" cm="1">
        <f t="array" ref="Q50">_xlfn.SWITCH(Q43,"we", we_cdelay,"ss",ss_cdelay,"us",us_cdelay,"sr",sr_cdelay,"lt",lt_cdelay,"gd",gd_cdelay,"rr",rr_cdelay,"ab",ab_cdelay,"rm",rm_cdelay,"le",le_cdelay,FALSE)</f>
        <v>360</v>
      </c>
    </row>
    <row r="51" spans="5:17" ht="19.95" customHeight="1">
      <c r="E51" s="66"/>
      <c r="F51" s="1" cm="1">
        <f t="array" ref="F51">_xlfn.SWITCH(F44,"we", we_cdelay,"ss",ss_cdelay,"us",us_cdelay,"sr",sr_cdelay,"lt",lt_cdelay,"gd",gd_cdelay,"rr",rr_cdelay,"ab",ab_cdelay,"rm",rm_cdelay,"le",le_cdelay,FALSE)</f>
        <v>450</v>
      </c>
      <c r="G51" s="1" cm="1">
        <f t="array" ref="G51">_xlfn.SWITCH(G44,"we", we_cdelay,"ss",ss_cdelay,"us",us_cdelay,"sr",sr_cdelay,"lt",lt_cdelay,"gd",gd_cdelay,"rr",rr_cdelay,"ab",ab_cdelay,"rm",rm_cdelay,"le",le_cdelay,FALSE)</f>
        <v>450</v>
      </c>
      <c r="H51" s="1" t="b" cm="1">
        <f t="array" ref="H51">_xlfn.SWITCH(H44,"we", we_cdelay,"ss",ss_cdelay,"us",us_cdelay,"sr",sr_cdelay,"lt",lt_cdelay,"gd",gd_cdelay,"rr",rr_cdelay,"ab",ab_cdelay,"rm",rm_cdelay,"le",le_cdelay,FALSE)</f>
        <v>0</v>
      </c>
      <c r="I51" s="1" cm="1">
        <f t="array" ref="I51">_xlfn.SWITCH(I44,"we", we_cdelay,"ss",ss_cdelay,"us",us_cdelay,"sr",sr_cdelay,"lt",lt_cdelay,"gd",gd_cdelay,"rr",rr_cdelay,"ab",ab_cdelay,"rm",rm_cdelay,"le",le_cdelay,FALSE)</f>
        <v>450</v>
      </c>
      <c r="J51" s="1" cm="1">
        <f t="array" ref="J51">_xlfn.SWITCH(J44,"we", we_cdelay,"ss",ss_cdelay,"us",us_cdelay,"sr",sr_cdelay,"lt",lt_cdelay,"gd",gd_cdelay,"rr",rr_cdelay,"ab",ab_cdelay,"rm",rm_cdelay,"le",le_cdelay,FALSE)</f>
        <v>450</v>
      </c>
      <c r="K51" s="1" t="b" cm="1">
        <f t="array" ref="K51">_xlfn.SWITCH(K44,"we", we_cdelay,"ss",ss_cdelay,"us",us_cdelay,"sr",sr_cdelay,"lt",lt_cdelay,"gd",gd_cdelay,"rr",rr_cdelay,"ab",ab_cdelay,"rm",rm_cdelay,"le",le_cdelay,FALSE)</f>
        <v>0</v>
      </c>
      <c r="L51" s="1" cm="1">
        <f t="array" ref="L51">_xlfn.SWITCH(L44,"we", we_cdelay,"ss",ss_cdelay,"us",us_cdelay,"sr",sr_cdelay,"lt",lt_cdelay,"gd",gd_cdelay,"rr",rr_cdelay,"ab",ab_cdelay,"rm",rm_cdelay,"le",le_cdelay,FALSE)</f>
        <v>450</v>
      </c>
      <c r="M51" s="1" cm="1">
        <f t="array" ref="M51">_xlfn.SWITCH(M44,"we", we_cdelay,"ss",ss_cdelay,"us",us_cdelay,"sr",sr_cdelay,"lt",lt_cdelay,"gd",gd_cdelay,"rr",rr_cdelay,"ab",ab_cdelay,"rm",rm_cdelay,"le",le_cdelay,FALSE)</f>
        <v>240</v>
      </c>
      <c r="N51" s="1" t="b" cm="1">
        <f t="array" ref="N51">_xlfn.SWITCH(N44,"we", we_cdelay,"ss",ss_cdelay,"us",us_cdelay,"sr",sr_cdelay,"lt",lt_cdelay,"gd",gd_cdelay,"rr",rr_cdelay,"ab",ab_cdelay,"rm",rm_cdelay,"le",le_cdelay,FALSE)</f>
        <v>0</v>
      </c>
      <c r="O51" s="1" cm="1">
        <f t="array" ref="O51">_xlfn.SWITCH(O44,"we", we_cdelay,"ss",ss_cdelay,"us",us_cdelay,"sr",sr_cdelay,"lt",lt_cdelay,"gd",gd_cdelay,"rr",rr_cdelay,"ab",ab_cdelay,"rm",rm_cdelay,"le",le_cdelay,FALSE)</f>
        <v>660</v>
      </c>
      <c r="P51" s="1" cm="1">
        <f t="array" ref="P51">_xlfn.SWITCH(P44,"we", we_cdelay,"ss",ss_cdelay,"us",us_cdelay,"sr",sr_cdelay,"lt",lt_cdelay,"gd",gd_cdelay,"rr",rr_cdelay,"ab",ab_cdelay,"rm",rm_cdelay,"le",le_cdelay,FALSE)</f>
        <v>450</v>
      </c>
      <c r="Q51" s="1" t="b" cm="1">
        <f t="array" ref="Q51">_xlfn.SWITCH(Q44,"we", we_cdelay,"ss",ss_cdelay,"us",us_cdelay,"sr",sr_cdelay,"lt",lt_cdelay,"gd",gd_cdelay,"rr",rr_cdelay,"ab",ab_cdelay,"rm",rm_cdelay,"le",le_cdelay,FALSE)</f>
        <v>0</v>
      </c>
    </row>
    <row r="52" spans="5:17" ht="19.95" customHeight="1">
      <c r="E52" s="66"/>
      <c r="F52" s="1" cm="1">
        <f t="array" ref="F52">_xlfn.SWITCH(F45,"we", we_cdelay,"ss",ss_cdelay,"us",us_cdelay,"sr",sr_cdelay,"lt",lt_cdelay,"gd",gd_cdelay,"rr",rr_cdelay,"ab",ab_cdelay,"rm",rm_cdelay,"le",le_cdelay,FALSE)</f>
        <v>360</v>
      </c>
      <c r="G52" s="1" cm="1">
        <f t="array" ref="G52">_xlfn.SWITCH(G45,"we", we_cdelay,"ss",ss_cdelay,"us",us_cdelay,"sr",sr_cdelay,"lt",lt_cdelay,"gd",gd_cdelay,"rr",rr_cdelay,"ab",ab_cdelay,"rm",rm_cdelay,"le",le_cdelay,FALSE)</f>
        <v>360</v>
      </c>
      <c r="H52" s="1" t="b" cm="1">
        <f t="array" ref="H52">_xlfn.SWITCH(H45,"we", we_cdelay,"ss",ss_cdelay,"us",us_cdelay,"sr",sr_cdelay,"lt",lt_cdelay,"gd",gd_cdelay,"rr",rr_cdelay,"ab",ab_cdelay,"rm",rm_cdelay,"le",le_cdelay,FALSE)</f>
        <v>0</v>
      </c>
      <c r="I52" s="1" cm="1">
        <f t="array" ref="I52">_xlfn.SWITCH(I45,"we", we_cdelay,"ss",ss_cdelay,"us",us_cdelay,"sr",sr_cdelay,"lt",lt_cdelay,"gd",gd_cdelay,"rr",rr_cdelay,"ab",ab_cdelay,"rm",rm_cdelay,"le",le_cdelay,FALSE)</f>
        <v>360</v>
      </c>
      <c r="J52" s="1" cm="1">
        <f t="array" ref="J52">_xlfn.SWITCH(J45,"we", we_cdelay,"ss",ss_cdelay,"us",us_cdelay,"sr",sr_cdelay,"lt",lt_cdelay,"gd",gd_cdelay,"rr",rr_cdelay,"ab",ab_cdelay,"rm",rm_cdelay,"le",le_cdelay,FALSE)</f>
        <v>240</v>
      </c>
      <c r="K52" s="1" t="b" cm="1">
        <f t="array" ref="K52">_xlfn.SWITCH(K45,"we", we_cdelay,"ss",ss_cdelay,"us",us_cdelay,"sr",sr_cdelay,"lt",lt_cdelay,"gd",gd_cdelay,"rr",rr_cdelay,"ab",ab_cdelay,"rm",rm_cdelay,"le",le_cdelay,FALSE)</f>
        <v>0</v>
      </c>
      <c r="L52" s="1" cm="1">
        <f t="array" ref="L52">_xlfn.SWITCH(L45,"we", we_cdelay,"ss",ss_cdelay,"us",us_cdelay,"sr",sr_cdelay,"lt",lt_cdelay,"gd",gd_cdelay,"rr",rr_cdelay,"ab",ab_cdelay,"rm",rm_cdelay,"le",le_cdelay,FALSE)</f>
        <v>660</v>
      </c>
      <c r="M52" s="1" cm="1">
        <f t="array" ref="M52">_xlfn.SWITCH(M45,"we", we_cdelay,"ss",ss_cdelay,"us",us_cdelay,"sr",sr_cdelay,"lt",lt_cdelay,"gd",gd_cdelay,"rr",rr_cdelay,"ab",ab_cdelay,"rm",rm_cdelay,"le",le_cdelay,FALSE)</f>
        <v>510</v>
      </c>
      <c r="N52" s="1" t="b" cm="1">
        <f t="array" ref="N52">_xlfn.SWITCH(N45,"we", we_cdelay,"ss",ss_cdelay,"us",us_cdelay,"sr",sr_cdelay,"lt",lt_cdelay,"gd",gd_cdelay,"rr",rr_cdelay,"ab",ab_cdelay,"rm",rm_cdelay,"le",le_cdelay,FALSE)</f>
        <v>0</v>
      </c>
      <c r="O52" s="1" cm="1">
        <f t="array" ref="O52">_xlfn.SWITCH(O45,"we", we_cdelay,"ss",ss_cdelay,"us",us_cdelay,"sr",sr_cdelay,"lt",lt_cdelay,"gd",gd_cdelay,"rr",rr_cdelay,"ab",ab_cdelay,"rm",rm_cdelay,"le",le_cdelay,FALSE)</f>
        <v>480</v>
      </c>
      <c r="P52" s="1" cm="1">
        <f t="array" ref="P52">_xlfn.SWITCH(P45,"we", we_cdelay,"ss",ss_cdelay,"us",us_cdelay,"sr",sr_cdelay,"lt",lt_cdelay,"gd",gd_cdelay,"rr",rr_cdelay,"ab",ab_cdelay,"rm",rm_cdelay,"le",le_cdelay,FALSE)</f>
        <v>360</v>
      </c>
      <c r="Q52" s="1" t="b" cm="1">
        <f t="array" ref="Q52">_xlfn.SWITCH(Q45,"we", we_cdelay,"ss",ss_cdelay,"us",us_cdelay,"sr",sr_cdelay,"lt",lt_cdelay,"gd",gd_cdelay,"rr",rr_cdelay,"ab",ab_cdelay,"rm",rm_cdelay,"le",le_cdelay,FALSE)</f>
        <v>0</v>
      </c>
    </row>
    <row r="53" spans="5:17" ht="19.95" customHeight="1">
      <c r="E53" s="66"/>
      <c r="F53" s="1" cm="1">
        <f t="array" ref="F53">_xlfn.SWITCH(F46,"we", we_cdelay,"ss",ss_cdelay,"us",us_cdelay,"sr",sr_cdelay,"lt",lt_cdelay,"gd",gd_cdelay,"rr",rr_cdelay,"ab",ab_cdelay,"rm",rm_cdelay,"le",le_cdelay,FALSE)</f>
        <v>660</v>
      </c>
      <c r="G53" s="1" cm="1">
        <f t="array" ref="G53">_xlfn.SWITCH(G46,"we", we_cdelay,"ss",ss_cdelay,"us",us_cdelay,"sr",sr_cdelay,"lt",lt_cdelay,"gd",gd_cdelay,"rr",rr_cdelay,"ab",ab_cdelay,"rm",rm_cdelay,"le",le_cdelay,FALSE)</f>
        <v>240</v>
      </c>
      <c r="H53" s="1" t="b" cm="1">
        <f t="array" ref="H53">_xlfn.SWITCH(H46,"we", we_cdelay,"ss",ss_cdelay,"us",us_cdelay,"sr",sr_cdelay,"lt",lt_cdelay,"gd",gd_cdelay,"rr",rr_cdelay,"ab",ab_cdelay,"rm",rm_cdelay,"le",le_cdelay,FALSE)</f>
        <v>0</v>
      </c>
      <c r="I53" s="1" cm="1">
        <f t="array" ref="I53">_xlfn.SWITCH(I46,"we", we_cdelay,"ss",ss_cdelay,"us",us_cdelay,"sr",sr_cdelay,"lt",lt_cdelay,"gd",gd_cdelay,"rr",rr_cdelay,"ab",ab_cdelay,"rm",rm_cdelay,"le",le_cdelay,FALSE)</f>
        <v>660</v>
      </c>
      <c r="J53" s="1" cm="1">
        <f t="array" ref="J53">_xlfn.SWITCH(J46,"we", we_cdelay,"ss",ss_cdelay,"us",us_cdelay,"sr",sr_cdelay,"lt",lt_cdelay,"gd",gd_cdelay,"rr",rr_cdelay,"ab",ab_cdelay,"rm",rm_cdelay,"le",le_cdelay,FALSE)</f>
        <v>510</v>
      </c>
      <c r="K53" s="1" t="b" cm="1">
        <f t="array" ref="K53">_xlfn.SWITCH(K46,"we", we_cdelay,"ss",ss_cdelay,"us",us_cdelay,"sr",sr_cdelay,"lt",lt_cdelay,"gd",gd_cdelay,"rr",rr_cdelay,"ab",ab_cdelay,"rm",rm_cdelay,"le",le_cdelay,FALSE)</f>
        <v>0</v>
      </c>
      <c r="L53" s="1" cm="1">
        <f t="array" ref="L53">_xlfn.SWITCH(L46,"we", we_cdelay,"ss",ss_cdelay,"us",us_cdelay,"sr",sr_cdelay,"lt",lt_cdelay,"gd",gd_cdelay,"rr",rr_cdelay,"ab",ab_cdelay,"rm",rm_cdelay,"le",le_cdelay,FALSE)</f>
        <v>360</v>
      </c>
      <c r="M53" s="1" cm="1">
        <f t="array" ref="M53">_xlfn.SWITCH(M46,"we", we_cdelay,"ss",ss_cdelay,"us",us_cdelay,"sr",sr_cdelay,"lt",lt_cdelay,"gd",gd_cdelay,"rr",rr_cdelay,"ab",ab_cdelay,"rm",rm_cdelay,"le",le_cdelay,FALSE)</f>
        <v>360</v>
      </c>
      <c r="N53" s="1" t="b" cm="1">
        <f t="array" ref="N53">_xlfn.SWITCH(N46,"we", we_cdelay,"ss",ss_cdelay,"us",us_cdelay,"sr",sr_cdelay,"lt",lt_cdelay,"gd",gd_cdelay,"rr",rr_cdelay,"ab",ab_cdelay,"rm",rm_cdelay,"le",le_cdelay,FALSE)</f>
        <v>0</v>
      </c>
      <c r="O53" s="1" t="b" cm="1">
        <f t="array" ref="O53">_xlfn.SWITCH(O46,"we", we_cdelay,"ss",ss_cdelay,"us",us_cdelay,"sr",sr_cdelay,"lt",lt_cdelay,"gd",gd_cdelay,"rr",rr_cdelay,"ab",ab_cdelay,"rm",rm_cdelay,"le",le_cdelay,FALSE)</f>
        <v>0</v>
      </c>
      <c r="P53" s="1" t="b" cm="1">
        <f t="array" ref="P53">_xlfn.SWITCH(P46,"we", we_cdelay,"ss",ss_cdelay,"us",us_cdelay,"sr",sr_cdelay,"lt",lt_cdelay,"gd",gd_cdelay,"rr",rr_cdelay,"ab",ab_cdelay,"rm",rm_cdelay,"le",le_cdelay,FALSE)</f>
        <v>0</v>
      </c>
      <c r="Q53" s="1" t="b" cm="1">
        <f t="array" ref="Q53">_xlfn.SWITCH(Q46,"we", we_cdelay,"ss",ss_cdelay,"us",us_cdelay,"sr",sr_cdelay,"lt",lt_cdelay,"gd",gd_cdelay,"rr",rr_cdelay,"ab",ab_cdelay,"rm",rm_cdelay,"le",le_cdelay,FALSE)</f>
        <v>0</v>
      </c>
    </row>
    <row r="54" spans="5:17" ht="19.95" customHeight="1">
      <c r="E54" s="66"/>
      <c r="F54" s="1" cm="1">
        <f t="array" ref="F54">_xlfn.SWITCH(F47,"we", we_cdelay,"ss",ss_cdelay,"us",us_cdelay,"sr",sr_cdelay,"lt",lt_cdelay,"gd",gd_cdelay,"rr",rr_cdelay,"ab",ab_cdelay,"rm",rm_cdelay,"le",le_cdelay,FALSE)</f>
        <v>360</v>
      </c>
      <c r="G54" s="1" cm="1">
        <f t="array" ref="G54">_xlfn.SWITCH(G47,"we", we_cdelay,"ss",ss_cdelay,"us",us_cdelay,"sr",sr_cdelay,"lt",lt_cdelay,"gd",gd_cdelay,"rr",rr_cdelay,"ab",ab_cdelay,"rm",rm_cdelay,"le",le_cdelay,FALSE)</f>
        <v>510</v>
      </c>
      <c r="H54" s="1" t="b" cm="1">
        <f t="array" ref="H54">_xlfn.SWITCH(H47,"we", we_cdelay,"ss",ss_cdelay,"us",us_cdelay,"sr",sr_cdelay,"lt",lt_cdelay,"gd",gd_cdelay,"rr",rr_cdelay,"ab",ab_cdelay,"rm",rm_cdelay,"le",le_cdelay,FALSE)</f>
        <v>0</v>
      </c>
      <c r="I54" s="1" cm="1">
        <f t="array" ref="I54">_xlfn.SWITCH(I47,"we", we_cdelay,"ss",ss_cdelay,"us",us_cdelay,"sr",sr_cdelay,"lt",lt_cdelay,"gd",gd_cdelay,"rr",rr_cdelay,"ab",ab_cdelay,"rm",rm_cdelay,"le",le_cdelay,FALSE)</f>
        <v>360</v>
      </c>
      <c r="J54" s="1" cm="1">
        <f t="array" ref="J54">_xlfn.SWITCH(J47,"we", we_cdelay,"ss",ss_cdelay,"us",us_cdelay,"sr",sr_cdelay,"lt",lt_cdelay,"gd",gd_cdelay,"rr",rr_cdelay,"ab",ab_cdelay,"rm",rm_cdelay,"le",le_cdelay,FALSE)</f>
        <v>360</v>
      </c>
      <c r="K54" s="1" t="b" cm="1">
        <f t="array" ref="K54">_xlfn.SWITCH(K47,"we", we_cdelay,"ss",ss_cdelay,"us",us_cdelay,"sr",sr_cdelay,"lt",lt_cdelay,"gd",gd_cdelay,"rr",rr_cdelay,"ab",ab_cdelay,"rm",rm_cdelay,"le",le_cdelay,FALSE)</f>
        <v>0</v>
      </c>
      <c r="L54" s="1" t="b" cm="1">
        <f t="array" ref="L54">_xlfn.SWITCH(L47,"we", we_cdelay,"ss",ss_cdelay,"us",us_cdelay,"sr",sr_cdelay,"lt",lt_cdelay,"gd",gd_cdelay,"rr",rr_cdelay,"ab",ab_cdelay,"rm",rm_cdelay,"le",le_cdelay,FALSE)</f>
        <v>0</v>
      </c>
      <c r="M54" s="1" t="b" cm="1">
        <f t="array" ref="M54">_xlfn.SWITCH(M47,"we", we_cdelay,"ss",ss_cdelay,"us",us_cdelay,"sr",sr_cdelay,"lt",lt_cdelay,"gd",gd_cdelay,"rr",rr_cdelay,"ab",ab_cdelay,"rm",rm_cdelay,"le",le_cdelay,FALSE)</f>
        <v>0</v>
      </c>
      <c r="N54" s="1" t="b" cm="1">
        <f t="array" ref="N54">_xlfn.SWITCH(N47,"we", we_cdelay,"ss",ss_cdelay,"us",us_cdelay,"sr",sr_cdelay,"lt",lt_cdelay,"gd",gd_cdelay,"rr",rr_cdelay,"ab",ab_cdelay,"rm",rm_cdelay,"le",le_cdelay,FALSE)</f>
        <v>0</v>
      </c>
      <c r="O54" s="1" t="b" cm="1">
        <f t="array" ref="O54">_xlfn.SWITCH(O47,"we", we_cdelay,"ss",ss_cdelay,"us",us_cdelay,"sr",sr_cdelay,"lt",lt_cdelay,"gd",gd_cdelay,"rr",rr_cdelay,"ab",ab_cdelay,"rm",rm_cdelay,"le",le_cdelay,FALSE)</f>
        <v>0</v>
      </c>
      <c r="P54" s="1" t="b" cm="1">
        <f t="array" ref="P54">_xlfn.SWITCH(P47,"we", we_cdelay,"ss",ss_cdelay,"us",us_cdelay,"sr",sr_cdelay,"lt",lt_cdelay,"gd",gd_cdelay,"rr",rr_cdelay,"ab",ab_cdelay,"rm",rm_cdelay,"le",le_cdelay,FALSE)</f>
        <v>0</v>
      </c>
      <c r="Q54" s="1" t="b" cm="1">
        <f t="array" ref="Q54">_xlfn.SWITCH(Q47,"we", we_cdelay,"ss",ss_cdelay,"us",us_cdelay,"sr",sr_cdelay,"lt",lt_cdelay,"gd",gd_cdelay,"rr",rr_cdelay,"ab",ab_cdelay,"rm",rm_cdelay,"le",le_cdelay,FALSE)</f>
        <v>0</v>
      </c>
    </row>
    <row r="55" spans="5:17" ht="19.95" customHeight="1">
      <c r="E55" s="66"/>
      <c r="F55" s="1" cm="1">
        <f t="array" ref="F55">_xlfn.SWITCH(F48,"we", we_cdelay,"ss",ss_cdelay,"us",us_cdelay,"sr",sr_cdelay,"lt",lt_cdelay,"gd",gd_cdelay,"rr",rr_cdelay,"ab",ab_cdelay,"rm",rm_cdelay,"le",le_cdelay,FALSE)</f>
        <v>480</v>
      </c>
      <c r="G55" s="1" cm="1">
        <f t="array" ref="G55">_xlfn.SWITCH(G48,"we", we_cdelay,"ss",ss_cdelay,"us",us_cdelay,"sr",sr_cdelay,"lt",lt_cdelay,"gd",gd_cdelay,"rr",rr_cdelay,"ab",ab_cdelay,"rm",rm_cdelay,"le",le_cdelay,FALSE)</f>
        <v>360</v>
      </c>
      <c r="H55" s="1" t="b" cm="1">
        <f t="array" ref="H55">_xlfn.SWITCH(H48,"we", we_cdelay,"ss",ss_cdelay,"us",us_cdelay,"sr",sr_cdelay,"lt",lt_cdelay,"gd",gd_cdelay,"rr",rr_cdelay,"ab",ab_cdelay,"rm",rm_cdelay,"le",le_cdelay,FALSE)</f>
        <v>0</v>
      </c>
      <c r="I55" s="1" t="b" cm="1">
        <f t="array" ref="I55">_xlfn.SWITCH(I48,"we", we_cdelay,"ss",ss_cdelay,"us",us_cdelay,"sr",sr_cdelay,"lt",lt_cdelay,"gd",gd_cdelay,"rr",rr_cdelay,"ab",ab_cdelay,"rm",rm_cdelay,"le",le_cdelay,FALSE)</f>
        <v>0</v>
      </c>
      <c r="J55" s="1" t="b" cm="1">
        <f t="array" ref="J55">_xlfn.SWITCH(J48,"we", we_cdelay,"ss",ss_cdelay,"us",us_cdelay,"sr",sr_cdelay,"lt",lt_cdelay,"gd",gd_cdelay,"rr",rr_cdelay,"ab",ab_cdelay,"rm",rm_cdelay,"le",le_cdelay,FALSE)</f>
        <v>0</v>
      </c>
      <c r="K55" s="1" t="b" cm="1">
        <f t="array" ref="K55">_xlfn.SWITCH(K48,"we", we_cdelay,"ss",ss_cdelay,"us",us_cdelay,"sr",sr_cdelay,"lt",lt_cdelay,"gd",gd_cdelay,"rr",rr_cdelay,"ab",ab_cdelay,"rm",rm_cdelay,"le",le_cdelay,FALSE)</f>
        <v>0</v>
      </c>
      <c r="L55" s="1" t="b" cm="1">
        <f t="array" ref="L55">_xlfn.SWITCH(L48,"we", we_cdelay,"ss",ss_cdelay,"us",us_cdelay,"sr",sr_cdelay,"lt",lt_cdelay,"gd",gd_cdelay,"rr",rr_cdelay,"ab",ab_cdelay,"rm",rm_cdelay,"le",le_cdelay,FALSE)</f>
        <v>0</v>
      </c>
      <c r="M55" s="1" t="b" cm="1">
        <f t="array" ref="M55">_xlfn.SWITCH(M48,"we", we_cdelay,"ss",ss_cdelay,"us",us_cdelay,"sr",sr_cdelay,"lt",lt_cdelay,"gd",gd_cdelay,"rr",rr_cdelay,"ab",ab_cdelay,"rm",rm_cdelay,"le",le_cdelay,FALSE)</f>
        <v>0</v>
      </c>
      <c r="N55" s="1" t="b" cm="1">
        <f t="array" ref="N55">_xlfn.SWITCH(N48,"we", we_cdelay,"ss",ss_cdelay,"us",us_cdelay,"sr",sr_cdelay,"lt",lt_cdelay,"gd",gd_cdelay,"rr",rr_cdelay,"ab",ab_cdelay,"rm",rm_cdelay,"le",le_cdelay,FALSE)</f>
        <v>0</v>
      </c>
      <c r="O55" s="1" t="b" cm="1">
        <f t="array" ref="O55">_xlfn.SWITCH(O48,"we", we_cdelay,"ss",ss_cdelay,"us",us_cdelay,"sr",sr_cdelay,"lt",lt_cdelay,"gd",gd_cdelay,"rr",rr_cdelay,"ab",ab_cdelay,"rm",rm_cdelay,"le",le_cdelay,FALSE)</f>
        <v>0</v>
      </c>
      <c r="P55" s="1" t="b" cm="1">
        <f t="array" ref="P55">_xlfn.SWITCH(P48,"we", we_cdelay,"ss",ss_cdelay,"us",us_cdelay,"sr",sr_cdelay,"lt",lt_cdelay,"gd",gd_cdelay,"rr",rr_cdelay,"ab",ab_cdelay,"rm",rm_cdelay,"le",le_cdelay,FALSE)</f>
        <v>0</v>
      </c>
      <c r="Q55" s="1" t="b" cm="1">
        <f t="array" ref="Q55">_xlfn.SWITCH(Q48,"we", we_cdelay,"ss",ss_cdelay,"us",us_cdelay,"sr",sr_cdelay,"lt",lt_cdelay,"gd",gd_cdelay,"rr",rr_cdelay,"ab",ab_cdelay,"rm",rm_cdelay,"le",le_cdelay,FALSE)</f>
        <v>0</v>
      </c>
    </row>
    <row r="56" spans="5:17" ht="19.95" customHeight="1">
      <c r="E56" s="1" t="s">
        <v>146</v>
      </c>
      <c r="F56" s="1" cm="1">
        <f t="array" aca="1" ref="F56" ca="1">_xlfn.SWITCH(OFFSET(F41,F41,0),"we", we_delay,"ss",ss_delay,"us",us_delay,"sr",sr_delay,"lt",lt_delay,"gd",gd_delay,"rr",rr_delay,"ab",ab_delay,"rm",rm_delay,"le",le_delay,FALSE)-OFFSET(F48,F41,0)</f>
        <v>60</v>
      </c>
      <c r="G56" s="1" cm="1">
        <f t="array" aca="1" ref="G56" ca="1">_xlfn.SWITCH(OFFSET(G41,G41,0),"we", we_delay,"ss",ss_delay,"us",us_delay,"sr",sr_delay,"lt",lt_delay,"gd",gd_delay,"rr",rr_delay,"ab",ab_delay,"rm",rm_delay,"le",le_delay,FALSE)-OFFSET(G48,G41,0)</f>
        <v>210</v>
      </c>
      <c r="H56" s="1" cm="1">
        <f t="array" aca="1" ref="H56" ca="1">_xlfn.SWITCH(OFFSET(H41,H41,0),"we", we_delay,"ss",ss_delay,"us",us_delay,"sr",sr_delay,"lt",lt_delay,"gd",gd_delay,"rr",rr_delay,"ab",ab_delay,"rm",rm_delay,"le",le_delay,FALSE)-OFFSET(H48,H41,0)</f>
        <v>120</v>
      </c>
      <c r="I56" s="1" cm="1">
        <f t="array" aca="1" ref="I56" ca="1">_xlfn.SWITCH(OFFSET(I41,I41,0),"we", we_delay,"ss",ss_delay,"us",us_delay,"sr",sr_delay,"lt",lt_delay,"gd",gd_delay,"rr",rr_delay,"ab",ab_delay,"rm",rm_delay,"le",le_delay,FALSE)-OFFSET(I48,I41,0)</f>
        <v>210</v>
      </c>
      <c r="J56" s="1" cm="1">
        <f t="array" aca="1" ref="J56" ca="1">_xlfn.SWITCH(OFFSET(J41,J41,0),"we", we_delay,"ss",ss_delay,"us",us_delay,"sr",sr_delay,"lt",lt_delay,"gd",gd_delay,"rr",rr_delay,"ab",ab_delay,"rm",rm_delay,"le",le_delay,FALSE)-OFFSET(J48,J41,0)</f>
        <v>210</v>
      </c>
      <c r="K56" s="1" cm="1">
        <f t="array" aca="1" ref="K56" ca="1">_xlfn.SWITCH(OFFSET(K41,K41,0),"we", we_delay,"ss",ss_delay,"us",us_delay,"sr",sr_delay,"lt",lt_delay,"gd",gd_delay,"rr",rr_delay,"ab",ab_delay,"rm",rm_delay,"le",le_delay,FALSE)-OFFSET(K48,K41,0)</f>
        <v>120</v>
      </c>
      <c r="L56" s="1" cm="1">
        <f t="array" aca="1" ref="L56" ca="1">_xlfn.SWITCH(OFFSET(L41,L41,0),"we", we_delay,"ss",ss_delay,"us",us_delay,"sr",sr_delay,"lt",lt_delay,"gd",gd_delay,"rr",rr_delay,"ab",ab_delay,"rm",rm_delay,"le",le_delay,FALSE)-OFFSET(L48,L41,0)</f>
        <v>210</v>
      </c>
      <c r="M56" s="1" cm="1">
        <f t="array" aca="1" ref="M56" ca="1">_xlfn.SWITCH(OFFSET(M41,M41,0),"we", we_delay,"ss",ss_delay,"us",us_delay,"sr",sr_delay,"lt",lt_delay,"gd",gd_delay,"rr",rr_delay,"ab",ab_delay,"rm",rm_delay,"le",le_delay,FALSE)-OFFSET(M48,M41,0)</f>
        <v>210</v>
      </c>
      <c r="N56" s="1" cm="1">
        <f t="array" aca="1" ref="N56" ca="1">_xlfn.SWITCH(OFFSET(N41,N41,0),"we", we_delay,"ss",ss_delay,"us",us_delay,"sr",sr_delay,"lt",lt_delay,"gd",gd_delay,"rr",rr_delay,"ab",ab_delay,"rm",rm_delay,"le",le_delay,FALSE)-OFFSET(N48,N41,0)</f>
        <v>120</v>
      </c>
      <c r="O56" s="1" cm="1">
        <f t="array" aca="1" ref="O56" ca="1">_xlfn.SWITCH(OFFSET(O41,O41,0),"we", we_delay,"ss",ss_delay,"us",us_delay,"sr",sr_delay,"lt",lt_delay,"gd",gd_delay,"rr",rr_delay,"ab",ab_delay,"rm",rm_delay,"le",le_delay,FALSE)-OFFSET(O48,O41,0)</f>
        <v>60</v>
      </c>
      <c r="P56" s="1" cm="1">
        <f t="array" aca="1" ref="P56" ca="1">_xlfn.SWITCH(OFFSET(P41,P41,0),"we", we_delay,"ss",ss_delay,"us",us_delay,"sr",sr_delay,"lt",lt_delay,"gd",gd_delay,"rr",rr_delay,"ab",ab_delay,"rm",rm_delay,"le",le_delay,FALSE)-OFFSET(P48,P41,0)</f>
        <v>120</v>
      </c>
      <c r="Q56" s="1" cm="1">
        <f t="array" aca="1" ref="Q56" ca="1">_xlfn.SWITCH(OFFSET(Q41,Q41,0),"we", we_delay,"ss",ss_delay,"us",us_delay,"sr",sr_delay,"lt",lt_delay,"gd",gd_delay,"rr",rr_delay,"ab",ab_delay,"rm",rm_delay,"le",le_delay,FALSE)-OFFSET(Q48,Q41,0)</f>
        <v>120</v>
      </c>
    </row>
    <row r="57" spans="5:17" ht="19.95" customHeight="1">
      <c r="E57" s="1" t="s">
        <v>129</v>
      </c>
      <c r="F57" s="1">
        <v>0</v>
      </c>
      <c r="G57" s="1">
        <v>0</v>
      </c>
      <c r="H57" s="1">
        <v>0</v>
      </c>
      <c r="I57" s="1">
        <f>IF(is_cms,-1,-2)</f>
        <v>-1</v>
      </c>
      <c r="J57" s="1">
        <f>IF(is_cms,-1,-2)</f>
        <v>-1</v>
      </c>
      <c r="K57" s="1">
        <f>IF(is_cms,-1,-2)</f>
        <v>-1</v>
      </c>
      <c r="L57" s="1">
        <f>IF(is_cms,-4,-5)</f>
        <v>-4</v>
      </c>
      <c r="M57" s="1">
        <f>IF(is_cms,-4,-5)</f>
        <v>-4</v>
      </c>
      <c r="N57" s="1">
        <f>IF(is_cms,-4,-5)</f>
        <v>-4</v>
      </c>
      <c r="O57" s="1">
        <v>-7</v>
      </c>
      <c r="P57" s="1">
        <v>-8</v>
      </c>
      <c r="Q57" s="1">
        <v>-8</v>
      </c>
    </row>
    <row r="58" spans="5:17" ht="19.95" customHeight="1">
      <c r="E58" s="66" t="s">
        <v>138</v>
      </c>
      <c r="F58" s="1" cm="1">
        <f t="array" ref="F58">_xlfn.SWITCH(F42,"we",we_reload,"us",us_reload,"sr",sr_reload,0)</f>
        <v>8000</v>
      </c>
      <c r="G58" s="1" cm="1">
        <f t="array" ref="G58">_xlfn.SWITCH(G42,"we",we_reload,"us",us_reload,"sr",sr_reload,0)</f>
        <v>8000</v>
      </c>
      <c r="H58" s="1" cm="1">
        <f t="array" ref="H58">_xlfn.SWITCH(H42,"we",we_reload,"us",us_reload,"sr",sr_reload,0)</f>
        <v>8000</v>
      </c>
      <c r="I58" s="1" cm="1">
        <f t="array" ref="I58">_xlfn.SWITCH(I42,"we",we_reload,"us",us_reload,"sr",sr_reload,0)</f>
        <v>8000</v>
      </c>
      <c r="J58" s="1" cm="1">
        <f t="array" ref="J58">_xlfn.SWITCH(J42,"we",we_reload,"us",us_reload,"sr",sr_reload,0)</f>
        <v>8000</v>
      </c>
      <c r="K58" s="1" cm="1">
        <f t="array" ref="K58">_xlfn.SWITCH(K42,"we",we_reload,"us",us_reload,"sr",sr_reload,0)</f>
        <v>8000</v>
      </c>
      <c r="L58" s="1" cm="1">
        <f t="array" ref="L58">_xlfn.SWITCH(L42,"we",we_reload,"us",us_reload,"sr",sr_reload,0)</f>
        <v>8000</v>
      </c>
      <c r="M58" s="1" cm="1">
        <f t="array" ref="M58">_xlfn.SWITCH(M42,"we",we_reload,"us",us_reload,"sr",sr_reload,0)</f>
        <v>8000</v>
      </c>
      <c r="N58" s="1" cm="1">
        <f t="array" ref="N58">_xlfn.SWITCH(N42,"we",we_reload,"us",us_reload,"sr",sr_reload,0)</f>
        <v>8000</v>
      </c>
      <c r="O58" s="1" cm="1">
        <f t="array" ref="O58">_xlfn.SWITCH(O42,"we",we_reload,"us",us_reload,"sr",sr_reload,0)</f>
        <v>8000</v>
      </c>
      <c r="P58" s="1" cm="1">
        <f t="array" ref="P58">_xlfn.SWITCH(P42,"we",we_reload,"us",us_reload,"sr",sr_reload,0)</f>
        <v>8000</v>
      </c>
      <c r="Q58" s="1" cm="1">
        <f t="array" ref="Q58">_xlfn.SWITCH(Q42,"we",we_reload,"us",us_reload,"sr",sr_reload,0)</f>
        <v>8000</v>
      </c>
    </row>
    <row r="59" spans="5:17" ht="19.95" customHeight="1">
      <c r="E59" s="66"/>
      <c r="F59" s="1" cm="1">
        <f t="array" ref="F59">_xlfn.SWITCH(F43,"we",we_reload,"us",us_reload,"sr",sr_reload,0)</f>
        <v>0</v>
      </c>
      <c r="G59" s="1" cm="1">
        <f t="array" ref="G59">_xlfn.SWITCH(G43,"we",we_reload,"us",us_reload,"sr",sr_reload,0)</f>
        <v>0</v>
      </c>
      <c r="H59" s="1" cm="1">
        <f t="array" ref="H59">_xlfn.SWITCH(H43,"we",we_reload,"us",us_reload,"sr",sr_reload,0)</f>
        <v>0</v>
      </c>
      <c r="I59" s="1" cm="1">
        <f t="array" ref="I59">_xlfn.SWITCH(I43,"we",we_reload,"us",us_reload,"sr",sr_reload,0)</f>
        <v>0</v>
      </c>
      <c r="J59" s="1" cm="1">
        <f t="array" ref="J59">_xlfn.SWITCH(J43,"we",we_reload,"us",us_reload,"sr",sr_reload,0)</f>
        <v>0</v>
      </c>
      <c r="K59" s="1" cm="1">
        <f t="array" ref="K59">_xlfn.SWITCH(K43,"we",we_reload,"us",us_reload,"sr",sr_reload,0)</f>
        <v>0</v>
      </c>
      <c r="L59" s="1" cm="1">
        <f t="array" ref="L59">_xlfn.SWITCH(L43,"we",we_reload,"us",us_reload,"sr",sr_reload,0)</f>
        <v>0</v>
      </c>
      <c r="M59" s="1" cm="1">
        <f t="array" ref="M59">_xlfn.SWITCH(M43,"we",we_reload,"us",us_reload,"sr",sr_reload,0)</f>
        <v>9000</v>
      </c>
      <c r="N59" s="1" cm="1">
        <f t="array" ref="N59">_xlfn.SWITCH(N43,"we",we_reload,"us",us_reload,"sr",sr_reload,0)</f>
        <v>0</v>
      </c>
      <c r="O59" s="1" cm="1">
        <f t="array" ref="O59">_xlfn.SWITCH(O43,"we",we_reload,"us",us_reload,"sr",sr_reload,0)</f>
        <v>9000</v>
      </c>
      <c r="P59" s="1" cm="1">
        <f t="array" ref="P59">_xlfn.SWITCH(P43,"we",we_reload,"us",us_reload,"sr",sr_reload,0)</f>
        <v>0</v>
      </c>
      <c r="Q59" s="1" cm="1">
        <f t="array" ref="Q59">_xlfn.SWITCH(Q43,"we",we_reload,"us",us_reload,"sr",sr_reload,0)</f>
        <v>0</v>
      </c>
    </row>
    <row r="60" spans="5:17" ht="19.95" customHeight="1">
      <c r="E60" s="66"/>
      <c r="F60" s="1" cm="1">
        <f t="array" ref="F60">_xlfn.SWITCH(F44,"we",we_reload,"us",us_reload,"sr",sr_reload,0)</f>
        <v>9000</v>
      </c>
      <c r="G60" s="1" cm="1">
        <f t="array" ref="G60">_xlfn.SWITCH(G44,"we",we_reload,"us",us_reload,"sr",sr_reload,0)</f>
        <v>9000</v>
      </c>
      <c r="H60" s="1" cm="1">
        <f t="array" ref="H60">_xlfn.SWITCH(H44,"we",we_reload,"us",us_reload,"sr",sr_reload,0)</f>
        <v>0</v>
      </c>
      <c r="I60" s="1" cm="1">
        <f t="array" ref="I60">_xlfn.SWITCH(I44,"we",we_reload,"us",us_reload,"sr",sr_reload,0)</f>
        <v>9000</v>
      </c>
      <c r="J60" s="1" cm="1">
        <f t="array" ref="J60">_xlfn.SWITCH(J44,"we",we_reload,"us",us_reload,"sr",sr_reload,0)</f>
        <v>9000</v>
      </c>
      <c r="K60" s="1" cm="1">
        <f t="array" ref="K60">_xlfn.SWITCH(K44,"we",we_reload,"us",us_reload,"sr",sr_reload,0)</f>
        <v>0</v>
      </c>
      <c r="L60" s="1" cm="1">
        <f t="array" ref="L60">_xlfn.SWITCH(L44,"we",we_reload,"us",us_reload,"sr",sr_reload,0)</f>
        <v>9000</v>
      </c>
      <c r="M60" s="1" cm="1">
        <f t="array" ref="M60">_xlfn.SWITCH(M44,"we",we_reload,"us",us_reload,"sr",sr_reload,0)</f>
        <v>0</v>
      </c>
      <c r="N60" s="1" cm="1">
        <f t="array" ref="N60">_xlfn.SWITCH(N44,"we",we_reload,"us",us_reload,"sr",sr_reload,0)</f>
        <v>0</v>
      </c>
      <c r="O60" s="1" cm="1">
        <f t="array" ref="O60">_xlfn.SWITCH(O44,"we",we_reload,"us",us_reload,"sr",sr_reload,0)</f>
        <v>5000</v>
      </c>
      <c r="P60" s="1" cm="1">
        <f t="array" ref="P60">_xlfn.SWITCH(P44,"we",we_reload,"us",us_reload,"sr",sr_reload,0)</f>
        <v>9000</v>
      </c>
      <c r="Q60" s="1" cm="1">
        <f t="array" ref="Q60">_xlfn.SWITCH(Q44,"we",we_reload,"us",us_reload,"sr",sr_reload,0)</f>
        <v>0</v>
      </c>
    </row>
    <row r="61" spans="5:17" ht="19.95" customHeight="1">
      <c r="E61" s="66"/>
      <c r="F61" s="1" cm="1">
        <f t="array" ref="F61">_xlfn.SWITCH(F45,"we",we_reload,"us",us_reload,"sr",sr_reload,0)</f>
        <v>0</v>
      </c>
      <c r="G61" s="1" cm="1">
        <f t="array" ref="G61">_xlfn.SWITCH(G45,"we",we_reload,"us",us_reload,"sr",sr_reload,0)</f>
        <v>0</v>
      </c>
      <c r="H61" s="1" cm="1">
        <f t="array" ref="H61">_xlfn.SWITCH(H45,"we",we_reload,"us",us_reload,"sr",sr_reload,0)</f>
        <v>0</v>
      </c>
      <c r="I61" s="1" cm="1">
        <f t="array" ref="I61">_xlfn.SWITCH(I45,"we",we_reload,"us",us_reload,"sr",sr_reload,0)</f>
        <v>0</v>
      </c>
      <c r="J61" s="1" cm="1">
        <f t="array" ref="J61">_xlfn.SWITCH(J45,"we",we_reload,"us",us_reload,"sr",sr_reload,0)</f>
        <v>0</v>
      </c>
      <c r="K61" s="1" cm="1">
        <f t="array" ref="K61">_xlfn.SWITCH(K45,"we",we_reload,"us",us_reload,"sr",sr_reload,0)</f>
        <v>0</v>
      </c>
      <c r="L61" s="1" cm="1">
        <f t="array" ref="L61">_xlfn.SWITCH(L45,"we",we_reload,"us",us_reload,"sr",sr_reload,0)</f>
        <v>5000</v>
      </c>
      <c r="M61" s="1" cm="1">
        <f t="array" ref="M61">_xlfn.SWITCH(M45,"we",we_reload,"us",us_reload,"sr",sr_reload,0)</f>
        <v>0</v>
      </c>
      <c r="N61" s="1" cm="1">
        <f t="array" ref="N61">_xlfn.SWITCH(N45,"we",we_reload,"us",us_reload,"sr",sr_reload,0)</f>
        <v>0</v>
      </c>
      <c r="O61" s="1" cm="1">
        <f t="array" ref="O61">_xlfn.SWITCH(O45,"we",we_reload,"us",us_reload,"sr",sr_reload,0)</f>
        <v>0</v>
      </c>
      <c r="P61" s="1" cm="1">
        <f t="array" ref="P61">_xlfn.SWITCH(P45,"we",we_reload,"us",us_reload,"sr",sr_reload,0)</f>
        <v>0</v>
      </c>
      <c r="Q61" s="1" cm="1">
        <f t="array" ref="Q61">_xlfn.SWITCH(Q45,"we",we_reload,"us",us_reload,"sr",sr_reload,0)</f>
        <v>0</v>
      </c>
    </row>
    <row r="62" spans="5:17" ht="19.95" customHeight="1">
      <c r="E62" s="66"/>
      <c r="F62" s="1" cm="1">
        <f t="array" ref="F62">_xlfn.SWITCH(F46,"we",we_reload,"us",us_reload,"sr",sr_reload,0)</f>
        <v>5000</v>
      </c>
      <c r="G62" s="1" cm="1">
        <f t="array" ref="G62">_xlfn.SWITCH(G46,"we",we_reload,"us",us_reload,"sr",sr_reload,0)</f>
        <v>0</v>
      </c>
      <c r="H62" s="1" cm="1">
        <f t="array" ref="H62">_xlfn.SWITCH(H46,"we",we_reload,"us",us_reload,"sr",sr_reload,0)</f>
        <v>0</v>
      </c>
      <c r="I62" s="1" cm="1">
        <f t="array" ref="I62">_xlfn.SWITCH(I46,"we",we_reload,"us",us_reload,"sr",sr_reload,0)</f>
        <v>5000</v>
      </c>
      <c r="J62" s="1" cm="1">
        <f t="array" ref="J62">_xlfn.SWITCH(J46,"we",we_reload,"us",us_reload,"sr",sr_reload,0)</f>
        <v>0</v>
      </c>
      <c r="K62" s="1" cm="1">
        <f t="array" ref="K62">_xlfn.SWITCH(K46,"we",we_reload,"us",us_reload,"sr",sr_reload,0)</f>
        <v>0</v>
      </c>
      <c r="L62" s="1" cm="1">
        <f t="array" ref="L62">_xlfn.SWITCH(L46,"we",we_reload,"us",us_reload,"sr",sr_reload,0)</f>
        <v>0</v>
      </c>
      <c r="M62" s="1" cm="1">
        <f t="array" ref="M62">_xlfn.SWITCH(M46,"we",we_reload,"us",us_reload,"sr",sr_reload,0)</f>
        <v>0</v>
      </c>
      <c r="N62" s="1" cm="1">
        <f t="array" ref="N62">_xlfn.SWITCH(N46,"we",we_reload,"us",us_reload,"sr",sr_reload,0)</f>
        <v>0</v>
      </c>
      <c r="O62" s="1" cm="1">
        <f t="array" ref="O62">_xlfn.SWITCH(O46,"we",we_reload,"us",us_reload,"sr",sr_reload,0)</f>
        <v>0</v>
      </c>
      <c r="P62" s="1" cm="1">
        <f t="array" ref="P62">_xlfn.SWITCH(P46,"we",we_reload,"us",us_reload,"sr",sr_reload,0)</f>
        <v>0</v>
      </c>
      <c r="Q62" s="1" cm="1">
        <f t="array" ref="Q62">_xlfn.SWITCH(Q46,"we",we_reload,"us",us_reload,"sr",sr_reload,0)</f>
        <v>0</v>
      </c>
    </row>
    <row r="63" spans="5:17" ht="19.95" customHeight="1">
      <c r="E63" s="66"/>
      <c r="F63" s="1" cm="1">
        <f t="array" ref="F63">_xlfn.SWITCH(F47,"we",we_reload,"us",us_reload,"sr",sr_reload,0)</f>
        <v>0</v>
      </c>
      <c r="G63" s="1" cm="1">
        <f t="array" ref="G63">_xlfn.SWITCH(G47,"we",we_reload,"us",us_reload,"sr",sr_reload,0)</f>
        <v>0</v>
      </c>
      <c r="H63" s="1" cm="1">
        <f t="array" ref="H63">_xlfn.SWITCH(H47,"we",we_reload,"us",us_reload,"sr",sr_reload,0)</f>
        <v>0</v>
      </c>
      <c r="I63" s="1" cm="1">
        <f t="array" ref="I63">_xlfn.SWITCH(I47,"we",we_reload,"us",us_reload,"sr",sr_reload,0)</f>
        <v>0</v>
      </c>
      <c r="J63" s="1" cm="1">
        <f t="array" ref="J63">_xlfn.SWITCH(J47,"we",we_reload,"us",us_reload,"sr",sr_reload,0)</f>
        <v>0</v>
      </c>
      <c r="K63" s="1" cm="1">
        <f t="array" ref="K63">_xlfn.SWITCH(K47,"we",we_reload,"us",us_reload,"sr",sr_reload,0)</f>
        <v>0</v>
      </c>
      <c r="L63" s="1" cm="1">
        <f t="array" ref="L63">_xlfn.SWITCH(L47,"we",we_reload,"us",us_reload,"sr",sr_reload,0)</f>
        <v>0</v>
      </c>
      <c r="M63" s="1" cm="1">
        <f t="array" ref="M63">_xlfn.SWITCH(M47,"we",we_reload,"us",us_reload,"sr",sr_reload,0)</f>
        <v>0</v>
      </c>
      <c r="N63" s="1" cm="1">
        <f t="array" ref="N63">_xlfn.SWITCH(N47,"we",we_reload,"us",us_reload,"sr",sr_reload,0)</f>
        <v>0</v>
      </c>
      <c r="O63" s="1" cm="1">
        <f t="array" ref="O63">_xlfn.SWITCH(O47,"we",we_reload,"us",us_reload,"sr",sr_reload,0)</f>
        <v>0</v>
      </c>
      <c r="P63" s="1" cm="1">
        <f t="array" ref="P63">_xlfn.SWITCH(P47,"we",we_reload,"us",us_reload,"sr",sr_reload,0)</f>
        <v>0</v>
      </c>
      <c r="Q63" s="1" cm="1">
        <f t="array" ref="Q63">_xlfn.SWITCH(Q47,"we",we_reload,"us",us_reload,"sr",sr_reload,0)</f>
        <v>0</v>
      </c>
    </row>
    <row r="64" spans="5:17" ht="19.95" customHeight="1">
      <c r="E64" s="66"/>
      <c r="F64" s="1" cm="1">
        <f t="array" ref="F64">_xlfn.SWITCH(F48,"we",we_reload,"us",us_reload,"sr",sr_reload,0)</f>
        <v>0</v>
      </c>
      <c r="G64" s="1" cm="1">
        <f t="array" ref="G64">_xlfn.SWITCH(G48,"we",we_reload,"us",us_reload,"sr",sr_reload,0)</f>
        <v>0</v>
      </c>
      <c r="H64" s="1" cm="1">
        <f t="array" ref="H64">_xlfn.SWITCH(H48,"we",we_reload,"us",us_reload,"sr",sr_reload,0)</f>
        <v>0</v>
      </c>
      <c r="I64" s="1" cm="1">
        <f t="array" ref="I64">_xlfn.SWITCH(I48,"we",we_reload,"us",us_reload,"sr",sr_reload,0)</f>
        <v>0</v>
      </c>
      <c r="J64" s="1" cm="1">
        <f t="array" ref="J64">_xlfn.SWITCH(J48,"we",we_reload,"us",us_reload,"sr",sr_reload,0)</f>
        <v>0</v>
      </c>
      <c r="K64" s="1" cm="1">
        <f t="array" ref="K64">_xlfn.SWITCH(K48,"we",we_reload,"us",us_reload,"sr",sr_reload,0)</f>
        <v>0</v>
      </c>
      <c r="L64" s="1" cm="1">
        <f t="array" ref="L64">_xlfn.SWITCH(L48,"we",we_reload,"us",us_reload,"sr",sr_reload,0)</f>
        <v>0</v>
      </c>
      <c r="M64" s="1" cm="1">
        <f t="array" ref="M64">_xlfn.SWITCH(M48,"we",we_reload,"us",us_reload,"sr",sr_reload,0)</f>
        <v>0</v>
      </c>
      <c r="N64" s="1" cm="1">
        <f t="array" ref="N64">_xlfn.SWITCH(N48,"we",we_reload,"us",us_reload,"sr",sr_reload,0)</f>
        <v>0</v>
      </c>
      <c r="O64" s="1" cm="1">
        <f t="array" ref="O64">_xlfn.SWITCH(O48,"we",we_reload,"us",us_reload,"sr",sr_reload,0)</f>
        <v>0</v>
      </c>
      <c r="P64" s="1" cm="1">
        <f t="array" ref="P64">_xlfn.SWITCH(P48,"we",we_reload,"us",us_reload,"sr",sr_reload,0)</f>
        <v>0</v>
      </c>
      <c r="Q64" s="1" cm="1">
        <f t="array" ref="Q64">_xlfn.SWITCH(Q48,"we",we_reload,"us",us_reload,"sr",sr_reload,0)</f>
        <v>0</v>
      </c>
    </row>
    <row r="65" spans="5:17" ht="19.95" customHeight="1">
      <c r="E65" s="1" t="s">
        <v>139</v>
      </c>
      <c r="F65" s="1">
        <f t="shared" ref="F65:Q65" si="15">MAX(5000,MAX(F58:F64)*(1-mercedes_reduce)*(1+F57*0.05))</f>
        <v>8460</v>
      </c>
      <c r="G65" s="1">
        <f t="shared" si="15"/>
        <v>8460</v>
      </c>
      <c r="H65" s="1">
        <f t="shared" si="15"/>
        <v>7520</v>
      </c>
      <c r="I65" s="1">
        <f t="shared" si="15"/>
        <v>8037</v>
      </c>
      <c r="J65" s="1">
        <f t="shared" si="15"/>
        <v>8037</v>
      </c>
      <c r="K65" s="1">
        <f t="shared" si="15"/>
        <v>7144</v>
      </c>
      <c r="L65" s="1">
        <f t="shared" si="15"/>
        <v>6768</v>
      </c>
      <c r="M65" s="1">
        <f t="shared" si="15"/>
        <v>6768</v>
      </c>
      <c r="N65" s="1">
        <f t="shared" si="15"/>
        <v>6016</v>
      </c>
      <c r="O65" s="1">
        <f t="shared" si="15"/>
        <v>5498.9999999999991</v>
      </c>
      <c r="P65" s="1">
        <f t="shared" si="15"/>
        <v>5076</v>
      </c>
      <c r="Q65" s="1">
        <f t="shared" si="15"/>
        <v>5000</v>
      </c>
    </row>
    <row r="66" spans="5:17" ht="19.95" customHeight="1">
      <c r="E66" s="1" t="s">
        <v>145</v>
      </c>
      <c r="F66" s="1">
        <f>SUM(F49:F55)</f>
        <v>2880</v>
      </c>
      <c r="G66" s="1">
        <f t="shared" ref="G66:Q66" si="16">SUM(G49:G55)</f>
        <v>2490</v>
      </c>
      <c r="H66" s="1">
        <f t="shared" si="16"/>
        <v>570</v>
      </c>
      <c r="I66" s="1">
        <f t="shared" si="16"/>
        <v>2400</v>
      </c>
      <c r="J66" s="1">
        <f t="shared" si="16"/>
        <v>2130</v>
      </c>
      <c r="K66" s="1">
        <f t="shared" si="16"/>
        <v>570</v>
      </c>
      <c r="L66" s="1">
        <f t="shared" si="16"/>
        <v>2040</v>
      </c>
      <c r="M66" s="1">
        <f t="shared" si="16"/>
        <v>1770</v>
      </c>
      <c r="N66" s="1">
        <f t="shared" si="16"/>
        <v>570</v>
      </c>
      <c r="O66" s="1">
        <f t="shared" si="16"/>
        <v>1800</v>
      </c>
      <c r="P66" s="1">
        <f t="shared" si="16"/>
        <v>1380</v>
      </c>
      <c r="Q66" s="1">
        <f t="shared" si="16"/>
        <v>570</v>
      </c>
    </row>
    <row r="67" spans="5:17" ht="19.95" customHeight="1">
      <c r="E67" s="1" t="s">
        <v>143</v>
      </c>
      <c r="F67" s="1" t="b">
        <f t="shared" ref="F67:Q67" si="17">IF(F66+max_pause_delay+1000*F41-F65-server_delay&gt;=0,TRUE,FALSE)</f>
        <v>1</v>
      </c>
      <c r="G67" s="1" t="b">
        <f t="shared" si="17"/>
        <v>1</v>
      </c>
      <c r="H67" s="1" t="b">
        <f t="shared" si="17"/>
        <v>0</v>
      </c>
      <c r="I67" s="1" t="b">
        <f t="shared" si="17"/>
        <v>1</v>
      </c>
      <c r="J67" s="1" t="b">
        <f t="shared" si="17"/>
        <v>1</v>
      </c>
      <c r="K67" s="1" t="b">
        <f t="shared" si="17"/>
        <v>0</v>
      </c>
      <c r="L67" s="1" t="b">
        <f t="shared" si="17"/>
        <v>1</v>
      </c>
      <c r="M67" s="1" t="b">
        <f t="shared" si="17"/>
        <v>1</v>
      </c>
      <c r="N67" s="1" t="b">
        <f t="shared" si="17"/>
        <v>0</v>
      </c>
      <c r="O67" s="1" t="b">
        <f t="shared" si="17"/>
        <v>1</v>
      </c>
      <c r="P67" s="1" t="b">
        <f t="shared" si="17"/>
        <v>1</v>
      </c>
      <c r="Q67" s="1" t="b">
        <f t="shared" si="17"/>
        <v>0</v>
      </c>
    </row>
    <row r="68" spans="5:17" ht="19.95" customHeight="1">
      <c r="E68" s="1" t="s">
        <v>142</v>
      </c>
      <c r="F68" s="1">
        <f t="shared" ref="F68:Q68" si="18">IF(F67,_xlfn.CEILING.MATH(MAX(0,F65+server_delay-F66-1000*F41)/30)*30,0)</f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60</v>
      </c>
      <c r="K68" s="1">
        <f t="shared" si="18"/>
        <v>0</v>
      </c>
      <c r="L68" s="1">
        <f t="shared" si="18"/>
        <v>0</v>
      </c>
      <c r="M68" s="1">
        <f t="shared" si="18"/>
        <v>150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</row>
    <row r="69" spans="5:17" ht="19.95" customHeight="1">
      <c r="E69" s="1" t="s">
        <v>141</v>
      </c>
      <c r="F69" s="1">
        <f>IF(F67,F68+F66,FALSE)</f>
        <v>2880</v>
      </c>
      <c r="G69" s="1">
        <f t="shared" ref="G69:Q69" si="19">IF(G67,G68+G66,FALSE)</f>
        <v>2490</v>
      </c>
      <c r="H69" s="1" t="b">
        <f t="shared" si="19"/>
        <v>0</v>
      </c>
      <c r="I69" s="1">
        <f t="shared" si="19"/>
        <v>2400</v>
      </c>
      <c r="J69" s="1">
        <f t="shared" si="19"/>
        <v>2190</v>
      </c>
      <c r="K69" s="1" t="b">
        <f t="shared" si="19"/>
        <v>0</v>
      </c>
      <c r="L69" s="1">
        <f t="shared" si="19"/>
        <v>2040</v>
      </c>
      <c r="M69" s="1">
        <f t="shared" si="19"/>
        <v>1920</v>
      </c>
      <c r="N69" s="1" t="b">
        <f t="shared" si="19"/>
        <v>0</v>
      </c>
      <c r="O69" s="1">
        <f t="shared" si="19"/>
        <v>1800</v>
      </c>
      <c r="P69" s="1">
        <f t="shared" si="19"/>
        <v>1380</v>
      </c>
      <c r="Q69" s="1" t="b">
        <f t="shared" si="19"/>
        <v>0</v>
      </c>
    </row>
    <row r="70" spans="5:17" ht="19.95" customHeight="1">
      <c r="E70" s="1" t="s">
        <v>147</v>
      </c>
      <c r="F70" s="1">
        <f t="shared" ref="F70:Q70" si="20">IF(F67,0,_xlfn.CEILING.MATH((F65-(F41-1)*1000-F66-F56-ir_pre_delay)/ir_delay))</f>
        <v>0</v>
      </c>
      <c r="G70" s="1">
        <f t="shared" si="20"/>
        <v>0</v>
      </c>
      <c r="H70" s="1">
        <f t="shared" ca="1" si="20"/>
        <v>48</v>
      </c>
      <c r="I70" s="1">
        <f t="shared" si="20"/>
        <v>0</v>
      </c>
      <c r="J70" s="1">
        <f t="shared" si="20"/>
        <v>0</v>
      </c>
      <c r="K70" s="1">
        <f t="shared" ca="1" si="20"/>
        <v>45</v>
      </c>
      <c r="L70" s="1">
        <f t="shared" si="20"/>
        <v>0</v>
      </c>
      <c r="M70" s="1">
        <f t="shared" si="20"/>
        <v>0</v>
      </c>
      <c r="N70" s="1">
        <f t="shared" ca="1" si="20"/>
        <v>36</v>
      </c>
      <c r="O70" s="1">
        <f t="shared" si="20"/>
        <v>0</v>
      </c>
      <c r="P70" s="1">
        <f t="shared" si="20"/>
        <v>0</v>
      </c>
      <c r="Q70" s="1">
        <f t="shared" ca="1" si="20"/>
        <v>27</v>
      </c>
    </row>
    <row r="71" spans="5:17" ht="19.95" customHeight="1">
      <c r="E71" s="1" t="s">
        <v>149</v>
      </c>
      <c r="F71" s="1" t="b">
        <f t="shared" ref="F71:Q71" si="21">IF(F67,FALSE,F66+F56+ir_pre_delay+F70*ir_delay)</f>
        <v>0</v>
      </c>
      <c r="G71" s="1" t="b">
        <f t="shared" si="21"/>
        <v>0</v>
      </c>
      <c r="H71" s="1">
        <f t="shared" ca="1" si="21"/>
        <v>6540</v>
      </c>
      <c r="I71" s="1" t="b">
        <f t="shared" si="21"/>
        <v>0</v>
      </c>
      <c r="J71" s="1" t="b">
        <f t="shared" si="21"/>
        <v>0</v>
      </c>
      <c r="K71" s="1">
        <f t="shared" ca="1" si="21"/>
        <v>6180</v>
      </c>
      <c r="L71" s="1" t="b">
        <f t="shared" si="21"/>
        <v>0</v>
      </c>
      <c r="M71" s="1" t="b">
        <f t="shared" si="21"/>
        <v>0</v>
      </c>
      <c r="N71" s="1">
        <f t="shared" ca="1" si="21"/>
        <v>5100</v>
      </c>
      <c r="O71" s="1" t="b">
        <f t="shared" si="21"/>
        <v>0</v>
      </c>
      <c r="P71" s="1" t="b">
        <f t="shared" si="21"/>
        <v>0</v>
      </c>
      <c r="Q71" s="1">
        <f t="shared" ca="1" si="21"/>
        <v>4020</v>
      </c>
    </row>
    <row r="72" spans="5:17" ht="19.95" customHeight="1">
      <c r="E72" s="1" t="s">
        <v>157</v>
      </c>
      <c r="F72" s="1">
        <f>IF(F67,F69,F71)</f>
        <v>2880</v>
      </c>
      <c r="G72" s="1">
        <f t="shared" ref="G72:Q72" si="22">IF(G67,G69,G71)</f>
        <v>2490</v>
      </c>
      <c r="H72" s="1">
        <f t="shared" ca="1" si="22"/>
        <v>6540</v>
      </c>
      <c r="I72" s="1">
        <f t="shared" si="22"/>
        <v>2400</v>
      </c>
      <c r="J72" s="1">
        <f t="shared" si="22"/>
        <v>2190</v>
      </c>
      <c r="K72" s="1">
        <f t="shared" ca="1" si="22"/>
        <v>6180</v>
      </c>
      <c r="L72" s="1">
        <f t="shared" si="22"/>
        <v>2040</v>
      </c>
      <c r="M72" s="1">
        <f t="shared" si="22"/>
        <v>1920</v>
      </c>
      <c r="N72" s="1">
        <f t="shared" ca="1" si="22"/>
        <v>5100</v>
      </c>
      <c r="O72" s="1">
        <f t="shared" si="22"/>
        <v>1800</v>
      </c>
      <c r="P72" s="1">
        <f t="shared" si="22"/>
        <v>1380</v>
      </c>
      <c r="Q72" s="1">
        <f t="shared" ca="1" si="22"/>
        <v>4020</v>
      </c>
    </row>
    <row r="73" spans="5:17" ht="19.95" customHeight="1">
      <c r="E73" s="66" t="s">
        <v>150</v>
      </c>
      <c r="F73" s="1" cm="1">
        <f t="array" ref="F73">_xlfn.SWITCH(F42,"we",we_tpctg,"ss",ss_tpctg,"us",us_tpctg,"sr",sr_tpctg,"lt",lt_tpctg,"gd",gd_tpctg,"rr",rr_tpctg,"ab",ab_tpctg,"rm",rm_tpctg,"le",le_tpctg,0)</f>
        <v>12175.957333333336</v>
      </c>
      <c r="G73" s="1" cm="1">
        <f t="array" ref="G73">_xlfn.SWITCH(G42,"we",we_tpctg,"ss",ss_tpctg,"us",us_tpctg,"sr",sr_tpctg,"lt",lt_tpctg,"gd",gd_tpctg,"rr",rr_tpctg,"ab",ab_tpctg,"rm",rm_tpctg,"le",le_tpctg,0)</f>
        <v>12175.957333333336</v>
      </c>
      <c r="H73" s="1" cm="1">
        <f t="array" ref="H73">_xlfn.SWITCH(H42,"we",we_tpctg,"ss",ss_tpctg,"us",us_tpctg,"sr",sr_tpctg,"lt",lt_tpctg,"gd",gd_tpctg,"rr",rr_tpctg,"ab",ab_tpctg,"rm",rm_tpctg,"le",le_tpctg,0)</f>
        <v>12175.957333333336</v>
      </c>
      <c r="I73" s="1" cm="1">
        <f t="array" ref="I73">_xlfn.SWITCH(I42,"we",we_tpctg,"ss",ss_tpctg,"us",us_tpctg,"sr",sr_tpctg,"lt",lt_tpctg,"gd",gd_tpctg,"rr",rr_tpctg,"ab",ab_tpctg,"rm",rm_tpctg,"le",le_tpctg,0)</f>
        <v>12175.957333333336</v>
      </c>
      <c r="J73" s="1" cm="1">
        <f t="array" ref="J73">_xlfn.SWITCH(J42,"we",we_tpctg,"ss",ss_tpctg,"us",us_tpctg,"sr",sr_tpctg,"lt",lt_tpctg,"gd",gd_tpctg,"rr",rr_tpctg,"ab",ab_tpctg,"rm",rm_tpctg,"le",le_tpctg,0)</f>
        <v>12175.957333333336</v>
      </c>
      <c r="K73" s="1" cm="1">
        <f t="array" ref="K73">_xlfn.SWITCH(K42,"we",we_tpctg,"ss",ss_tpctg,"us",us_tpctg,"sr",sr_tpctg,"lt",lt_tpctg,"gd",gd_tpctg,"rr",rr_tpctg,"ab",ab_tpctg,"rm",rm_tpctg,"le",le_tpctg,0)</f>
        <v>12175.957333333336</v>
      </c>
      <c r="L73" s="1" cm="1">
        <f t="array" ref="L73">_xlfn.SWITCH(L42,"we",we_tpctg,"ss",ss_tpctg,"us",us_tpctg,"sr",sr_tpctg,"lt",lt_tpctg,"gd",gd_tpctg,"rr",rr_tpctg,"ab",ab_tpctg,"rm",rm_tpctg,"le",le_tpctg,0)</f>
        <v>12175.957333333336</v>
      </c>
      <c r="M73" s="1" cm="1">
        <f t="array" ref="M73">_xlfn.SWITCH(M42,"we",we_tpctg,"ss",ss_tpctg,"us",us_tpctg,"sr",sr_tpctg,"lt",lt_tpctg,"gd",gd_tpctg,"rr",rr_tpctg,"ab",ab_tpctg,"rm",rm_tpctg,"le",le_tpctg,0)</f>
        <v>12175.957333333336</v>
      </c>
      <c r="N73" s="1" cm="1">
        <f t="array" ref="N73">_xlfn.SWITCH(N42,"we",we_tpctg,"ss",ss_tpctg,"us",us_tpctg,"sr",sr_tpctg,"lt",lt_tpctg,"gd",gd_tpctg,"rr",rr_tpctg,"ab",ab_tpctg,"rm",rm_tpctg,"le",le_tpctg,0)</f>
        <v>12175.957333333336</v>
      </c>
      <c r="O73" s="1" cm="1">
        <f t="array" ref="O73">_xlfn.SWITCH(O42,"we",we_tpctg,"ss",ss_tpctg,"us",us_tpctg,"sr",sr_tpctg,"lt",lt_tpctg,"gd",gd_tpctg,"rr",rr_tpctg,"ab",ab_tpctg,"rm",rm_tpctg,"le",le_tpctg,0)</f>
        <v>12175.957333333336</v>
      </c>
      <c r="P73" s="1" cm="1">
        <f t="array" ref="P73">_xlfn.SWITCH(P42,"we",we_tpctg,"ss",ss_tpctg,"us",us_tpctg,"sr",sr_tpctg,"lt",lt_tpctg,"gd",gd_tpctg,"rr",rr_tpctg,"ab",ab_tpctg,"rm",rm_tpctg,"le",le_tpctg,0)</f>
        <v>12175.957333333336</v>
      </c>
      <c r="Q73" s="1" cm="1">
        <f t="array" ref="Q73">_xlfn.SWITCH(Q42,"we",we_tpctg,"ss",ss_tpctg,"us",us_tpctg,"sr",sr_tpctg,"lt",lt_tpctg,"gd",gd_tpctg,"rr",rr_tpctg,"ab",ab_tpctg,"rm",rm_tpctg,"le",le_tpctg,0)</f>
        <v>12175.957333333336</v>
      </c>
    </row>
    <row r="74" spans="5:17" ht="19.95" customHeight="1">
      <c r="E74" s="66"/>
      <c r="F74" s="1" cm="1">
        <f t="array" ref="F74">_xlfn.SWITCH(F43,"we",we_tpctg,"ss",ss_tpctg,"us",us_tpctg,"sr",sr_tpctg,"lt",lt_tpctg,"gd",gd_tpctg,"rr",rr_tpctg,"ab",ab_tpctg,"rm",rm_tpctg,"le",le_tpctg,0)</f>
        <v>4858.757333333333</v>
      </c>
      <c r="G74" s="1" cm="1">
        <f t="array" ref="G74">_xlfn.SWITCH(G43,"we",we_tpctg,"ss",ss_tpctg,"us",us_tpctg,"sr",sr_tpctg,"lt",lt_tpctg,"gd",gd_tpctg,"rr",rr_tpctg,"ab",ab_tpctg,"rm",rm_tpctg,"le",le_tpctg,0)</f>
        <v>4858.757333333333</v>
      </c>
      <c r="H74" s="1" cm="1">
        <f t="array" ref="H74">_xlfn.SWITCH(H43,"we",we_tpctg,"ss",ss_tpctg,"us",us_tpctg,"sr",sr_tpctg,"lt",lt_tpctg,"gd",gd_tpctg,"rr",rr_tpctg,"ab",ab_tpctg,"rm",rm_tpctg,"le",le_tpctg,0)</f>
        <v>4858.757333333333</v>
      </c>
      <c r="I74" s="1" cm="1">
        <f t="array" ref="I74">_xlfn.SWITCH(I43,"we",we_tpctg,"ss",ss_tpctg,"us",us_tpctg,"sr",sr_tpctg,"lt",lt_tpctg,"gd",gd_tpctg,"rr",rr_tpctg,"ab",ab_tpctg,"rm",rm_tpctg,"le",le_tpctg,0)</f>
        <v>4858.757333333333</v>
      </c>
      <c r="J74" s="1" cm="1">
        <f t="array" ref="J74">_xlfn.SWITCH(J43,"we",we_tpctg,"ss",ss_tpctg,"us",us_tpctg,"sr",sr_tpctg,"lt",lt_tpctg,"gd",gd_tpctg,"rr",rr_tpctg,"ab",ab_tpctg,"rm",rm_tpctg,"le",le_tpctg,0)</f>
        <v>4858.757333333333</v>
      </c>
      <c r="K74" s="1" cm="1">
        <f t="array" ref="K74">_xlfn.SWITCH(K43,"we",we_tpctg,"ss",ss_tpctg,"us",us_tpctg,"sr",sr_tpctg,"lt",lt_tpctg,"gd",gd_tpctg,"rr",rr_tpctg,"ab",ab_tpctg,"rm",rm_tpctg,"le",le_tpctg,0)</f>
        <v>4858.757333333333</v>
      </c>
      <c r="L74" s="1" cm="1">
        <f t="array" ref="L74">_xlfn.SWITCH(L43,"we",we_tpctg,"ss",ss_tpctg,"us",us_tpctg,"sr",sr_tpctg,"lt",lt_tpctg,"gd",gd_tpctg,"rr",rr_tpctg,"ab",ab_tpctg,"rm",rm_tpctg,"le",le_tpctg,0)</f>
        <v>4858.757333333333</v>
      </c>
      <c r="M74" s="1" cm="1">
        <f t="array" ref="M74">_xlfn.SWITCH(M43,"we",we_tpctg,"ss",ss_tpctg,"us",us_tpctg,"sr",sr_tpctg,"lt",lt_tpctg,"gd",gd_tpctg,"rr",rr_tpctg,"ab",ab_tpctg,"rm",rm_tpctg,"le",le_tpctg,0)</f>
        <v>8355.5573333333323</v>
      </c>
      <c r="N74" s="1" cm="1">
        <f t="array" ref="N74">_xlfn.SWITCH(N43,"we",we_tpctg,"ss",ss_tpctg,"us",us_tpctg,"sr",sr_tpctg,"lt",lt_tpctg,"gd",gd_tpctg,"rr",rr_tpctg,"ab",ab_tpctg,"rm",rm_tpctg,"le",le_tpctg,0)</f>
        <v>4858.757333333333</v>
      </c>
      <c r="O74" s="1" cm="1">
        <f t="array" ref="O74">_xlfn.SWITCH(O43,"we",we_tpctg,"ss",ss_tpctg,"us",us_tpctg,"sr",sr_tpctg,"lt",lt_tpctg,"gd",gd_tpctg,"rr",rr_tpctg,"ab",ab_tpctg,"rm",rm_tpctg,"le",le_tpctg,0)</f>
        <v>8355.5573333333323</v>
      </c>
      <c r="P74" s="1" cm="1">
        <f t="array" ref="P74">_xlfn.SWITCH(P43,"we",we_tpctg,"ss",ss_tpctg,"us",us_tpctg,"sr",sr_tpctg,"lt",lt_tpctg,"gd",gd_tpctg,"rr",rr_tpctg,"ab",ab_tpctg,"rm",rm_tpctg,"le",le_tpctg,0)</f>
        <v>4858.757333333333</v>
      </c>
      <c r="Q74" s="1" cm="1">
        <f t="array" ref="Q74">_xlfn.SWITCH(Q43,"we",we_tpctg,"ss",ss_tpctg,"us",us_tpctg,"sr",sr_tpctg,"lt",lt_tpctg,"gd",gd_tpctg,"rr",rr_tpctg,"ab",ab_tpctg,"rm",rm_tpctg,"le",le_tpctg,0)</f>
        <v>4858.757333333333</v>
      </c>
    </row>
    <row r="75" spans="5:17" ht="19.95" customHeight="1">
      <c r="E75" s="66"/>
      <c r="F75" s="1" cm="1">
        <f t="array" ref="F75">_xlfn.SWITCH(F44,"we",we_tpctg,"ss",ss_tpctg,"us",us_tpctg,"sr",sr_tpctg,"lt",lt_tpctg,"gd",gd_tpctg,"rr",rr_tpctg,"ab",ab_tpctg,"rm",rm_tpctg,"le",le_tpctg,0)</f>
        <v>8355.5573333333323</v>
      </c>
      <c r="G75" s="1" cm="1">
        <f t="array" ref="G75">_xlfn.SWITCH(G44,"we",we_tpctg,"ss",ss_tpctg,"us",us_tpctg,"sr",sr_tpctg,"lt",lt_tpctg,"gd",gd_tpctg,"rr",rr_tpctg,"ab",ab_tpctg,"rm",rm_tpctg,"le",le_tpctg,0)</f>
        <v>8355.5573333333323</v>
      </c>
      <c r="H75" s="1" cm="1">
        <f t="array" ref="H75">_xlfn.SWITCH(H44,"we",we_tpctg,"ss",ss_tpctg,"us",us_tpctg,"sr",sr_tpctg,"lt",lt_tpctg,"gd",gd_tpctg,"rr",rr_tpctg,"ab",ab_tpctg,"rm",rm_tpctg,"le",le_tpctg,0)</f>
        <v>0</v>
      </c>
      <c r="I75" s="1" cm="1">
        <f t="array" ref="I75">_xlfn.SWITCH(I44,"we",we_tpctg,"ss",ss_tpctg,"us",us_tpctg,"sr",sr_tpctg,"lt",lt_tpctg,"gd",gd_tpctg,"rr",rr_tpctg,"ab",ab_tpctg,"rm",rm_tpctg,"le",le_tpctg,0)</f>
        <v>8355.5573333333323</v>
      </c>
      <c r="J75" s="1" cm="1">
        <f t="array" ref="J75">_xlfn.SWITCH(J44,"we",we_tpctg,"ss",ss_tpctg,"us",us_tpctg,"sr",sr_tpctg,"lt",lt_tpctg,"gd",gd_tpctg,"rr",rr_tpctg,"ab",ab_tpctg,"rm",rm_tpctg,"le",le_tpctg,0)</f>
        <v>8355.5573333333323</v>
      </c>
      <c r="K75" s="1" cm="1">
        <f t="array" ref="K75">_xlfn.SWITCH(K44,"we",we_tpctg,"ss",ss_tpctg,"us",us_tpctg,"sr",sr_tpctg,"lt",lt_tpctg,"gd",gd_tpctg,"rr",rr_tpctg,"ab",ab_tpctg,"rm",rm_tpctg,"le",le_tpctg,0)</f>
        <v>0</v>
      </c>
      <c r="L75" s="1" cm="1">
        <f t="array" ref="L75">_xlfn.SWITCH(L44,"we",we_tpctg,"ss",ss_tpctg,"us",us_tpctg,"sr",sr_tpctg,"lt",lt_tpctg,"gd",gd_tpctg,"rr",rr_tpctg,"ab",ab_tpctg,"rm",rm_tpctg,"le",le_tpctg,0)</f>
        <v>8355.5573333333323</v>
      </c>
      <c r="M75" s="1" cm="1">
        <f t="array" ref="M75">_xlfn.SWITCH(M44,"we",we_tpctg,"ss",ss_tpctg,"us",us_tpctg,"sr",sr_tpctg,"lt",lt_tpctg,"gd",gd_tpctg,"rr",rr_tpctg,"ab",ab_tpctg,"rm",rm_tpctg,"le",le_tpctg,0)</f>
        <v>3252.7573333333339</v>
      </c>
      <c r="N75" s="1" cm="1">
        <f t="array" ref="N75">_xlfn.SWITCH(N44,"we",we_tpctg,"ss",ss_tpctg,"us",us_tpctg,"sr",sr_tpctg,"lt",lt_tpctg,"gd",gd_tpctg,"rr",rr_tpctg,"ab",ab_tpctg,"rm",rm_tpctg,"le",le_tpctg,0)</f>
        <v>0</v>
      </c>
      <c r="O75" s="1" cm="1">
        <f t="array" ref="O75">_xlfn.SWITCH(O44,"we",we_tpctg,"ss",ss_tpctg,"us",us_tpctg,"sr",sr_tpctg,"lt",lt_tpctg,"gd",gd_tpctg,"rr",rr_tpctg,"ab",ab_tpctg,"rm",rm_tpctg,"le",le_tpctg,0)</f>
        <v>6477.9573333333328</v>
      </c>
      <c r="P75" s="1" cm="1">
        <f t="array" ref="P75">_xlfn.SWITCH(P44,"we",we_tpctg,"ss",ss_tpctg,"us",us_tpctg,"sr",sr_tpctg,"lt",lt_tpctg,"gd",gd_tpctg,"rr",rr_tpctg,"ab",ab_tpctg,"rm",rm_tpctg,"le",le_tpctg,0)</f>
        <v>8355.5573333333323</v>
      </c>
      <c r="Q75" s="1" cm="1">
        <f t="array" ref="Q75">_xlfn.SWITCH(Q44,"we",we_tpctg,"ss",ss_tpctg,"us",us_tpctg,"sr",sr_tpctg,"lt",lt_tpctg,"gd",gd_tpctg,"rr",rr_tpctg,"ab",ab_tpctg,"rm",rm_tpctg,"le",le_tpctg,0)</f>
        <v>0</v>
      </c>
    </row>
    <row r="76" spans="5:17" ht="19.95" customHeight="1">
      <c r="E76" s="66"/>
      <c r="F76" s="1" cm="1">
        <f t="array" ref="F76">_xlfn.SWITCH(F45,"we",we_tpctg,"ss",ss_tpctg,"us",us_tpctg,"sr",sr_tpctg,"lt",lt_tpctg,"gd",gd_tpctg,"rr",rr_tpctg,"ab",ab_tpctg,"rm",rm_tpctg,"le",le_tpctg,0)</f>
        <v>4858.757333333333</v>
      </c>
      <c r="G76" s="1" cm="1">
        <f t="array" ref="G76">_xlfn.SWITCH(G45,"we",we_tpctg,"ss",ss_tpctg,"us",us_tpctg,"sr",sr_tpctg,"lt",lt_tpctg,"gd",gd_tpctg,"rr",rr_tpctg,"ab",ab_tpctg,"rm",rm_tpctg,"le",le_tpctg,0)</f>
        <v>4858.757333333333</v>
      </c>
      <c r="H76" s="1" cm="1">
        <f t="array" ref="H76">_xlfn.SWITCH(H45,"we",we_tpctg,"ss",ss_tpctg,"us",us_tpctg,"sr",sr_tpctg,"lt",lt_tpctg,"gd",gd_tpctg,"rr",rr_tpctg,"ab",ab_tpctg,"rm",rm_tpctg,"le",le_tpctg,0)</f>
        <v>0</v>
      </c>
      <c r="I76" s="1" cm="1">
        <f t="array" ref="I76">_xlfn.SWITCH(I45,"we",we_tpctg,"ss",ss_tpctg,"us",us_tpctg,"sr",sr_tpctg,"lt",lt_tpctg,"gd",gd_tpctg,"rr",rr_tpctg,"ab",ab_tpctg,"rm",rm_tpctg,"le",le_tpctg,0)</f>
        <v>4858.757333333333</v>
      </c>
      <c r="J76" s="1" cm="1">
        <f t="array" ref="J76">_xlfn.SWITCH(J45,"we",we_tpctg,"ss",ss_tpctg,"us",us_tpctg,"sr",sr_tpctg,"lt",lt_tpctg,"gd",gd_tpctg,"rr",rr_tpctg,"ab",ab_tpctg,"rm",rm_tpctg,"le",le_tpctg,0)</f>
        <v>3252.7573333333339</v>
      </c>
      <c r="K76" s="1" cm="1">
        <f t="array" ref="K76">_xlfn.SWITCH(K45,"we",we_tpctg,"ss",ss_tpctg,"us",us_tpctg,"sr",sr_tpctg,"lt",lt_tpctg,"gd",gd_tpctg,"rr",rr_tpctg,"ab",ab_tpctg,"rm",rm_tpctg,"le",le_tpctg,0)</f>
        <v>0</v>
      </c>
      <c r="L76" s="1" cm="1">
        <f t="array" ref="L76">_xlfn.SWITCH(L45,"we",we_tpctg,"ss",ss_tpctg,"us",us_tpctg,"sr",sr_tpctg,"lt",lt_tpctg,"gd",gd_tpctg,"rr",rr_tpctg,"ab",ab_tpctg,"rm",rm_tpctg,"le",le_tpctg,0)</f>
        <v>6477.9573333333328</v>
      </c>
      <c r="M76" s="1" cm="1">
        <f t="array" ref="M76">_xlfn.SWITCH(M45,"we",we_tpctg,"ss",ss_tpctg,"us",us_tpctg,"sr",sr_tpctg,"lt",lt_tpctg,"gd",gd_tpctg,"rr",rr_tpctg,"ab",ab_tpctg,"rm",rm_tpctg,"le",le_tpctg,0)</f>
        <v>4832.3573333333334</v>
      </c>
      <c r="N76" s="1" cm="1">
        <f t="array" ref="N76">_xlfn.SWITCH(N45,"we",we_tpctg,"ss",ss_tpctg,"us",us_tpctg,"sr",sr_tpctg,"lt",lt_tpctg,"gd",gd_tpctg,"rr",rr_tpctg,"ab",ab_tpctg,"rm",rm_tpctg,"le",le_tpctg,0)</f>
        <v>0</v>
      </c>
      <c r="O76" s="1" cm="1">
        <f t="array" ref="O76">_xlfn.SWITCH(O45,"we",we_tpctg,"ss",ss_tpctg,"us",us_tpctg,"sr",sr_tpctg,"lt",lt_tpctg,"gd",gd_tpctg,"rr",rr_tpctg,"ab",ab_tpctg,"rm",rm_tpctg,"le",le_tpctg,0)</f>
        <v>5421.9573333333328</v>
      </c>
      <c r="P76" s="1" cm="1">
        <f t="array" ref="P76">_xlfn.SWITCH(P45,"we",we_tpctg,"ss",ss_tpctg,"us",us_tpctg,"sr",sr_tpctg,"lt",lt_tpctg,"gd",gd_tpctg,"rr",rr_tpctg,"ab",ab_tpctg,"rm",rm_tpctg,"le",le_tpctg,0)</f>
        <v>4858.757333333333</v>
      </c>
      <c r="Q76" s="1" cm="1">
        <f t="array" ref="Q76">_xlfn.SWITCH(Q45,"we",we_tpctg,"ss",ss_tpctg,"us",us_tpctg,"sr",sr_tpctg,"lt",lt_tpctg,"gd",gd_tpctg,"rr",rr_tpctg,"ab",ab_tpctg,"rm",rm_tpctg,"le",le_tpctg,0)</f>
        <v>0</v>
      </c>
    </row>
    <row r="77" spans="5:17" ht="19.95" customHeight="1">
      <c r="E77" s="66"/>
      <c r="F77" s="1" cm="1">
        <f t="array" ref="F77">_xlfn.SWITCH(F46,"we",we_tpctg,"ss",ss_tpctg,"us",us_tpctg,"sr",sr_tpctg,"lt",lt_tpctg,"gd",gd_tpctg,"rr",rr_tpctg,"ab",ab_tpctg,"rm",rm_tpctg,"le",le_tpctg,0)</f>
        <v>6477.9573333333328</v>
      </c>
      <c r="G77" s="1" cm="1">
        <f t="array" ref="G77">_xlfn.SWITCH(G46,"we",we_tpctg,"ss",ss_tpctg,"us",us_tpctg,"sr",sr_tpctg,"lt",lt_tpctg,"gd",gd_tpctg,"rr",rr_tpctg,"ab",ab_tpctg,"rm",rm_tpctg,"le",le_tpctg,0)</f>
        <v>3252.7573333333339</v>
      </c>
      <c r="H77" s="1" cm="1">
        <f t="array" ref="H77">_xlfn.SWITCH(H46,"we",we_tpctg,"ss",ss_tpctg,"us",us_tpctg,"sr",sr_tpctg,"lt",lt_tpctg,"gd",gd_tpctg,"rr",rr_tpctg,"ab",ab_tpctg,"rm",rm_tpctg,"le",le_tpctg,0)</f>
        <v>0</v>
      </c>
      <c r="I77" s="1" cm="1">
        <f t="array" ref="I77">_xlfn.SWITCH(I46,"we",we_tpctg,"ss",ss_tpctg,"us",us_tpctg,"sr",sr_tpctg,"lt",lt_tpctg,"gd",gd_tpctg,"rr",rr_tpctg,"ab",ab_tpctg,"rm",rm_tpctg,"le",le_tpctg,0)</f>
        <v>6477.9573333333328</v>
      </c>
      <c r="J77" s="1" cm="1">
        <f t="array" ref="J77">_xlfn.SWITCH(J46,"we",we_tpctg,"ss",ss_tpctg,"us",us_tpctg,"sr",sr_tpctg,"lt",lt_tpctg,"gd",gd_tpctg,"rr",rr_tpctg,"ab",ab_tpctg,"rm",rm_tpctg,"le",le_tpctg,0)</f>
        <v>4832.3573333333334</v>
      </c>
      <c r="K77" s="1" cm="1">
        <f t="array" ref="K77">_xlfn.SWITCH(K46,"we",we_tpctg,"ss",ss_tpctg,"us",us_tpctg,"sr",sr_tpctg,"lt",lt_tpctg,"gd",gd_tpctg,"rr",rr_tpctg,"ab",ab_tpctg,"rm",rm_tpctg,"le",le_tpctg,0)</f>
        <v>0</v>
      </c>
      <c r="L77" s="1" cm="1">
        <f t="array" ref="L77">_xlfn.SWITCH(L46,"we",we_tpctg,"ss",ss_tpctg,"us",us_tpctg,"sr",sr_tpctg,"lt",lt_tpctg,"gd",gd_tpctg,"rr",rr_tpctg,"ab",ab_tpctg,"rm",rm_tpctg,"le",le_tpctg,0)</f>
        <v>4981.9573333333328</v>
      </c>
      <c r="M77" s="1" cm="1">
        <f t="array" ref="M77">_xlfn.SWITCH(M46,"we",we_tpctg,"ss",ss_tpctg,"us",us_tpctg,"sr",sr_tpctg,"lt",lt_tpctg,"gd",gd_tpctg,"rr",rr_tpctg,"ab",ab_tpctg,"rm",rm_tpctg,"le",le_tpctg,0)</f>
        <v>4981.9573333333328</v>
      </c>
      <c r="N77" s="1" cm="1">
        <f t="array" ref="N77">_xlfn.SWITCH(N46,"we",we_tpctg,"ss",ss_tpctg,"us",us_tpctg,"sr",sr_tpctg,"lt",lt_tpctg,"gd",gd_tpctg,"rr",rr_tpctg,"ab",ab_tpctg,"rm",rm_tpctg,"le",le_tpctg,0)</f>
        <v>0</v>
      </c>
      <c r="O77" s="1" cm="1">
        <f t="array" ref="O77">_xlfn.SWITCH(O46,"we",we_tpctg,"ss",ss_tpctg,"us",us_tpctg,"sr",sr_tpctg,"lt",lt_tpctg,"gd",gd_tpctg,"rr",rr_tpctg,"ab",ab_tpctg,"rm",rm_tpctg,"le",le_tpctg,0)</f>
        <v>0</v>
      </c>
      <c r="P77" s="1" cm="1">
        <f t="array" ref="P77">_xlfn.SWITCH(P46,"we",we_tpctg,"ss",ss_tpctg,"us",us_tpctg,"sr",sr_tpctg,"lt",lt_tpctg,"gd",gd_tpctg,"rr",rr_tpctg,"ab",ab_tpctg,"rm",rm_tpctg,"le",le_tpctg,0)</f>
        <v>0</v>
      </c>
      <c r="Q77" s="1" cm="1">
        <f t="array" ref="Q77">_xlfn.SWITCH(Q46,"we",we_tpctg,"ss",ss_tpctg,"us",us_tpctg,"sr",sr_tpctg,"lt",lt_tpctg,"gd",gd_tpctg,"rr",rr_tpctg,"ab",ab_tpctg,"rm",rm_tpctg,"le",le_tpctg,0)</f>
        <v>0</v>
      </c>
    </row>
    <row r="78" spans="5:17" ht="19.95" customHeight="1">
      <c r="E78" s="66"/>
      <c r="F78" s="1" cm="1">
        <f t="array" ref="F78">_xlfn.SWITCH(F47,"we",we_tpctg,"ss",ss_tpctg,"us",us_tpctg,"sr",sr_tpctg,"lt",lt_tpctg,"gd",gd_tpctg,"rr",rr_tpctg,"ab",ab_tpctg,"rm",rm_tpctg,"le",le_tpctg,0)</f>
        <v>4981.9573333333328</v>
      </c>
      <c r="G78" s="1" cm="1">
        <f t="array" ref="G78">_xlfn.SWITCH(G47,"we",we_tpctg,"ss",ss_tpctg,"us",us_tpctg,"sr",sr_tpctg,"lt",lt_tpctg,"gd",gd_tpctg,"rr",rr_tpctg,"ab",ab_tpctg,"rm",rm_tpctg,"le",le_tpctg,0)</f>
        <v>4832.3573333333334</v>
      </c>
      <c r="H78" s="1" cm="1">
        <f t="array" ref="H78">_xlfn.SWITCH(H47,"we",we_tpctg,"ss",ss_tpctg,"us",us_tpctg,"sr",sr_tpctg,"lt",lt_tpctg,"gd",gd_tpctg,"rr",rr_tpctg,"ab",ab_tpctg,"rm",rm_tpctg,"le",le_tpctg,0)</f>
        <v>0</v>
      </c>
      <c r="I78" s="1" cm="1">
        <f t="array" ref="I78">_xlfn.SWITCH(I47,"we",we_tpctg,"ss",ss_tpctg,"us",us_tpctg,"sr",sr_tpctg,"lt",lt_tpctg,"gd",gd_tpctg,"rr",rr_tpctg,"ab",ab_tpctg,"rm",rm_tpctg,"le",le_tpctg,0)</f>
        <v>4981.9573333333328</v>
      </c>
      <c r="J78" s="1" cm="1">
        <f t="array" ref="J78">_xlfn.SWITCH(J47,"we",we_tpctg,"ss",ss_tpctg,"us",us_tpctg,"sr",sr_tpctg,"lt",lt_tpctg,"gd",gd_tpctg,"rr",rr_tpctg,"ab",ab_tpctg,"rm",rm_tpctg,"le",le_tpctg,0)</f>
        <v>4981.9573333333328</v>
      </c>
      <c r="K78" s="1" cm="1">
        <f t="array" ref="K78">_xlfn.SWITCH(K47,"we",we_tpctg,"ss",ss_tpctg,"us",us_tpctg,"sr",sr_tpctg,"lt",lt_tpctg,"gd",gd_tpctg,"rr",rr_tpctg,"ab",ab_tpctg,"rm",rm_tpctg,"le",le_tpctg,0)</f>
        <v>0</v>
      </c>
      <c r="L78" s="1" cm="1">
        <f t="array" ref="L78">_xlfn.SWITCH(L47,"we",we_tpctg,"ss",ss_tpctg,"us",us_tpctg,"sr",sr_tpctg,"lt",lt_tpctg,"gd",gd_tpctg,"rr",rr_tpctg,"ab",ab_tpctg,"rm",rm_tpctg,"le",le_tpctg,0)</f>
        <v>0</v>
      </c>
      <c r="M78" s="1" cm="1">
        <f t="array" ref="M78">_xlfn.SWITCH(M47,"we",we_tpctg,"ss",ss_tpctg,"us",us_tpctg,"sr",sr_tpctg,"lt",lt_tpctg,"gd",gd_tpctg,"rr",rr_tpctg,"ab",ab_tpctg,"rm",rm_tpctg,"le",le_tpctg,0)</f>
        <v>0</v>
      </c>
      <c r="N78" s="1" cm="1">
        <f t="array" ref="N78">_xlfn.SWITCH(N47,"we",we_tpctg,"ss",ss_tpctg,"us",us_tpctg,"sr",sr_tpctg,"lt",lt_tpctg,"gd",gd_tpctg,"rr",rr_tpctg,"ab",ab_tpctg,"rm",rm_tpctg,"le",le_tpctg,0)</f>
        <v>0</v>
      </c>
      <c r="O78" s="1" cm="1">
        <f t="array" ref="O78">_xlfn.SWITCH(O47,"we",we_tpctg,"ss",ss_tpctg,"us",us_tpctg,"sr",sr_tpctg,"lt",lt_tpctg,"gd",gd_tpctg,"rr",rr_tpctg,"ab",ab_tpctg,"rm",rm_tpctg,"le",le_tpctg,0)</f>
        <v>0</v>
      </c>
      <c r="P78" s="1" cm="1">
        <f t="array" ref="P78">_xlfn.SWITCH(P47,"we",we_tpctg,"ss",ss_tpctg,"us",us_tpctg,"sr",sr_tpctg,"lt",lt_tpctg,"gd",gd_tpctg,"rr",rr_tpctg,"ab",ab_tpctg,"rm",rm_tpctg,"le",le_tpctg,0)</f>
        <v>0</v>
      </c>
      <c r="Q78" s="1" cm="1">
        <f t="array" ref="Q78">_xlfn.SWITCH(Q47,"we",we_tpctg,"ss",ss_tpctg,"us",us_tpctg,"sr",sr_tpctg,"lt",lt_tpctg,"gd",gd_tpctg,"rr",rr_tpctg,"ab",ab_tpctg,"rm",rm_tpctg,"le",le_tpctg,0)</f>
        <v>0</v>
      </c>
    </row>
    <row r="79" spans="5:17" ht="19.95" customHeight="1">
      <c r="E79" s="66"/>
      <c r="F79" s="1" cm="1">
        <f t="array" ref="F79">_xlfn.SWITCH(F48,"we",we_tpctg,"ss",ss_tpctg,"us",us_tpctg,"sr",sr_tpctg,"lt",lt_tpctg,"gd",gd_tpctg,"rr",rr_tpctg,"ab",ab_tpctg,"rm",rm_tpctg,"le",le_tpctg,0)</f>
        <v>5421.9573333333328</v>
      </c>
      <c r="G79" s="1" cm="1">
        <f t="array" ref="G79">_xlfn.SWITCH(G48,"we",we_tpctg,"ss",ss_tpctg,"us",us_tpctg,"sr",sr_tpctg,"lt",lt_tpctg,"gd",gd_tpctg,"rr",rr_tpctg,"ab",ab_tpctg,"rm",rm_tpctg,"le",le_tpctg,0)</f>
        <v>4981.9573333333328</v>
      </c>
      <c r="H79" s="1" cm="1">
        <f t="array" ref="H79">_xlfn.SWITCH(H48,"we",we_tpctg,"ss",ss_tpctg,"us",us_tpctg,"sr",sr_tpctg,"lt",lt_tpctg,"gd",gd_tpctg,"rr",rr_tpctg,"ab",ab_tpctg,"rm",rm_tpctg,"le",le_tpctg,0)</f>
        <v>0</v>
      </c>
      <c r="I79" s="1" cm="1">
        <f t="array" ref="I79">_xlfn.SWITCH(I48,"we",we_tpctg,"ss",ss_tpctg,"us",us_tpctg,"sr",sr_tpctg,"lt",lt_tpctg,"gd",gd_tpctg,"rr",rr_tpctg,"ab",ab_tpctg,"rm",rm_tpctg,"le",le_tpctg,0)</f>
        <v>0</v>
      </c>
      <c r="J79" s="1" cm="1">
        <f t="array" ref="J79">_xlfn.SWITCH(J48,"we",we_tpctg,"ss",ss_tpctg,"us",us_tpctg,"sr",sr_tpctg,"lt",lt_tpctg,"gd",gd_tpctg,"rr",rr_tpctg,"ab",ab_tpctg,"rm",rm_tpctg,"le",le_tpctg,0)</f>
        <v>0</v>
      </c>
      <c r="K79" s="1" cm="1">
        <f t="array" ref="K79">_xlfn.SWITCH(K48,"we",we_tpctg,"ss",ss_tpctg,"us",us_tpctg,"sr",sr_tpctg,"lt",lt_tpctg,"gd",gd_tpctg,"rr",rr_tpctg,"ab",ab_tpctg,"rm",rm_tpctg,"le",le_tpctg,0)</f>
        <v>0</v>
      </c>
      <c r="L79" s="1" cm="1">
        <f t="array" ref="L79">_xlfn.SWITCH(L48,"we",we_tpctg,"ss",ss_tpctg,"us",us_tpctg,"sr",sr_tpctg,"lt",lt_tpctg,"gd",gd_tpctg,"rr",rr_tpctg,"ab",ab_tpctg,"rm",rm_tpctg,"le",le_tpctg,0)</f>
        <v>0</v>
      </c>
      <c r="M79" s="1" cm="1">
        <f t="array" ref="M79">_xlfn.SWITCH(M48,"we",we_tpctg,"ss",ss_tpctg,"us",us_tpctg,"sr",sr_tpctg,"lt",lt_tpctg,"gd",gd_tpctg,"rr",rr_tpctg,"ab",ab_tpctg,"rm",rm_tpctg,"le",le_tpctg,0)</f>
        <v>0</v>
      </c>
      <c r="N79" s="1" cm="1">
        <f t="array" ref="N79">_xlfn.SWITCH(N48,"we",we_tpctg,"ss",ss_tpctg,"us",us_tpctg,"sr",sr_tpctg,"lt",lt_tpctg,"gd",gd_tpctg,"rr",rr_tpctg,"ab",ab_tpctg,"rm",rm_tpctg,"le",le_tpctg,0)</f>
        <v>0</v>
      </c>
      <c r="O79" s="1" cm="1">
        <f t="array" ref="O79">_xlfn.SWITCH(O48,"we",we_tpctg,"ss",ss_tpctg,"us",us_tpctg,"sr",sr_tpctg,"lt",lt_tpctg,"gd",gd_tpctg,"rr",rr_tpctg,"ab",ab_tpctg,"rm",rm_tpctg,"le",le_tpctg,0)</f>
        <v>0</v>
      </c>
      <c r="P79" s="1" cm="1">
        <f t="array" ref="P79">_xlfn.SWITCH(P48,"we",we_tpctg,"ss",ss_tpctg,"us",us_tpctg,"sr",sr_tpctg,"lt",lt_tpctg,"gd",gd_tpctg,"rr",rr_tpctg,"ab",ab_tpctg,"rm",rm_tpctg,"le",le_tpctg,0)</f>
        <v>0</v>
      </c>
      <c r="Q79" s="1" cm="1">
        <f t="array" ref="Q79">_xlfn.SWITCH(Q48,"we",we_tpctg,"ss",ss_tpctg,"us",us_tpctg,"sr",sr_tpctg,"lt",lt_tpctg,"gd",gd_tpctg,"rr",rr_tpctg,"ab",ab_tpctg,"rm",rm_tpctg,"le",le_tpctg,0)</f>
        <v>0</v>
      </c>
    </row>
    <row r="80" spans="5:17" ht="19.95" customHeight="1">
      <c r="E80" s="1" t="s">
        <v>151</v>
      </c>
      <c r="F80" s="1">
        <f t="shared" ref="F80:Q80" si="23">SUM(F73:F79)+F70*hir_tpctg</f>
        <v>47130.901333333328</v>
      </c>
      <c r="G80" s="1">
        <f t="shared" si="23"/>
        <v>43316.101333333332</v>
      </c>
      <c r="H80" s="1">
        <f t="shared" ca="1" si="23"/>
        <v>169016.66666666666</v>
      </c>
      <c r="I80" s="1">
        <f t="shared" si="23"/>
        <v>41708.943999999996</v>
      </c>
      <c r="J80" s="1">
        <f t="shared" si="23"/>
        <v>38457.343999999997</v>
      </c>
      <c r="K80" s="1">
        <f t="shared" ca="1" si="23"/>
        <v>159517.79466666668</v>
      </c>
      <c r="L80" s="1">
        <f t="shared" si="23"/>
        <v>36850.186666666661</v>
      </c>
      <c r="M80" s="1">
        <f t="shared" si="23"/>
        <v>33598.58666666667</v>
      </c>
      <c r="N80" s="1">
        <f t="shared" ca="1" si="23"/>
        <v>131021.17866666667</v>
      </c>
      <c r="O80" s="1">
        <f t="shared" si="23"/>
        <v>32431.429333333333</v>
      </c>
      <c r="P80" s="1">
        <f t="shared" si="23"/>
        <v>30249.029333333332</v>
      </c>
      <c r="Q80" s="1">
        <f t="shared" ca="1" si="23"/>
        <v>102524.56266666666</v>
      </c>
    </row>
    <row r="81" spans="2:17" ht="19.95" customHeight="1">
      <c r="E81" s="1" t="s">
        <v>152</v>
      </c>
      <c r="F81" s="1">
        <f>IF(F67,F80/F69,F80/F71)</f>
        <v>16.364896296296294</v>
      </c>
      <c r="G81" s="1">
        <f t="shared" ref="G81:Q81" si="24">IF(G67,G80/G69,G80/G71)</f>
        <v>17.396024631860776</v>
      </c>
      <c r="H81" s="1">
        <f t="shared" ca="1" si="24"/>
        <v>25.843527013251784</v>
      </c>
      <c r="I81" s="1">
        <f t="shared" si="24"/>
        <v>17.378726666666665</v>
      </c>
      <c r="J81" s="1">
        <f t="shared" si="24"/>
        <v>17.56043105022831</v>
      </c>
      <c r="K81" s="1">
        <f t="shared" ca="1" si="24"/>
        <v>25.811940884573897</v>
      </c>
      <c r="L81" s="1">
        <f t="shared" si="24"/>
        <v>18.063816993464048</v>
      </c>
      <c r="M81" s="1">
        <f t="shared" si="24"/>
        <v>17.499263888888891</v>
      </c>
      <c r="N81" s="1">
        <f t="shared" ca="1" si="24"/>
        <v>25.690427189542486</v>
      </c>
      <c r="O81" s="1">
        <f t="shared" si="24"/>
        <v>18.017460740740741</v>
      </c>
      <c r="P81" s="1">
        <f t="shared" si="24"/>
        <v>21.919586473429952</v>
      </c>
      <c r="Q81" s="1">
        <f t="shared" ca="1" si="24"/>
        <v>25.503622553897181</v>
      </c>
    </row>
    <row r="82" spans="2:17" ht="19.95" customHeight="1">
      <c r="E82" s="66" t="s">
        <v>153</v>
      </c>
      <c r="F82" s="1" cm="1">
        <f t="array" ref="F82">_xlfn.SWITCH(F42,"we",we_v1_tpctg,"ss",ss_v1_tpctg,"us",us_v1_tpctg,"sr",sr_v1_tpctg,"lt",lt_v1_tpctg,"gd",gd_v1_tpctg,"rr",rr_v1_tpctg,"ab",ab_v1_tpctg,"rm",rm_v1_tpctg,"le",le_v1_tpctg,0)</f>
        <v>29414.636113333338</v>
      </c>
      <c r="G82" s="1" cm="1">
        <f t="array" ref="G82">_xlfn.SWITCH(G42,"we",we_v1_tpctg,"ss",ss_v1_tpctg,"us",us_v1_tpctg,"sr",sr_v1_tpctg,"lt",lt_v1_tpctg,"gd",gd_v1_tpctg,"rr",rr_v1_tpctg,"ab",ab_v1_tpctg,"rm",rm_v1_tpctg,"le",le_v1_tpctg,0)</f>
        <v>29414.636113333338</v>
      </c>
      <c r="H82" s="1" cm="1">
        <f t="array" ref="H82">_xlfn.SWITCH(H42,"we",we_v1_tpctg,"ss",ss_v1_tpctg,"us",us_v1_tpctg,"sr",sr_v1_tpctg,"lt",lt_v1_tpctg,"gd",gd_v1_tpctg,"rr",rr_v1_tpctg,"ab",ab_v1_tpctg,"rm",rm_v1_tpctg,"le",le_v1_tpctg,0)</f>
        <v>29414.636113333338</v>
      </c>
      <c r="I82" s="1" cm="1">
        <f t="array" ref="I82">_xlfn.SWITCH(I42,"we",we_v1_tpctg,"ss",ss_v1_tpctg,"us",us_v1_tpctg,"sr",sr_v1_tpctg,"lt",lt_v1_tpctg,"gd",gd_v1_tpctg,"rr",rr_v1_tpctg,"ab",ab_v1_tpctg,"rm",rm_v1_tpctg,"le",le_v1_tpctg,0)</f>
        <v>29414.636113333338</v>
      </c>
      <c r="J82" s="1" cm="1">
        <f t="array" ref="J82">_xlfn.SWITCH(J42,"we",we_v1_tpctg,"ss",ss_v1_tpctg,"us",us_v1_tpctg,"sr",sr_v1_tpctg,"lt",lt_v1_tpctg,"gd",gd_v1_tpctg,"rr",rr_v1_tpctg,"ab",ab_v1_tpctg,"rm",rm_v1_tpctg,"le",le_v1_tpctg,0)</f>
        <v>29414.636113333338</v>
      </c>
      <c r="K82" s="1" cm="1">
        <f t="array" ref="K82">_xlfn.SWITCH(K42,"we",we_v1_tpctg,"ss",ss_v1_tpctg,"us",us_v1_tpctg,"sr",sr_v1_tpctg,"lt",lt_v1_tpctg,"gd",gd_v1_tpctg,"rr",rr_v1_tpctg,"ab",ab_v1_tpctg,"rm",rm_v1_tpctg,"le",le_v1_tpctg,0)</f>
        <v>29414.636113333338</v>
      </c>
      <c r="L82" s="1" cm="1">
        <f t="array" ref="L82">_xlfn.SWITCH(L42,"we",we_v1_tpctg,"ss",ss_v1_tpctg,"us",us_v1_tpctg,"sr",sr_v1_tpctg,"lt",lt_v1_tpctg,"gd",gd_v1_tpctg,"rr",rr_v1_tpctg,"ab",ab_v1_tpctg,"rm",rm_v1_tpctg,"le",le_v1_tpctg,0)</f>
        <v>29414.636113333338</v>
      </c>
      <c r="M82" s="1" cm="1">
        <f t="array" ref="M82">_xlfn.SWITCH(M42,"we",we_v1_tpctg,"ss",ss_v1_tpctg,"us",us_v1_tpctg,"sr",sr_v1_tpctg,"lt",lt_v1_tpctg,"gd",gd_v1_tpctg,"rr",rr_v1_tpctg,"ab",ab_v1_tpctg,"rm",rm_v1_tpctg,"le",le_v1_tpctg,0)</f>
        <v>29414.636113333338</v>
      </c>
      <c r="N82" s="1" cm="1">
        <f t="array" ref="N82">_xlfn.SWITCH(N42,"we",we_v1_tpctg,"ss",ss_v1_tpctg,"us",us_v1_tpctg,"sr",sr_v1_tpctg,"lt",lt_v1_tpctg,"gd",gd_v1_tpctg,"rr",rr_v1_tpctg,"ab",ab_v1_tpctg,"rm",rm_v1_tpctg,"le",le_v1_tpctg,0)</f>
        <v>29414.636113333338</v>
      </c>
      <c r="O82" s="1" cm="1">
        <f t="array" ref="O82">_xlfn.SWITCH(O42,"we",we_v1_tpctg,"ss",ss_v1_tpctg,"us",us_v1_tpctg,"sr",sr_v1_tpctg,"lt",lt_v1_tpctg,"gd",gd_v1_tpctg,"rr",rr_v1_tpctg,"ab",ab_v1_tpctg,"rm",rm_v1_tpctg,"le",le_v1_tpctg,0)</f>
        <v>29414.636113333338</v>
      </c>
      <c r="P82" s="1" cm="1">
        <f t="array" ref="P82">_xlfn.SWITCH(P42,"we",we_v1_tpctg,"ss",ss_v1_tpctg,"us",us_v1_tpctg,"sr",sr_v1_tpctg,"lt",lt_v1_tpctg,"gd",gd_v1_tpctg,"rr",rr_v1_tpctg,"ab",ab_v1_tpctg,"rm",rm_v1_tpctg,"le",le_v1_tpctg,0)</f>
        <v>29414.636113333338</v>
      </c>
      <c r="Q82" s="1" cm="1">
        <f t="array" ref="Q82">_xlfn.SWITCH(Q42,"we",we_v1_tpctg,"ss",ss_v1_tpctg,"us",us_v1_tpctg,"sr",sr_v1_tpctg,"lt",lt_v1_tpctg,"gd",gd_v1_tpctg,"rr",rr_v1_tpctg,"ab",ab_v1_tpctg,"rm",rm_v1_tpctg,"le",le_v1_tpctg,0)</f>
        <v>29414.636113333338</v>
      </c>
    </row>
    <row r="83" spans="2:17" ht="19.95" customHeight="1">
      <c r="E83" s="66"/>
      <c r="F83" s="1" cm="1">
        <f t="array" ref="F83">_xlfn.SWITCH(F43,"we",we_v1_tpctg,"ss",ss_v1_tpctg,"us",us_v1_tpctg,"sr",sr_v1_tpctg,"lt",lt_v1_tpctg,"gd",gd_v1_tpctg,"rr",rr_v1_tpctg,"ab",ab_v1_tpctg,"rm",rm_v1_tpctg,"le",le_v1_tpctg,0)</f>
        <v>11972.260613333334</v>
      </c>
      <c r="G83" s="1" cm="1">
        <f t="array" ref="G83">_xlfn.SWITCH(G43,"we",we_v1_tpctg,"ss",ss_v1_tpctg,"us",us_v1_tpctg,"sr",sr_v1_tpctg,"lt",lt_v1_tpctg,"gd",gd_v1_tpctg,"rr",rr_v1_tpctg,"ab",ab_v1_tpctg,"rm",rm_v1_tpctg,"le",le_v1_tpctg,0)</f>
        <v>11972.260613333334</v>
      </c>
      <c r="H83" s="1" cm="1">
        <f t="array" ref="H83">_xlfn.SWITCH(H43,"we",we_v1_tpctg,"ss",ss_v1_tpctg,"us",us_v1_tpctg,"sr",sr_v1_tpctg,"lt",lt_v1_tpctg,"gd",gd_v1_tpctg,"rr",rr_v1_tpctg,"ab",ab_v1_tpctg,"rm",rm_v1_tpctg,"le",le_v1_tpctg,0)</f>
        <v>11972.260613333334</v>
      </c>
      <c r="I83" s="1" cm="1">
        <f t="array" ref="I83">_xlfn.SWITCH(I43,"we",we_v1_tpctg,"ss",ss_v1_tpctg,"us",us_v1_tpctg,"sr",sr_v1_tpctg,"lt",lt_v1_tpctg,"gd",gd_v1_tpctg,"rr",rr_v1_tpctg,"ab",ab_v1_tpctg,"rm",rm_v1_tpctg,"le",le_v1_tpctg,0)</f>
        <v>11972.260613333334</v>
      </c>
      <c r="J83" s="1" cm="1">
        <f t="array" ref="J83">_xlfn.SWITCH(J43,"we",we_v1_tpctg,"ss",ss_v1_tpctg,"us",us_v1_tpctg,"sr",sr_v1_tpctg,"lt",lt_v1_tpctg,"gd",gd_v1_tpctg,"rr",rr_v1_tpctg,"ab",ab_v1_tpctg,"rm",rm_v1_tpctg,"le",le_v1_tpctg,0)</f>
        <v>11972.260613333334</v>
      </c>
      <c r="K83" s="1" cm="1">
        <f t="array" ref="K83">_xlfn.SWITCH(K43,"we",we_v1_tpctg,"ss",ss_v1_tpctg,"us",us_v1_tpctg,"sr",sr_v1_tpctg,"lt",lt_v1_tpctg,"gd",gd_v1_tpctg,"rr",rr_v1_tpctg,"ab",ab_v1_tpctg,"rm",rm_v1_tpctg,"le",le_v1_tpctg,0)</f>
        <v>11972.260613333334</v>
      </c>
      <c r="L83" s="1" cm="1">
        <f t="array" ref="L83">_xlfn.SWITCH(L43,"we",we_v1_tpctg,"ss",ss_v1_tpctg,"us",us_v1_tpctg,"sr",sr_v1_tpctg,"lt",lt_v1_tpctg,"gd",gd_v1_tpctg,"rr",rr_v1_tpctg,"ab",ab_v1_tpctg,"rm",rm_v1_tpctg,"le",le_v1_tpctg,0)</f>
        <v>11972.260613333334</v>
      </c>
      <c r="M83" s="1" cm="1">
        <f t="array" ref="M83">_xlfn.SWITCH(M43,"we",we_v1_tpctg,"ss",ss_v1_tpctg,"us",us_v1_tpctg,"sr",sr_v1_tpctg,"lt",lt_v1_tpctg,"gd",gd_v1_tpctg,"rr",rr_v1_tpctg,"ab",ab_v1_tpctg,"rm",rm_v1_tpctg,"le",le_v1_tpctg,0)</f>
        <v>20307.757613333331</v>
      </c>
      <c r="N83" s="1" cm="1">
        <f t="array" ref="N83">_xlfn.SWITCH(N43,"we",we_v1_tpctg,"ss",ss_v1_tpctg,"us",us_v1_tpctg,"sr",sr_v1_tpctg,"lt",lt_v1_tpctg,"gd",gd_v1_tpctg,"rr",rr_v1_tpctg,"ab",ab_v1_tpctg,"rm",rm_v1_tpctg,"le",le_v1_tpctg,0)</f>
        <v>11972.260613333334</v>
      </c>
      <c r="O83" s="1" cm="1">
        <f t="array" ref="O83">_xlfn.SWITCH(O43,"we",we_v1_tpctg,"ss",ss_v1_tpctg,"us",us_v1_tpctg,"sr",sr_v1_tpctg,"lt",lt_v1_tpctg,"gd",gd_v1_tpctg,"rr",rr_v1_tpctg,"ab",ab_v1_tpctg,"rm",rm_v1_tpctg,"le",le_v1_tpctg,0)</f>
        <v>20307.757613333331</v>
      </c>
      <c r="P83" s="1" cm="1">
        <f t="array" ref="P83">_xlfn.SWITCH(P43,"we",we_v1_tpctg,"ss",ss_v1_tpctg,"us",us_v1_tpctg,"sr",sr_v1_tpctg,"lt",lt_v1_tpctg,"gd",gd_v1_tpctg,"rr",rr_v1_tpctg,"ab",ab_v1_tpctg,"rm",rm_v1_tpctg,"le",le_v1_tpctg,0)</f>
        <v>11972.260613333334</v>
      </c>
      <c r="Q83" s="1" cm="1">
        <f t="array" ref="Q83">_xlfn.SWITCH(Q43,"we",we_v1_tpctg,"ss",ss_v1_tpctg,"us",us_v1_tpctg,"sr",sr_v1_tpctg,"lt",lt_v1_tpctg,"gd",gd_v1_tpctg,"rr",rr_v1_tpctg,"ab",ab_v1_tpctg,"rm",rm_v1_tpctg,"le",le_v1_tpctg,0)</f>
        <v>11972.260613333334</v>
      </c>
    </row>
    <row r="84" spans="2:17" ht="19.95" customHeight="1">
      <c r="E84" s="66"/>
      <c r="F84" s="1" cm="1">
        <f t="array" ref="F84">_xlfn.SWITCH(F44,"we",we_v1_tpctg,"ss",ss_v1_tpctg,"us",us_v1_tpctg,"sr",sr_v1_tpctg,"lt",lt_v1_tpctg,"gd",gd_v1_tpctg,"rr",rr_v1_tpctg,"ab",ab_v1_tpctg,"rm",rm_v1_tpctg,"le",le_v1_tpctg,0)</f>
        <v>20307.757613333331</v>
      </c>
      <c r="G84" s="1" cm="1">
        <f t="array" ref="G84">_xlfn.SWITCH(G44,"we",we_v1_tpctg,"ss",ss_v1_tpctg,"us",us_v1_tpctg,"sr",sr_v1_tpctg,"lt",lt_v1_tpctg,"gd",gd_v1_tpctg,"rr",rr_v1_tpctg,"ab",ab_v1_tpctg,"rm",rm_v1_tpctg,"le",le_v1_tpctg,0)</f>
        <v>20307.757613333331</v>
      </c>
      <c r="H84" s="1" cm="1">
        <f t="array" ref="H84">_xlfn.SWITCH(H44,"we",we_v1_tpctg,"ss",ss_v1_tpctg,"us",us_v1_tpctg,"sr",sr_v1_tpctg,"lt",lt_v1_tpctg,"gd",gd_v1_tpctg,"rr",rr_v1_tpctg,"ab",ab_v1_tpctg,"rm",rm_v1_tpctg,"le",le_v1_tpctg,0)</f>
        <v>0</v>
      </c>
      <c r="I84" s="1" cm="1">
        <f t="array" ref="I84">_xlfn.SWITCH(I44,"we",we_v1_tpctg,"ss",ss_v1_tpctg,"us",us_v1_tpctg,"sr",sr_v1_tpctg,"lt",lt_v1_tpctg,"gd",gd_v1_tpctg,"rr",rr_v1_tpctg,"ab",ab_v1_tpctg,"rm",rm_v1_tpctg,"le",le_v1_tpctg,0)</f>
        <v>20307.757613333331</v>
      </c>
      <c r="J84" s="1" cm="1">
        <f t="array" ref="J84">_xlfn.SWITCH(J44,"we",we_v1_tpctg,"ss",ss_v1_tpctg,"us",us_v1_tpctg,"sr",sr_v1_tpctg,"lt",lt_v1_tpctg,"gd",gd_v1_tpctg,"rr",rr_v1_tpctg,"ab",ab_v1_tpctg,"rm",rm_v1_tpctg,"le",le_v1_tpctg,0)</f>
        <v>20307.757613333331</v>
      </c>
      <c r="K84" s="1" cm="1">
        <f t="array" ref="K84">_xlfn.SWITCH(K44,"we",we_v1_tpctg,"ss",ss_v1_tpctg,"us",us_v1_tpctg,"sr",sr_v1_tpctg,"lt",lt_v1_tpctg,"gd",gd_v1_tpctg,"rr",rr_v1_tpctg,"ab",ab_v1_tpctg,"rm",rm_v1_tpctg,"le",le_v1_tpctg,0)</f>
        <v>0</v>
      </c>
      <c r="L84" s="1" cm="1">
        <f t="array" ref="L84">_xlfn.SWITCH(L44,"we",we_v1_tpctg,"ss",ss_v1_tpctg,"us",us_v1_tpctg,"sr",sr_v1_tpctg,"lt",lt_v1_tpctg,"gd",gd_v1_tpctg,"rr",rr_v1_tpctg,"ab",ab_v1_tpctg,"rm",rm_v1_tpctg,"le",le_v1_tpctg,0)</f>
        <v>20307.757613333331</v>
      </c>
      <c r="M84" s="1" cm="1">
        <f t="array" ref="M84">_xlfn.SWITCH(M44,"we",we_v1_tpctg,"ss",ss_v1_tpctg,"us",us_v1_tpctg,"sr",sr_v1_tpctg,"lt",lt_v1_tpctg,"gd",gd_v1_tpctg,"rr",rr_v1_tpctg,"ab",ab_v1_tpctg,"rm",rm_v1_tpctg,"le",le_v1_tpctg,0)</f>
        <v>8143.958113333334</v>
      </c>
      <c r="N84" s="1" cm="1">
        <f t="array" ref="N84">_xlfn.SWITCH(N44,"we",we_v1_tpctg,"ss",ss_v1_tpctg,"us",us_v1_tpctg,"sr",sr_v1_tpctg,"lt",lt_v1_tpctg,"gd",gd_v1_tpctg,"rr",rr_v1_tpctg,"ab",ab_v1_tpctg,"rm",rm_v1_tpctg,"le",le_v1_tpctg,0)</f>
        <v>0</v>
      </c>
      <c r="O84" s="1" cm="1">
        <f t="array" ref="O84">_xlfn.SWITCH(O44,"we",we_v1_tpctg,"ss",ss_v1_tpctg,"us",us_v1_tpctg,"sr",sr_v1_tpctg,"lt",lt_v1_tpctg,"gd",gd_v1_tpctg,"rr",rr_v1_tpctg,"ab",ab_v1_tpctg,"rm",rm_v1_tpctg,"le",le_v1_tpctg,0)</f>
        <v>15832.028613333334</v>
      </c>
      <c r="P84" s="1" cm="1">
        <f t="array" ref="P84">_xlfn.SWITCH(P44,"we",we_v1_tpctg,"ss",ss_v1_tpctg,"us",us_v1_tpctg,"sr",sr_v1_tpctg,"lt",lt_v1_tpctg,"gd",gd_v1_tpctg,"rr",rr_v1_tpctg,"ab",ab_v1_tpctg,"rm",rm_v1_tpctg,"le",le_v1_tpctg,0)</f>
        <v>20307.757613333331</v>
      </c>
      <c r="Q84" s="1" cm="1">
        <f t="array" ref="Q84">_xlfn.SWITCH(Q44,"we",we_v1_tpctg,"ss",ss_v1_tpctg,"us",us_v1_tpctg,"sr",sr_v1_tpctg,"lt",lt_v1_tpctg,"gd",gd_v1_tpctg,"rr",rr_v1_tpctg,"ab",ab_v1_tpctg,"rm",rm_v1_tpctg,"le",le_v1_tpctg,0)</f>
        <v>0</v>
      </c>
    </row>
    <row r="85" spans="2:17" ht="19.95" customHeight="1">
      <c r="E85" s="66"/>
      <c r="F85" s="1" cm="1">
        <f t="array" ref="F85">_xlfn.SWITCH(F45,"we",we_v1_tpctg,"ss",ss_v1_tpctg,"us",us_v1_tpctg,"sr",sr_v1_tpctg,"lt",lt_v1_tpctg,"gd",gd_v1_tpctg,"rr",rr_v1_tpctg,"ab",ab_v1_tpctg,"rm",rm_v1_tpctg,"le",le_v1_tpctg,0)</f>
        <v>11972.260613333334</v>
      </c>
      <c r="G85" s="1" cm="1">
        <f t="array" ref="G85">_xlfn.SWITCH(G45,"we",we_v1_tpctg,"ss",ss_v1_tpctg,"us",us_v1_tpctg,"sr",sr_v1_tpctg,"lt",lt_v1_tpctg,"gd",gd_v1_tpctg,"rr",rr_v1_tpctg,"ab",ab_v1_tpctg,"rm",rm_v1_tpctg,"le",le_v1_tpctg,0)</f>
        <v>11972.260613333334</v>
      </c>
      <c r="H85" s="1" cm="1">
        <f t="array" ref="H85">_xlfn.SWITCH(H45,"we",we_v1_tpctg,"ss",ss_v1_tpctg,"us",us_v1_tpctg,"sr",sr_v1_tpctg,"lt",lt_v1_tpctg,"gd",gd_v1_tpctg,"rr",rr_v1_tpctg,"ab",ab_v1_tpctg,"rm",rm_v1_tpctg,"le",le_v1_tpctg,0)</f>
        <v>0</v>
      </c>
      <c r="I85" s="1" cm="1">
        <f t="array" ref="I85">_xlfn.SWITCH(I45,"we",we_v1_tpctg,"ss",ss_v1_tpctg,"us",us_v1_tpctg,"sr",sr_v1_tpctg,"lt",lt_v1_tpctg,"gd",gd_v1_tpctg,"rr",rr_v1_tpctg,"ab",ab_v1_tpctg,"rm",rm_v1_tpctg,"le",le_v1_tpctg,0)</f>
        <v>11972.260613333334</v>
      </c>
      <c r="J85" s="1" cm="1">
        <f t="array" ref="J85">_xlfn.SWITCH(J45,"we",we_v1_tpctg,"ss",ss_v1_tpctg,"us",us_v1_tpctg,"sr",sr_v1_tpctg,"lt",lt_v1_tpctg,"gd",gd_v1_tpctg,"rr",rr_v1_tpctg,"ab",ab_v1_tpctg,"rm",rm_v1_tpctg,"le",le_v1_tpctg,0)</f>
        <v>8143.958113333334</v>
      </c>
      <c r="K85" s="1" cm="1">
        <f t="array" ref="K85">_xlfn.SWITCH(K45,"we",we_v1_tpctg,"ss",ss_v1_tpctg,"us",us_v1_tpctg,"sr",sr_v1_tpctg,"lt",lt_v1_tpctg,"gd",gd_v1_tpctg,"rr",rr_v1_tpctg,"ab",ab_v1_tpctg,"rm",rm_v1_tpctg,"le",le_v1_tpctg,0)</f>
        <v>0</v>
      </c>
      <c r="L85" s="1" cm="1">
        <f t="array" ref="L85">_xlfn.SWITCH(L45,"we",we_v1_tpctg,"ss",ss_v1_tpctg,"us",us_v1_tpctg,"sr",sr_v1_tpctg,"lt",lt_v1_tpctg,"gd",gd_v1_tpctg,"rr",rr_v1_tpctg,"ab",ab_v1_tpctg,"rm",rm_v1_tpctg,"le",le_v1_tpctg,0)</f>
        <v>15832.028613333334</v>
      </c>
      <c r="M85" s="1" cm="1">
        <f t="array" ref="M85">_xlfn.SWITCH(M45,"we",we_v1_tpctg,"ss",ss_v1_tpctg,"us",us_v1_tpctg,"sr",sr_v1_tpctg,"lt",lt_v1_tpctg,"gd",gd_v1_tpctg,"rr",rr_v1_tpctg,"ab",ab_v1_tpctg,"rm",rm_v1_tpctg,"le",le_v1_tpctg,0)</f>
        <v>11909.329613333335</v>
      </c>
      <c r="N85" s="1" cm="1">
        <f t="array" ref="N85">_xlfn.SWITCH(N45,"we",we_v1_tpctg,"ss",ss_v1_tpctg,"us",us_v1_tpctg,"sr",sr_v1_tpctg,"lt",lt_v1_tpctg,"gd",gd_v1_tpctg,"rr",rr_v1_tpctg,"ab",ab_v1_tpctg,"rm",rm_v1_tpctg,"le",le_v1_tpctg,0)</f>
        <v>0</v>
      </c>
      <c r="O85" s="1" cm="1">
        <f t="array" ref="O85">_xlfn.SWITCH(O45,"we",we_v1_tpctg,"ss",ss_v1_tpctg,"us",us_v1_tpctg,"sr",sr_v1_tpctg,"lt",lt_v1_tpctg,"gd",gd_v1_tpctg,"rr",rr_v1_tpctg,"ab",ab_v1_tpctg,"rm",rm_v1_tpctg,"le",le_v1_tpctg,0)</f>
        <v>13314.788613333334</v>
      </c>
      <c r="P85" s="1" cm="1">
        <f t="array" ref="P85">_xlfn.SWITCH(P45,"we",we_v1_tpctg,"ss",ss_v1_tpctg,"us",us_v1_tpctg,"sr",sr_v1_tpctg,"lt",lt_v1_tpctg,"gd",gd_v1_tpctg,"rr",rr_v1_tpctg,"ab",ab_v1_tpctg,"rm",rm_v1_tpctg,"le",le_v1_tpctg,0)</f>
        <v>11972.260613333334</v>
      </c>
      <c r="Q85" s="1" cm="1">
        <f t="array" ref="Q85">_xlfn.SWITCH(Q45,"we",we_v1_tpctg,"ss",ss_v1_tpctg,"us",us_v1_tpctg,"sr",sr_v1_tpctg,"lt",lt_v1_tpctg,"gd",gd_v1_tpctg,"rr",rr_v1_tpctg,"ab",ab_v1_tpctg,"rm",rm_v1_tpctg,"le",le_v1_tpctg,0)</f>
        <v>0</v>
      </c>
    </row>
    <row r="86" spans="2:17" ht="19.95" customHeight="1">
      <c r="E86" s="66"/>
      <c r="F86" s="1" cm="1">
        <f t="array" ref="F86">_xlfn.SWITCH(F46,"we",we_v1_tpctg,"ss",ss_v1_tpctg,"us",us_v1_tpctg,"sr",sr_v1_tpctg,"lt",lt_v1_tpctg,"gd",gd_v1_tpctg,"rr",rr_v1_tpctg,"ab",ab_v1_tpctg,"rm",rm_v1_tpctg,"le",le_v1_tpctg,0)</f>
        <v>15832.028613333334</v>
      </c>
      <c r="G86" s="1" cm="1">
        <f t="array" ref="G86">_xlfn.SWITCH(G46,"we",we_v1_tpctg,"ss",ss_v1_tpctg,"us",us_v1_tpctg,"sr",sr_v1_tpctg,"lt",lt_v1_tpctg,"gd",gd_v1_tpctg,"rr",rr_v1_tpctg,"ab",ab_v1_tpctg,"rm",rm_v1_tpctg,"le",le_v1_tpctg,0)</f>
        <v>8143.958113333334</v>
      </c>
      <c r="H86" s="1" cm="1">
        <f t="array" ref="H86">_xlfn.SWITCH(H46,"we",we_v1_tpctg,"ss",ss_v1_tpctg,"us",us_v1_tpctg,"sr",sr_v1_tpctg,"lt",lt_v1_tpctg,"gd",gd_v1_tpctg,"rr",rr_v1_tpctg,"ab",ab_v1_tpctg,"rm",rm_v1_tpctg,"le",le_v1_tpctg,0)</f>
        <v>0</v>
      </c>
      <c r="I86" s="1" cm="1">
        <f t="array" ref="I86">_xlfn.SWITCH(I46,"we",we_v1_tpctg,"ss",ss_v1_tpctg,"us",us_v1_tpctg,"sr",sr_v1_tpctg,"lt",lt_v1_tpctg,"gd",gd_v1_tpctg,"rr",rr_v1_tpctg,"ab",ab_v1_tpctg,"rm",rm_v1_tpctg,"le",le_v1_tpctg,0)</f>
        <v>15832.028613333334</v>
      </c>
      <c r="J86" s="1" cm="1">
        <f t="array" ref="J86">_xlfn.SWITCH(J46,"we",we_v1_tpctg,"ss",ss_v1_tpctg,"us",us_v1_tpctg,"sr",sr_v1_tpctg,"lt",lt_v1_tpctg,"gd",gd_v1_tpctg,"rr",rr_v1_tpctg,"ab",ab_v1_tpctg,"rm",rm_v1_tpctg,"le",le_v1_tpctg,0)</f>
        <v>11909.329613333335</v>
      </c>
      <c r="K86" s="1" cm="1">
        <f t="array" ref="K86">_xlfn.SWITCH(K46,"we",we_v1_tpctg,"ss",ss_v1_tpctg,"us",us_v1_tpctg,"sr",sr_v1_tpctg,"lt",lt_v1_tpctg,"gd",gd_v1_tpctg,"rr",rr_v1_tpctg,"ab",ab_v1_tpctg,"rm",rm_v1_tpctg,"le",le_v1_tpctg,0)</f>
        <v>0</v>
      </c>
      <c r="L86" s="1" cm="1">
        <f t="array" ref="L86">_xlfn.SWITCH(L46,"we",we_v1_tpctg,"ss",ss_v1_tpctg,"us",us_v1_tpctg,"sr",sr_v1_tpctg,"lt",lt_v1_tpctg,"gd",gd_v1_tpctg,"rr",rr_v1_tpctg,"ab",ab_v1_tpctg,"rm",rm_v1_tpctg,"le",le_v1_tpctg,0)</f>
        <v>12265.938613333334</v>
      </c>
      <c r="M86" s="1" cm="1">
        <f t="array" ref="M86">_xlfn.SWITCH(M46,"we",we_v1_tpctg,"ss",ss_v1_tpctg,"us",us_v1_tpctg,"sr",sr_v1_tpctg,"lt",lt_v1_tpctg,"gd",gd_v1_tpctg,"rr",rr_v1_tpctg,"ab",ab_v1_tpctg,"rm",rm_v1_tpctg,"le",le_v1_tpctg,0)</f>
        <v>12265.938613333334</v>
      </c>
      <c r="N86" s="1" cm="1">
        <f t="array" ref="N86">_xlfn.SWITCH(N46,"we",we_v1_tpctg,"ss",ss_v1_tpctg,"us",us_v1_tpctg,"sr",sr_v1_tpctg,"lt",lt_v1_tpctg,"gd",gd_v1_tpctg,"rr",rr_v1_tpctg,"ab",ab_v1_tpctg,"rm",rm_v1_tpctg,"le",le_v1_tpctg,0)</f>
        <v>0</v>
      </c>
      <c r="O86" s="1" cm="1">
        <f t="array" ref="O86">_xlfn.SWITCH(O46,"we",we_v1_tpctg,"ss",ss_v1_tpctg,"us",us_v1_tpctg,"sr",sr_v1_tpctg,"lt",lt_v1_tpctg,"gd",gd_v1_tpctg,"rr",rr_v1_tpctg,"ab",ab_v1_tpctg,"rm",rm_v1_tpctg,"le",le_v1_tpctg,0)</f>
        <v>0</v>
      </c>
      <c r="P86" s="1" cm="1">
        <f t="array" ref="P86">_xlfn.SWITCH(P46,"we",we_v1_tpctg,"ss",ss_v1_tpctg,"us",us_v1_tpctg,"sr",sr_v1_tpctg,"lt",lt_v1_tpctg,"gd",gd_v1_tpctg,"rr",rr_v1_tpctg,"ab",ab_v1_tpctg,"rm",rm_v1_tpctg,"le",le_v1_tpctg,0)</f>
        <v>0</v>
      </c>
      <c r="Q86" s="1" cm="1">
        <f t="array" ref="Q86">_xlfn.SWITCH(Q46,"we",we_v1_tpctg,"ss",ss_v1_tpctg,"us",us_v1_tpctg,"sr",sr_v1_tpctg,"lt",lt_v1_tpctg,"gd",gd_v1_tpctg,"rr",rr_v1_tpctg,"ab",ab_v1_tpctg,"rm",rm_v1_tpctg,"le",le_v1_tpctg,0)</f>
        <v>0</v>
      </c>
    </row>
    <row r="87" spans="2:17" ht="19.95" customHeight="1">
      <c r="E87" s="66"/>
      <c r="F87" s="1" cm="1">
        <f t="array" ref="F87">_xlfn.SWITCH(F47,"we",we_v1_tpctg,"ss",ss_v1_tpctg,"us",us_v1_tpctg,"sr",sr_v1_tpctg,"lt",lt_v1_tpctg,"gd",gd_v1_tpctg,"rr",rr_v1_tpctg,"ab",ab_v1_tpctg,"rm",rm_v1_tpctg,"le",le_v1_tpctg,0)</f>
        <v>12265.938613333334</v>
      </c>
      <c r="G87" s="1" cm="1">
        <f t="array" ref="G87">_xlfn.SWITCH(G47,"we",we_v1_tpctg,"ss",ss_v1_tpctg,"us",us_v1_tpctg,"sr",sr_v1_tpctg,"lt",lt_v1_tpctg,"gd",gd_v1_tpctg,"rr",rr_v1_tpctg,"ab",ab_v1_tpctg,"rm",rm_v1_tpctg,"le",le_v1_tpctg,0)</f>
        <v>11909.329613333335</v>
      </c>
      <c r="H87" s="1" cm="1">
        <f t="array" ref="H87">_xlfn.SWITCH(H47,"we",we_v1_tpctg,"ss",ss_v1_tpctg,"us",us_v1_tpctg,"sr",sr_v1_tpctg,"lt",lt_v1_tpctg,"gd",gd_v1_tpctg,"rr",rr_v1_tpctg,"ab",ab_v1_tpctg,"rm",rm_v1_tpctg,"le",le_v1_tpctg,0)</f>
        <v>0</v>
      </c>
      <c r="I87" s="1" cm="1">
        <f t="array" ref="I87">_xlfn.SWITCH(I47,"we",we_v1_tpctg,"ss",ss_v1_tpctg,"us",us_v1_tpctg,"sr",sr_v1_tpctg,"lt",lt_v1_tpctg,"gd",gd_v1_tpctg,"rr",rr_v1_tpctg,"ab",ab_v1_tpctg,"rm",rm_v1_tpctg,"le",le_v1_tpctg,0)</f>
        <v>12265.938613333334</v>
      </c>
      <c r="J87" s="1" cm="1">
        <f t="array" ref="J87">_xlfn.SWITCH(J47,"we",we_v1_tpctg,"ss",ss_v1_tpctg,"us",us_v1_tpctg,"sr",sr_v1_tpctg,"lt",lt_v1_tpctg,"gd",gd_v1_tpctg,"rr",rr_v1_tpctg,"ab",ab_v1_tpctg,"rm",rm_v1_tpctg,"le",le_v1_tpctg,0)</f>
        <v>12265.938613333334</v>
      </c>
      <c r="K87" s="1" cm="1">
        <f t="array" ref="K87">_xlfn.SWITCH(K47,"we",we_v1_tpctg,"ss",ss_v1_tpctg,"us",us_v1_tpctg,"sr",sr_v1_tpctg,"lt",lt_v1_tpctg,"gd",gd_v1_tpctg,"rr",rr_v1_tpctg,"ab",ab_v1_tpctg,"rm",rm_v1_tpctg,"le",le_v1_tpctg,0)</f>
        <v>0</v>
      </c>
      <c r="L87" s="1" cm="1">
        <f t="array" ref="L87">_xlfn.SWITCH(L47,"we",we_v1_tpctg,"ss",ss_v1_tpctg,"us",us_v1_tpctg,"sr",sr_v1_tpctg,"lt",lt_v1_tpctg,"gd",gd_v1_tpctg,"rr",rr_v1_tpctg,"ab",ab_v1_tpctg,"rm",rm_v1_tpctg,"le",le_v1_tpctg,0)</f>
        <v>0</v>
      </c>
      <c r="M87" s="1" cm="1">
        <f t="array" ref="M87">_xlfn.SWITCH(M47,"we",we_v1_tpctg,"ss",ss_v1_tpctg,"us",us_v1_tpctg,"sr",sr_v1_tpctg,"lt",lt_v1_tpctg,"gd",gd_v1_tpctg,"rr",rr_v1_tpctg,"ab",ab_v1_tpctg,"rm",rm_v1_tpctg,"le",le_v1_tpctg,0)</f>
        <v>0</v>
      </c>
      <c r="N87" s="1" cm="1">
        <f t="array" ref="N87">_xlfn.SWITCH(N47,"we",we_v1_tpctg,"ss",ss_v1_tpctg,"us",us_v1_tpctg,"sr",sr_v1_tpctg,"lt",lt_v1_tpctg,"gd",gd_v1_tpctg,"rr",rr_v1_tpctg,"ab",ab_v1_tpctg,"rm",rm_v1_tpctg,"le",le_v1_tpctg,0)</f>
        <v>0</v>
      </c>
      <c r="O87" s="1" cm="1">
        <f t="array" ref="O87">_xlfn.SWITCH(O47,"we",we_v1_tpctg,"ss",ss_v1_tpctg,"us",us_v1_tpctg,"sr",sr_v1_tpctg,"lt",lt_v1_tpctg,"gd",gd_v1_tpctg,"rr",rr_v1_tpctg,"ab",ab_v1_tpctg,"rm",rm_v1_tpctg,"le",le_v1_tpctg,0)</f>
        <v>0</v>
      </c>
      <c r="P87" s="1" cm="1">
        <f t="array" ref="P87">_xlfn.SWITCH(P47,"we",we_v1_tpctg,"ss",ss_v1_tpctg,"us",us_v1_tpctg,"sr",sr_v1_tpctg,"lt",lt_v1_tpctg,"gd",gd_v1_tpctg,"rr",rr_v1_tpctg,"ab",ab_v1_tpctg,"rm",rm_v1_tpctg,"le",le_v1_tpctg,0)</f>
        <v>0</v>
      </c>
      <c r="Q87" s="1" cm="1">
        <f t="array" ref="Q87">_xlfn.SWITCH(Q47,"we",we_v1_tpctg,"ss",ss_v1_tpctg,"us",us_v1_tpctg,"sr",sr_v1_tpctg,"lt",lt_v1_tpctg,"gd",gd_v1_tpctg,"rr",rr_v1_tpctg,"ab",ab_v1_tpctg,"rm",rm_v1_tpctg,"le",le_v1_tpctg,0)</f>
        <v>0</v>
      </c>
    </row>
    <row r="88" spans="2:17" ht="19.95" customHeight="1">
      <c r="E88" s="66"/>
      <c r="F88" s="1" cm="1">
        <f t="array" ref="F88">_xlfn.SWITCH(F48,"we",we_v1_tpctg,"ss",ss_v1_tpctg,"us",us_v1_tpctg,"sr",sr_v1_tpctg,"lt",lt_v1_tpctg,"gd",gd_v1_tpctg,"rr",rr_v1_tpctg,"ab",ab_v1_tpctg,"rm",rm_v1_tpctg,"le",le_v1_tpctg,0)</f>
        <v>13314.788613333334</v>
      </c>
      <c r="G88" s="1" cm="1">
        <f t="array" ref="G88">_xlfn.SWITCH(G48,"we",we_v1_tpctg,"ss",ss_v1_tpctg,"us",us_v1_tpctg,"sr",sr_v1_tpctg,"lt",lt_v1_tpctg,"gd",gd_v1_tpctg,"rr",rr_v1_tpctg,"ab",ab_v1_tpctg,"rm",rm_v1_tpctg,"le",le_v1_tpctg,0)</f>
        <v>12265.938613333334</v>
      </c>
      <c r="H88" s="1" cm="1">
        <f t="array" ref="H88">_xlfn.SWITCH(H48,"we",we_v1_tpctg,"ss",ss_v1_tpctg,"us",us_v1_tpctg,"sr",sr_v1_tpctg,"lt",lt_v1_tpctg,"gd",gd_v1_tpctg,"rr",rr_v1_tpctg,"ab",ab_v1_tpctg,"rm",rm_v1_tpctg,"le",le_v1_tpctg,0)</f>
        <v>0</v>
      </c>
      <c r="I88" s="1" cm="1">
        <f t="array" ref="I88">_xlfn.SWITCH(I48,"we",we_v1_tpctg,"ss",ss_v1_tpctg,"us",us_v1_tpctg,"sr",sr_v1_tpctg,"lt",lt_v1_tpctg,"gd",gd_v1_tpctg,"rr",rr_v1_tpctg,"ab",ab_v1_tpctg,"rm",rm_v1_tpctg,"le",le_v1_tpctg,0)</f>
        <v>0</v>
      </c>
      <c r="J88" s="1" cm="1">
        <f t="array" ref="J88">_xlfn.SWITCH(J48,"we",we_v1_tpctg,"ss",ss_v1_tpctg,"us",us_v1_tpctg,"sr",sr_v1_tpctg,"lt",lt_v1_tpctg,"gd",gd_v1_tpctg,"rr",rr_v1_tpctg,"ab",ab_v1_tpctg,"rm",rm_v1_tpctg,"le",le_v1_tpctg,0)</f>
        <v>0</v>
      </c>
      <c r="K88" s="1" cm="1">
        <f t="array" ref="K88">_xlfn.SWITCH(K48,"we",we_v1_tpctg,"ss",ss_v1_tpctg,"us",us_v1_tpctg,"sr",sr_v1_tpctg,"lt",lt_v1_tpctg,"gd",gd_v1_tpctg,"rr",rr_v1_tpctg,"ab",ab_v1_tpctg,"rm",rm_v1_tpctg,"le",le_v1_tpctg,0)</f>
        <v>0</v>
      </c>
      <c r="L88" s="1" cm="1">
        <f t="array" ref="L88">_xlfn.SWITCH(L48,"we",we_v1_tpctg,"ss",ss_v1_tpctg,"us",us_v1_tpctg,"sr",sr_v1_tpctg,"lt",lt_v1_tpctg,"gd",gd_v1_tpctg,"rr",rr_v1_tpctg,"ab",ab_v1_tpctg,"rm",rm_v1_tpctg,"le",le_v1_tpctg,0)</f>
        <v>0</v>
      </c>
      <c r="M88" s="1" cm="1">
        <f t="array" ref="M88">_xlfn.SWITCH(M48,"we",we_v1_tpctg,"ss",ss_v1_tpctg,"us",us_v1_tpctg,"sr",sr_v1_tpctg,"lt",lt_v1_tpctg,"gd",gd_v1_tpctg,"rr",rr_v1_tpctg,"ab",ab_v1_tpctg,"rm",rm_v1_tpctg,"le",le_v1_tpctg,0)</f>
        <v>0</v>
      </c>
      <c r="N88" s="1" cm="1">
        <f t="array" ref="N88">_xlfn.SWITCH(N48,"we",we_v1_tpctg,"ss",ss_v1_tpctg,"us",us_v1_tpctg,"sr",sr_v1_tpctg,"lt",lt_v1_tpctg,"gd",gd_v1_tpctg,"rr",rr_v1_tpctg,"ab",ab_v1_tpctg,"rm",rm_v1_tpctg,"le",le_v1_tpctg,0)</f>
        <v>0</v>
      </c>
      <c r="O88" s="1" cm="1">
        <f t="array" ref="O88">_xlfn.SWITCH(O48,"we",we_v1_tpctg,"ss",ss_v1_tpctg,"us",us_v1_tpctg,"sr",sr_v1_tpctg,"lt",lt_v1_tpctg,"gd",gd_v1_tpctg,"rr",rr_v1_tpctg,"ab",ab_v1_tpctg,"rm",rm_v1_tpctg,"le",le_v1_tpctg,0)</f>
        <v>0</v>
      </c>
      <c r="P88" s="1" cm="1">
        <f t="array" ref="P88">_xlfn.SWITCH(P48,"we",we_v1_tpctg,"ss",ss_v1_tpctg,"us",us_v1_tpctg,"sr",sr_v1_tpctg,"lt",lt_v1_tpctg,"gd",gd_v1_tpctg,"rr",rr_v1_tpctg,"ab",ab_v1_tpctg,"rm",rm_v1_tpctg,"le",le_v1_tpctg,0)</f>
        <v>0</v>
      </c>
      <c r="Q88" s="1" cm="1">
        <f t="array" ref="Q88">_xlfn.SWITCH(Q48,"we",we_v1_tpctg,"ss",ss_v1_tpctg,"us",us_v1_tpctg,"sr",sr_v1_tpctg,"lt",lt_v1_tpctg,"gd",gd_v1_tpctg,"rr",rr_v1_tpctg,"ab",ab_v1_tpctg,"rm",rm_v1_tpctg,"le",le_v1_tpctg,0)</f>
        <v>0</v>
      </c>
    </row>
    <row r="89" spans="2:17" ht="19.95" customHeight="1">
      <c r="E89" s="1" t="s">
        <v>156</v>
      </c>
      <c r="F89" s="1">
        <f t="shared" ref="F89:Q89" si="25">IF(F67,(F41*1000+F69),((F41-1)*1000+F71))/v1_tree_reload*v1_tree_pctg</f>
        <v>11381.76</v>
      </c>
      <c r="G89" s="1">
        <f t="shared" si="25"/>
        <v>10932.48</v>
      </c>
      <c r="H89" s="1">
        <f t="shared" ca="1" si="25"/>
        <v>8686.08</v>
      </c>
      <c r="I89" s="1">
        <f t="shared" si="25"/>
        <v>9676.7999999999993</v>
      </c>
      <c r="J89" s="1">
        <f t="shared" si="25"/>
        <v>9434.8799999999992</v>
      </c>
      <c r="K89" s="1">
        <f t="shared" ca="1" si="25"/>
        <v>8271.36</v>
      </c>
      <c r="L89" s="1">
        <f t="shared" si="25"/>
        <v>8110.08</v>
      </c>
      <c r="M89" s="1">
        <f t="shared" si="25"/>
        <v>7971.8399999999992</v>
      </c>
      <c r="N89" s="1">
        <f t="shared" ca="1" si="25"/>
        <v>7027.2</v>
      </c>
      <c r="O89" s="1">
        <f t="shared" si="25"/>
        <v>6681.5999999999995</v>
      </c>
      <c r="P89" s="1">
        <f t="shared" si="25"/>
        <v>6197.76</v>
      </c>
      <c r="Q89" s="1">
        <f t="shared" ca="1" si="25"/>
        <v>5783.04</v>
      </c>
    </row>
    <row r="90" spans="2:17" ht="19.95" customHeight="1">
      <c r="E90" s="1" t="s">
        <v>154</v>
      </c>
      <c r="F90" s="1">
        <f t="shared" ref="F90:Q90" si="26">SUM(F82:F88)+IF(F67,0,F70*hir_v1_tpctg)+F89</f>
        <v>126461.43079333333</v>
      </c>
      <c r="G90" s="1">
        <f t="shared" si="26"/>
        <v>116918.62129333334</v>
      </c>
      <c r="H90" s="1">
        <f t="shared" ca="1" si="26"/>
        <v>280643.74142666667</v>
      </c>
      <c r="I90" s="1">
        <f t="shared" si="26"/>
        <v>111441.68218</v>
      </c>
      <c r="J90" s="1">
        <f t="shared" si="26"/>
        <v>103448.76068000001</v>
      </c>
      <c r="K90" s="1">
        <f t="shared" ca="1" si="26"/>
        <v>265818.34863291663</v>
      </c>
      <c r="L90" s="1">
        <f t="shared" si="26"/>
        <v>97902.70156666667</v>
      </c>
      <c r="M90" s="1">
        <f t="shared" si="26"/>
        <v>90013.460066666667</v>
      </c>
      <c r="N90" s="1">
        <f t="shared" ca="1" si="26"/>
        <v>221342.17025166668</v>
      </c>
      <c r="O90" s="1">
        <f t="shared" si="26"/>
        <v>85550.810953333348</v>
      </c>
      <c r="P90" s="1">
        <f t="shared" si="26"/>
        <v>79864.674953333335</v>
      </c>
      <c r="Q90" s="1">
        <f t="shared" ca="1" si="26"/>
        <v>176865.99187041665</v>
      </c>
    </row>
    <row r="91" spans="2:17" ht="19.95" customHeight="1">
      <c r="E91" s="1" t="s">
        <v>155</v>
      </c>
      <c r="F91" s="1">
        <f>IF(F67,F90/F69,F90/F71)</f>
        <v>43.910219025462965</v>
      </c>
      <c r="G91" s="1">
        <f t="shared" ref="G91:Q91" si="27">IF(G67,G90/G69,G90/G71)</f>
        <v>46.955269595716203</v>
      </c>
      <c r="H91" s="1">
        <f t="shared" ca="1" si="27"/>
        <v>42.911887068297659</v>
      </c>
      <c r="I91" s="1">
        <f t="shared" si="27"/>
        <v>46.434034241666666</v>
      </c>
      <c r="J91" s="1">
        <f t="shared" si="27"/>
        <v>47.236877022831052</v>
      </c>
      <c r="K91" s="1">
        <f t="shared" ca="1" si="27"/>
        <v>43.012677772316607</v>
      </c>
      <c r="L91" s="1">
        <f t="shared" si="27"/>
        <v>47.991520375816997</v>
      </c>
      <c r="M91" s="1">
        <f t="shared" si="27"/>
        <v>46.882010451388886</v>
      </c>
      <c r="N91" s="1">
        <f t="shared" ca="1" si="27"/>
        <v>43.400425539542489</v>
      </c>
      <c r="O91" s="1">
        <f t="shared" si="27"/>
        <v>47.528228307407417</v>
      </c>
      <c r="P91" s="1">
        <f t="shared" si="27"/>
        <v>57.872952864734302</v>
      </c>
      <c r="Q91" s="1">
        <f t="shared" ca="1" si="27"/>
        <v>43.996515390650906</v>
      </c>
    </row>
    <row r="92" spans="2:17" ht="19.95" hidden="1" customHeight="1">
      <c r="B92" s="1" t="s">
        <v>158</v>
      </c>
      <c r="C92" s="1" t="s">
        <v>159</v>
      </c>
    </row>
  </sheetData>
  <sheetProtection algorithmName="SHA-512" hashValue="oqZ0EqR+wdgZ+eB/bc+XWJYPDZL8TKEiFohPOc7xI9K3rWtyBWW6MLN0p9wljiRDnDpyAwgv7xVugXxDzdumsg==" saltValue="PER+y7YKeRFAsmwnGfbOfA==" spinCount="100000" sheet="1" objects="1" scenarios="1"/>
  <sortState xmlns:xlrd2="http://schemas.microsoft.com/office/spreadsheetml/2017/richdata2" ref="P3:Q13">
    <sortCondition descending="1" ref="Q3:Q13"/>
  </sortState>
  <mergeCells count="5">
    <mergeCell ref="E42:E48"/>
    <mergeCell ref="E49:E55"/>
    <mergeCell ref="E58:E64"/>
    <mergeCell ref="E73:E79"/>
    <mergeCell ref="E82:E8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EDD0-D3E7-462A-A65C-1F631840CF00}">
  <dimension ref="B2:E22"/>
  <sheetViews>
    <sheetView workbookViewId="0"/>
  </sheetViews>
  <sheetFormatPr defaultColWidth="20.77734375" defaultRowHeight="19.95" customHeight="1"/>
  <cols>
    <col min="1" max="2" width="20.77734375" style="2"/>
    <col min="3" max="3" width="50.77734375" style="2" customWidth="1"/>
    <col min="4" max="4" width="50.77734375" style="3" customWidth="1"/>
    <col min="5" max="16384" width="20.77734375" style="2"/>
  </cols>
  <sheetData>
    <row r="2" spans="2:5" ht="19.95" customHeight="1">
      <c r="B2" s="2" t="s">
        <v>35</v>
      </c>
      <c r="C2" s="2" t="s">
        <v>36</v>
      </c>
      <c r="D2" s="2" t="s">
        <v>37</v>
      </c>
    </row>
    <row r="3" spans="2:5" ht="19.95" customHeight="1">
      <c r="B3" s="2" t="s">
        <v>39</v>
      </c>
      <c r="C3" s="2" t="s">
        <v>1</v>
      </c>
      <c r="D3" s="3" t="s">
        <v>40</v>
      </c>
    </row>
    <row r="4" spans="2:5" ht="19.95" customHeight="1">
      <c r="B4" s="2" t="s">
        <v>38</v>
      </c>
      <c r="C4" s="2" t="s">
        <v>42</v>
      </c>
      <c r="D4" s="3" t="s">
        <v>41</v>
      </c>
    </row>
    <row r="5" spans="2:5" ht="19.95" customHeight="1">
      <c r="B5" s="2" t="s">
        <v>43</v>
      </c>
      <c r="C5" s="2" t="s">
        <v>87</v>
      </c>
      <c r="D5" s="3" t="s">
        <v>44</v>
      </c>
    </row>
    <row r="6" spans="2:5" ht="19.95" customHeight="1">
      <c r="B6" s="2" t="s">
        <v>45</v>
      </c>
      <c r="C6" s="2" t="s">
        <v>5</v>
      </c>
      <c r="D6" s="3" t="s">
        <v>46</v>
      </c>
      <c r="E6" s="4"/>
    </row>
    <row r="7" spans="2:5" ht="19.95" customHeight="1">
      <c r="B7" s="2" t="s">
        <v>47</v>
      </c>
      <c r="C7" s="2" t="s">
        <v>6</v>
      </c>
      <c r="D7" s="3" t="s">
        <v>48</v>
      </c>
    </row>
    <row r="8" spans="2:5" ht="19.95" customHeight="1">
      <c r="B8" s="2" t="s">
        <v>49</v>
      </c>
      <c r="C8" s="2" t="s">
        <v>50</v>
      </c>
      <c r="D8" s="3" t="s">
        <v>62</v>
      </c>
    </row>
    <row r="9" spans="2:5" ht="19.95" customHeight="1">
      <c r="B9" s="2" t="s">
        <v>51</v>
      </c>
      <c r="C9" s="2" t="s">
        <v>8</v>
      </c>
      <c r="D9" s="3" t="s">
        <v>63</v>
      </c>
    </row>
    <row r="10" spans="2:5" ht="19.95" customHeight="1">
      <c r="B10" s="2" t="s">
        <v>52</v>
      </c>
      <c r="C10" s="2" t="s">
        <v>9</v>
      </c>
      <c r="D10" s="3" t="s">
        <v>64</v>
      </c>
    </row>
    <row r="11" spans="2:5" ht="19.95" customHeight="1">
      <c r="B11" s="2" t="s">
        <v>53</v>
      </c>
      <c r="C11" s="2" t="s">
        <v>10</v>
      </c>
      <c r="D11" s="3" t="s">
        <v>65</v>
      </c>
    </row>
    <row r="12" spans="2:5" ht="19.95" customHeight="1">
      <c r="B12" s="2" t="s">
        <v>54</v>
      </c>
      <c r="C12" s="2" t="s">
        <v>11</v>
      </c>
      <c r="D12" s="3" t="s">
        <v>66</v>
      </c>
    </row>
    <row r="13" spans="2:5" ht="19.95" customHeight="1">
      <c r="B13" s="2" t="s">
        <v>55</v>
      </c>
      <c r="C13" s="2" t="s">
        <v>12</v>
      </c>
      <c r="D13" s="3" t="s">
        <v>67</v>
      </c>
      <c r="E13" s="4"/>
    </row>
    <row r="14" spans="2:5" ht="19.95" customHeight="1">
      <c r="B14" s="2" t="s">
        <v>75</v>
      </c>
      <c r="C14" s="2" t="s">
        <v>76</v>
      </c>
      <c r="D14" s="3" t="s">
        <v>77</v>
      </c>
      <c r="E14" s="4"/>
    </row>
    <row r="15" spans="2:5" ht="19.95" customHeight="1">
      <c r="B15" s="2" t="s">
        <v>57</v>
      </c>
      <c r="C15" s="2" t="s">
        <v>58</v>
      </c>
      <c r="D15" s="3" t="s">
        <v>68</v>
      </c>
    </row>
    <row r="16" spans="2:5" ht="19.95" customHeight="1">
      <c r="B16" s="2" t="s">
        <v>61</v>
      </c>
      <c r="C16" s="2" t="s">
        <v>15</v>
      </c>
      <c r="D16" s="3" t="s">
        <v>69</v>
      </c>
    </row>
    <row r="17" spans="2:4" ht="19.95" customHeight="1">
      <c r="B17" s="2" t="s">
        <v>74</v>
      </c>
      <c r="C17" s="2" t="s">
        <v>16</v>
      </c>
      <c r="D17" s="3" t="s">
        <v>70</v>
      </c>
    </row>
    <row r="18" spans="2:4" ht="19.95" customHeight="1">
      <c r="B18" s="2" t="s">
        <v>56</v>
      </c>
      <c r="C18" s="2" t="s">
        <v>2</v>
      </c>
      <c r="D18" s="3" t="s">
        <v>71</v>
      </c>
    </row>
    <row r="19" spans="2:4" ht="19.95" customHeight="1">
      <c r="B19" s="2" t="s">
        <v>59</v>
      </c>
      <c r="C19" s="2" t="s">
        <v>13</v>
      </c>
      <c r="D19" s="3" t="s">
        <v>72</v>
      </c>
    </row>
    <row r="20" spans="2:4" ht="19.95" customHeight="1">
      <c r="B20" s="2" t="s">
        <v>60</v>
      </c>
      <c r="C20" s="2" t="s">
        <v>14</v>
      </c>
      <c r="D20" s="3" t="s">
        <v>73</v>
      </c>
    </row>
    <row r="21" spans="2:4" ht="19.95" customHeight="1">
      <c r="B21" s="2" t="s">
        <v>79</v>
      </c>
      <c r="C21" s="2" t="s">
        <v>81</v>
      </c>
      <c r="D21" s="3" t="s">
        <v>83</v>
      </c>
    </row>
    <row r="22" spans="2:4" ht="19.95" customHeight="1">
      <c r="B22" s="2" t="s">
        <v>80</v>
      </c>
      <c r="C22" s="2" t="s">
        <v>82</v>
      </c>
      <c r="D22" s="3" t="s">
        <v>84</v>
      </c>
    </row>
  </sheetData>
  <sheetProtection algorithmName="SHA-512" hashValue="75j8wS99Hh4UQEPlSL9UWsKmyybtT6jymVVKJJpXZVVPM+31lak/YHmhT7oqRkfiXMD/Tl2G/3IaiUPQTge1Fw==" saltValue="2ZIY2u7EHgYTATUAWbmL1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281</vt:i4>
      </vt:variant>
    </vt:vector>
  </HeadingPairs>
  <TitlesOfParts>
    <vt:vector size="285" baseType="lpstr">
      <vt:lpstr>Main</vt:lpstr>
      <vt:lpstr>OriginData</vt:lpstr>
      <vt:lpstr>MiddleParam</vt:lpstr>
      <vt:lpstr>Text</vt:lpstr>
      <vt:lpstr>ab_cdelay</vt:lpstr>
      <vt:lpstr>ab_delay</vt:lpstr>
      <vt:lpstr>ab_extra_fd</vt:lpstr>
      <vt:lpstr>ab_level</vt:lpstr>
      <vt:lpstr>ab_name_cms</vt:lpstr>
      <vt:lpstr>ab_name_gms</vt:lpstr>
      <vt:lpstr>ab_ocdelay</vt:lpstr>
      <vt:lpstr>ab_odelay</vt:lpstr>
      <vt:lpstr>ab_pctg</vt:lpstr>
      <vt:lpstr>ab_tpctg</vt:lpstr>
      <vt:lpstr>ab_tpctg_density</vt:lpstr>
      <vt:lpstr>ab_v1_tpctg</vt:lpstr>
      <vt:lpstr>ab_v1_tpctg_density</vt:lpstr>
      <vt:lpstr>combo1</vt:lpstr>
      <vt:lpstr>combo1_density</vt:lpstr>
      <vt:lpstr>combo1_final_time</vt:lpstr>
      <vt:lpstr>combo1_ir_amt</vt:lpstr>
      <vt:lpstr>combo1_pause_time</vt:lpstr>
      <vt:lpstr>combo1_v1_density</vt:lpstr>
      <vt:lpstr>combo10</vt:lpstr>
      <vt:lpstr>combo10_density</vt:lpstr>
      <vt:lpstr>combo10_final_time</vt:lpstr>
      <vt:lpstr>combo10_ir_amt</vt:lpstr>
      <vt:lpstr>combo10_pause_time</vt:lpstr>
      <vt:lpstr>combo10_v1_density</vt:lpstr>
      <vt:lpstr>combo11</vt:lpstr>
      <vt:lpstr>combo11_density</vt:lpstr>
      <vt:lpstr>combo11_final_time</vt:lpstr>
      <vt:lpstr>combo11_ir_amt</vt:lpstr>
      <vt:lpstr>combo11_pause_time</vt:lpstr>
      <vt:lpstr>combo11_v1_density</vt:lpstr>
      <vt:lpstr>combo12</vt:lpstr>
      <vt:lpstr>combo12_density</vt:lpstr>
      <vt:lpstr>combo12_final_time</vt:lpstr>
      <vt:lpstr>combo12_ir_amt</vt:lpstr>
      <vt:lpstr>combo12_pause_time</vt:lpstr>
      <vt:lpstr>combo12_v1_density</vt:lpstr>
      <vt:lpstr>combo2</vt:lpstr>
      <vt:lpstr>combo2_density</vt:lpstr>
      <vt:lpstr>combo2_final_time</vt:lpstr>
      <vt:lpstr>combo2_ir_amt</vt:lpstr>
      <vt:lpstr>combo2_pause_time</vt:lpstr>
      <vt:lpstr>combo2_v1_density</vt:lpstr>
      <vt:lpstr>combo3</vt:lpstr>
      <vt:lpstr>combo3_density</vt:lpstr>
      <vt:lpstr>combo3_final_time</vt:lpstr>
      <vt:lpstr>combo3_ir_amt</vt:lpstr>
      <vt:lpstr>combo3_pause_time</vt:lpstr>
      <vt:lpstr>combo3_v1_density</vt:lpstr>
      <vt:lpstr>combo4</vt:lpstr>
      <vt:lpstr>combo4_density</vt:lpstr>
      <vt:lpstr>combo4_final_time</vt:lpstr>
      <vt:lpstr>combo4_ir_amt</vt:lpstr>
      <vt:lpstr>combo4_pause_time</vt:lpstr>
      <vt:lpstr>combo4_v1_density</vt:lpstr>
      <vt:lpstr>combo5</vt:lpstr>
      <vt:lpstr>combo5_density</vt:lpstr>
      <vt:lpstr>combo5_final_time</vt:lpstr>
      <vt:lpstr>combo5_ir_amt</vt:lpstr>
      <vt:lpstr>combo5_pause_time</vt:lpstr>
      <vt:lpstr>combo5_v1_density</vt:lpstr>
      <vt:lpstr>combo6</vt:lpstr>
      <vt:lpstr>combo6_density</vt:lpstr>
      <vt:lpstr>combo6_final_time</vt:lpstr>
      <vt:lpstr>combo6_ir_amt</vt:lpstr>
      <vt:lpstr>combo6_pause_time</vt:lpstr>
      <vt:lpstr>combo6_v1_density</vt:lpstr>
      <vt:lpstr>combo7</vt:lpstr>
      <vt:lpstr>combo7_density</vt:lpstr>
      <vt:lpstr>combo7_final_time</vt:lpstr>
      <vt:lpstr>combo7_ir_amt</vt:lpstr>
      <vt:lpstr>combo7_pause_time</vt:lpstr>
      <vt:lpstr>combo7_v1_density</vt:lpstr>
      <vt:lpstr>combo8</vt:lpstr>
      <vt:lpstr>combo8_density</vt:lpstr>
      <vt:lpstr>combo8_final_time</vt:lpstr>
      <vt:lpstr>combo8_ir_amt</vt:lpstr>
      <vt:lpstr>combo8_pause_time</vt:lpstr>
      <vt:lpstr>combo8_v1_density</vt:lpstr>
      <vt:lpstr>combo9</vt:lpstr>
      <vt:lpstr>combo9_density</vt:lpstr>
      <vt:lpstr>combo9_final_time</vt:lpstr>
      <vt:lpstr>combo9_ir_amt</vt:lpstr>
      <vt:lpstr>combo9_pause_time</vt:lpstr>
      <vt:lpstr>combo9_v1_density</vt:lpstr>
      <vt:lpstr>fa_bias_pctg</vt:lpstr>
      <vt:lpstr>fa_extra_fd</vt:lpstr>
      <vt:lpstr>fa_level</vt:lpstr>
      <vt:lpstr>fa_name_cms</vt:lpstr>
      <vt:lpstr>fa_name_gms</vt:lpstr>
      <vt:lpstr>fa_pctg</vt:lpstr>
      <vt:lpstr>fa_rate</vt:lpstr>
      <vt:lpstr>gd_cdelay</vt:lpstr>
      <vt:lpstr>gd_delay</vt:lpstr>
      <vt:lpstr>gd_extra_fd</vt:lpstr>
      <vt:lpstr>gd_level</vt:lpstr>
      <vt:lpstr>gd_name_cms</vt:lpstr>
      <vt:lpstr>gd_name_gms</vt:lpstr>
      <vt:lpstr>gd_ocdelay</vt:lpstr>
      <vt:lpstr>gd_odelay</vt:lpstr>
      <vt:lpstr>gd_pctg</vt:lpstr>
      <vt:lpstr>gd_tpctg</vt:lpstr>
      <vt:lpstr>gd_tpctg_density</vt:lpstr>
      <vt:lpstr>gd_v1_tpctg</vt:lpstr>
      <vt:lpstr>gd_v1_tpctg_density</vt:lpstr>
      <vt:lpstr>h1_addeer_extra_fd</vt:lpstr>
      <vt:lpstr>h1_addeer_name_cms</vt:lpstr>
      <vt:lpstr>h1_addeer_name_gms</vt:lpstr>
      <vt:lpstr>h1_addeer_pctg</vt:lpstr>
      <vt:lpstr>h1_deer_extra_fd</vt:lpstr>
      <vt:lpstr>h1_deer_name_cms</vt:lpstr>
      <vt:lpstr>h1_deer_name_gms</vt:lpstr>
      <vt:lpstr>h1_deer_pctg</vt:lpstr>
      <vt:lpstr>h1_level</vt:lpstr>
      <vt:lpstr>hir_extra_fd</vt:lpstr>
      <vt:lpstr>hir_level</vt:lpstr>
      <vt:lpstr>hir_name_cms</vt:lpstr>
      <vt:lpstr>hir_name_gms</vt:lpstr>
      <vt:lpstr>hir_pctg</vt:lpstr>
      <vt:lpstr>hir_tpctg</vt:lpstr>
      <vt:lpstr>hir_tpctg_density</vt:lpstr>
      <vt:lpstr>hir_v1_tpctg</vt:lpstr>
      <vt:lpstr>hir_v1_tpctg_density</vt:lpstr>
      <vt:lpstr>hv1_level</vt:lpstr>
      <vt:lpstr>hv1_name_cms</vt:lpstr>
      <vt:lpstr>hv1_name_gms</vt:lpstr>
      <vt:lpstr>hv2_fd</vt:lpstr>
      <vt:lpstr>hv2_level</vt:lpstr>
      <vt:lpstr>hv2_name_cms</vt:lpstr>
      <vt:lpstr>hv2_name_gms</vt:lpstr>
      <vt:lpstr>ir_delay</vt:lpstr>
      <vt:lpstr>ir_extra_fd</vt:lpstr>
      <vt:lpstr>ir_level</vt:lpstr>
      <vt:lpstr>ir_name_cms</vt:lpstr>
      <vt:lpstr>ir_name_gms</vt:lpstr>
      <vt:lpstr>ir_pctg</vt:lpstr>
      <vt:lpstr>ir_pre_delay</vt:lpstr>
      <vt:lpstr>ir_pre_odelay</vt:lpstr>
      <vt:lpstr>irm_bias_pctg</vt:lpstr>
      <vt:lpstr>irm_extra_fd</vt:lpstr>
      <vt:lpstr>irm_name_cms</vt:lpstr>
      <vt:lpstr>irm_name_gms</vt:lpstr>
      <vt:lpstr>irm_pctg</vt:lpstr>
      <vt:lpstr>irmc_extra_fd</vt:lpstr>
      <vt:lpstr>irmc_name_cms</vt:lpstr>
      <vt:lpstr>irmc_name_gms</vt:lpstr>
      <vt:lpstr>irmc_pctg</vt:lpstr>
      <vt:lpstr>is_cms</vt:lpstr>
      <vt:lpstr>le_cdelay</vt:lpstr>
      <vt:lpstr>le_delay</vt:lpstr>
      <vt:lpstr>le_extra_fd</vt:lpstr>
      <vt:lpstr>le_level</vt:lpstr>
      <vt:lpstr>le_name_cms</vt:lpstr>
      <vt:lpstr>le_name_gms</vt:lpstr>
      <vt:lpstr>le_ocdelay</vt:lpstr>
      <vt:lpstr>le_odelay</vt:lpstr>
      <vt:lpstr>le_pctg</vt:lpstr>
      <vt:lpstr>le_tpctg</vt:lpstr>
      <vt:lpstr>le_tpctg_density</vt:lpstr>
      <vt:lpstr>le_v1_tpctg</vt:lpstr>
      <vt:lpstr>le_v1_tpctg_density</vt:lpstr>
      <vt:lpstr>lt_cdelay</vt:lpstr>
      <vt:lpstr>lt_delay</vt:lpstr>
      <vt:lpstr>lt_extra_fd</vt:lpstr>
      <vt:lpstr>lt_level</vt:lpstr>
      <vt:lpstr>lt_name_cms</vt:lpstr>
      <vt:lpstr>lt_name_gms</vt:lpstr>
      <vt:lpstr>lt_ocdelay</vt:lpstr>
      <vt:lpstr>lt_odelay</vt:lpstr>
      <vt:lpstr>lt_pctg</vt:lpstr>
      <vt:lpstr>lt_tpctg</vt:lpstr>
      <vt:lpstr>lt_tpctg_density</vt:lpstr>
      <vt:lpstr>lt_v1_tpctg</vt:lpstr>
      <vt:lpstr>lt_v1_tpctg_density</vt:lpstr>
      <vt:lpstr>max_pause_delay</vt:lpstr>
      <vt:lpstr>mercedes_reduce</vt:lpstr>
      <vt:lpstr>rm_cdelay</vt:lpstr>
      <vt:lpstr>rm_delay</vt:lpstr>
      <vt:lpstr>rm_extra_fd</vt:lpstr>
      <vt:lpstr>rm_level</vt:lpstr>
      <vt:lpstr>rm_name_cms</vt:lpstr>
      <vt:lpstr>rm_name_gms</vt:lpstr>
      <vt:lpstr>rm_ocdelay</vt:lpstr>
      <vt:lpstr>rm_odelay</vt:lpstr>
      <vt:lpstr>rm_pctg</vt:lpstr>
      <vt:lpstr>rm_tpctg</vt:lpstr>
      <vt:lpstr>rm_tpctg_density</vt:lpstr>
      <vt:lpstr>rm_v1_tpctg</vt:lpstr>
      <vt:lpstr>rm_v1_tpctg_density</vt:lpstr>
      <vt:lpstr>rr_cdelay</vt:lpstr>
      <vt:lpstr>rr_delay</vt:lpstr>
      <vt:lpstr>rr_extra_fd</vt:lpstr>
      <vt:lpstr>rr_level</vt:lpstr>
      <vt:lpstr>rr_name_cms</vt:lpstr>
      <vt:lpstr>rr_name_gms</vt:lpstr>
      <vt:lpstr>rr_ocdelay</vt:lpstr>
      <vt:lpstr>rr_odelay</vt:lpstr>
      <vt:lpstr>rr_pctg</vt:lpstr>
      <vt:lpstr>rr_tpctg</vt:lpstr>
      <vt:lpstr>rr_tpctg_density</vt:lpstr>
      <vt:lpstr>rr_v1_tpctg</vt:lpstr>
      <vt:lpstr>rr_v1_tpctg_density</vt:lpstr>
      <vt:lpstr>server_delay</vt:lpstr>
      <vt:lpstr>speed</vt:lpstr>
      <vt:lpstr>sr_cdelay</vt:lpstr>
      <vt:lpstr>sr_delay</vt:lpstr>
      <vt:lpstr>sr_extra_fd</vt:lpstr>
      <vt:lpstr>sr_level</vt:lpstr>
      <vt:lpstr>sr_name_cms</vt:lpstr>
      <vt:lpstr>sr_name_gms</vt:lpstr>
      <vt:lpstr>sr_ocdelay</vt:lpstr>
      <vt:lpstr>sr_odelay</vt:lpstr>
      <vt:lpstr>sr_pctg</vt:lpstr>
      <vt:lpstr>sr_reload</vt:lpstr>
      <vt:lpstr>sr_tpctg</vt:lpstr>
      <vt:lpstr>sr_tpctg_density</vt:lpstr>
      <vt:lpstr>sr_v1_tpctg</vt:lpstr>
      <vt:lpstr>sr_v1_tpctg_density</vt:lpstr>
      <vt:lpstr>ss_cdelay</vt:lpstr>
      <vt:lpstr>ss_delay</vt:lpstr>
      <vt:lpstr>ss_extra_fd</vt:lpstr>
      <vt:lpstr>ss_level</vt:lpstr>
      <vt:lpstr>ss_name_cms</vt:lpstr>
      <vt:lpstr>ss_name_gms</vt:lpstr>
      <vt:lpstr>ss_ocdelay</vt:lpstr>
      <vt:lpstr>ss_odelay</vt:lpstr>
      <vt:lpstr>ss_pctg</vt:lpstr>
      <vt:lpstr>ss_tpctg</vt:lpstr>
      <vt:lpstr>ss_tpctg_density</vt:lpstr>
      <vt:lpstr>ss_v1_tpctg</vt:lpstr>
      <vt:lpstr>ss_v1_tpctg_density</vt:lpstr>
      <vt:lpstr>us_cdelay</vt:lpstr>
      <vt:lpstr>us_delay</vt:lpstr>
      <vt:lpstr>us_extra_fd</vt:lpstr>
      <vt:lpstr>us_level</vt:lpstr>
      <vt:lpstr>us_name_cms</vt:lpstr>
      <vt:lpstr>us_name_gms</vt:lpstr>
      <vt:lpstr>us_ocdelay</vt:lpstr>
      <vt:lpstr>us_odelay</vt:lpstr>
      <vt:lpstr>us_pctg</vt:lpstr>
      <vt:lpstr>us_reload</vt:lpstr>
      <vt:lpstr>us_tpctg</vt:lpstr>
      <vt:lpstr>us_tpctg_density</vt:lpstr>
      <vt:lpstr>us_v1_tpctg</vt:lpstr>
      <vt:lpstr>us_v1_tpctg_density</vt:lpstr>
      <vt:lpstr>v1_ir_amt_rate</vt:lpstr>
      <vt:lpstr>v1_ir_pctg_rate</vt:lpstr>
      <vt:lpstr>v1_level</vt:lpstr>
      <vt:lpstr>v1_shadow_fd</vt:lpstr>
      <vt:lpstr>v1_shadow_rate</vt:lpstr>
      <vt:lpstr>v1_skill_amt_rate</vt:lpstr>
      <vt:lpstr>v1_skill_pctg_rate</vt:lpstr>
      <vt:lpstr>v1_tree_extra_fd</vt:lpstr>
      <vt:lpstr>v1_tree_hv1_extra_fd</vt:lpstr>
      <vt:lpstr>v1_tree_name_cms</vt:lpstr>
      <vt:lpstr>v1_tree_name_gms</vt:lpstr>
      <vt:lpstr>v1_tree_pctg</vt:lpstr>
      <vt:lpstr>v1_tree_reload</vt:lpstr>
      <vt:lpstr>v2_att_fd</vt:lpstr>
      <vt:lpstr>vir_level</vt:lpstr>
      <vt:lpstr>vle_level</vt:lpstr>
      <vt:lpstr>vlt_level</vt:lpstr>
      <vt:lpstr>vrr_level</vt:lpstr>
      <vt:lpstr>vsr_level</vt:lpstr>
      <vt:lpstr>vss_level</vt:lpstr>
      <vt:lpstr>vus_level</vt:lpstr>
      <vt:lpstr>vwe_level</vt:lpstr>
      <vt:lpstr>we_cdelay</vt:lpstr>
      <vt:lpstr>we_delay</vt:lpstr>
      <vt:lpstr>we_extra_fd</vt:lpstr>
      <vt:lpstr>we_level</vt:lpstr>
      <vt:lpstr>we_name_cms</vt:lpstr>
      <vt:lpstr>we_name_gms</vt:lpstr>
      <vt:lpstr>we_ocdelay</vt:lpstr>
      <vt:lpstr>we_odelay</vt:lpstr>
      <vt:lpstr>we_pctg</vt:lpstr>
      <vt:lpstr>we_reload</vt:lpstr>
      <vt:lpstr>we_tpctg</vt:lpstr>
      <vt:lpstr>we_tpctg_density</vt:lpstr>
      <vt:lpstr>we_v1_tpctg</vt:lpstr>
      <vt:lpstr>we_v1_tpctg_density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Tang</dc:creator>
  <cp:lastModifiedBy>zh Tang</cp:lastModifiedBy>
  <dcterms:created xsi:type="dcterms:W3CDTF">2015-06-05T18:19:34Z</dcterms:created>
  <dcterms:modified xsi:type="dcterms:W3CDTF">2024-03-11T17:40:09Z</dcterms:modified>
</cp:coreProperties>
</file>