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efebvre\curseforge\minecraft\Instances\1.16.5\"/>
    </mc:Choice>
  </mc:AlternateContent>
  <xr:revisionPtr revIDLastSave="0" documentId="13_ncr:1_{ADB44954-21A3-4FC5-B037-DD95084E3310}" xr6:coauthVersionLast="47" xr6:coauthVersionMax="47" xr10:uidLastSave="{00000000-0000-0000-0000-000000000000}"/>
  <bookViews>
    <workbookView xWindow="28680" yWindow="-120" windowWidth="29040" windowHeight="15840" activeTab="4" xr2:uid="{8AC89A7E-C86E-4B90-A23B-0FA9309DBAB4}"/>
  </bookViews>
  <sheets>
    <sheet name="ME Controller" sheetId="2" r:id="rId1"/>
    <sheet name="ME Controller Crafting Tree" sheetId="4" r:id="rId2"/>
    <sheet name="Material Costs" sheetId="3" r:id="rId3"/>
    <sheet name="Sheet1" sheetId="1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5" l="1"/>
  <c r="D38" i="5" s="1"/>
  <c r="B27" i="4"/>
  <c r="D28" i="4" s="1"/>
  <c r="B23" i="4"/>
  <c r="B24" i="4" s="1"/>
  <c r="B18" i="4"/>
  <c r="F19" i="4" s="1"/>
  <c r="B15" i="4"/>
  <c r="B16" i="4" s="1"/>
  <c r="B11" i="4"/>
  <c r="B12" i="4" s="1"/>
  <c r="B3" i="4"/>
  <c r="P4" i="4" s="1"/>
  <c r="E4" i="3"/>
  <c r="E3" i="3"/>
  <c r="E2" i="3"/>
  <c r="C16" i="2"/>
  <c r="E16" i="2" s="1"/>
  <c r="C17" i="2"/>
  <c r="E17" i="2" s="1"/>
  <c r="C18" i="2"/>
  <c r="E18" i="2" s="1"/>
  <c r="C19" i="2"/>
  <c r="C20" i="2"/>
  <c r="C21" i="2"/>
  <c r="C22" i="2"/>
  <c r="G22" i="2" s="1"/>
  <c r="C23" i="2"/>
  <c r="G23" i="2" s="1"/>
  <c r="C24" i="2"/>
  <c r="E24" i="2" s="1"/>
  <c r="C15" i="2"/>
  <c r="E15" i="2" s="1"/>
  <c r="B19" i="2"/>
  <c r="E19" i="2" s="1"/>
  <c r="G24" i="2"/>
  <c r="F24" i="2"/>
  <c r="F23" i="2"/>
  <c r="F22" i="2"/>
  <c r="E21" i="2"/>
  <c r="F20" i="2"/>
  <c r="G20" i="2"/>
  <c r="F19" i="2"/>
  <c r="G18" i="2"/>
  <c r="F18" i="2"/>
  <c r="F15" i="2"/>
  <c r="F16" i="2"/>
  <c r="F17" i="2"/>
  <c r="C5" i="2"/>
  <c r="C6" i="2"/>
  <c r="C7" i="2"/>
  <c r="C8" i="2"/>
  <c r="C9" i="2"/>
  <c r="C10" i="2"/>
  <c r="F38" i="5" l="1"/>
  <c r="B32" i="5" s="1"/>
  <c r="H33" i="5" s="1"/>
  <c r="H34" i="5" s="1"/>
  <c r="H35" i="5" s="1"/>
  <c r="B38" i="5"/>
  <c r="H38" i="5"/>
  <c r="J39" i="5" s="1"/>
  <c r="B19" i="4"/>
  <c r="F29" i="4"/>
  <c r="F30" i="4" s="1"/>
  <c r="D29" i="4"/>
  <c r="B28" i="4"/>
  <c r="F20" i="4"/>
  <c r="H20" i="4"/>
  <c r="H21" i="4" s="1"/>
  <c r="D19" i="4"/>
  <c r="H13" i="4"/>
  <c r="J13" i="4"/>
  <c r="F13" i="4"/>
  <c r="B13" i="4"/>
  <c r="D13" i="4"/>
  <c r="P5" i="4"/>
  <c r="R5" i="4"/>
  <c r="R6" i="4" s="1"/>
  <c r="V6" i="4"/>
  <c r="V7" i="4" s="1"/>
  <c r="T5" i="4"/>
  <c r="T6" i="4" s="1"/>
  <c r="D4" i="4"/>
  <c r="J4" i="4"/>
  <c r="X4" i="4"/>
  <c r="B4" i="4"/>
  <c r="E23" i="2"/>
  <c r="E22" i="2"/>
  <c r="G17" i="2"/>
  <c r="G15" i="2"/>
  <c r="G21" i="2"/>
  <c r="E20" i="2"/>
  <c r="F3" i="2" s="1"/>
  <c r="G19" i="2"/>
  <c r="D39" i="5" l="1"/>
  <c r="D40" i="5" s="1"/>
  <c r="B39" i="5"/>
  <c r="F33" i="5"/>
  <c r="B27" i="5" s="1"/>
  <c r="D28" i="5" s="1"/>
  <c r="B33" i="5"/>
  <c r="D33" i="5"/>
  <c r="J34" i="5"/>
  <c r="H39" i="5"/>
  <c r="H40" i="5" s="1"/>
  <c r="X5" i="4"/>
  <c r="AB5" i="4"/>
  <c r="AB6" i="4" s="1"/>
  <c r="Z5" i="4"/>
  <c r="N5" i="4"/>
  <c r="J5" i="4"/>
  <c r="L5" i="4"/>
  <c r="H5" i="4"/>
  <c r="F5" i="4"/>
  <c r="D5" i="4"/>
  <c r="D34" i="5" l="1"/>
  <c r="D35" i="5" s="1"/>
  <c r="B34" i="5"/>
  <c r="F28" i="5"/>
  <c r="B22" i="5" s="1"/>
  <c r="F23" i="5" s="1"/>
  <c r="B17" i="5" s="1"/>
  <c r="H28" i="5"/>
  <c r="J29" i="5" s="1"/>
  <c r="B28" i="5"/>
  <c r="AF7" i="4"/>
  <c r="AD7" i="4"/>
  <c r="AD8" i="4" s="1"/>
  <c r="AB7" i="4"/>
  <c r="D29" i="5" l="1"/>
  <c r="D30" i="5" s="1"/>
  <c r="B29" i="5"/>
  <c r="H23" i="5"/>
  <c r="J24" i="5" s="1"/>
  <c r="B23" i="5"/>
  <c r="D23" i="5"/>
  <c r="H29" i="5"/>
  <c r="H30" i="5" s="1"/>
  <c r="H18" i="5"/>
  <c r="D18" i="5"/>
  <c r="B18" i="5"/>
  <c r="F18" i="5"/>
  <c r="B12" i="5" s="1"/>
  <c r="AF8" i="4"/>
  <c r="AF9" i="4" s="1"/>
  <c r="AH8" i="4"/>
  <c r="AH9" i="4" s="1"/>
  <c r="D19" i="5" l="1"/>
  <c r="D20" i="5" s="1"/>
  <c r="B19" i="5"/>
  <c r="B24" i="5"/>
  <c r="D24" i="5"/>
  <c r="D25" i="5" s="1"/>
  <c r="H24" i="5"/>
  <c r="H25" i="5" s="1"/>
  <c r="J19" i="5"/>
  <c r="H19" i="5"/>
  <c r="H20" i="5" s="1"/>
  <c r="F13" i="5"/>
  <c r="B7" i="5" s="1"/>
  <c r="H13" i="5"/>
  <c r="B13" i="5"/>
  <c r="D13" i="5"/>
  <c r="P1" i="5" s="1"/>
  <c r="H16" i="1"/>
  <c r="I6" i="1"/>
  <c r="I4" i="1"/>
  <c r="I5" i="1"/>
  <c r="I3" i="1"/>
  <c r="G16" i="2"/>
  <c r="D14" i="5" l="1"/>
  <c r="D15" i="5" s="1"/>
  <c r="B14" i="5"/>
  <c r="H14" i="5"/>
  <c r="H15" i="5" s="1"/>
  <c r="J14" i="5"/>
  <c r="H8" i="5"/>
  <c r="F8" i="5"/>
  <c r="B3" i="5" s="1"/>
  <c r="B8" i="5"/>
  <c r="D8" i="5"/>
  <c r="D9" i="5" l="1"/>
  <c r="D10" i="5" s="1"/>
  <c r="L1" i="5" s="1"/>
  <c r="B9" i="5"/>
  <c r="N1" i="5" s="1"/>
  <c r="J9" i="5"/>
  <c r="H9" i="5"/>
  <c r="H10" i="5" s="1"/>
  <c r="D4" i="5"/>
  <c r="F4" i="5"/>
  <c r="B4" i="5"/>
  <c r="H5" i="5" l="1"/>
  <c r="H1" i="5" s="1"/>
  <c r="F5" i="5"/>
  <c r="J5" i="5"/>
  <c r="J1" i="5" s="1"/>
</calcChain>
</file>

<file path=xl/sharedStrings.xml><?xml version="1.0" encoding="utf-8"?>
<sst xmlns="http://schemas.openxmlformats.org/spreadsheetml/2006/main" count="193" uniqueCount="80">
  <si>
    <t>Quantum Ring</t>
  </si>
  <si>
    <t>Crystaltine Block</t>
  </si>
  <si>
    <t>Sky Stone Block</t>
  </si>
  <si>
    <t>Energy Acceptor</t>
  </si>
  <si>
    <t>Block of Fluix</t>
  </si>
  <si>
    <t>Vibrant Quartz Glass</t>
  </si>
  <si>
    <t>Per 1</t>
  </si>
  <si>
    <t>Ext.</t>
  </si>
  <si>
    <t>Qty:</t>
  </si>
  <si>
    <t>ME Controller</t>
  </si>
  <si>
    <t>Steel Casing</t>
  </si>
  <si>
    <t>Black Plastic Block</t>
  </si>
  <si>
    <t>Block of Steel</t>
  </si>
  <si>
    <t>Block of Osmium</t>
  </si>
  <si>
    <t>Ender Star</t>
  </si>
  <si>
    <t>Quantity:</t>
  </si>
  <si>
    <t>Compact Craft Requirements</t>
  </si>
  <si>
    <t>Base Component Analysis</t>
  </si>
  <si>
    <t>Iron Ingot</t>
  </si>
  <si>
    <t>Item</t>
  </si>
  <si>
    <t>EMC</t>
  </si>
  <si>
    <t>Essence</t>
  </si>
  <si>
    <t>EMC Ext.</t>
  </si>
  <si>
    <t>Essence Ext.</t>
  </si>
  <si>
    <t>Qty Needed</t>
  </si>
  <si>
    <t>Gold Ingot</t>
  </si>
  <si>
    <t>Ext. Quantity</t>
  </si>
  <si>
    <t>Diamond</t>
  </si>
  <si>
    <t>Silicon</t>
  </si>
  <si>
    <t>Certus Quartz</t>
  </si>
  <si>
    <t>Fluix Crystal</t>
  </si>
  <si>
    <t>Sand</t>
  </si>
  <si>
    <t>Redstone</t>
  </si>
  <si>
    <t>Glowstone</t>
  </si>
  <si>
    <t>Wool</t>
  </si>
  <si>
    <t>EMC Required</t>
  </si>
  <si>
    <t>Essence per Craft</t>
  </si>
  <si>
    <t>Output per Craft</t>
  </si>
  <si>
    <t>Essence/Item</t>
  </si>
  <si>
    <t>EMC/Item</t>
  </si>
  <si>
    <t>Fluix Block</t>
  </si>
  <si>
    <t>Logic Processor</t>
  </si>
  <si>
    <t>Engineering Processor</t>
  </si>
  <si>
    <t>Energy Cell</t>
  </si>
  <si>
    <t>Fluix ME Dense Smart Cable</t>
  </si>
  <si>
    <t>Fluix Dust</t>
  </si>
  <si>
    <t>Quartz Glass</t>
  </si>
  <si>
    <t>Fluix</t>
  </si>
  <si>
    <t>Glass</t>
  </si>
  <si>
    <t>Fluix ME Dense Covered Cable</t>
  </si>
  <si>
    <t>Fluix ME Covered Cable</t>
  </si>
  <si>
    <t>Fluix ME Glass Cable</t>
  </si>
  <si>
    <t>Quartz Fibre</t>
  </si>
  <si>
    <t>Certus Dust</t>
  </si>
  <si>
    <t>Crystaltine Ingot</t>
  </si>
  <si>
    <t>Lapis Lazuli</t>
  </si>
  <si>
    <t>Nether Star</t>
  </si>
  <si>
    <t>Sky Stone</t>
  </si>
  <si>
    <t>16m Storage Component</t>
  </si>
  <si>
    <t>1k Storage Component</t>
  </si>
  <si>
    <t>Redstone Dust</t>
  </si>
  <si>
    <t>4k Storage Component</t>
  </si>
  <si>
    <t>Calculation Processor</t>
  </si>
  <si>
    <t>16k Storage Component</t>
  </si>
  <si>
    <t>Glowstone Dust</t>
  </si>
  <si>
    <t>64k Storage Component</t>
  </si>
  <si>
    <t>Quarts Glass</t>
  </si>
  <si>
    <t>256k Storage Component</t>
  </si>
  <si>
    <t>1M Storage Component</t>
  </si>
  <si>
    <t>4M Storage Component</t>
  </si>
  <si>
    <t>16M Storage Component</t>
  </si>
  <si>
    <t>Charged Certus Quartz</t>
  </si>
  <si>
    <t>Using the LazierAe2 Etcher</t>
  </si>
  <si>
    <t>Purified Certus Quartz</t>
  </si>
  <si>
    <t>Total Redstone Dust</t>
  </si>
  <si>
    <t>Total Silicon</t>
  </si>
  <si>
    <t>Total Sand</t>
  </si>
  <si>
    <t>Certus Quartz Dust</t>
  </si>
  <si>
    <t>Total Certus Quartz Dust</t>
  </si>
  <si>
    <t>Total Glowstone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</si>
</sst>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6" fillId="4" borderId="0" applyNumberFormat="0" applyBorder="0" applyAlignment="0" applyProtection="0"/>
    <xf numFmtId="0" fontId="7" fillId="5" borderId="1" applyNumberFormat="0" applyAlignment="0" applyProtection="0"/>
  </cellStyleXfs>
  <cellXfs count="54">
    <xf numFmtId="0" fontId="0" fillId="0" borderId="0" xfId="0"/>
    <xf numFmtId="0" fontId="3" fillId="3" borderId="1" xfId="3"/>
    <xf numFmtId="0" fontId="4" fillId="0" borderId="0" xfId="0" applyFont="1" applyAlignment="1"/>
    <xf numFmtId="0" fontId="4" fillId="0" borderId="0" xfId="0" applyFont="1"/>
    <xf numFmtId="165" fontId="0" fillId="0" borderId="0" xfId="1" applyNumberFormat="1" applyFont="1"/>
    <xf numFmtId="164" fontId="0" fillId="0" borderId="0" xfId="1" applyNumberFormat="1" applyFont="1"/>
    <xf numFmtId="165" fontId="4" fillId="0" borderId="0" xfId="0" applyNumberFormat="1" applyFont="1" applyAlignment="1"/>
    <xf numFmtId="0" fontId="0" fillId="0" borderId="0" xfId="0" applyBorder="1"/>
    <xf numFmtId="0" fontId="2" fillId="2" borderId="0" xfId="2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2" applyBorder="1"/>
    <xf numFmtId="0" fontId="0" fillId="0" borderId="6" xfId="0" applyBorder="1"/>
    <xf numFmtId="0" fontId="2" fillId="2" borderId="6" xfId="2" applyBorder="1"/>
    <xf numFmtId="0" fontId="0" fillId="0" borderId="7" xfId="0" applyBorder="1"/>
    <xf numFmtId="0" fontId="2" fillId="2" borderId="8" xfId="2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2" borderId="14" xfId="2" applyBorder="1"/>
    <xf numFmtId="0" fontId="0" fillId="0" borderId="15" xfId="0" applyBorder="1"/>
    <xf numFmtId="0" fontId="2" fillId="2" borderId="15" xfId="2" applyBorder="1"/>
    <xf numFmtId="0" fontId="0" fillId="0" borderId="16" xfId="0" applyBorder="1"/>
    <xf numFmtId="0" fontId="2" fillId="2" borderId="12" xfId="2" applyBorder="1"/>
    <xf numFmtId="0" fontId="0" fillId="0" borderId="17" xfId="0" applyBorder="1"/>
    <xf numFmtId="0" fontId="0" fillId="0" borderId="14" xfId="0" applyBorder="1"/>
    <xf numFmtId="0" fontId="0" fillId="0" borderId="18" xfId="0" applyBorder="1"/>
    <xf numFmtId="0" fontId="0" fillId="0" borderId="0" xfId="0" applyFill="1" applyBorder="1"/>
    <xf numFmtId="0" fontId="0" fillId="0" borderId="16" xfId="0" applyFill="1" applyBorder="1"/>
    <xf numFmtId="41" fontId="0" fillId="0" borderId="0" xfId="0" applyNumberFormat="1"/>
    <xf numFmtId="41" fontId="0" fillId="0" borderId="0" xfId="0" applyNumberForma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7" fillId="5" borderId="1" xfId="5" applyNumberFormat="1"/>
    <xf numFmtId="3" fontId="0" fillId="0" borderId="0" xfId="0" applyNumberFormat="1"/>
    <xf numFmtId="3" fontId="6" fillId="4" borderId="0" xfId="4" applyNumberFormat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2" fillId="2" borderId="5" xfId="2" applyNumberFormat="1" applyBorder="1"/>
    <xf numFmtId="3" fontId="0" fillId="0" borderId="6" xfId="0" applyNumberFormat="1" applyBorder="1"/>
    <xf numFmtId="3" fontId="2" fillId="2" borderId="6" xfId="2" applyNumberFormat="1" applyBorder="1"/>
    <xf numFmtId="3" fontId="0" fillId="0" borderId="7" xfId="0" applyNumberFormat="1" applyBorder="1"/>
    <xf numFmtId="3" fontId="0" fillId="0" borderId="20" xfId="0" applyNumberFormat="1" applyBorder="1"/>
    <xf numFmtId="3" fontId="2" fillId="2" borderId="0" xfId="2" applyNumberFormat="1" applyBorder="1"/>
    <xf numFmtId="3" fontId="2" fillId="2" borderId="8" xfId="2" applyNumberFormat="1" applyBorder="1"/>
    <xf numFmtId="3" fontId="0" fillId="0" borderId="0" xfId="0" applyNumberFormat="1" applyBorder="1"/>
    <xf numFmtId="3" fontId="0" fillId="0" borderId="19" xfId="0" applyNumberFormat="1" applyBorder="1"/>
    <xf numFmtId="3" fontId="0" fillId="0" borderId="5" xfId="0" applyNumberFormat="1" applyBorder="1"/>
  </cellXfs>
  <cellStyles count="6">
    <cellStyle name="Bad" xfId="4" builtinId="27"/>
    <cellStyle name="Calculation" xfId="5" builtinId="22"/>
    <cellStyle name="Comma" xfId="1" builtinId="3"/>
    <cellStyle name="Good" xfId="2" builtinId="26"/>
    <cellStyle name="Input" xfId="3" builtinId="20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A8427A-8DFD-45B3-811B-F75F31112DFD}" name="Table1" displayName="Table1" ref="A1:E4" totalsRowShown="0" headerRowDxfId="0">
  <autoFilter ref="A1:E4" xr:uid="{00A8427A-8DFD-45B3-811B-F75F31112DFD}"/>
  <tableColumns count="5">
    <tableColumn id="1" xr3:uid="{E3CB36EC-C145-4D76-A298-4EADA2031DCB}" name="Item"/>
    <tableColumn id="6" xr3:uid="{C9ED2A50-3AF8-46FA-831D-48BE660217B2}" name="EMC/Item"/>
    <tableColumn id="2" xr3:uid="{037E0A52-7AAD-4664-8FF5-101F8BB81208}" name="Essence per Craft"/>
    <tableColumn id="3" xr3:uid="{726E4224-D855-47C4-A8F0-4E2FFE0E7954}" name="Output per Craft"/>
    <tableColumn id="4" xr3:uid="{BE16AD38-E9B8-4BD5-BD97-0EFFCE3F5DDA}" name="Essence/Item">
      <calculatedColumnFormula>ROUND(Table1[[#This Row],[Essence per Craft]]/Table1[[#This Row],[Output per Craft]],4)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9BE0-ECA0-4BF8-A6C6-8D8E298FD89C}">
  <dimension ref="A1:G24"/>
  <sheetViews>
    <sheetView workbookViewId="0">
      <selection activeCell="B2" sqref="B2"/>
    </sheetView>
  </sheetViews>
  <sheetFormatPr defaultRowHeight="15" x14ac:dyDescent="0.25"/>
  <cols>
    <col min="1" max="9" width="16.7109375" customWidth="1"/>
  </cols>
  <sheetData>
    <row r="1" spans="1:7" x14ac:dyDescent="0.25">
      <c r="A1" t="s">
        <v>15</v>
      </c>
      <c r="B1" s="1">
        <v>1</v>
      </c>
    </row>
    <row r="3" spans="1:7" x14ac:dyDescent="0.25">
      <c r="A3" s="36" t="s">
        <v>16</v>
      </c>
      <c r="B3" s="36"/>
      <c r="C3" s="36"/>
      <c r="D3" s="36"/>
      <c r="E3" s="2" t="s">
        <v>35</v>
      </c>
      <c r="F3" s="6">
        <f>SUM(E15:E24)</f>
        <v>839592</v>
      </c>
    </row>
    <row r="4" spans="1:7" x14ac:dyDescent="0.25">
      <c r="B4" t="s">
        <v>6</v>
      </c>
      <c r="C4" t="s">
        <v>7</v>
      </c>
    </row>
    <row r="5" spans="1:7" x14ac:dyDescent="0.25">
      <c r="A5" t="s">
        <v>0</v>
      </c>
      <c r="B5">
        <v>54</v>
      </c>
      <c r="C5">
        <f t="shared" ref="C5:C10" si="0">B5*$B$1</f>
        <v>54</v>
      </c>
    </row>
    <row r="6" spans="1:7" x14ac:dyDescent="0.25">
      <c r="A6" t="s">
        <v>1</v>
      </c>
      <c r="B6">
        <v>44</v>
      </c>
      <c r="C6">
        <f t="shared" si="0"/>
        <v>44</v>
      </c>
    </row>
    <row r="7" spans="1:7" x14ac:dyDescent="0.25">
      <c r="A7" t="s">
        <v>2</v>
      </c>
      <c r="B7">
        <v>20</v>
      </c>
      <c r="C7">
        <f t="shared" si="0"/>
        <v>20</v>
      </c>
    </row>
    <row r="8" spans="1:7" x14ac:dyDescent="0.25">
      <c r="A8" t="s">
        <v>3</v>
      </c>
      <c r="B8">
        <v>6</v>
      </c>
      <c r="C8">
        <f t="shared" si="0"/>
        <v>6</v>
      </c>
    </row>
    <row r="9" spans="1:7" x14ac:dyDescent="0.25">
      <c r="A9" t="s">
        <v>4</v>
      </c>
      <c r="B9">
        <v>1</v>
      </c>
      <c r="C9">
        <f t="shared" si="0"/>
        <v>1</v>
      </c>
    </row>
    <row r="10" spans="1:7" x14ac:dyDescent="0.25">
      <c r="A10" t="s">
        <v>5</v>
      </c>
      <c r="B10">
        <v>1</v>
      </c>
      <c r="C10">
        <f t="shared" si="0"/>
        <v>1</v>
      </c>
    </row>
    <row r="12" spans="1:7" x14ac:dyDescent="0.25">
      <c r="A12" s="36" t="s">
        <v>17</v>
      </c>
      <c r="B12" s="36"/>
      <c r="C12" s="36"/>
      <c r="D12" s="36"/>
    </row>
    <row r="13" spans="1:7" x14ac:dyDescent="0.25">
      <c r="A13" s="37" t="s">
        <v>0</v>
      </c>
      <c r="B13" s="37"/>
      <c r="C13" s="37"/>
      <c r="D13" s="37"/>
    </row>
    <row r="14" spans="1:7" x14ac:dyDescent="0.25">
      <c r="A14" t="s">
        <v>19</v>
      </c>
      <c r="B14" t="s">
        <v>24</v>
      </c>
      <c r="C14" t="s">
        <v>26</v>
      </c>
      <c r="D14" t="s">
        <v>20</v>
      </c>
      <c r="E14" t="s">
        <v>22</v>
      </c>
      <c r="F14" t="s">
        <v>21</v>
      </c>
      <c r="G14" t="s">
        <v>23</v>
      </c>
    </row>
    <row r="15" spans="1:7" x14ac:dyDescent="0.25">
      <c r="A15" t="s">
        <v>18</v>
      </c>
      <c r="B15" s="4">
        <v>4</v>
      </c>
      <c r="C15" s="4">
        <f>B15*$B$1*$B$5</f>
        <v>216</v>
      </c>
      <c r="D15" s="4">
        <v>256</v>
      </c>
      <c r="E15" s="4">
        <f t="shared" ref="E15:E24" si="1">C15*D15</f>
        <v>55296</v>
      </c>
      <c r="F15" s="5">
        <f>8/6</f>
        <v>1.3333333333333333</v>
      </c>
      <c r="G15" s="4">
        <f t="shared" ref="G15:G24" si="2">C15*F15</f>
        <v>288</v>
      </c>
    </row>
    <row r="16" spans="1:7" x14ac:dyDescent="0.25">
      <c r="A16" t="s">
        <v>25</v>
      </c>
      <c r="B16" s="4">
        <v>2</v>
      </c>
      <c r="C16" s="4">
        <f t="shared" ref="C16:C24" si="3">B16*$B$1*$B$5</f>
        <v>108</v>
      </c>
      <c r="D16" s="4">
        <v>2048</v>
      </c>
      <c r="E16" s="4">
        <f t="shared" si="1"/>
        <v>221184</v>
      </c>
      <c r="F16" s="5">
        <f>8/4</f>
        <v>2</v>
      </c>
      <c r="G16" s="4">
        <f t="shared" si="2"/>
        <v>216</v>
      </c>
    </row>
    <row r="17" spans="1:7" x14ac:dyDescent="0.25">
      <c r="A17" t="s">
        <v>27</v>
      </c>
      <c r="B17" s="4">
        <v>1</v>
      </c>
      <c r="C17" s="4">
        <f t="shared" si="3"/>
        <v>54</v>
      </c>
      <c r="D17" s="4">
        <v>8182</v>
      </c>
      <c r="E17" s="4">
        <f t="shared" si="1"/>
        <v>441828</v>
      </c>
      <c r="F17" s="5">
        <f>9/1</f>
        <v>9</v>
      </c>
      <c r="G17" s="4">
        <f t="shared" si="2"/>
        <v>486</v>
      </c>
    </row>
    <row r="18" spans="1:7" x14ac:dyDescent="0.25">
      <c r="A18" t="s">
        <v>28</v>
      </c>
      <c r="B18" s="4">
        <v>3</v>
      </c>
      <c r="C18" s="4">
        <f t="shared" si="3"/>
        <v>162</v>
      </c>
      <c r="D18" s="4">
        <v>0</v>
      </c>
      <c r="E18" s="4">
        <f t="shared" si="1"/>
        <v>0</v>
      </c>
      <c r="F18" s="5">
        <f>3/8</f>
        <v>0.375</v>
      </c>
      <c r="G18" s="4">
        <f t="shared" si="2"/>
        <v>60.75</v>
      </c>
    </row>
    <row r="19" spans="1:7" x14ac:dyDescent="0.25">
      <c r="A19" t="s">
        <v>29</v>
      </c>
      <c r="B19" s="4">
        <f>4+(5/4)+1</f>
        <v>6.25</v>
      </c>
      <c r="C19" s="4">
        <f t="shared" si="3"/>
        <v>337.5</v>
      </c>
      <c r="D19" s="4">
        <v>256</v>
      </c>
      <c r="E19" s="4">
        <f t="shared" si="1"/>
        <v>86400</v>
      </c>
      <c r="F19" s="5">
        <f>8/6</f>
        <v>1.3333333333333333</v>
      </c>
      <c r="G19" s="4">
        <f t="shared" si="2"/>
        <v>450</v>
      </c>
    </row>
    <row r="20" spans="1:7" x14ac:dyDescent="0.25">
      <c r="A20" t="s">
        <v>30</v>
      </c>
      <c r="B20" s="4">
        <v>6</v>
      </c>
      <c r="C20" s="4">
        <f t="shared" si="3"/>
        <v>324</v>
      </c>
      <c r="D20" s="4">
        <v>0</v>
      </c>
      <c r="E20" s="4">
        <f t="shared" si="1"/>
        <v>0</v>
      </c>
      <c r="F20" s="5">
        <f>8/6</f>
        <v>1.3333333333333333</v>
      </c>
      <c r="G20" s="4">
        <f t="shared" si="2"/>
        <v>432</v>
      </c>
    </row>
    <row r="21" spans="1:7" x14ac:dyDescent="0.25">
      <c r="A21" t="s">
        <v>31</v>
      </c>
      <c r="B21" s="4">
        <v>6</v>
      </c>
      <c r="C21" s="4">
        <f t="shared" si="3"/>
        <v>324</v>
      </c>
      <c r="D21" s="4">
        <v>1</v>
      </c>
      <c r="E21" s="4">
        <f t="shared" si="1"/>
        <v>324</v>
      </c>
      <c r="F21" s="5">
        <v>0</v>
      </c>
      <c r="G21" s="4">
        <f t="shared" si="2"/>
        <v>0</v>
      </c>
    </row>
    <row r="22" spans="1:7" x14ac:dyDescent="0.25">
      <c r="A22" t="s">
        <v>32</v>
      </c>
      <c r="B22" s="4">
        <v>1</v>
      </c>
      <c r="C22" s="4">
        <f t="shared" si="3"/>
        <v>54</v>
      </c>
      <c r="D22" s="4">
        <v>64</v>
      </c>
      <c r="E22" s="4">
        <f t="shared" si="1"/>
        <v>3456</v>
      </c>
      <c r="F22" s="5">
        <f>8/12</f>
        <v>0.66666666666666663</v>
      </c>
      <c r="G22" s="4">
        <f t="shared" si="2"/>
        <v>36</v>
      </c>
    </row>
    <row r="23" spans="1:7" x14ac:dyDescent="0.25">
      <c r="A23" t="s">
        <v>33</v>
      </c>
      <c r="B23" s="4">
        <v>1</v>
      </c>
      <c r="C23" s="4">
        <f t="shared" si="3"/>
        <v>54</v>
      </c>
      <c r="D23" s="4">
        <v>384</v>
      </c>
      <c r="E23" s="4">
        <f t="shared" si="1"/>
        <v>20736</v>
      </c>
      <c r="F23" s="5">
        <f>8/12</f>
        <v>0.66666666666666663</v>
      </c>
      <c r="G23" s="4">
        <f t="shared" si="2"/>
        <v>36</v>
      </c>
    </row>
    <row r="24" spans="1:7" x14ac:dyDescent="0.25">
      <c r="A24" t="s">
        <v>34</v>
      </c>
      <c r="B24" s="4">
        <v>4</v>
      </c>
      <c r="C24" s="4">
        <f t="shared" si="3"/>
        <v>216</v>
      </c>
      <c r="D24" s="4">
        <v>48</v>
      </c>
      <c r="E24" s="4">
        <f t="shared" si="1"/>
        <v>10368</v>
      </c>
      <c r="F24" s="5">
        <f>8/6</f>
        <v>1.3333333333333333</v>
      </c>
      <c r="G24" s="4">
        <f t="shared" si="2"/>
        <v>288</v>
      </c>
    </row>
  </sheetData>
  <mergeCells count="3">
    <mergeCell ref="A3:D3"/>
    <mergeCell ref="A12:D12"/>
    <mergeCell ref="A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F51F3-3F78-4BDC-A353-26EDF8D65C66}">
  <dimension ref="A1:AH30"/>
  <sheetViews>
    <sheetView topLeftCell="A6" zoomScale="90" zoomScaleNormal="90" workbookViewId="0">
      <selection activeCell="G36" sqref="G36"/>
    </sheetView>
  </sheetViews>
  <sheetFormatPr defaultColWidth="13.85546875" defaultRowHeight="15" x14ac:dyDescent="0.25"/>
  <cols>
    <col min="1" max="1" width="19.7109375" bestFit="1" customWidth="1"/>
    <col min="2" max="2" width="7.7109375" bestFit="1" customWidth="1"/>
    <col min="3" max="3" width="14.85546875" bestFit="1" customWidth="1"/>
    <col min="4" max="4" width="7.7109375" bestFit="1" customWidth="1"/>
    <col min="5" max="5" width="13.140625" bestFit="1" customWidth="1"/>
    <col min="6" max="6" width="7.7109375" bestFit="1" customWidth="1"/>
    <col min="7" max="7" width="9.7109375" bestFit="1" customWidth="1"/>
    <col min="8" max="8" width="7.7109375" bestFit="1" customWidth="1"/>
    <col min="9" max="9" width="20.85546875" bestFit="1" customWidth="1"/>
    <col min="10" max="10" width="7.7109375" bestFit="1" customWidth="1"/>
    <col min="11" max="11" width="9.42578125" bestFit="1" customWidth="1"/>
    <col min="12" max="12" width="6.7109375" bestFit="1" customWidth="1"/>
    <col min="13" max="13" width="7.140625" bestFit="1" customWidth="1"/>
    <col min="14" max="14" width="6.7109375" bestFit="1" customWidth="1"/>
    <col min="15" max="15" width="13.140625" bestFit="1" customWidth="1"/>
    <col min="16" max="16" width="7.7109375" bestFit="1" customWidth="1"/>
    <col min="17" max="17" width="9.85546875" bestFit="1" customWidth="1"/>
    <col min="18" max="18" width="7.7109375" bestFit="1" customWidth="1"/>
    <col min="19" max="19" width="13.140625" bestFit="1" customWidth="1"/>
    <col min="20" max="20" width="6.7109375" bestFit="1" customWidth="1"/>
    <col min="21" max="21" width="6" bestFit="1" customWidth="1"/>
    <col min="22" max="22" width="6.7109375" bestFit="1" customWidth="1"/>
    <col min="23" max="23" width="26" bestFit="1" customWidth="1"/>
    <col min="24" max="24" width="6.7109375" bestFit="1" customWidth="1"/>
    <col min="25" max="25" width="10.5703125" bestFit="1" customWidth="1"/>
    <col min="26" max="26" width="6.7109375" bestFit="1" customWidth="1"/>
    <col min="27" max="27" width="28.28515625" bestFit="1" customWidth="1"/>
    <col min="28" max="28" width="7.7109375" bestFit="1" customWidth="1"/>
    <col min="29" max="29" width="19.7109375" bestFit="1" customWidth="1"/>
    <col min="30" max="30" width="7.7109375" bestFit="1" customWidth="1"/>
    <col min="31" max="31" width="11.85546875" bestFit="1" customWidth="1"/>
    <col min="32" max="32" width="7.7109375" bestFit="1" customWidth="1"/>
    <col min="33" max="33" width="13.140625" bestFit="1" customWidth="1"/>
    <col min="34" max="34" width="6.7109375" bestFit="1" customWidth="1"/>
    <col min="35" max="35" width="19.140625" bestFit="1" customWidth="1"/>
    <col min="36" max="36" width="2" bestFit="1" customWidth="1"/>
  </cols>
  <sheetData>
    <row r="1" spans="1:34" x14ac:dyDescent="0.25">
      <c r="A1" t="s">
        <v>9</v>
      </c>
      <c r="B1">
        <v>1</v>
      </c>
    </row>
    <row r="2" spans="1:34" ht="15.75" thickBot="1" x14ac:dyDescent="0.3"/>
    <row r="3" spans="1:34" x14ac:dyDescent="0.25">
      <c r="A3" s="19" t="s">
        <v>0</v>
      </c>
      <c r="B3" s="20">
        <f>B1*54</f>
        <v>54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1"/>
    </row>
    <row r="4" spans="1:34" x14ac:dyDescent="0.25">
      <c r="A4" s="28" t="s">
        <v>18</v>
      </c>
      <c r="B4" s="7">
        <f>4*B3</f>
        <v>216</v>
      </c>
      <c r="C4" s="9" t="s">
        <v>41</v>
      </c>
      <c r="D4" s="10">
        <f>2*B3</f>
        <v>108</v>
      </c>
      <c r="E4" s="10"/>
      <c r="F4" s="10"/>
      <c r="G4" s="10"/>
      <c r="H4" s="11"/>
      <c r="I4" s="9" t="s">
        <v>42</v>
      </c>
      <c r="J4" s="10">
        <f>1*B3</f>
        <v>54</v>
      </c>
      <c r="K4" s="10"/>
      <c r="L4" s="10"/>
      <c r="M4" s="10"/>
      <c r="N4" s="10"/>
      <c r="O4" s="9" t="s">
        <v>43</v>
      </c>
      <c r="P4" s="10">
        <f>B3*1</f>
        <v>54</v>
      </c>
      <c r="Q4" s="10"/>
      <c r="R4" s="10"/>
      <c r="S4" s="10"/>
      <c r="T4" s="10"/>
      <c r="U4" s="10"/>
      <c r="V4" s="10"/>
      <c r="W4" s="9" t="s">
        <v>44</v>
      </c>
      <c r="X4" s="10">
        <f>1*B3</f>
        <v>54</v>
      </c>
      <c r="Y4" s="10"/>
      <c r="Z4" s="10"/>
      <c r="AA4" s="10"/>
      <c r="AB4" s="10"/>
      <c r="AC4" s="10"/>
      <c r="AD4" s="10"/>
      <c r="AE4" s="10"/>
      <c r="AF4" s="10"/>
      <c r="AG4" s="10"/>
      <c r="AH4" s="29"/>
    </row>
    <row r="5" spans="1:34" x14ac:dyDescent="0.25">
      <c r="A5" s="22"/>
      <c r="B5" s="7"/>
      <c r="C5" s="12" t="s">
        <v>25</v>
      </c>
      <c r="D5" s="13">
        <f>D4*1</f>
        <v>108</v>
      </c>
      <c r="E5" s="14" t="s">
        <v>32</v>
      </c>
      <c r="F5" s="13">
        <f>D4*1</f>
        <v>108</v>
      </c>
      <c r="G5" s="14" t="s">
        <v>28</v>
      </c>
      <c r="H5" s="15">
        <f>D4*1</f>
        <v>108</v>
      </c>
      <c r="I5" s="12" t="s">
        <v>27</v>
      </c>
      <c r="J5" s="13">
        <f>J4*1</f>
        <v>54</v>
      </c>
      <c r="K5" s="14" t="s">
        <v>32</v>
      </c>
      <c r="L5" s="13">
        <f>J4*1</f>
        <v>54</v>
      </c>
      <c r="M5" s="14" t="s">
        <v>28</v>
      </c>
      <c r="N5" s="13">
        <f>J4*1</f>
        <v>54</v>
      </c>
      <c r="O5" s="16" t="s">
        <v>29</v>
      </c>
      <c r="P5" s="7">
        <f>4*P4</f>
        <v>216</v>
      </c>
      <c r="Q5" s="7" t="s">
        <v>45</v>
      </c>
      <c r="R5" s="7">
        <f>P4*4</f>
        <v>216</v>
      </c>
      <c r="S5" s="7" t="s">
        <v>46</v>
      </c>
      <c r="T5" s="7">
        <f>P4*1</f>
        <v>54</v>
      </c>
      <c r="U5" s="7"/>
      <c r="V5" s="7"/>
      <c r="W5" s="16" t="s">
        <v>32</v>
      </c>
      <c r="X5" s="7">
        <f>1*X4</f>
        <v>54</v>
      </c>
      <c r="Y5" s="8" t="s">
        <v>33</v>
      </c>
      <c r="Z5" s="7">
        <f>X4*1</f>
        <v>54</v>
      </c>
      <c r="AA5" s="7" t="s">
        <v>49</v>
      </c>
      <c r="AB5" s="7">
        <f>X4*1</f>
        <v>54</v>
      </c>
      <c r="AC5" s="7"/>
      <c r="AD5" s="7"/>
      <c r="AE5" s="7"/>
      <c r="AF5" s="7"/>
      <c r="AG5" s="7"/>
      <c r="AH5" s="23"/>
    </row>
    <row r="6" spans="1:34" x14ac:dyDescent="0.25">
      <c r="A6" s="2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17"/>
      <c r="P6" s="7"/>
      <c r="Q6" s="8" t="s">
        <v>47</v>
      </c>
      <c r="R6" s="7">
        <f>R5*1</f>
        <v>216</v>
      </c>
      <c r="S6" s="8" t="s">
        <v>29</v>
      </c>
      <c r="T6" s="7">
        <f>5/4*T5</f>
        <v>67.5</v>
      </c>
      <c r="U6" s="7" t="s">
        <v>48</v>
      </c>
      <c r="V6" s="7">
        <f>4/4*P4</f>
        <v>54</v>
      </c>
      <c r="W6" s="17"/>
      <c r="X6" s="7"/>
      <c r="Y6" s="7"/>
      <c r="Z6" s="7"/>
      <c r="AA6" s="7" t="s">
        <v>50</v>
      </c>
      <c r="AB6" s="7">
        <f>AB5*4</f>
        <v>216</v>
      </c>
      <c r="AC6" s="7"/>
      <c r="AD6" s="7"/>
      <c r="AE6" s="7"/>
      <c r="AF6" s="7"/>
      <c r="AG6" s="7"/>
      <c r="AH6" s="23"/>
    </row>
    <row r="7" spans="1:3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8"/>
      <c r="P7" s="13"/>
      <c r="Q7" s="13"/>
      <c r="R7" s="13"/>
      <c r="S7" s="13"/>
      <c r="T7" s="13"/>
      <c r="U7" s="14" t="s">
        <v>31</v>
      </c>
      <c r="V7" s="13">
        <f>1*V6</f>
        <v>54</v>
      </c>
      <c r="W7" s="17"/>
      <c r="X7" s="7"/>
      <c r="Y7" s="7"/>
      <c r="Z7" s="7"/>
      <c r="AA7" s="8" t="s">
        <v>34</v>
      </c>
      <c r="AB7" s="7">
        <f>AB6*1</f>
        <v>216</v>
      </c>
      <c r="AC7" s="7" t="s">
        <v>51</v>
      </c>
      <c r="AD7" s="7">
        <f>AB6*1</f>
        <v>216</v>
      </c>
      <c r="AE7" s="7" t="s">
        <v>52</v>
      </c>
      <c r="AF7" s="7">
        <f>1/4*AB6</f>
        <v>54</v>
      </c>
      <c r="AG7" s="7"/>
      <c r="AH7" s="23"/>
    </row>
    <row r="8" spans="1:34" x14ac:dyDescent="0.25">
      <c r="A8" s="22"/>
      <c r="B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17"/>
      <c r="X8" s="7"/>
      <c r="Y8" s="7"/>
      <c r="Z8" s="7"/>
      <c r="AA8" s="7"/>
      <c r="AB8" s="7"/>
      <c r="AC8" s="8" t="s">
        <v>47</v>
      </c>
      <c r="AD8" s="7">
        <f>2/4*AD7</f>
        <v>108</v>
      </c>
      <c r="AE8" s="7" t="s">
        <v>48</v>
      </c>
      <c r="AF8" s="7">
        <f>6/3*AF7</f>
        <v>108</v>
      </c>
      <c r="AG8" s="7" t="s">
        <v>53</v>
      </c>
      <c r="AH8" s="23">
        <f>AF7*1</f>
        <v>54</v>
      </c>
    </row>
    <row r="9" spans="1:34" ht="15.75" thickBot="1" x14ac:dyDescent="0.3">
      <c r="A9" s="30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31"/>
      <c r="X9" s="25"/>
      <c r="Y9" s="25"/>
      <c r="Z9" s="25"/>
      <c r="AA9" s="25"/>
      <c r="AB9" s="25"/>
      <c r="AC9" s="25"/>
      <c r="AD9" s="25"/>
      <c r="AE9" s="26" t="s">
        <v>31</v>
      </c>
      <c r="AF9" s="25">
        <f>1*AF8</f>
        <v>108</v>
      </c>
      <c r="AG9" s="26" t="s">
        <v>29</v>
      </c>
      <c r="AH9" s="27">
        <f>AH8*1</f>
        <v>54</v>
      </c>
    </row>
    <row r="10" spans="1:34" ht="15.75" thickBot="1" x14ac:dyDescent="0.3"/>
    <row r="11" spans="1:34" x14ac:dyDescent="0.25">
      <c r="A11" s="19" t="s">
        <v>1</v>
      </c>
      <c r="B11" s="20">
        <f>B1*44</f>
        <v>44</v>
      </c>
      <c r="C11" s="20"/>
      <c r="D11" s="20"/>
      <c r="E11" s="20"/>
      <c r="F11" s="20"/>
      <c r="G11" s="20"/>
      <c r="H11" s="20"/>
      <c r="I11" s="20"/>
      <c r="J11" s="21"/>
    </row>
    <row r="12" spans="1:34" x14ac:dyDescent="0.25">
      <c r="A12" s="22" t="s">
        <v>54</v>
      </c>
      <c r="B12" s="7">
        <f>B11*9</f>
        <v>396</v>
      </c>
      <c r="C12" s="7"/>
      <c r="D12" s="7"/>
      <c r="E12" s="7"/>
      <c r="F12" s="7"/>
      <c r="G12" s="7"/>
      <c r="H12" s="7"/>
      <c r="I12" s="7"/>
      <c r="J12" s="23"/>
    </row>
    <row r="13" spans="1:34" ht="15.75" thickBot="1" x14ac:dyDescent="0.3">
      <c r="A13" s="24" t="s">
        <v>27</v>
      </c>
      <c r="B13" s="25">
        <f>8/4*B12</f>
        <v>792</v>
      </c>
      <c r="C13" s="26" t="s">
        <v>55</v>
      </c>
      <c r="D13" s="25">
        <f>10/4*B12</f>
        <v>990</v>
      </c>
      <c r="E13" s="26" t="s">
        <v>25</v>
      </c>
      <c r="F13" s="25">
        <f>4/4*B12</f>
        <v>396</v>
      </c>
      <c r="G13" s="26" t="s">
        <v>18</v>
      </c>
      <c r="H13" s="25">
        <f>4/4*B12</f>
        <v>396</v>
      </c>
      <c r="I13" s="26" t="s">
        <v>56</v>
      </c>
      <c r="J13" s="27">
        <f>2/4*B12</f>
        <v>198</v>
      </c>
    </row>
    <row r="14" spans="1:34" ht="15.75" thickBot="1" x14ac:dyDescent="0.3"/>
    <row r="15" spans="1:34" x14ac:dyDescent="0.25">
      <c r="A15" s="19" t="s">
        <v>2</v>
      </c>
      <c r="B15" s="21">
        <f>B1*20</f>
        <v>20</v>
      </c>
    </row>
    <row r="16" spans="1:34" ht="15.75" thickBot="1" x14ac:dyDescent="0.3">
      <c r="A16" s="24" t="s">
        <v>57</v>
      </c>
      <c r="B16" s="33">
        <f>1*B15</f>
        <v>20</v>
      </c>
    </row>
    <row r="17" spans="1:8" ht="15.75" thickBot="1" x14ac:dyDescent="0.3"/>
    <row r="18" spans="1:8" x14ac:dyDescent="0.25">
      <c r="A18" s="19" t="s">
        <v>3</v>
      </c>
      <c r="B18" s="20">
        <f>B1*6</f>
        <v>6</v>
      </c>
      <c r="C18" s="20"/>
      <c r="D18" s="20"/>
      <c r="E18" s="20"/>
      <c r="F18" s="20"/>
      <c r="G18" s="20"/>
      <c r="H18" s="21"/>
    </row>
    <row r="19" spans="1:8" x14ac:dyDescent="0.25">
      <c r="A19" s="28" t="s">
        <v>18</v>
      </c>
      <c r="B19" s="32">
        <f>4*B18</f>
        <v>24</v>
      </c>
      <c r="C19" s="8" t="s">
        <v>47</v>
      </c>
      <c r="D19" s="7">
        <f>1*B18</f>
        <v>6</v>
      </c>
      <c r="E19" s="7" t="s">
        <v>46</v>
      </c>
      <c r="F19" s="7">
        <f>4*B18</f>
        <v>24</v>
      </c>
      <c r="G19" s="7"/>
      <c r="H19" s="23"/>
    </row>
    <row r="20" spans="1:8" x14ac:dyDescent="0.25">
      <c r="A20" s="22"/>
      <c r="B20" s="7"/>
      <c r="C20" s="7"/>
      <c r="D20" s="7"/>
      <c r="E20" s="8" t="s">
        <v>29</v>
      </c>
      <c r="F20" s="7">
        <f>5/4*F19</f>
        <v>30</v>
      </c>
      <c r="G20" s="7" t="s">
        <v>48</v>
      </c>
      <c r="H20" s="23">
        <f>4/4*F19</f>
        <v>24</v>
      </c>
    </row>
    <row r="21" spans="1:8" ht="15.75" thickBot="1" x14ac:dyDescent="0.3">
      <c r="A21" s="30"/>
      <c r="B21" s="25"/>
      <c r="C21" s="25"/>
      <c r="D21" s="25"/>
      <c r="E21" s="25"/>
      <c r="F21" s="25"/>
      <c r="G21" s="26" t="s">
        <v>31</v>
      </c>
      <c r="H21" s="27">
        <f>1*H20</f>
        <v>24</v>
      </c>
    </row>
    <row r="22" spans="1:8" ht="15.75" thickBot="1" x14ac:dyDescent="0.3"/>
    <row r="23" spans="1:8" x14ac:dyDescent="0.25">
      <c r="A23" s="19" t="s">
        <v>40</v>
      </c>
      <c r="B23" s="21">
        <f>B1*1</f>
        <v>1</v>
      </c>
    </row>
    <row r="24" spans="1:8" ht="15.75" thickBot="1" x14ac:dyDescent="0.3">
      <c r="A24" s="24" t="s">
        <v>47</v>
      </c>
      <c r="B24" s="27">
        <f>B23*4</f>
        <v>4</v>
      </c>
    </row>
    <row r="26" spans="1:8" ht="15.75" thickBot="1" x14ac:dyDescent="0.3"/>
    <row r="27" spans="1:8" x14ac:dyDescent="0.25">
      <c r="A27" s="19" t="s">
        <v>5</v>
      </c>
      <c r="B27" s="20">
        <f>B1*1</f>
        <v>1</v>
      </c>
      <c r="C27" s="20"/>
      <c r="D27" s="20"/>
      <c r="E27" s="20"/>
      <c r="F27" s="21"/>
    </row>
    <row r="28" spans="1:8" x14ac:dyDescent="0.25">
      <c r="A28" s="28" t="s">
        <v>33</v>
      </c>
      <c r="B28" s="32">
        <f>B27*2</f>
        <v>2</v>
      </c>
      <c r="C28" s="7" t="s">
        <v>46</v>
      </c>
      <c r="D28" s="7">
        <f>B27*1</f>
        <v>1</v>
      </c>
      <c r="E28" s="7"/>
      <c r="F28" s="23"/>
    </row>
    <row r="29" spans="1:8" x14ac:dyDescent="0.25">
      <c r="A29" s="22"/>
      <c r="B29" s="7"/>
      <c r="C29" s="8" t="s">
        <v>29</v>
      </c>
      <c r="D29" s="7">
        <f>5/4*D28</f>
        <v>1.25</v>
      </c>
      <c r="E29" s="7" t="s">
        <v>48</v>
      </c>
      <c r="F29" s="23">
        <f>4/4*D28</f>
        <v>1</v>
      </c>
    </row>
    <row r="30" spans="1:8" ht="15.75" thickBot="1" x14ac:dyDescent="0.3">
      <c r="A30" s="30"/>
      <c r="B30" s="25"/>
      <c r="C30" s="25"/>
      <c r="D30" s="25"/>
      <c r="E30" s="26" t="s">
        <v>31</v>
      </c>
      <c r="F30" s="27">
        <f>1*F29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02A0-78B7-4DA6-A080-4CA2533E0654}">
  <dimension ref="A1:E4"/>
  <sheetViews>
    <sheetView workbookViewId="0">
      <selection activeCell="A5" sqref="A5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3" width="18.5703125" bestFit="1" customWidth="1"/>
    <col min="4" max="4" width="17.85546875" bestFit="1" customWidth="1"/>
    <col min="5" max="5" width="15.42578125" bestFit="1" customWidth="1"/>
  </cols>
  <sheetData>
    <row r="1" spans="1:5" x14ac:dyDescent="0.25">
      <c r="A1" s="3" t="s">
        <v>19</v>
      </c>
      <c r="B1" s="3" t="s">
        <v>39</v>
      </c>
      <c r="C1" s="3" t="s">
        <v>36</v>
      </c>
      <c r="D1" s="3" t="s">
        <v>37</v>
      </c>
      <c r="E1" s="3" t="s">
        <v>38</v>
      </c>
    </row>
    <row r="2" spans="1:5" x14ac:dyDescent="0.25">
      <c r="A2" t="s">
        <v>18</v>
      </c>
      <c r="B2">
        <v>256</v>
      </c>
      <c r="C2">
        <v>8</v>
      </c>
      <c r="D2">
        <v>6</v>
      </c>
      <c r="E2">
        <f>ROUND(Table1[[#This Row],[Essence per Craft]]/Table1[[#This Row],[Output per Craft]],4)</f>
        <v>1.3332999999999999</v>
      </c>
    </row>
    <row r="3" spans="1:5" x14ac:dyDescent="0.25">
      <c r="A3" t="s">
        <v>25</v>
      </c>
      <c r="B3">
        <v>2048</v>
      </c>
      <c r="C3">
        <v>8</v>
      </c>
      <c r="D3">
        <v>4</v>
      </c>
      <c r="E3">
        <f>ROUND(Table1[[#This Row],[Essence per Craft]]/Table1[[#This Row],[Output per Craft]],4)</f>
        <v>2</v>
      </c>
    </row>
    <row r="4" spans="1:5" x14ac:dyDescent="0.25">
      <c r="A4" t="s">
        <v>28</v>
      </c>
      <c r="B4">
        <v>0</v>
      </c>
      <c r="C4">
        <v>3</v>
      </c>
      <c r="D4">
        <v>8</v>
      </c>
      <c r="E4">
        <f>ROUND(Table1[[#This Row],[Essence per Craft]]/Table1[[#This Row],[Output per Craft]],4)</f>
        <v>0.375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3D8BE-7FFA-43BA-B37E-8768F9FAF0A8}">
  <dimension ref="G1:K16"/>
  <sheetViews>
    <sheetView workbookViewId="0">
      <selection sqref="A1:E8"/>
    </sheetView>
  </sheetViews>
  <sheetFormatPr defaultRowHeight="15" x14ac:dyDescent="0.25"/>
  <cols>
    <col min="1" max="1" width="19.140625" bestFit="1" customWidth="1"/>
    <col min="7" max="7" width="19.140625" bestFit="1" customWidth="1"/>
  </cols>
  <sheetData>
    <row r="1" spans="7:11" x14ac:dyDescent="0.25">
      <c r="G1" s="36" t="s">
        <v>10</v>
      </c>
      <c r="H1" s="36"/>
      <c r="I1" s="36"/>
      <c r="J1" s="36"/>
      <c r="K1" s="36"/>
    </row>
    <row r="2" spans="7:11" x14ac:dyDescent="0.25">
      <c r="H2" t="s">
        <v>6</v>
      </c>
      <c r="I2" t="s">
        <v>7</v>
      </c>
      <c r="J2" t="s">
        <v>8</v>
      </c>
      <c r="K2" s="1">
        <v>32</v>
      </c>
    </row>
    <row r="3" spans="7:11" x14ac:dyDescent="0.25">
      <c r="G3" t="s">
        <v>11</v>
      </c>
      <c r="H3">
        <v>60</v>
      </c>
      <c r="I3">
        <f>H3*$K$2</f>
        <v>1920</v>
      </c>
    </row>
    <row r="4" spans="7:11" x14ac:dyDescent="0.25">
      <c r="G4" t="s">
        <v>12</v>
      </c>
      <c r="H4">
        <v>38</v>
      </c>
      <c r="I4">
        <f t="shared" ref="I4:I6" si="0">H4*$K$2</f>
        <v>1216</v>
      </c>
    </row>
    <row r="5" spans="7:11" x14ac:dyDescent="0.25">
      <c r="G5" t="s">
        <v>13</v>
      </c>
      <c r="H5">
        <v>27</v>
      </c>
      <c r="I5">
        <f t="shared" si="0"/>
        <v>864</v>
      </c>
    </row>
    <row r="6" spans="7:11" x14ac:dyDescent="0.25">
      <c r="G6" t="s">
        <v>14</v>
      </c>
      <c r="H6">
        <v>1</v>
      </c>
      <c r="I6">
        <f t="shared" si="0"/>
        <v>32</v>
      </c>
    </row>
    <row r="16" spans="7:11" x14ac:dyDescent="0.25">
      <c r="G16">
        <v>7</v>
      </c>
      <c r="H16">
        <f>((G16*2) + ((G16-2)*4))*2</f>
        <v>68</v>
      </c>
    </row>
  </sheetData>
  <mergeCells count="1">
    <mergeCell ref="G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82D8E-1217-4973-B5EA-3A96266568D3}">
  <dimension ref="A1:P41"/>
  <sheetViews>
    <sheetView tabSelected="1" zoomScale="85" zoomScaleNormal="85" workbookViewId="0">
      <selection sqref="A1:P40"/>
    </sheetView>
  </sheetViews>
  <sheetFormatPr defaultRowHeight="15" x14ac:dyDescent="0.25"/>
  <cols>
    <col min="1" max="1" width="24.5703125" style="34" bestFit="1" customWidth="1"/>
    <col min="2" max="2" width="15.42578125" style="34" bestFit="1" customWidth="1"/>
    <col min="3" max="3" width="23" style="34" bestFit="1" customWidth="1"/>
    <col min="4" max="4" width="15.42578125" style="34" bestFit="1" customWidth="1"/>
    <col min="5" max="5" width="26.42578125" style="34" bestFit="1" customWidth="1"/>
    <col min="6" max="6" width="13.85546875" style="34" bestFit="1" customWidth="1"/>
    <col min="7" max="7" width="21.42578125" style="34" bestFit="1" customWidth="1"/>
    <col min="8" max="8" width="15.42578125" style="34" bestFit="1" customWidth="1"/>
    <col min="9" max="9" width="14.140625" style="34" bestFit="1" customWidth="1"/>
    <col min="10" max="10" width="15.42578125" style="34" bestFit="1" customWidth="1"/>
    <col min="11" max="11" width="12.28515625" style="34" bestFit="1" customWidth="1"/>
    <col min="12" max="12" width="13.85546875" style="34" bestFit="1" customWidth="1"/>
    <col min="13" max="13" width="25" style="34" bestFit="1" customWidth="1"/>
    <col min="14" max="14" width="13.85546875" style="34" bestFit="1" customWidth="1"/>
    <col min="15" max="15" width="18" style="34" bestFit="1" customWidth="1"/>
    <col min="16" max="16" width="13.85546875" style="34" bestFit="1" customWidth="1"/>
    <col min="17" max="16384" width="9.140625" style="34"/>
  </cols>
  <sheetData>
    <row r="1" spans="1:16" x14ac:dyDescent="0.25">
      <c r="A1" s="38" t="s">
        <v>58</v>
      </c>
      <c r="B1" s="39">
        <v>360000</v>
      </c>
      <c r="C1" s="39"/>
      <c r="D1" s="39"/>
      <c r="E1" s="38" t="s">
        <v>72</v>
      </c>
      <c r="F1" s="39"/>
      <c r="G1" s="39" t="s">
        <v>74</v>
      </c>
      <c r="H1" s="40">
        <f>B4+H5+J9+J14+J19+J24+J29+J34+J39+D8+D23+D28</f>
        <v>5431680000</v>
      </c>
      <c r="I1" s="39" t="s">
        <v>75</v>
      </c>
      <c r="J1" s="40">
        <f>J5+H10+H15+H20+H25+H30+H35+H40</f>
        <v>1180800000</v>
      </c>
      <c r="K1" s="39" t="s">
        <v>76</v>
      </c>
      <c r="L1" s="40">
        <f>D10+D15+D20+D25+D30+D35+D40</f>
        <v>393480000</v>
      </c>
      <c r="M1" s="39" t="s">
        <v>78</v>
      </c>
      <c r="N1" s="40">
        <f>B9+B14+B19+B24+B29+B34+B39</f>
        <v>491850000</v>
      </c>
      <c r="O1" s="39" t="s">
        <v>79</v>
      </c>
      <c r="P1" s="40">
        <f>D13+D18+D33+D38</f>
        <v>472320000</v>
      </c>
    </row>
    <row r="2" spans="1:16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6" x14ac:dyDescent="0.25">
      <c r="A3" s="39" t="s">
        <v>59</v>
      </c>
      <c r="B3" s="39">
        <f>F8</f>
        <v>787320000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6" x14ac:dyDescent="0.25">
      <c r="A4" s="39" t="s">
        <v>60</v>
      </c>
      <c r="B4" s="39">
        <f>B3*4</f>
        <v>3149280000</v>
      </c>
      <c r="C4" s="39" t="s">
        <v>71</v>
      </c>
      <c r="D4" s="39">
        <f>B3*4</f>
        <v>3149280000</v>
      </c>
      <c r="E4" s="41" t="s">
        <v>41</v>
      </c>
      <c r="F4" s="42">
        <f>B3*1</f>
        <v>787320000</v>
      </c>
      <c r="G4" s="42"/>
      <c r="H4" s="42"/>
      <c r="I4" s="42"/>
      <c r="J4" s="43"/>
      <c r="K4" s="39"/>
      <c r="L4" s="39"/>
      <c r="M4" s="39"/>
      <c r="N4" s="39"/>
      <c r="O4" s="39"/>
      <c r="P4" s="39"/>
    </row>
    <row r="5" spans="1:16" x14ac:dyDescent="0.25">
      <c r="A5" s="39"/>
      <c r="B5" s="39"/>
      <c r="C5" s="39"/>
      <c r="D5" s="39"/>
      <c r="E5" s="44" t="s">
        <v>25</v>
      </c>
      <c r="F5" s="45">
        <f>F4*1</f>
        <v>787320000</v>
      </c>
      <c r="G5" s="46" t="s">
        <v>32</v>
      </c>
      <c r="H5" s="45">
        <f>F4*1</f>
        <v>787320000</v>
      </c>
      <c r="I5" s="46" t="s">
        <v>28</v>
      </c>
      <c r="J5" s="47">
        <f>F4*1</f>
        <v>787320000</v>
      </c>
      <c r="K5" s="39"/>
      <c r="L5" s="39"/>
      <c r="M5" s="39"/>
      <c r="N5" s="39"/>
      <c r="O5" s="39"/>
      <c r="P5" s="39"/>
    </row>
    <row r="6" spans="1:16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</row>
    <row r="7" spans="1:16" x14ac:dyDescent="0.25">
      <c r="A7" s="39" t="s">
        <v>61</v>
      </c>
      <c r="B7" s="39">
        <f>F13</f>
        <v>262440000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</row>
    <row r="8" spans="1:16" x14ac:dyDescent="0.25">
      <c r="A8" s="48" t="s">
        <v>46</v>
      </c>
      <c r="B8" s="39">
        <f>B7*1</f>
        <v>262440000</v>
      </c>
      <c r="C8" s="39" t="s">
        <v>60</v>
      </c>
      <c r="D8" s="39">
        <f>B7*4</f>
        <v>1049760000</v>
      </c>
      <c r="E8" s="39" t="s">
        <v>59</v>
      </c>
      <c r="F8" s="39">
        <f>B7*3</f>
        <v>787320000</v>
      </c>
      <c r="G8" s="41" t="s">
        <v>62</v>
      </c>
      <c r="H8" s="42">
        <f>B7*1</f>
        <v>262440000</v>
      </c>
      <c r="I8" s="42"/>
      <c r="J8" s="43"/>
      <c r="K8" s="39"/>
      <c r="L8" s="39"/>
      <c r="M8" s="39"/>
      <c r="N8" s="39"/>
      <c r="O8" s="39"/>
      <c r="P8" s="39"/>
    </row>
    <row r="9" spans="1:16" x14ac:dyDescent="0.25">
      <c r="A9" s="49" t="s">
        <v>77</v>
      </c>
      <c r="B9" s="42">
        <f>5/4*B8</f>
        <v>328050000</v>
      </c>
      <c r="C9" s="42" t="s">
        <v>48</v>
      </c>
      <c r="D9" s="43">
        <f>4/4*B8</f>
        <v>262440000</v>
      </c>
      <c r="E9" s="39"/>
      <c r="F9" s="39"/>
      <c r="G9" s="50" t="s">
        <v>73</v>
      </c>
      <c r="H9" s="51">
        <f>H8*1</f>
        <v>262440000</v>
      </c>
      <c r="I9" s="49" t="s">
        <v>60</v>
      </c>
      <c r="J9" s="52">
        <f>H8*1</f>
        <v>262440000</v>
      </c>
      <c r="K9" s="39"/>
      <c r="L9" s="39"/>
      <c r="M9" s="39"/>
      <c r="N9" s="39"/>
      <c r="O9" s="39"/>
      <c r="P9" s="39"/>
    </row>
    <row r="10" spans="1:16" x14ac:dyDescent="0.25">
      <c r="A10" s="53"/>
      <c r="B10" s="45"/>
      <c r="C10" s="46" t="s">
        <v>31</v>
      </c>
      <c r="D10" s="47">
        <f>1*D9</f>
        <v>262440000</v>
      </c>
      <c r="E10" s="39"/>
      <c r="F10" s="39"/>
      <c r="G10" s="44" t="s">
        <v>28</v>
      </c>
      <c r="H10" s="45">
        <f>H9*1</f>
        <v>262440000</v>
      </c>
      <c r="I10" s="45"/>
      <c r="J10" s="47"/>
      <c r="K10" s="39"/>
      <c r="L10" s="39"/>
      <c r="M10" s="39"/>
      <c r="N10" s="39"/>
      <c r="O10" s="39"/>
      <c r="P10" s="39"/>
    </row>
    <row r="11" spans="1:16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A12" s="51" t="s">
        <v>63</v>
      </c>
      <c r="B12" s="51">
        <f>F18</f>
        <v>87480000</v>
      </c>
      <c r="C12" s="51"/>
      <c r="D12" s="51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A13" s="48" t="s">
        <v>46</v>
      </c>
      <c r="B13" s="51">
        <f>B12*1</f>
        <v>87480000</v>
      </c>
      <c r="C13" s="51" t="s">
        <v>64</v>
      </c>
      <c r="D13" s="51">
        <f>B12*4</f>
        <v>349920000</v>
      </c>
      <c r="E13" s="39" t="s">
        <v>61</v>
      </c>
      <c r="F13" s="39">
        <f>B12*3</f>
        <v>262440000</v>
      </c>
      <c r="G13" s="41" t="s">
        <v>62</v>
      </c>
      <c r="H13" s="42">
        <f>B12*1</f>
        <v>87480000</v>
      </c>
      <c r="I13" s="42"/>
      <c r="J13" s="43"/>
      <c r="K13" s="39"/>
      <c r="L13" s="39"/>
      <c r="M13" s="39"/>
      <c r="N13" s="39"/>
      <c r="O13" s="39"/>
      <c r="P13" s="39"/>
    </row>
    <row r="14" spans="1:16" x14ac:dyDescent="0.25">
      <c r="A14" s="49" t="s">
        <v>77</v>
      </c>
      <c r="B14" s="42">
        <f>5/4*B13</f>
        <v>109350000</v>
      </c>
      <c r="C14" s="42" t="s">
        <v>48</v>
      </c>
      <c r="D14" s="43">
        <f>4/4*B13</f>
        <v>87480000</v>
      </c>
      <c r="E14" s="39"/>
      <c r="F14" s="39"/>
      <c r="G14" s="50" t="s">
        <v>73</v>
      </c>
      <c r="H14" s="51">
        <f>H13*1</f>
        <v>87480000</v>
      </c>
      <c r="I14" s="49" t="s">
        <v>60</v>
      </c>
      <c r="J14" s="52">
        <f>H13*1</f>
        <v>87480000</v>
      </c>
      <c r="K14" s="39"/>
      <c r="L14" s="39"/>
      <c r="M14" s="39"/>
      <c r="N14" s="39"/>
      <c r="O14" s="39"/>
      <c r="P14" s="39"/>
    </row>
    <row r="15" spans="1:16" x14ac:dyDescent="0.25">
      <c r="A15" s="53"/>
      <c r="B15" s="45"/>
      <c r="C15" s="46" t="s">
        <v>31</v>
      </c>
      <c r="D15" s="47">
        <f>1*D14</f>
        <v>87480000</v>
      </c>
      <c r="E15" s="39"/>
      <c r="F15" s="39"/>
      <c r="G15" s="44" t="s">
        <v>28</v>
      </c>
      <c r="H15" s="45">
        <f>H14*1</f>
        <v>87480000</v>
      </c>
      <c r="I15" s="45"/>
      <c r="J15" s="47"/>
      <c r="K15" s="39"/>
      <c r="L15" s="39"/>
      <c r="M15" s="39"/>
      <c r="N15" s="39"/>
      <c r="O15" s="39"/>
      <c r="P15" s="39"/>
    </row>
    <row r="16" spans="1:16" x14ac:dyDescent="0.25">
      <c r="A16" s="51"/>
      <c r="B16" s="51"/>
      <c r="C16" s="51"/>
      <c r="D16" s="51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A17" s="51" t="s">
        <v>65</v>
      </c>
      <c r="B17" s="51">
        <f>F23</f>
        <v>29160000</v>
      </c>
      <c r="C17" s="51"/>
      <c r="D17" s="51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</row>
    <row r="18" spans="1:16" x14ac:dyDescent="0.25">
      <c r="A18" s="48" t="s">
        <v>66</v>
      </c>
      <c r="B18" s="51">
        <f>B17*1</f>
        <v>29160000</v>
      </c>
      <c r="C18" s="51" t="s">
        <v>64</v>
      </c>
      <c r="D18" s="51">
        <f>B17*4</f>
        <v>116640000</v>
      </c>
      <c r="E18" s="39" t="s">
        <v>63</v>
      </c>
      <c r="F18" s="39">
        <f>B17*3</f>
        <v>87480000</v>
      </c>
      <c r="G18" s="41" t="s">
        <v>62</v>
      </c>
      <c r="H18" s="42">
        <f>B17*1</f>
        <v>29160000</v>
      </c>
      <c r="I18" s="42"/>
      <c r="J18" s="43"/>
      <c r="K18" s="39"/>
      <c r="L18" s="39"/>
      <c r="M18" s="39"/>
      <c r="N18" s="39"/>
      <c r="O18" s="39"/>
      <c r="P18" s="39"/>
    </row>
    <row r="19" spans="1:16" x14ac:dyDescent="0.25">
      <c r="A19" s="49" t="s">
        <v>77</v>
      </c>
      <c r="B19" s="42">
        <f>5/4*B18</f>
        <v>36450000</v>
      </c>
      <c r="C19" s="42" t="s">
        <v>48</v>
      </c>
      <c r="D19" s="43">
        <f>4/4*B18</f>
        <v>29160000</v>
      </c>
      <c r="E19" s="39"/>
      <c r="F19" s="39"/>
      <c r="G19" s="50" t="s">
        <v>73</v>
      </c>
      <c r="H19" s="51">
        <f>H18*1</f>
        <v>29160000</v>
      </c>
      <c r="I19" s="49" t="s">
        <v>60</v>
      </c>
      <c r="J19" s="52">
        <f>H18*1</f>
        <v>29160000</v>
      </c>
      <c r="K19" s="39"/>
      <c r="L19" s="39"/>
      <c r="M19" s="39"/>
      <c r="N19" s="39"/>
      <c r="O19" s="39"/>
      <c r="P19" s="39"/>
    </row>
    <row r="20" spans="1:16" x14ac:dyDescent="0.25">
      <c r="A20" s="53"/>
      <c r="B20" s="45"/>
      <c r="C20" s="46" t="s">
        <v>31</v>
      </c>
      <c r="D20" s="47">
        <f>1*D19</f>
        <v>29160000</v>
      </c>
      <c r="E20" s="39"/>
      <c r="F20" s="39"/>
      <c r="G20" s="44" t="s">
        <v>28</v>
      </c>
      <c r="H20" s="45">
        <f>H19*1</f>
        <v>29160000</v>
      </c>
      <c r="I20" s="45"/>
      <c r="J20" s="47"/>
      <c r="K20" s="39"/>
      <c r="L20" s="39"/>
      <c r="M20" s="39"/>
      <c r="N20" s="39"/>
      <c r="O20" s="39"/>
      <c r="P20" s="39"/>
    </row>
    <row r="21" spans="1:16" x14ac:dyDescent="0.25">
      <c r="A21" s="51"/>
      <c r="B21" s="51"/>
      <c r="C21" s="51"/>
      <c r="D21" s="51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A22" s="51" t="s">
        <v>67</v>
      </c>
      <c r="B22" s="51">
        <f>F28</f>
        <v>9720000</v>
      </c>
      <c r="C22" s="51"/>
      <c r="D22" s="51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A23" s="48" t="s">
        <v>46</v>
      </c>
      <c r="B23" s="51">
        <f>B22*1</f>
        <v>9720000</v>
      </c>
      <c r="C23" s="51" t="s">
        <v>60</v>
      </c>
      <c r="D23" s="51">
        <f>B22*4</f>
        <v>38880000</v>
      </c>
      <c r="E23" s="39" t="s">
        <v>65</v>
      </c>
      <c r="F23" s="39">
        <f>B22*3</f>
        <v>29160000</v>
      </c>
      <c r="G23" s="41" t="s">
        <v>62</v>
      </c>
      <c r="H23" s="42">
        <f>B22*1</f>
        <v>9720000</v>
      </c>
      <c r="I23" s="42"/>
      <c r="J23" s="43"/>
      <c r="K23" s="39"/>
      <c r="L23" s="39"/>
      <c r="M23" s="39"/>
      <c r="N23" s="39"/>
      <c r="O23" s="39"/>
      <c r="P23" s="39"/>
    </row>
    <row r="24" spans="1:16" x14ac:dyDescent="0.25">
      <c r="A24" s="49" t="s">
        <v>77</v>
      </c>
      <c r="B24" s="42">
        <f>5/4*B23</f>
        <v>12150000</v>
      </c>
      <c r="C24" s="42" t="s">
        <v>48</v>
      </c>
      <c r="D24" s="43">
        <f>4/4*B23</f>
        <v>9720000</v>
      </c>
      <c r="E24" s="39"/>
      <c r="F24" s="39"/>
      <c r="G24" s="50" t="s">
        <v>73</v>
      </c>
      <c r="H24" s="51">
        <f>H23*1</f>
        <v>9720000</v>
      </c>
      <c r="I24" s="49" t="s">
        <v>60</v>
      </c>
      <c r="J24" s="52">
        <f>H23*1</f>
        <v>9720000</v>
      </c>
      <c r="K24" s="39"/>
      <c r="L24" s="39"/>
      <c r="M24" s="39"/>
      <c r="N24" s="39"/>
      <c r="O24" s="39"/>
      <c r="P24" s="39"/>
    </row>
    <row r="25" spans="1:16" x14ac:dyDescent="0.25">
      <c r="A25" s="53"/>
      <c r="B25" s="45"/>
      <c r="C25" s="46" t="s">
        <v>31</v>
      </c>
      <c r="D25" s="47">
        <f>1*D24</f>
        <v>9720000</v>
      </c>
      <c r="E25" s="39"/>
      <c r="F25" s="39"/>
      <c r="G25" s="44" t="s">
        <v>28</v>
      </c>
      <c r="H25" s="45">
        <f>H24*1</f>
        <v>9720000</v>
      </c>
      <c r="I25" s="45"/>
      <c r="J25" s="47"/>
      <c r="K25" s="39"/>
      <c r="L25" s="39"/>
      <c r="M25" s="39"/>
      <c r="N25" s="39"/>
      <c r="O25" s="39"/>
      <c r="P25" s="39"/>
    </row>
    <row r="26" spans="1:16" x14ac:dyDescent="0.25">
      <c r="A26" s="51"/>
      <c r="B26" s="51"/>
      <c r="C26" s="51"/>
      <c r="D26" s="51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</row>
    <row r="27" spans="1:16" x14ac:dyDescent="0.25">
      <c r="A27" s="51" t="s">
        <v>68</v>
      </c>
      <c r="B27" s="51">
        <f>F33</f>
        <v>3240000</v>
      </c>
      <c r="C27" s="51"/>
      <c r="D27" s="51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</row>
    <row r="28" spans="1:16" x14ac:dyDescent="0.25">
      <c r="A28" s="48" t="s">
        <v>46</v>
      </c>
      <c r="B28" s="51">
        <f>B27*1</f>
        <v>3240000</v>
      </c>
      <c r="C28" s="51" t="s">
        <v>60</v>
      </c>
      <c r="D28" s="51">
        <f>B27*4</f>
        <v>12960000</v>
      </c>
      <c r="E28" s="39" t="s">
        <v>67</v>
      </c>
      <c r="F28" s="39">
        <f>B27*3</f>
        <v>9720000</v>
      </c>
      <c r="G28" s="41" t="s">
        <v>62</v>
      </c>
      <c r="H28" s="42">
        <f>B27*1</f>
        <v>3240000</v>
      </c>
      <c r="I28" s="42"/>
      <c r="J28" s="43"/>
      <c r="K28" s="39"/>
      <c r="L28" s="39"/>
      <c r="M28" s="39"/>
      <c r="N28" s="39"/>
      <c r="O28" s="39"/>
      <c r="P28" s="39"/>
    </row>
    <row r="29" spans="1:16" x14ac:dyDescent="0.25">
      <c r="A29" s="49" t="s">
        <v>77</v>
      </c>
      <c r="B29" s="42">
        <f>5/4*B28</f>
        <v>4050000</v>
      </c>
      <c r="C29" s="42" t="s">
        <v>48</v>
      </c>
      <c r="D29" s="43">
        <f>4/4*B28</f>
        <v>3240000</v>
      </c>
      <c r="E29" s="39"/>
      <c r="F29" s="39"/>
      <c r="G29" s="50" t="s">
        <v>73</v>
      </c>
      <c r="H29" s="51">
        <f>H28*1</f>
        <v>3240000</v>
      </c>
      <c r="I29" s="49" t="s">
        <v>60</v>
      </c>
      <c r="J29" s="52">
        <f>H28*1</f>
        <v>3240000</v>
      </c>
      <c r="K29" s="39"/>
      <c r="L29" s="39"/>
      <c r="M29" s="39"/>
      <c r="N29" s="39"/>
      <c r="O29" s="39"/>
      <c r="P29" s="39"/>
    </row>
    <row r="30" spans="1:16" x14ac:dyDescent="0.25">
      <c r="A30" s="53"/>
      <c r="B30" s="45"/>
      <c r="C30" s="46" t="s">
        <v>31</v>
      </c>
      <c r="D30" s="47">
        <f>1*D29</f>
        <v>3240000</v>
      </c>
      <c r="E30" s="39"/>
      <c r="F30" s="39"/>
      <c r="G30" s="44" t="s">
        <v>28</v>
      </c>
      <c r="H30" s="45">
        <f>H29*1</f>
        <v>3240000</v>
      </c>
      <c r="I30" s="45"/>
      <c r="J30" s="47"/>
      <c r="K30" s="39"/>
      <c r="L30" s="39"/>
      <c r="M30" s="39"/>
      <c r="N30" s="39"/>
      <c r="O30" s="39"/>
      <c r="P30" s="39"/>
    </row>
    <row r="31" spans="1:16" x14ac:dyDescent="0.25">
      <c r="A31" s="51"/>
      <c r="B31" s="51"/>
      <c r="C31" s="51"/>
      <c r="D31" s="51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A32" s="51" t="s">
        <v>69</v>
      </c>
      <c r="B32" s="51">
        <f>F38</f>
        <v>1080000</v>
      </c>
      <c r="C32" s="51"/>
      <c r="D32" s="51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</row>
    <row r="33" spans="1:16" x14ac:dyDescent="0.25">
      <c r="A33" s="48" t="s">
        <v>46</v>
      </c>
      <c r="B33" s="51">
        <f>B32*1</f>
        <v>1080000</v>
      </c>
      <c r="C33" s="51" t="s">
        <v>64</v>
      </c>
      <c r="D33" s="51">
        <f>B32*4</f>
        <v>4320000</v>
      </c>
      <c r="E33" s="39" t="s">
        <v>68</v>
      </c>
      <c r="F33" s="39">
        <f>B32*3</f>
        <v>3240000</v>
      </c>
      <c r="G33" s="41" t="s">
        <v>62</v>
      </c>
      <c r="H33" s="42">
        <f>B32*1</f>
        <v>1080000</v>
      </c>
      <c r="I33" s="42"/>
      <c r="J33" s="43"/>
      <c r="K33" s="39"/>
      <c r="L33" s="39"/>
      <c r="M33" s="39"/>
      <c r="N33" s="39"/>
      <c r="O33" s="39"/>
      <c r="P33" s="39"/>
    </row>
    <row r="34" spans="1:16" x14ac:dyDescent="0.25">
      <c r="A34" s="49" t="s">
        <v>77</v>
      </c>
      <c r="B34" s="42">
        <f>5/4*B33</f>
        <v>1350000</v>
      </c>
      <c r="C34" s="42" t="s">
        <v>48</v>
      </c>
      <c r="D34" s="43">
        <f>4/4*B33</f>
        <v>1080000</v>
      </c>
      <c r="E34" s="39"/>
      <c r="F34" s="39"/>
      <c r="G34" s="50" t="s">
        <v>73</v>
      </c>
      <c r="H34" s="51">
        <f>H33*1</f>
        <v>1080000</v>
      </c>
      <c r="I34" s="49" t="s">
        <v>60</v>
      </c>
      <c r="J34" s="52">
        <f>H33*1</f>
        <v>1080000</v>
      </c>
      <c r="K34" s="39"/>
      <c r="L34" s="39"/>
      <c r="M34" s="39"/>
      <c r="N34" s="39"/>
      <c r="O34" s="39"/>
      <c r="P34" s="39"/>
    </row>
    <row r="35" spans="1:16" x14ac:dyDescent="0.25">
      <c r="A35" s="53"/>
      <c r="B35" s="45"/>
      <c r="C35" s="46" t="s">
        <v>31</v>
      </c>
      <c r="D35" s="47">
        <f>1*D34</f>
        <v>1080000</v>
      </c>
      <c r="E35" s="39"/>
      <c r="F35" s="39"/>
      <c r="G35" s="44" t="s">
        <v>28</v>
      </c>
      <c r="H35" s="45">
        <f>H34*1</f>
        <v>1080000</v>
      </c>
      <c r="I35" s="45"/>
      <c r="J35" s="47"/>
      <c r="K35" s="39"/>
      <c r="L35" s="39"/>
      <c r="M35" s="39"/>
      <c r="N35" s="39"/>
      <c r="O35" s="39"/>
      <c r="P35" s="39"/>
    </row>
    <row r="36" spans="1:16" x14ac:dyDescent="0.25">
      <c r="A36" s="51"/>
      <c r="B36" s="51"/>
      <c r="C36" s="51"/>
      <c r="D36" s="51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</row>
    <row r="37" spans="1:16" x14ac:dyDescent="0.25">
      <c r="A37" s="51" t="s">
        <v>70</v>
      </c>
      <c r="B37" s="51">
        <f>B1</f>
        <v>360000</v>
      </c>
      <c r="C37" s="51"/>
      <c r="D37" s="51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</row>
    <row r="38" spans="1:16" x14ac:dyDescent="0.25">
      <c r="A38" s="48" t="s">
        <v>46</v>
      </c>
      <c r="B38" s="51">
        <f>B37*1</f>
        <v>360000</v>
      </c>
      <c r="C38" s="51" t="s">
        <v>64</v>
      </c>
      <c r="D38" s="51">
        <f>B37*4</f>
        <v>1440000</v>
      </c>
      <c r="E38" s="39" t="s">
        <v>69</v>
      </c>
      <c r="F38" s="39">
        <f>B37*3</f>
        <v>1080000</v>
      </c>
      <c r="G38" s="41" t="s">
        <v>62</v>
      </c>
      <c r="H38" s="42">
        <f>B37*1</f>
        <v>360000</v>
      </c>
      <c r="I38" s="42"/>
      <c r="J38" s="43"/>
      <c r="K38" s="39"/>
      <c r="L38" s="39"/>
      <c r="M38" s="39"/>
      <c r="N38" s="39"/>
      <c r="O38" s="39"/>
      <c r="P38" s="39"/>
    </row>
    <row r="39" spans="1:16" x14ac:dyDescent="0.25">
      <c r="A39" s="49" t="s">
        <v>77</v>
      </c>
      <c r="B39" s="42">
        <f>5/4*B38</f>
        <v>450000</v>
      </c>
      <c r="C39" s="42" t="s">
        <v>48</v>
      </c>
      <c r="D39" s="43">
        <f>4/4*B38</f>
        <v>360000</v>
      </c>
      <c r="E39" s="39"/>
      <c r="F39" s="39"/>
      <c r="G39" s="50" t="s">
        <v>73</v>
      </c>
      <c r="H39" s="51">
        <f>H38*1</f>
        <v>360000</v>
      </c>
      <c r="I39" s="49" t="s">
        <v>60</v>
      </c>
      <c r="J39" s="52">
        <f>H38*1</f>
        <v>360000</v>
      </c>
      <c r="K39" s="39"/>
      <c r="L39" s="39"/>
      <c r="M39" s="39"/>
      <c r="N39" s="39"/>
      <c r="O39" s="39"/>
      <c r="P39" s="39"/>
    </row>
    <row r="40" spans="1:16" x14ac:dyDescent="0.25">
      <c r="A40" s="53"/>
      <c r="B40" s="45"/>
      <c r="C40" s="46" t="s">
        <v>31</v>
      </c>
      <c r="D40" s="47">
        <f>1*D39</f>
        <v>360000</v>
      </c>
      <c r="E40" s="39"/>
      <c r="F40" s="39"/>
      <c r="G40" s="44" t="s">
        <v>28</v>
      </c>
      <c r="H40" s="45">
        <f>H39*1</f>
        <v>360000</v>
      </c>
      <c r="I40" s="45"/>
      <c r="J40" s="47"/>
      <c r="K40" s="39"/>
      <c r="L40" s="39"/>
      <c r="M40" s="39"/>
      <c r="N40" s="39"/>
      <c r="O40" s="39"/>
      <c r="P40" s="39"/>
    </row>
    <row r="41" spans="1:16" x14ac:dyDescent="0.25">
      <c r="A41" s="35"/>
      <c r="B41" s="35"/>
      <c r="C41" s="35"/>
      <c r="D41" s="3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 Controller</vt:lpstr>
      <vt:lpstr>ME Controller Crafting Tree</vt:lpstr>
      <vt:lpstr>Material Costs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Matthew Lefebvre</cp:lastModifiedBy>
  <dcterms:created xsi:type="dcterms:W3CDTF">2022-05-05T14:15:26Z</dcterms:created>
  <dcterms:modified xsi:type="dcterms:W3CDTF">2022-05-18T21:28:31Z</dcterms:modified>
</cp:coreProperties>
</file>