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minic\Dropbox\Dominic\Proposals\2020_COVID-19_FRQ Project\Data Montreal\"/>
    </mc:Choice>
  </mc:AlternateContent>
  <bookViews>
    <workbookView xWindow="0" yWindow="0" windowWidth="23100" windowHeight="9233" firstSheet="1" activeTab="1"/>
  </bookViews>
  <sheets>
    <sheet name="Qc old data" sheetId="1" state="hidden" r:id="rId1"/>
    <sheet name="Mtl Data Daily Samples" sheetId="2" r:id="rId2"/>
    <sheet name="Qc Data Daily Samples" sheetId="5" state="hidden" r:id="rId3"/>
    <sheet name="Standard Curve Summaries" sheetId="6" r:id="rId4"/>
    <sheet name="Graphs Montreal VSTL-III" sheetId="14" r:id="rId5"/>
    <sheet name="Graphs Montreal CDN05" sheetId="15" r:id="rId6"/>
    <sheet name="Grab" sheetId="7" r:id="rId7"/>
    <sheet name="Composite" sheetId="8" r:id="rId8"/>
    <sheet name="Grab (PMMV)" sheetId="9" r:id="rId9"/>
    <sheet name="Composite (PMMV)" sheetId="10" r:id="rId10"/>
    <sheet name="Grab (normalization)" sheetId="11" r:id="rId11"/>
    <sheet name="Composite (normalization)" sheetId="12" r:id="rId12"/>
    <sheet name="Grab (BRSV recovery)" sheetId="16" r:id="rId13"/>
    <sheet name="Composite (BRSV recovery)" sheetId="17" r:id="rId14"/>
  </sheets>
  <definedNames>
    <definedName name="_xlnm._FilterDatabase" localSheetId="1" hidden="1">'Mtl Data Daily Samples'!$B$5:$AO$108</definedName>
    <definedName name="_xlnm._FilterDatabase" localSheetId="2" hidden="1">'Qc Data Daily Samples'!$B$18:$BA$18</definedName>
    <definedName name="_xlnm._FilterDatabase" localSheetId="0" hidden="1">'Qc old data'!$B$18:$BB$18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8" l="1"/>
  <c r="J12" i="8"/>
  <c r="I12" i="8"/>
  <c r="H12" i="8"/>
  <c r="G12" i="8"/>
  <c r="F12" i="8"/>
  <c r="E12" i="8"/>
  <c r="K11" i="8"/>
  <c r="J11" i="8"/>
  <c r="I11" i="8"/>
  <c r="H11" i="8"/>
  <c r="G11" i="8"/>
  <c r="F11" i="8"/>
  <c r="E11" i="8"/>
  <c r="K10" i="8"/>
  <c r="J10" i="8"/>
  <c r="I10" i="8"/>
  <c r="H10" i="8"/>
  <c r="G10" i="8"/>
  <c r="F10" i="8"/>
  <c r="E10" i="8"/>
  <c r="K9" i="8"/>
  <c r="J9" i="8"/>
  <c r="I9" i="8"/>
  <c r="H9" i="8"/>
  <c r="G9" i="8"/>
  <c r="F9" i="8"/>
  <c r="E9" i="8"/>
  <c r="K12" i="10"/>
  <c r="J12" i="10"/>
  <c r="I12" i="10"/>
  <c r="H12" i="10"/>
  <c r="G12" i="10"/>
  <c r="F12" i="10"/>
  <c r="E12" i="10"/>
  <c r="K11" i="10"/>
  <c r="J11" i="10"/>
  <c r="I11" i="10"/>
  <c r="H11" i="10"/>
  <c r="G11" i="10"/>
  <c r="F11" i="10"/>
  <c r="E11" i="10"/>
  <c r="K10" i="10"/>
  <c r="J10" i="10"/>
  <c r="I10" i="10"/>
  <c r="H10" i="10"/>
  <c r="G10" i="10"/>
  <c r="F10" i="10"/>
  <c r="E10" i="10"/>
  <c r="K9" i="10"/>
  <c r="J9" i="10"/>
  <c r="I9" i="10"/>
  <c r="H9" i="10"/>
  <c r="G9" i="10"/>
  <c r="F9" i="10"/>
  <c r="E9" i="10"/>
  <c r="E10" i="9"/>
  <c r="F10" i="9"/>
  <c r="G10" i="9"/>
  <c r="H10" i="9"/>
  <c r="I10" i="9"/>
  <c r="J10" i="9"/>
  <c r="K10" i="9"/>
  <c r="E11" i="9"/>
  <c r="F11" i="9"/>
  <c r="G11" i="9"/>
  <c r="H11" i="9"/>
  <c r="I11" i="9"/>
  <c r="J11" i="9"/>
  <c r="K11" i="9"/>
  <c r="E12" i="9"/>
  <c r="F12" i="9"/>
  <c r="G12" i="9"/>
  <c r="H12" i="9"/>
  <c r="I12" i="9"/>
  <c r="J12" i="9"/>
  <c r="K12" i="9"/>
  <c r="F9" i="9"/>
  <c r="G9" i="9"/>
  <c r="H9" i="9"/>
  <c r="I9" i="9"/>
  <c r="J9" i="9"/>
  <c r="K9" i="9"/>
  <c r="E9" i="9"/>
  <c r="H5" i="12"/>
  <c r="I5" i="12"/>
  <c r="J5" i="12"/>
  <c r="K5" i="12"/>
  <c r="L16" i="12" s="1"/>
  <c r="L5" i="12"/>
  <c r="M5" i="12"/>
  <c r="N5" i="12"/>
  <c r="H6" i="12"/>
  <c r="E6" i="12" s="1"/>
  <c r="F6" i="12" s="1"/>
  <c r="I6" i="12"/>
  <c r="J6" i="12"/>
  <c r="K6" i="12"/>
  <c r="L6" i="12"/>
  <c r="L17" i="12" s="1"/>
  <c r="M6" i="12"/>
  <c r="N6" i="12"/>
  <c r="H7" i="12"/>
  <c r="I7" i="12"/>
  <c r="I18" i="12" s="1"/>
  <c r="G18" i="12" s="1"/>
  <c r="J7" i="12"/>
  <c r="K7" i="12"/>
  <c r="L7" i="12"/>
  <c r="M7" i="12"/>
  <c r="M18" i="12" s="1"/>
  <c r="N7" i="12"/>
  <c r="I4" i="12"/>
  <c r="J4" i="12"/>
  <c r="K4" i="12"/>
  <c r="L15" i="12" s="1"/>
  <c r="L4" i="12"/>
  <c r="E4" i="12" s="1"/>
  <c r="F4" i="12" s="1"/>
  <c r="M4" i="12"/>
  <c r="N4" i="12"/>
  <c r="H4" i="12"/>
  <c r="H5" i="11"/>
  <c r="I5" i="11"/>
  <c r="J5" i="11"/>
  <c r="K5" i="11"/>
  <c r="K16" i="11" s="1"/>
  <c r="L5" i="11"/>
  <c r="M5" i="11"/>
  <c r="M16" i="11" s="1"/>
  <c r="N5" i="11"/>
  <c r="H6" i="11"/>
  <c r="I17" i="11" s="1"/>
  <c r="I6" i="11"/>
  <c r="J6" i="11"/>
  <c r="K6" i="11"/>
  <c r="L6" i="11"/>
  <c r="M17" i="11" s="1"/>
  <c r="M6" i="11"/>
  <c r="N6" i="11"/>
  <c r="H7" i="11"/>
  <c r="I7" i="11"/>
  <c r="I18" i="11" s="1"/>
  <c r="J7" i="11"/>
  <c r="K7" i="11"/>
  <c r="L7" i="11"/>
  <c r="M7" i="11"/>
  <c r="M18" i="11" s="1"/>
  <c r="N7" i="11"/>
  <c r="I4" i="11"/>
  <c r="J4" i="11"/>
  <c r="K4" i="11"/>
  <c r="L4" i="11"/>
  <c r="M15" i="11" s="1"/>
  <c r="M4" i="11"/>
  <c r="N4" i="11"/>
  <c r="H4" i="11"/>
  <c r="G12" i="12"/>
  <c r="H12" i="12" s="1"/>
  <c r="G11" i="12"/>
  <c r="H11" i="12" s="1"/>
  <c r="G10" i="12"/>
  <c r="H10" i="12" s="1"/>
  <c r="G9" i="12"/>
  <c r="H9" i="12" s="1"/>
  <c r="I10" i="12"/>
  <c r="J10" i="12"/>
  <c r="K10" i="12"/>
  <c r="L10" i="12"/>
  <c r="M10" i="12"/>
  <c r="N10" i="12"/>
  <c r="I11" i="12"/>
  <c r="J11" i="12"/>
  <c r="K11" i="12"/>
  <c r="L11" i="12"/>
  <c r="M11" i="12"/>
  <c r="N11" i="12"/>
  <c r="I12" i="12"/>
  <c r="J12" i="12"/>
  <c r="K12" i="12"/>
  <c r="L12" i="12"/>
  <c r="M12" i="12"/>
  <c r="N12" i="12"/>
  <c r="J9" i="12"/>
  <c r="K9" i="12"/>
  <c r="L9" i="12"/>
  <c r="M9" i="12"/>
  <c r="N9" i="12"/>
  <c r="I9" i="12"/>
  <c r="N18" i="12"/>
  <c r="L18" i="12"/>
  <c r="K18" i="12"/>
  <c r="J18" i="12"/>
  <c r="N17" i="12"/>
  <c r="M17" i="12"/>
  <c r="K17" i="12"/>
  <c r="J17" i="12"/>
  <c r="I17" i="12"/>
  <c r="N16" i="12"/>
  <c r="M16" i="12"/>
  <c r="K16" i="12"/>
  <c r="J16" i="12"/>
  <c r="I16" i="12"/>
  <c r="N15" i="12"/>
  <c r="M15" i="12"/>
  <c r="J15" i="12"/>
  <c r="I15" i="12"/>
  <c r="I16" i="11"/>
  <c r="J16" i="11"/>
  <c r="N16" i="11"/>
  <c r="J17" i="11"/>
  <c r="K17" i="11"/>
  <c r="L17" i="11"/>
  <c r="N17" i="11"/>
  <c r="J18" i="11"/>
  <c r="K18" i="11"/>
  <c r="L18" i="11"/>
  <c r="N18" i="11"/>
  <c r="I10" i="11"/>
  <c r="J10" i="11"/>
  <c r="K10" i="11"/>
  <c r="L10" i="11"/>
  <c r="M10" i="11"/>
  <c r="N10" i="11"/>
  <c r="I11" i="11"/>
  <c r="G11" i="11" s="1"/>
  <c r="H11" i="11" s="1"/>
  <c r="J11" i="11"/>
  <c r="K11" i="11"/>
  <c r="L11" i="11"/>
  <c r="M11" i="11"/>
  <c r="N11" i="11"/>
  <c r="I12" i="11"/>
  <c r="G12" i="11" s="1"/>
  <c r="H12" i="11" s="1"/>
  <c r="J12" i="11"/>
  <c r="K12" i="11"/>
  <c r="L12" i="11"/>
  <c r="M12" i="11"/>
  <c r="N12" i="11"/>
  <c r="H9" i="11"/>
  <c r="G9" i="11"/>
  <c r="J9" i="11"/>
  <c r="K9" i="11"/>
  <c r="L9" i="11"/>
  <c r="M9" i="11"/>
  <c r="N9" i="11"/>
  <c r="I9" i="11"/>
  <c r="J15" i="11"/>
  <c r="K15" i="11"/>
  <c r="N15" i="11"/>
  <c r="I15" i="11"/>
  <c r="L7" i="10"/>
  <c r="L6" i="10"/>
  <c r="L5" i="10"/>
  <c r="L4" i="10"/>
  <c r="L5" i="9"/>
  <c r="L6" i="9"/>
  <c r="L7" i="9"/>
  <c r="L4" i="9"/>
  <c r="G5" i="12"/>
  <c r="G6" i="12"/>
  <c r="G7" i="12"/>
  <c r="G4" i="12"/>
  <c r="G5" i="11"/>
  <c r="G6" i="11"/>
  <c r="G7" i="11"/>
  <c r="G4" i="11"/>
  <c r="C5" i="12"/>
  <c r="D5" i="12"/>
  <c r="C6" i="12"/>
  <c r="D6" i="12"/>
  <c r="C7" i="12"/>
  <c r="D7" i="12"/>
  <c r="D4" i="12"/>
  <c r="D5" i="11"/>
  <c r="D6" i="11"/>
  <c r="D7" i="11"/>
  <c r="D4" i="11"/>
  <c r="C4" i="12"/>
  <c r="C6" i="11"/>
  <c r="C7" i="11"/>
  <c r="C4" i="11"/>
  <c r="E5" i="12"/>
  <c r="F5" i="12" s="1"/>
  <c r="E6" i="11"/>
  <c r="F6" i="11" s="1"/>
  <c r="N3" i="12"/>
  <c r="M3" i="12"/>
  <c r="L3" i="12"/>
  <c r="K3" i="12"/>
  <c r="J3" i="12"/>
  <c r="I3" i="12"/>
  <c r="H3" i="12"/>
  <c r="N3" i="11"/>
  <c r="M3" i="11"/>
  <c r="L3" i="11"/>
  <c r="K3" i="11"/>
  <c r="J3" i="11"/>
  <c r="I3" i="11"/>
  <c r="H3" i="11"/>
  <c r="K3" i="10"/>
  <c r="J3" i="10"/>
  <c r="I3" i="10"/>
  <c r="H3" i="10"/>
  <c r="G3" i="10"/>
  <c r="F3" i="10"/>
  <c r="E3" i="10"/>
  <c r="K3" i="9"/>
  <c r="J3" i="9"/>
  <c r="I3" i="9"/>
  <c r="H3" i="9"/>
  <c r="G3" i="9"/>
  <c r="F3" i="9"/>
  <c r="E3" i="9"/>
  <c r="D7" i="10"/>
  <c r="C7" i="10"/>
  <c r="C6" i="10"/>
  <c r="D6" i="10" s="1"/>
  <c r="D5" i="10"/>
  <c r="C5" i="10"/>
  <c r="C4" i="10"/>
  <c r="D4" i="10" s="1"/>
  <c r="D7" i="9"/>
  <c r="C7" i="9"/>
  <c r="C6" i="9"/>
  <c r="D6" i="9" s="1"/>
  <c r="D5" i="9"/>
  <c r="C5" i="9"/>
  <c r="C4" i="9"/>
  <c r="D4" i="9" s="1"/>
  <c r="C7" i="8"/>
  <c r="D7" i="8" s="1"/>
  <c r="C6" i="8"/>
  <c r="D6" i="8" s="1"/>
  <c r="C5" i="8"/>
  <c r="D5" i="8" s="1"/>
  <c r="C4" i="8"/>
  <c r="D4" i="8" s="1"/>
  <c r="D6" i="7"/>
  <c r="D7" i="7"/>
  <c r="D4" i="7"/>
  <c r="C5" i="7"/>
  <c r="D5" i="7" s="1"/>
  <c r="C6" i="7"/>
  <c r="C7" i="7"/>
  <c r="C4" i="7"/>
  <c r="K3" i="8"/>
  <c r="J3" i="8"/>
  <c r="I3" i="8"/>
  <c r="H3" i="8"/>
  <c r="G3" i="8"/>
  <c r="F3" i="8"/>
  <c r="E3" i="8"/>
  <c r="F3" i="7"/>
  <c r="G3" i="7"/>
  <c r="H3" i="7"/>
  <c r="I3" i="7"/>
  <c r="J3" i="7"/>
  <c r="K3" i="7"/>
  <c r="E3" i="7"/>
  <c r="G10" i="11" l="1"/>
  <c r="H10" i="11" s="1"/>
  <c r="C5" i="11"/>
  <c r="G16" i="12"/>
  <c r="H18" i="12"/>
  <c r="F18" i="12"/>
  <c r="E7" i="12"/>
  <c r="F7" i="12" s="1"/>
  <c r="G17" i="12"/>
  <c r="K15" i="12"/>
  <c r="G15" i="12" s="1"/>
  <c r="G18" i="11"/>
  <c r="G17" i="11"/>
  <c r="E7" i="11"/>
  <c r="F7" i="11" s="1"/>
  <c r="G16" i="11"/>
  <c r="L16" i="11"/>
  <c r="E5" i="11"/>
  <c r="F5" i="11" s="1"/>
  <c r="L15" i="11"/>
  <c r="E4" i="11"/>
  <c r="F4" i="11" s="1"/>
  <c r="G15" i="11"/>
  <c r="F15" i="11" s="1"/>
  <c r="H15" i="11"/>
  <c r="AN105" i="2"/>
  <c r="AM105" i="2"/>
  <c r="AK104" i="2"/>
  <c r="AL104" i="2" s="1"/>
  <c r="AE104" i="2"/>
  <c r="AF104" i="2" s="1"/>
  <c r="AG104" i="2" s="1"/>
  <c r="Y104" i="2"/>
  <c r="Z104" i="2" s="1"/>
  <c r="AK103" i="2"/>
  <c r="AL103" i="2" s="1"/>
  <c r="AE103" i="2"/>
  <c r="AF103" i="2" s="1"/>
  <c r="AG103" i="2" s="1"/>
  <c r="Y103" i="2"/>
  <c r="Z103" i="2" s="1"/>
  <c r="AK102" i="2"/>
  <c r="AL102" i="2" s="1"/>
  <c r="AE102" i="2"/>
  <c r="AF102" i="2" s="1"/>
  <c r="AG102" i="2" s="1"/>
  <c r="Y102" i="2"/>
  <c r="Z102" i="2" s="1"/>
  <c r="AK101" i="2"/>
  <c r="AL101" i="2" s="1"/>
  <c r="AM101" i="2" s="1"/>
  <c r="AE101" i="2"/>
  <c r="AF101" i="2" s="1"/>
  <c r="AG101" i="2" s="1"/>
  <c r="Y101" i="2"/>
  <c r="Z101" i="2" s="1"/>
  <c r="AK100" i="2"/>
  <c r="AL100" i="2" s="1"/>
  <c r="AE100" i="2"/>
  <c r="AF100" i="2" s="1"/>
  <c r="AG100" i="2" s="1"/>
  <c r="Y100" i="2"/>
  <c r="Z100" i="2" s="1"/>
  <c r="AK99" i="2"/>
  <c r="AL99" i="2" s="1"/>
  <c r="AE99" i="2"/>
  <c r="AF99" i="2" s="1"/>
  <c r="AG99" i="2" s="1"/>
  <c r="Y99" i="2"/>
  <c r="Z99" i="2" s="1"/>
  <c r="AK98" i="2"/>
  <c r="AL98" i="2" s="1"/>
  <c r="AE98" i="2"/>
  <c r="AF98" i="2" s="1"/>
  <c r="AG98" i="2" s="1"/>
  <c r="Y98" i="2"/>
  <c r="Z98" i="2" s="1"/>
  <c r="AK97" i="2"/>
  <c r="AL97" i="2" s="1"/>
  <c r="AM97" i="2" s="1"/>
  <c r="AE97" i="2"/>
  <c r="AF97" i="2" s="1"/>
  <c r="AG97" i="2" s="1"/>
  <c r="Y97" i="2"/>
  <c r="Z97" i="2" s="1"/>
  <c r="AK96" i="2"/>
  <c r="AL96" i="2" s="1"/>
  <c r="AE96" i="2"/>
  <c r="AF96" i="2" s="1"/>
  <c r="AG96" i="2" s="1"/>
  <c r="Y96" i="2"/>
  <c r="Z96" i="2" s="1"/>
  <c r="AK95" i="2"/>
  <c r="AL95" i="2" s="1"/>
  <c r="AE95" i="2"/>
  <c r="AF95" i="2" s="1"/>
  <c r="AG95" i="2" s="1"/>
  <c r="Y95" i="2"/>
  <c r="Z95" i="2" s="1"/>
  <c r="AM51" i="2"/>
  <c r="AK52" i="2"/>
  <c r="AL52" i="2" s="1"/>
  <c r="AM52" i="2" s="1"/>
  <c r="AK53" i="2"/>
  <c r="AL53" i="2" s="1"/>
  <c r="AK54" i="2"/>
  <c r="AL54" i="2" s="1"/>
  <c r="AM54" i="2" s="1"/>
  <c r="AK55" i="2"/>
  <c r="AL55" i="2" s="1"/>
  <c r="AM55" i="2" s="1"/>
  <c r="AK56" i="2"/>
  <c r="AL56" i="2" s="1"/>
  <c r="AM56" i="2" s="1"/>
  <c r="AK57" i="2"/>
  <c r="AL57" i="2" s="1"/>
  <c r="AK58" i="2"/>
  <c r="AL58" i="2" s="1"/>
  <c r="AM58" i="2" s="1"/>
  <c r="AK59" i="2"/>
  <c r="AL59" i="2" s="1"/>
  <c r="AM59" i="2" s="1"/>
  <c r="AK60" i="2"/>
  <c r="AL60" i="2" s="1"/>
  <c r="AM60" i="2" s="1"/>
  <c r="AK61" i="2"/>
  <c r="AL61" i="2" s="1"/>
  <c r="AE52" i="2"/>
  <c r="AF52" i="2" s="1"/>
  <c r="AG52" i="2" s="1"/>
  <c r="AE53" i="2"/>
  <c r="AF53" i="2" s="1"/>
  <c r="AG53" i="2" s="1"/>
  <c r="AE54" i="2"/>
  <c r="AF54" i="2" s="1"/>
  <c r="AE55" i="2"/>
  <c r="AF55" i="2" s="1"/>
  <c r="AE56" i="2"/>
  <c r="AF56" i="2" s="1"/>
  <c r="AE57" i="2"/>
  <c r="AF57" i="2" s="1"/>
  <c r="AG57" i="2" s="1"/>
  <c r="AE58" i="2"/>
  <c r="AF58" i="2" s="1"/>
  <c r="AE59" i="2"/>
  <c r="AF59" i="2" s="1"/>
  <c r="AE60" i="2"/>
  <c r="AF60" i="2" s="1"/>
  <c r="AE61" i="2"/>
  <c r="AF61" i="2" s="1"/>
  <c r="AG6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AN94" i="2"/>
  <c r="AM94" i="2"/>
  <c r="AK93" i="2"/>
  <c r="AL93" i="2" s="1"/>
  <c r="AE93" i="2"/>
  <c r="AF93" i="2" s="1"/>
  <c r="AG93" i="2" s="1"/>
  <c r="Y93" i="2"/>
  <c r="Z93" i="2" s="1"/>
  <c r="AK92" i="2"/>
  <c r="AL92" i="2" s="1"/>
  <c r="AE92" i="2"/>
  <c r="AF92" i="2" s="1"/>
  <c r="AG92" i="2" s="1"/>
  <c r="Y92" i="2"/>
  <c r="Z92" i="2" s="1"/>
  <c r="AA92" i="2" s="1"/>
  <c r="AK91" i="2"/>
  <c r="AL91" i="2" s="1"/>
  <c r="AE91" i="2"/>
  <c r="AF91" i="2" s="1"/>
  <c r="AG91" i="2" s="1"/>
  <c r="Y91" i="2"/>
  <c r="Z91" i="2" s="1"/>
  <c r="AK90" i="2"/>
  <c r="AL90" i="2" s="1"/>
  <c r="AE90" i="2"/>
  <c r="AF90" i="2" s="1"/>
  <c r="AG90" i="2" s="1"/>
  <c r="Y90" i="2"/>
  <c r="Z90" i="2" s="1"/>
  <c r="AK89" i="2"/>
  <c r="AL89" i="2" s="1"/>
  <c r="AM89" i="2" s="1"/>
  <c r="AE89" i="2"/>
  <c r="AF89" i="2" s="1"/>
  <c r="Y89" i="2"/>
  <c r="Z89" i="2" s="1"/>
  <c r="AK88" i="2"/>
  <c r="AL88" i="2" s="1"/>
  <c r="AE88" i="2"/>
  <c r="AF88" i="2" s="1"/>
  <c r="AG88" i="2" s="1"/>
  <c r="Y88" i="2"/>
  <c r="Z88" i="2" s="1"/>
  <c r="AK87" i="2"/>
  <c r="AL87" i="2" s="1"/>
  <c r="AE87" i="2"/>
  <c r="AF87" i="2" s="1"/>
  <c r="AG87" i="2" s="1"/>
  <c r="Y87" i="2"/>
  <c r="Z87" i="2" s="1"/>
  <c r="AK86" i="2"/>
  <c r="AL86" i="2" s="1"/>
  <c r="AE86" i="2"/>
  <c r="AF86" i="2" s="1"/>
  <c r="AG86" i="2" s="1"/>
  <c r="Y86" i="2"/>
  <c r="Z86" i="2" s="1"/>
  <c r="AK85" i="2"/>
  <c r="AL85" i="2" s="1"/>
  <c r="AM85" i="2" s="1"/>
  <c r="AE85" i="2"/>
  <c r="AF85" i="2" s="1"/>
  <c r="Y85" i="2"/>
  <c r="Z85" i="2" s="1"/>
  <c r="AK84" i="2"/>
  <c r="AL84" i="2" s="1"/>
  <c r="AE84" i="2"/>
  <c r="AF84" i="2" s="1"/>
  <c r="AG84" i="2" s="1"/>
  <c r="Y84" i="2"/>
  <c r="Z84" i="2" s="1"/>
  <c r="AK24" i="2"/>
  <c r="AL24" i="2" s="1"/>
  <c r="AE24" i="2"/>
  <c r="AF24" i="2" s="1"/>
  <c r="AG24" i="2" s="1"/>
  <c r="Y24" i="2"/>
  <c r="Z24" i="2" s="1"/>
  <c r="AK23" i="2"/>
  <c r="AL23" i="2" s="1"/>
  <c r="AE23" i="2"/>
  <c r="AF23" i="2" s="1"/>
  <c r="AG23" i="2" s="1"/>
  <c r="Y23" i="2"/>
  <c r="Z23" i="2" s="1"/>
  <c r="Y25" i="2"/>
  <c r="Z25" i="2" s="1"/>
  <c r="AE25" i="2"/>
  <c r="AF25" i="2" s="1"/>
  <c r="AG25" i="2" s="1"/>
  <c r="AK25" i="2"/>
  <c r="AL25" i="2" s="1"/>
  <c r="AM25" i="2" s="1"/>
  <c r="Y26" i="2"/>
  <c r="Z26" i="2" s="1"/>
  <c r="AE26" i="2"/>
  <c r="AF26" i="2" s="1"/>
  <c r="AG26" i="2" s="1"/>
  <c r="AK26" i="2"/>
  <c r="AL26" i="2" s="1"/>
  <c r="AN16" i="2"/>
  <c r="AN29" i="2"/>
  <c r="AN40" i="2"/>
  <c r="AM16" i="2"/>
  <c r="AM29" i="2"/>
  <c r="AM40" i="2"/>
  <c r="AE15" i="2"/>
  <c r="AF15" i="2" s="1"/>
  <c r="AG15" i="2" s="1"/>
  <c r="AK74" i="2"/>
  <c r="AL74" i="2" s="1"/>
  <c r="AM74" i="2" s="1"/>
  <c r="AK75" i="2"/>
  <c r="AL75" i="2" s="1"/>
  <c r="AK76" i="2"/>
  <c r="AL76" i="2" s="1"/>
  <c r="AK77" i="2"/>
  <c r="AL77" i="2" s="1"/>
  <c r="AK78" i="2"/>
  <c r="AL78" i="2" s="1"/>
  <c r="AM78" i="2" s="1"/>
  <c r="AK79" i="2"/>
  <c r="AL79" i="2" s="1"/>
  <c r="AM79" i="2" s="1"/>
  <c r="AK80" i="2"/>
  <c r="AL80" i="2" s="1"/>
  <c r="AM80" i="2" s="1"/>
  <c r="AK81" i="2"/>
  <c r="AL81" i="2" s="1"/>
  <c r="AM81" i="2" s="1"/>
  <c r="AK82" i="2"/>
  <c r="AL82" i="2" s="1"/>
  <c r="AM82" i="2" s="1"/>
  <c r="AK64" i="2"/>
  <c r="AL64" i="2" s="1"/>
  <c r="AM64" i="2" s="1"/>
  <c r="AK65" i="2"/>
  <c r="AL65" i="2" s="1"/>
  <c r="AM65" i="2" s="1"/>
  <c r="AK66" i="2"/>
  <c r="AL66" i="2" s="1"/>
  <c r="AM66" i="2" s="1"/>
  <c r="AK67" i="2"/>
  <c r="AL67" i="2" s="1"/>
  <c r="AM67" i="2" s="1"/>
  <c r="AK68" i="2"/>
  <c r="AL68" i="2" s="1"/>
  <c r="AM68" i="2" s="1"/>
  <c r="AK69" i="2"/>
  <c r="AL69" i="2" s="1"/>
  <c r="AM69" i="2" s="1"/>
  <c r="AK70" i="2"/>
  <c r="AL70" i="2" s="1"/>
  <c r="AM70" i="2" s="1"/>
  <c r="AK71" i="2"/>
  <c r="AL71" i="2" s="1"/>
  <c r="AM71" i="2" s="1"/>
  <c r="AK73" i="2"/>
  <c r="AL73" i="2" s="1"/>
  <c r="AM73" i="2" s="1"/>
  <c r="AK63" i="2"/>
  <c r="AL63" i="2" s="1"/>
  <c r="AM63" i="2" s="1"/>
  <c r="AE74" i="2"/>
  <c r="AF74" i="2" s="1"/>
  <c r="AG74" i="2" s="1"/>
  <c r="AE75" i="2"/>
  <c r="AF75" i="2" s="1"/>
  <c r="AG75" i="2" s="1"/>
  <c r="AE76" i="2"/>
  <c r="AF76" i="2" s="1"/>
  <c r="AG76" i="2" s="1"/>
  <c r="AE77" i="2"/>
  <c r="AF77" i="2" s="1"/>
  <c r="AG77" i="2" s="1"/>
  <c r="AE78" i="2"/>
  <c r="AF78" i="2" s="1"/>
  <c r="AG78" i="2" s="1"/>
  <c r="AE79" i="2"/>
  <c r="AF79" i="2" s="1"/>
  <c r="AG79" i="2" s="1"/>
  <c r="AE80" i="2"/>
  <c r="AF80" i="2" s="1"/>
  <c r="AE81" i="2"/>
  <c r="AF81" i="2" s="1"/>
  <c r="AG81" i="2" s="1"/>
  <c r="AE82" i="2"/>
  <c r="AF82" i="2" s="1"/>
  <c r="AG82" i="2" s="1"/>
  <c r="AE73" i="2"/>
  <c r="AF73" i="2" s="1"/>
  <c r="AG73" i="2" s="1"/>
  <c r="AE64" i="2"/>
  <c r="AF64" i="2" s="1"/>
  <c r="AG64" i="2" s="1"/>
  <c r="AE65" i="2"/>
  <c r="AF65" i="2" s="1"/>
  <c r="AG65" i="2" s="1"/>
  <c r="AE66" i="2"/>
  <c r="AF66" i="2" s="1"/>
  <c r="AG66" i="2" s="1"/>
  <c r="AE67" i="2"/>
  <c r="AF67" i="2" s="1"/>
  <c r="AG67" i="2" s="1"/>
  <c r="AE68" i="2"/>
  <c r="AF68" i="2" s="1"/>
  <c r="AE69" i="2"/>
  <c r="AF69" i="2" s="1"/>
  <c r="AG69" i="2" s="1"/>
  <c r="AE70" i="2"/>
  <c r="AF70" i="2" s="1"/>
  <c r="AG70" i="2" s="1"/>
  <c r="AE71" i="2"/>
  <c r="AF71" i="2" s="1"/>
  <c r="AE63" i="2"/>
  <c r="AF6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Y81" i="2"/>
  <c r="Z81" i="2" s="1"/>
  <c r="Y82" i="2"/>
  <c r="Z82" i="2" s="1"/>
  <c r="Y73" i="2"/>
  <c r="Z73" i="2" s="1"/>
  <c r="Y71" i="2"/>
  <c r="Z71" i="2" s="1"/>
  <c r="AA71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Y70" i="2"/>
  <c r="Z70" i="2" s="1"/>
  <c r="Y63" i="2"/>
  <c r="Z63" i="2" s="1"/>
  <c r="AK41" i="2"/>
  <c r="AL41" i="2" s="1"/>
  <c r="AK42" i="2"/>
  <c r="AL42" i="2" s="1"/>
  <c r="AK43" i="2"/>
  <c r="AL43" i="2" s="1"/>
  <c r="AM43" i="2" s="1"/>
  <c r="AK44" i="2"/>
  <c r="AL44" i="2" s="1"/>
  <c r="AM44" i="2" s="1"/>
  <c r="AK45" i="2"/>
  <c r="AL45" i="2" s="1"/>
  <c r="AM45" i="2" s="1"/>
  <c r="AK46" i="2"/>
  <c r="AL46" i="2" s="1"/>
  <c r="AM46" i="2" s="1"/>
  <c r="AK47" i="2"/>
  <c r="AL47" i="2" s="1"/>
  <c r="AM47" i="2" s="1"/>
  <c r="AK48" i="2"/>
  <c r="AL48" i="2" s="1"/>
  <c r="AM48" i="2" s="1"/>
  <c r="AK49" i="2"/>
  <c r="AL49" i="2" s="1"/>
  <c r="AM49" i="2" s="1"/>
  <c r="AK50" i="2"/>
  <c r="AL50" i="2" s="1"/>
  <c r="AE41" i="2"/>
  <c r="AF41" i="2" s="1"/>
  <c r="AG41" i="2" s="1"/>
  <c r="AE42" i="2"/>
  <c r="AF42" i="2" s="1"/>
  <c r="AG42" i="2" s="1"/>
  <c r="AE43" i="2"/>
  <c r="AF43" i="2" s="1"/>
  <c r="AG43" i="2" s="1"/>
  <c r="AE44" i="2"/>
  <c r="AF44" i="2" s="1"/>
  <c r="AG44" i="2" s="1"/>
  <c r="AE45" i="2"/>
  <c r="AF45" i="2" s="1"/>
  <c r="AG45" i="2" s="1"/>
  <c r="AE46" i="2"/>
  <c r="AF46" i="2" s="1"/>
  <c r="AE47" i="2"/>
  <c r="AF47" i="2" s="1"/>
  <c r="AG47" i="2" s="1"/>
  <c r="AE48" i="2"/>
  <c r="AF48" i="2" s="1"/>
  <c r="AG48" i="2" s="1"/>
  <c r="AE49" i="2"/>
  <c r="AF49" i="2" s="1"/>
  <c r="AG49" i="2" s="1"/>
  <c r="AE50" i="2"/>
  <c r="AF50" i="2" s="1"/>
  <c r="AG50" i="2" s="1"/>
  <c r="Y41" i="2"/>
  <c r="Z41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AA49" i="2" s="1"/>
  <c r="Y50" i="2"/>
  <c r="Z50" i="2" s="1"/>
  <c r="AK15" i="2"/>
  <c r="AL15" i="2" s="1"/>
  <c r="AN15" i="2" s="1"/>
  <c r="Y15" i="2"/>
  <c r="Z15" i="2" s="1"/>
  <c r="AK30" i="2"/>
  <c r="AL30" i="2" s="1"/>
  <c r="AM30" i="2" s="1"/>
  <c r="AK31" i="2"/>
  <c r="AL31" i="2" s="1"/>
  <c r="AK32" i="2"/>
  <c r="AL32" i="2" s="1"/>
  <c r="AM32" i="2" s="1"/>
  <c r="AK33" i="2"/>
  <c r="AL33" i="2" s="1"/>
  <c r="AM33" i="2" s="1"/>
  <c r="AK34" i="2"/>
  <c r="AL34" i="2" s="1"/>
  <c r="AK35" i="2"/>
  <c r="AL35" i="2" s="1"/>
  <c r="AM35" i="2" s="1"/>
  <c r="AK36" i="2"/>
  <c r="AL36" i="2" s="1"/>
  <c r="AM36" i="2" s="1"/>
  <c r="AK37" i="2"/>
  <c r="AL37" i="2" s="1"/>
  <c r="AM37" i="2" s="1"/>
  <c r="AK38" i="2"/>
  <c r="AL38" i="2" s="1"/>
  <c r="AM38" i="2" s="1"/>
  <c r="AK39" i="2"/>
  <c r="AL39" i="2" s="1"/>
  <c r="Y39" i="2"/>
  <c r="Z39" i="2" s="1"/>
  <c r="AE39" i="2"/>
  <c r="AF39" i="2" s="1"/>
  <c r="AG39" i="2" s="1"/>
  <c r="AK28" i="2"/>
  <c r="AL28" i="2" s="1"/>
  <c r="AE28" i="2"/>
  <c r="AF28" i="2" s="1"/>
  <c r="AG28" i="2" s="1"/>
  <c r="Y28" i="2"/>
  <c r="Z28" i="2" s="1"/>
  <c r="AE30" i="2"/>
  <c r="AF30" i="2" s="1"/>
  <c r="AG30" i="2" s="1"/>
  <c r="AE31" i="2"/>
  <c r="AF31" i="2" s="1"/>
  <c r="AG31" i="2" s="1"/>
  <c r="AE32" i="2"/>
  <c r="AF32" i="2" s="1"/>
  <c r="AG32" i="2" s="1"/>
  <c r="AE33" i="2"/>
  <c r="AF33" i="2" s="1"/>
  <c r="AG33" i="2" s="1"/>
  <c r="AE34" i="2"/>
  <c r="AF34" i="2" s="1"/>
  <c r="AG34" i="2" s="1"/>
  <c r="AE35" i="2"/>
  <c r="AF35" i="2" s="1"/>
  <c r="AG35" i="2" s="1"/>
  <c r="AE36" i="2"/>
  <c r="AF36" i="2" s="1"/>
  <c r="AG36" i="2" s="1"/>
  <c r="AE37" i="2"/>
  <c r="AF37" i="2" s="1"/>
  <c r="AG37" i="2" s="1"/>
  <c r="AE38" i="2"/>
  <c r="AF38" i="2" s="1"/>
  <c r="AG38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AA38" i="2" s="1"/>
  <c r="AE27" i="2"/>
  <c r="AF27" i="2" s="1"/>
  <c r="AG27" i="2" s="1"/>
  <c r="Y27" i="2"/>
  <c r="Z27" i="2" s="1"/>
  <c r="AA27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AE17" i="2"/>
  <c r="AF17" i="2" s="1"/>
  <c r="AG17" i="2" s="1"/>
  <c r="AE18" i="2"/>
  <c r="AF18" i="2" s="1"/>
  <c r="AG18" i="2" s="1"/>
  <c r="AE19" i="2"/>
  <c r="AF19" i="2" s="1"/>
  <c r="AG19" i="2" s="1"/>
  <c r="AE20" i="2"/>
  <c r="AF20" i="2" s="1"/>
  <c r="AG20" i="2" s="1"/>
  <c r="AE21" i="2"/>
  <c r="AF21" i="2" s="1"/>
  <c r="AG21" i="2" s="1"/>
  <c r="AE22" i="2"/>
  <c r="AF22" i="2" s="1"/>
  <c r="AG22" i="2" s="1"/>
  <c r="AK27" i="2"/>
  <c r="AL27" i="2" s="1"/>
  <c r="AM27" i="2" s="1"/>
  <c r="AK22" i="2"/>
  <c r="AL22" i="2" s="1"/>
  <c r="AM22" i="2" s="1"/>
  <c r="AK18" i="2"/>
  <c r="AL18" i="2" s="1"/>
  <c r="AM18" i="2" s="1"/>
  <c r="AK19" i="2"/>
  <c r="AL19" i="2" s="1"/>
  <c r="AM19" i="2" s="1"/>
  <c r="AK20" i="2"/>
  <c r="AL20" i="2" s="1"/>
  <c r="AM20" i="2" s="1"/>
  <c r="AK21" i="2"/>
  <c r="AL21" i="2" s="1"/>
  <c r="AM21" i="2" s="1"/>
  <c r="AK17" i="2"/>
  <c r="AL17" i="2" s="1"/>
  <c r="AM17" i="2" s="1"/>
  <c r="AK7" i="2"/>
  <c r="AL7" i="2" s="1"/>
  <c r="AM7" i="2" s="1"/>
  <c r="AK8" i="2"/>
  <c r="AL8" i="2" s="1"/>
  <c r="AM8" i="2" s="1"/>
  <c r="AK9" i="2"/>
  <c r="AL9" i="2" s="1"/>
  <c r="AM9" i="2" s="1"/>
  <c r="AK10" i="2"/>
  <c r="AL10" i="2" s="1"/>
  <c r="AM10" i="2" s="1"/>
  <c r="AK11" i="2"/>
  <c r="AL11" i="2" s="1"/>
  <c r="AM11" i="2" s="1"/>
  <c r="AK12" i="2"/>
  <c r="AL12" i="2" s="1"/>
  <c r="AM12" i="2" s="1"/>
  <c r="AK13" i="2"/>
  <c r="AL13" i="2" s="1"/>
  <c r="AM13" i="2" s="1"/>
  <c r="AK14" i="2"/>
  <c r="AL14" i="2" s="1"/>
  <c r="AM14" i="2" s="1"/>
  <c r="AK6" i="2"/>
  <c r="AL6" i="2" s="1"/>
  <c r="AE14" i="2"/>
  <c r="AF14" i="2" s="1"/>
  <c r="AG14" i="2" s="1"/>
  <c r="Y14" i="2"/>
  <c r="Z14" i="2" s="1"/>
  <c r="AA14" i="2" s="1"/>
  <c r="AE7" i="2"/>
  <c r="AF7" i="2" s="1"/>
  <c r="AG7" i="2" s="1"/>
  <c r="AE8" i="2"/>
  <c r="AF8" i="2" s="1"/>
  <c r="AG8" i="2" s="1"/>
  <c r="AE9" i="2"/>
  <c r="AF9" i="2" s="1"/>
  <c r="AG9" i="2" s="1"/>
  <c r="AE10" i="2"/>
  <c r="AF10" i="2" s="1"/>
  <c r="AG10" i="2" s="1"/>
  <c r="AE11" i="2"/>
  <c r="AF11" i="2" s="1"/>
  <c r="AG11" i="2" s="1"/>
  <c r="AE12" i="2"/>
  <c r="AF12" i="2" s="1"/>
  <c r="AG12" i="2" s="1"/>
  <c r="AE13" i="2"/>
  <c r="AF13" i="2" s="1"/>
  <c r="AG13" i="2" s="1"/>
  <c r="AE6" i="2"/>
  <c r="AF6" i="2" s="1"/>
  <c r="AG6" i="2" s="1"/>
  <c r="J9" i="6"/>
  <c r="J8" i="6"/>
  <c r="J7" i="6"/>
  <c r="J5" i="6"/>
  <c r="Y11" i="6"/>
  <c r="U11" i="6"/>
  <c r="P11" i="6"/>
  <c r="Q11" i="6" s="1"/>
  <c r="Y10" i="6"/>
  <c r="U10" i="6"/>
  <c r="P10" i="6"/>
  <c r="Q10" i="6" s="1"/>
  <c r="Y9" i="6"/>
  <c r="U9" i="6"/>
  <c r="P9" i="6"/>
  <c r="Q9" i="6" s="1"/>
  <c r="Y8" i="6"/>
  <c r="U8" i="6"/>
  <c r="P8" i="6"/>
  <c r="Q8" i="6" s="1"/>
  <c r="Y7" i="6"/>
  <c r="U7" i="6"/>
  <c r="P7" i="6"/>
  <c r="Q7" i="6" s="1"/>
  <c r="Y6" i="6"/>
  <c r="U6" i="6"/>
  <c r="P6" i="6"/>
  <c r="Q6" i="6" s="1"/>
  <c r="Y5" i="6"/>
  <c r="U5" i="6"/>
  <c r="P5" i="6"/>
  <c r="Q5" i="6" s="1"/>
  <c r="Y4" i="6"/>
  <c r="U4" i="6"/>
  <c r="P4" i="6"/>
  <c r="Q4" i="6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6" i="2"/>
  <c r="Z6" i="2" s="1"/>
  <c r="P17" i="6"/>
  <c r="P18" i="6"/>
  <c r="P19" i="6"/>
  <c r="P20" i="6"/>
  <c r="P21" i="6"/>
  <c r="P22" i="6"/>
  <c r="P23" i="6"/>
  <c r="P24" i="6"/>
  <c r="P25" i="6"/>
  <c r="P16" i="6"/>
  <c r="J6" i="6"/>
  <c r="U24" i="6"/>
  <c r="U25" i="6"/>
  <c r="H17" i="12" l="1"/>
  <c r="F17" i="12"/>
  <c r="H16" i="12"/>
  <c r="F16" i="12"/>
  <c r="H15" i="12"/>
  <c r="F15" i="12"/>
  <c r="H16" i="11"/>
  <c r="F16" i="11"/>
  <c r="H17" i="11"/>
  <c r="F17" i="11"/>
  <c r="H18" i="11"/>
  <c r="F18" i="11"/>
  <c r="AA84" i="2"/>
  <c r="AA86" i="2"/>
  <c r="AA91" i="2"/>
  <c r="AA88" i="2"/>
  <c r="AA101" i="2"/>
  <c r="AA96" i="2"/>
  <c r="AA99" i="2"/>
  <c r="AA97" i="2"/>
  <c r="AA90" i="2"/>
  <c r="AA85" i="2"/>
  <c r="AA98" i="2"/>
  <c r="AA63" i="2"/>
  <c r="AA89" i="2"/>
  <c r="AA102" i="2"/>
  <c r="AA87" i="2"/>
  <c r="AA100" i="2"/>
  <c r="AA60" i="2"/>
  <c r="AA55" i="2"/>
  <c r="AA56" i="2"/>
  <c r="AA61" i="2"/>
  <c r="AA95" i="2"/>
  <c r="AA53" i="2"/>
  <c r="AA93" i="2"/>
  <c r="AA59" i="2"/>
  <c r="AA52" i="2"/>
  <c r="AA58" i="2"/>
  <c r="AA57" i="2"/>
  <c r="AA103" i="2"/>
  <c r="AA54" i="2"/>
  <c r="AN89" i="2"/>
  <c r="AN103" i="2"/>
  <c r="AN98" i="2"/>
  <c r="AM98" i="2"/>
  <c r="AN102" i="2"/>
  <c r="AM102" i="2"/>
  <c r="AN100" i="2"/>
  <c r="AM100" i="2"/>
  <c r="AN95" i="2"/>
  <c r="AN99" i="2"/>
  <c r="AN96" i="2"/>
  <c r="AM96" i="2"/>
  <c r="AN104" i="2"/>
  <c r="AM104" i="2"/>
  <c r="AN97" i="2"/>
  <c r="AN101" i="2"/>
  <c r="AN61" i="2"/>
  <c r="AM95" i="2"/>
  <c r="AM99" i="2"/>
  <c r="AM103" i="2"/>
  <c r="AN59" i="2"/>
  <c r="AN85" i="2"/>
  <c r="AN53" i="2"/>
  <c r="AA104" i="2"/>
  <c r="AN57" i="2"/>
  <c r="AM57" i="2"/>
  <c r="AM61" i="2"/>
  <c r="AM53" i="2"/>
  <c r="AN51" i="2"/>
  <c r="AN55" i="2"/>
  <c r="AN60" i="2"/>
  <c r="AG60" i="2"/>
  <c r="AN54" i="2"/>
  <c r="AG54" i="2"/>
  <c r="AN58" i="2"/>
  <c r="AG58" i="2"/>
  <c r="AN52" i="2"/>
  <c r="AN56" i="2"/>
  <c r="AG56" i="2"/>
  <c r="AG59" i="2"/>
  <c r="AG55" i="2"/>
  <c r="AN93" i="2"/>
  <c r="AM93" i="2"/>
  <c r="AN84" i="2"/>
  <c r="AM84" i="2"/>
  <c r="AN86" i="2"/>
  <c r="AM86" i="2"/>
  <c r="AN88" i="2"/>
  <c r="AM88" i="2"/>
  <c r="AN90" i="2"/>
  <c r="AM90" i="2"/>
  <c r="AM91" i="2"/>
  <c r="AN91" i="2"/>
  <c r="AN92" i="2"/>
  <c r="AM92" i="2"/>
  <c r="AM87" i="2"/>
  <c r="AN87" i="2"/>
  <c r="AG89" i="2"/>
  <c r="AG85" i="2"/>
  <c r="AA24" i="2"/>
  <c r="AA23" i="2"/>
  <c r="AN23" i="2"/>
  <c r="AM23" i="2"/>
  <c r="AN24" i="2"/>
  <c r="AM24" i="2"/>
  <c r="AA26" i="2"/>
  <c r="AA25" i="2"/>
  <c r="AM26" i="2"/>
  <c r="AN26" i="2"/>
  <c r="AN25" i="2"/>
  <c r="AA10" i="2"/>
  <c r="AN21" i="2"/>
  <c r="AN39" i="2"/>
  <c r="AA46" i="2"/>
  <c r="AN50" i="2"/>
  <c r="AN42" i="2"/>
  <c r="AN17" i="2"/>
  <c r="AN80" i="2"/>
  <c r="AN75" i="2"/>
  <c r="AA44" i="2"/>
  <c r="AA6" i="2"/>
  <c r="AA47" i="2"/>
  <c r="AN77" i="2"/>
  <c r="AA13" i="2"/>
  <c r="AA31" i="2"/>
  <c r="AN31" i="2"/>
  <c r="AN76" i="2"/>
  <c r="AA36" i="2"/>
  <c r="AA8" i="2"/>
  <c r="AN6" i="2"/>
  <c r="AA34" i="2"/>
  <c r="AN28" i="2"/>
  <c r="AN34" i="2"/>
  <c r="AA68" i="2"/>
  <c r="AA79" i="2"/>
  <c r="AA32" i="2"/>
  <c r="AA39" i="2"/>
  <c r="AA11" i="2"/>
  <c r="AA21" i="2"/>
  <c r="AA37" i="2"/>
  <c r="AA15" i="2"/>
  <c r="AN46" i="2"/>
  <c r="AA18" i="2"/>
  <c r="AA41" i="2"/>
  <c r="AM31" i="2"/>
  <c r="AA7" i="2"/>
  <c r="AA17" i="2"/>
  <c r="AA33" i="2"/>
  <c r="AA48" i="2"/>
  <c r="AA67" i="2"/>
  <c r="AA80" i="2"/>
  <c r="AN71" i="2"/>
  <c r="AN67" i="2"/>
  <c r="AN43" i="2"/>
  <c r="AM77" i="2"/>
  <c r="AM50" i="2"/>
  <c r="AM28" i="2"/>
  <c r="AA66" i="2"/>
  <c r="AA78" i="2"/>
  <c r="AM76" i="2"/>
  <c r="AN35" i="2"/>
  <c r="AA12" i="2"/>
  <c r="AA22" i="2"/>
  <c r="AA30" i="2"/>
  <c r="AA45" i="2"/>
  <c r="AN41" i="2"/>
  <c r="AA64" i="2"/>
  <c r="AA77" i="2"/>
  <c r="AN68" i="2"/>
  <c r="AM42" i="2"/>
  <c r="AA20" i="2"/>
  <c r="AA73" i="2"/>
  <c r="AA76" i="2"/>
  <c r="AA28" i="2"/>
  <c r="AA43" i="2"/>
  <c r="AA70" i="2"/>
  <c r="AA75" i="2"/>
  <c r="AM39" i="2"/>
  <c r="AA9" i="2"/>
  <c r="AN8" i="2"/>
  <c r="AN18" i="2"/>
  <c r="AA19" i="2"/>
  <c r="AA35" i="2"/>
  <c r="AA50" i="2"/>
  <c r="AA42" i="2"/>
  <c r="AA69" i="2"/>
  <c r="AN69" i="2"/>
  <c r="AG46" i="2"/>
  <c r="AM34" i="2"/>
  <c r="AN63" i="2"/>
  <c r="AG63" i="2"/>
  <c r="AN66" i="2"/>
  <c r="AN49" i="2"/>
  <c r="AN33" i="2"/>
  <c r="AN7" i="2"/>
  <c r="AA74" i="2"/>
  <c r="AG80" i="2"/>
  <c r="AG71" i="2"/>
  <c r="AM75" i="2"/>
  <c r="AM41" i="2"/>
  <c r="AM15" i="2"/>
  <c r="AN82" i="2"/>
  <c r="AN74" i="2"/>
  <c r="AN65" i="2"/>
  <c r="AN48" i="2"/>
  <c r="AN32" i="2"/>
  <c r="AN22" i="2"/>
  <c r="AN14" i="2"/>
  <c r="AA81" i="2"/>
  <c r="AA82" i="2"/>
  <c r="AN81" i="2"/>
  <c r="AN73" i="2"/>
  <c r="AN64" i="2"/>
  <c r="AN47" i="2"/>
  <c r="AN13" i="2"/>
  <c r="AM6" i="2"/>
  <c r="AN38" i="2"/>
  <c r="AN30" i="2"/>
  <c r="AN20" i="2"/>
  <c r="AN12" i="2"/>
  <c r="AA65" i="2"/>
  <c r="AG68" i="2"/>
  <c r="AN79" i="2"/>
  <c r="AN70" i="2"/>
  <c r="AN45" i="2"/>
  <c r="AN37" i="2"/>
  <c r="AN19" i="2"/>
  <c r="AN11" i="2"/>
  <c r="AN78" i="2"/>
  <c r="AN44" i="2"/>
  <c r="AN36" i="2"/>
  <c r="AN10" i="2"/>
  <c r="AN27" i="2"/>
  <c r="AN9" i="2"/>
  <c r="Q25" i="6"/>
  <c r="Q24" i="6"/>
  <c r="Q20" i="6"/>
  <c r="Q21" i="6"/>
  <c r="Q22" i="6"/>
  <c r="Q23" i="6"/>
  <c r="Q18" i="6"/>
  <c r="Q17" i="6"/>
  <c r="Q16" i="6"/>
  <c r="Y23" i="6"/>
  <c r="U23" i="6"/>
  <c r="Y22" i="6"/>
  <c r="U22" i="6"/>
  <c r="Y21" i="6"/>
  <c r="U21" i="6"/>
  <c r="Y20" i="6"/>
  <c r="U20" i="6"/>
  <c r="Y19" i="6"/>
  <c r="U19" i="6"/>
  <c r="Q19" i="6"/>
  <c r="Y18" i="6"/>
  <c r="U18" i="6"/>
  <c r="Y17" i="6"/>
  <c r="U17" i="6"/>
  <c r="Y16" i="6"/>
  <c r="U16" i="6"/>
  <c r="Y41" i="6"/>
  <c r="P41" i="6"/>
  <c r="Q41" i="6" s="1"/>
  <c r="Y40" i="6"/>
  <c r="P40" i="6"/>
  <c r="Q40" i="6" s="1"/>
  <c r="Y39" i="6"/>
  <c r="P39" i="6"/>
  <c r="Q39" i="6" s="1"/>
  <c r="Y38" i="6"/>
  <c r="P38" i="6"/>
  <c r="Q38" i="6" s="1"/>
  <c r="Y37" i="6"/>
  <c r="P37" i="6"/>
  <c r="Q37" i="6" s="1"/>
  <c r="Y36" i="6"/>
  <c r="P36" i="6"/>
  <c r="Q36" i="6" s="1"/>
  <c r="Y35" i="6"/>
  <c r="P35" i="6"/>
  <c r="Q35" i="6" s="1"/>
  <c r="U34" i="6"/>
  <c r="P34" i="6"/>
  <c r="Q34" i="6" s="1"/>
  <c r="U33" i="6"/>
  <c r="P33" i="6"/>
  <c r="Q33" i="6" s="1"/>
  <c r="U32" i="6"/>
  <c r="P32" i="6"/>
  <c r="Q32" i="6" s="1"/>
  <c r="U31" i="6"/>
  <c r="P31" i="6"/>
  <c r="Q31" i="6" s="1"/>
  <c r="U30" i="6"/>
  <c r="P30" i="6"/>
  <c r="Q30" i="6" s="1"/>
  <c r="J4" i="6"/>
  <c r="AQ157" i="5" l="1"/>
  <c r="AN156" i="5"/>
  <c r="AO156" i="5" s="1"/>
  <c r="AP156" i="5" s="1"/>
  <c r="AQ156" i="5" s="1"/>
  <c r="AI156" i="5"/>
  <c r="AJ156" i="5" s="1"/>
  <c r="AH156" i="5"/>
  <c r="AA156" i="5"/>
  <c r="AB156" i="5" s="1"/>
  <c r="AC156" i="5" s="1"/>
  <c r="AP155" i="5"/>
  <c r="AQ155" i="5" s="1"/>
  <c r="AO155" i="5"/>
  <c r="AN155" i="5"/>
  <c r="AH155" i="5"/>
  <c r="AI155" i="5" s="1"/>
  <c r="AJ155" i="5" s="1"/>
  <c r="AA155" i="5"/>
  <c r="AB155" i="5" s="1"/>
  <c r="AC155" i="5" s="1"/>
  <c r="AN154" i="5"/>
  <c r="AO154" i="5" s="1"/>
  <c r="AP154" i="5" s="1"/>
  <c r="AQ154" i="5" s="1"/>
  <c r="AH154" i="5"/>
  <c r="AI154" i="5" s="1"/>
  <c r="AJ154" i="5" s="1"/>
  <c r="AA154" i="5"/>
  <c r="AB154" i="5" s="1"/>
  <c r="AC154" i="5" s="1"/>
  <c r="AO153" i="5"/>
  <c r="AP153" i="5" s="1"/>
  <c r="AQ153" i="5" s="1"/>
  <c r="AN153" i="5"/>
  <c r="AH153" i="5"/>
  <c r="AI153" i="5" s="1"/>
  <c r="AJ153" i="5" s="1"/>
  <c r="AA153" i="5"/>
  <c r="AB153" i="5" s="1"/>
  <c r="AC153" i="5" s="1"/>
  <c r="AD153" i="5" s="1"/>
  <c r="AN152" i="5"/>
  <c r="AO152" i="5" s="1"/>
  <c r="AP152" i="5" s="1"/>
  <c r="AQ152" i="5" s="1"/>
  <c r="AH152" i="5"/>
  <c r="AI152" i="5" s="1"/>
  <c r="AJ152" i="5" s="1"/>
  <c r="AA152" i="5"/>
  <c r="AB152" i="5" s="1"/>
  <c r="AC152" i="5" s="1"/>
  <c r="AD152" i="5" s="1"/>
  <c r="AO151" i="5"/>
  <c r="AP151" i="5" s="1"/>
  <c r="AQ151" i="5" s="1"/>
  <c r="AR151" i="5" s="1"/>
  <c r="AN151" i="5"/>
  <c r="AH151" i="5"/>
  <c r="AI151" i="5" s="1"/>
  <c r="AJ151" i="5" s="1"/>
  <c r="AB151" i="5"/>
  <c r="AC151" i="5" s="1"/>
  <c r="AA151" i="5"/>
  <c r="AO150" i="5"/>
  <c r="AP150" i="5" s="1"/>
  <c r="AQ150" i="5" s="1"/>
  <c r="AN150" i="5"/>
  <c r="AH150" i="5"/>
  <c r="AI150" i="5" s="1"/>
  <c r="AJ150" i="5" s="1"/>
  <c r="AA150" i="5"/>
  <c r="AB150" i="5" s="1"/>
  <c r="AC150" i="5" s="1"/>
  <c r="AD150" i="5" s="1"/>
  <c r="AO149" i="5"/>
  <c r="AP149" i="5" s="1"/>
  <c r="AQ149" i="5" s="1"/>
  <c r="AR149" i="5" s="1"/>
  <c r="AN149" i="5"/>
  <c r="AH149" i="5"/>
  <c r="AI149" i="5" s="1"/>
  <c r="AJ149" i="5" s="1"/>
  <c r="AB149" i="5"/>
  <c r="AC149" i="5" s="1"/>
  <c r="AD149" i="5" s="1"/>
  <c r="AA149" i="5"/>
  <c r="AO148" i="5"/>
  <c r="AP148" i="5" s="1"/>
  <c r="AQ148" i="5" s="1"/>
  <c r="AR148" i="5" s="1"/>
  <c r="AN148" i="5"/>
  <c r="AH148" i="5"/>
  <c r="AI148" i="5" s="1"/>
  <c r="AJ148" i="5" s="1"/>
  <c r="AA148" i="5"/>
  <c r="AB148" i="5" s="1"/>
  <c r="AC148" i="5" s="1"/>
  <c r="AD148" i="5" s="1"/>
  <c r="AO147" i="5"/>
  <c r="AP147" i="5" s="1"/>
  <c r="AQ147" i="5" s="1"/>
  <c r="AN147" i="5"/>
  <c r="AH147" i="5"/>
  <c r="AI147" i="5" s="1"/>
  <c r="AJ147" i="5" s="1"/>
  <c r="AA147" i="5"/>
  <c r="AB147" i="5" s="1"/>
  <c r="AC147" i="5" s="1"/>
  <c r="AD147" i="5" s="1"/>
  <c r="AO146" i="5"/>
  <c r="AP146" i="5" s="1"/>
  <c r="AQ146" i="5" s="1"/>
  <c r="AN146" i="5"/>
  <c r="AH146" i="5"/>
  <c r="AI146" i="5" s="1"/>
  <c r="AJ146" i="5" s="1"/>
  <c r="AA146" i="5"/>
  <c r="AB146" i="5" s="1"/>
  <c r="AC146" i="5" s="1"/>
  <c r="AD146" i="5" s="1"/>
  <c r="AQ145" i="5"/>
  <c r="AJ145" i="5"/>
  <c r="AQ144" i="5"/>
  <c r="AR144" i="5" s="1"/>
  <c r="AO144" i="5"/>
  <c r="AP144" i="5" s="1"/>
  <c r="AN144" i="5"/>
  <c r="AJ144" i="5"/>
  <c r="AI144" i="5"/>
  <c r="AH144" i="5"/>
  <c r="AA144" i="5"/>
  <c r="AB144" i="5" s="1"/>
  <c r="AC144" i="5" s="1"/>
  <c r="AD144" i="5" s="1"/>
  <c r="AN143" i="5"/>
  <c r="AO143" i="5" s="1"/>
  <c r="AP143" i="5" s="1"/>
  <c r="AQ143" i="5" s="1"/>
  <c r="AH143" i="5"/>
  <c r="AI143" i="5" s="1"/>
  <c r="AJ143" i="5" s="1"/>
  <c r="AC143" i="5"/>
  <c r="AB143" i="5"/>
  <c r="AA143" i="5"/>
  <c r="AQ142" i="5"/>
  <c r="AR142" i="5" s="1"/>
  <c r="AO142" i="5"/>
  <c r="AP142" i="5" s="1"/>
  <c r="AN142" i="5"/>
  <c r="AJ142" i="5"/>
  <c r="AI142" i="5"/>
  <c r="AH142" i="5"/>
  <c r="AA142" i="5"/>
  <c r="AB142" i="5" s="1"/>
  <c r="AC142" i="5" s="1"/>
  <c r="AD142" i="5" s="1"/>
  <c r="AN141" i="5"/>
  <c r="AO141" i="5" s="1"/>
  <c r="AP141" i="5" s="1"/>
  <c r="AQ141" i="5" s="1"/>
  <c r="AH141" i="5"/>
  <c r="AI141" i="5" s="1"/>
  <c r="AJ141" i="5" s="1"/>
  <c r="AC141" i="5"/>
  <c r="AB141" i="5"/>
  <c r="AA141" i="5"/>
  <c r="AQ140" i="5"/>
  <c r="AR140" i="5" s="1"/>
  <c r="AO140" i="5"/>
  <c r="AP140" i="5" s="1"/>
  <c r="AN140" i="5"/>
  <c r="AJ140" i="5"/>
  <c r="AI140" i="5"/>
  <c r="AH140" i="5"/>
  <c r="AA140" i="5"/>
  <c r="AB140" i="5" s="1"/>
  <c r="AC140" i="5" s="1"/>
  <c r="AD140" i="5" s="1"/>
  <c r="AQ139" i="5"/>
  <c r="AJ139" i="5"/>
  <c r="AP138" i="5"/>
  <c r="AQ138" i="5" s="1"/>
  <c r="AR138" i="5" s="1"/>
  <c r="AO138" i="5"/>
  <c r="AN138" i="5"/>
  <c r="AH138" i="5"/>
  <c r="AI138" i="5" s="1"/>
  <c r="AJ138" i="5" s="1"/>
  <c r="AB138" i="5"/>
  <c r="AC138" i="5" s="1"/>
  <c r="AD138" i="5" s="1"/>
  <c r="AA138" i="5"/>
  <c r="AO137" i="5"/>
  <c r="AP137" i="5" s="1"/>
  <c r="AQ137" i="5" s="1"/>
  <c r="AR137" i="5" s="1"/>
  <c r="AN137" i="5"/>
  <c r="AI137" i="5"/>
  <c r="AJ137" i="5" s="1"/>
  <c r="AH137" i="5"/>
  <c r="AA137" i="5"/>
  <c r="AB137" i="5" s="1"/>
  <c r="AC137" i="5" s="1"/>
  <c r="AD137" i="5" s="1"/>
  <c r="AP136" i="5"/>
  <c r="AQ136" i="5" s="1"/>
  <c r="AO136" i="5"/>
  <c r="AN136" i="5"/>
  <c r="AH136" i="5"/>
  <c r="AI136" i="5" s="1"/>
  <c r="AJ136" i="5" s="1"/>
  <c r="AA136" i="5"/>
  <c r="AB136" i="5" s="1"/>
  <c r="AC136" i="5" s="1"/>
  <c r="AD136" i="5" s="1"/>
  <c r="AQ135" i="5"/>
  <c r="AO135" i="5"/>
  <c r="AP135" i="5" s="1"/>
  <c r="AN135" i="5"/>
  <c r="AI135" i="5"/>
  <c r="AJ135" i="5" s="1"/>
  <c r="AH135" i="5"/>
  <c r="AC135" i="5"/>
  <c r="AD135" i="5" s="1"/>
  <c r="AA135" i="5"/>
  <c r="AB135" i="5" s="1"/>
  <c r="AO134" i="5"/>
  <c r="AP134" i="5" s="1"/>
  <c r="AQ134" i="5" s="1"/>
  <c r="AR134" i="5" s="1"/>
  <c r="AN134" i="5"/>
  <c r="AH134" i="5"/>
  <c r="AI134" i="5" s="1"/>
  <c r="AJ134" i="5" s="1"/>
  <c r="AA134" i="5"/>
  <c r="AB134" i="5" s="1"/>
  <c r="AC134" i="5" s="1"/>
  <c r="AD134" i="5" s="1"/>
  <c r="AO133" i="5"/>
  <c r="AP133" i="5" s="1"/>
  <c r="AQ133" i="5" s="1"/>
  <c r="AR133" i="5" s="1"/>
  <c r="AN133" i="5"/>
  <c r="AI133" i="5"/>
  <c r="AJ133" i="5" s="1"/>
  <c r="AH133" i="5"/>
  <c r="AC133" i="5"/>
  <c r="AD133" i="5" s="1"/>
  <c r="AA133" i="5"/>
  <c r="AB133" i="5" s="1"/>
  <c r="AP132" i="5"/>
  <c r="AQ132" i="5" s="1"/>
  <c r="AR132" i="5" s="1"/>
  <c r="AO132" i="5"/>
  <c r="AN132" i="5"/>
  <c r="AJ132" i="5"/>
  <c r="AH132" i="5"/>
  <c r="AI132" i="5" s="1"/>
  <c r="AA132" i="5"/>
  <c r="AB132" i="5" s="1"/>
  <c r="AC132" i="5" s="1"/>
  <c r="AD132" i="5" s="1"/>
  <c r="AQ131" i="5"/>
  <c r="AJ131" i="5"/>
  <c r="AN130" i="5"/>
  <c r="AO130" i="5" s="1"/>
  <c r="AP130" i="5" s="1"/>
  <c r="AQ130" i="5" s="1"/>
  <c r="AH130" i="5"/>
  <c r="AI130" i="5" s="1"/>
  <c r="AJ130" i="5" s="1"/>
  <c r="AC130" i="5"/>
  <c r="AD130" i="5" s="1"/>
  <c r="AB130" i="5"/>
  <c r="AA130" i="5"/>
  <c r="AR129" i="5"/>
  <c r="AS129" i="5" s="1"/>
  <c r="AN129" i="5"/>
  <c r="AO129" i="5" s="1"/>
  <c r="AP129" i="5" s="1"/>
  <c r="AQ129" i="5" s="1"/>
  <c r="AH129" i="5"/>
  <c r="AI129" i="5" s="1"/>
  <c r="AJ129" i="5" s="1"/>
  <c r="AD129" i="5"/>
  <c r="AB129" i="5"/>
  <c r="AC129" i="5" s="1"/>
  <c r="AA129" i="5"/>
  <c r="T129" i="5"/>
  <c r="AN128" i="5"/>
  <c r="AO128" i="5" s="1"/>
  <c r="AP128" i="5" s="1"/>
  <c r="AQ128" i="5" s="1"/>
  <c r="AR128" i="5" s="1"/>
  <c r="AS128" i="5" s="1"/>
  <c r="AI128" i="5"/>
  <c r="AJ128" i="5" s="1"/>
  <c r="AH128" i="5"/>
  <c r="AB128" i="5"/>
  <c r="AC128" i="5" s="1"/>
  <c r="AD128" i="5" s="1"/>
  <c r="AA128" i="5"/>
  <c r="T128" i="5"/>
  <c r="AN127" i="5"/>
  <c r="AO127" i="5" s="1"/>
  <c r="AP127" i="5" s="1"/>
  <c r="AQ127" i="5" s="1"/>
  <c r="AR127" i="5" s="1"/>
  <c r="AI127" i="5"/>
  <c r="AJ127" i="5" s="1"/>
  <c r="AH127" i="5"/>
  <c r="AA127" i="5"/>
  <c r="AB127" i="5" s="1"/>
  <c r="AC127" i="5" s="1"/>
  <c r="AD127" i="5" s="1"/>
  <c r="T127" i="5"/>
  <c r="AP126" i="5"/>
  <c r="AQ126" i="5" s="1"/>
  <c r="AR126" i="5" s="1"/>
  <c r="AS126" i="5" s="1"/>
  <c r="AO126" i="5"/>
  <c r="AN126" i="5"/>
  <c r="AJ126" i="5"/>
  <c r="AI126" i="5"/>
  <c r="AH126" i="5"/>
  <c r="AD126" i="5"/>
  <c r="AB126" i="5"/>
  <c r="AC126" i="5" s="1"/>
  <c r="AA126" i="5"/>
  <c r="T126" i="5"/>
  <c r="AP125" i="5"/>
  <c r="AQ125" i="5" s="1"/>
  <c r="AN125" i="5"/>
  <c r="AO125" i="5" s="1"/>
  <c r="AH125" i="5"/>
  <c r="AI125" i="5" s="1"/>
  <c r="AJ125" i="5" s="1"/>
  <c r="AR125" i="5" s="1"/>
  <c r="AS125" i="5" s="1"/>
  <c r="AB125" i="5"/>
  <c r="AC125" i="5" s="1"/>
  <c r="AD125" i="5" s="1"/>
  <c r="AA125" i="5"/>
  <c r="T125" i="5"/>
  <c r="AQ124" i="5"/>
  <c r="AP124" i="5"/>
  <c r="AN124" i="5"/>
  <c r="AO124" i="5" s="1"/>
  <c r="AI124" i="5"/>
  <c r="AJ124" i="5" s="1"/>
  <c r="AA124" i="5"/>
  <c r="AB124" i="5" s="1"/>
  <c r="AC124" i="5" s="1"/>
  <c r="AD124" i="5" s="1"/>
  <c r="T124" i="5"/>
  <c r="AN123" i="5"/>
  <c r="AO123" i="5" s="1"/>
  <c r="AP123" i="5" s="1"/>
  <c r="AQ123" i="5" s="1"/>
  <c r="AR123" i="5" s="1"/>
  <c r="AS123" i="5" s="1"/>
  <c r="AJ123" i="5"/>
  <c r="AH123" i="5"/>
  <c r="AI123" i="5" s="1"/>
  <c r="AC123" i="5"/>
  <c r="AD123" i="5" s="1"/>
  <c r="AB123" i="5"/>
  <c r="AA123" i="5"/>
  <c r="T123" i="5"/>
  <c r="AQ122" i="5"/>
  <c r="AO122" i="5"/>
  <c r="AP122" i="5" s="1"/>
  <c r="AN122" i="5"/>
  <c r="AI122" i="5"/>
  <c r="AJ122" i="5" s="1"/>
  <c r="AH122" i="5"/>
  <c r="AC122" i="5"/>
  <c r="AD122" i="5" s="1"/>
  <c r="AA122" i="5"/>
  <c r="AB122" i="5" s="1"/>
  <c r="T122" i="5"/>
  <c r="AR121" i="5"/>
  <c r="AS121" i="5" s="1"/>
  <c r="AQ121" i="5"/>
  <c r="AO121" i="5"/>
  <c r="AP121" i="5" s="1"/>
  <c r="AN121" i="5"/>
  <c r="AJ121" i="5"/>
  <c r="AI121" i="5"/>
  <c r="AH121" i="5"/>
  <c r="AC121" i="5"/>
  <c r="AD121" i="5" s="1"/>
  <c r="AA121" i="5"/>
  <c r="AB121" i="5" s="1"/>
  <c r="T121" i="5"/>
  <c r="AO120" i="5"/>
  <c r="AP120" i="5" s="1"/>
  <c r="AQ120" i="5" s="1"/>
  <c r="AR120" i="5" s="1"/>
  <c r="AS120" i="5" s="1"/>
  <c r="AN120" i="5"/>
  <c r="AH120" i="5"/>
  <c r="AI120" i="5" s="1"/>
  <c r="AJ120" i="5" s="1"/>
  <c r="AB120" i="5"/>
  <c r="AC120" i="5" s="1"/>
  <c r="AD120" i="5" s="1"/>
  <c r="AA120" i="5"/>
  <c r="T120" i="5"/>
  <c r="AQ119" i="5"/>
  <c r="AJ119" i="5"/>
  <c r="AQ118" i="5"/>
  <c r="AJ118" i="5"/>
  <c r="AQ117" i="5"/>
  <c r="AJ117" i="5"/>
  <c r="AQ116" i="5"/>
  <c r="AJ116" i="5"/>
  <c r="AQ115" i="5"/>
  <c r="AJ115" i="5"/>
  <c r="AQ114" i="5"/>
  <c r="AJ114" i="5"/>
  <c r="AQ113" i="5"/>
  <c r="AJ113" i="5"/>
  <c r="AQ112" i="5"/>
  <c r="AR112" i="5" s="1"/>
  <c r="AS112" i="5" s="1"/>
  <c r="AO112" i="5"/>
  <c r="AP112" i="5" s="1"/>
  <c r="AN112" i="5"/>
  <c r="AJ112" i="5"/>
  <c r="AC112" i="5"/>
  <c r="AD112" i="5" s="1"/>
  <c r="AA112" i="5"/>
  <c r="AB112" i="5" s="1"/>
  <c r="T112" i="5"/>
  <c r="AO111" i="5"/>
  <c r="AP111" i="5" s="1"/>
  <c r="AQ111" i="5" s="1"/>
  <c r="AN111" i="5"/>
  <c r="AH111" i="5"/>
  <c r="AI111" i="5" s="1"/>
  <c r="AJ111" i="5" s="1"/>
  <c r="AB111" i="5"/>
  <c r="AC111" i="5" s="1"/>
  <c r="AA111" i="5"/>
  <c r="T111" i="5"/>
  <c r="AQ110" i="5"/>
  <c r="AR110" i="5" s="1"/>
  <c r="AS110" i="5" s="1"/>
  <c r="AN110" i="5"/>
  <c r="AO110" i="5" s="1"/>
  <c r="AP110" i="5" s="1"/>
  <c r="AH110" i="5"/>
  <c r="AI110" i="5" s="1"/>
  <c r="AJ110" i="5" s="1"/>
  <c r="AC110" i="5"/>
  <c r="AB110" i="5"/>
  <c r="AA110" i="5"/>
  <c r="T110" i="5"/>
  <c r="AO109" i="5"/>
  <c r="AP109" i="5" s="1"/>
  <c r="AQ109" i="5" s="1"/>
  <c r="AR109" i="5" s="1"/>
  <c r="AS109" i="5" s="1"/>
  <c r="AN109" i="5"/>
  <c r="AI109" i="5"/>
  <c r="AJ109" i="5" s="1"/>
  <c r="AH109" i="5"/>
  <c r="AC109" i="5"/>
  <c r="AD109" i="5" s="1"/>
  <c r="AA109" i="5"/>
  <c r="AB109" i="5" s="1"/>
  <c r="T109" i="5"/>
  <c r="AO108" i="5"/>
  <c r="AP108" i="5" s="1"/>
  <c r="AQ108" i="5" s="1"/>
  <c r="AR108" i="5" s="1"/>
  <c r="AS108" i="5" s="1"/>
  <c r="AN108" i="5"/>
  <c r="AJ108" i="5"/>
  <c r="AI108" i="5"/>
  <c r="AH108" i="5"/>
  <c r="AD108" i="5"/>
  <c r="AA108" i="5"/>
  <c r="AB108" i="5" s="1"/>
  <c r="AC108" i="5" s="1"/>
  <c r="T108" i="5"/>
  <c r="AN107" i="5"/>
  <c r="AO107" i="5" s="1"/>
  <c r="AP107" i="5" s="1"/>
  <c r="AQ107" i="5" s="1"/>
  <c r="AR107" i="5" s="1"/>
  <c r="AS107" i="5" s="1"/>
  <c r="AH107" i="5"/>
  <c r="AI107" i="5" s="1"/>
  <c r="AJ107" i="5" s="1"/>
  <c r="AB107" i="5"/>
  <c r="AC107" i="5" s="1"/>
  <c r="AD107" i="5" s="1"/>
  <c r="AA107" i="5"/>
  <c r="T107" i="5"/>
  <c r="AN106" i="5"/>
  <c r="AO106" i="5" s="1"/>
  <c r="AP106" i="5" s="1"/>
  <c r="AQ106" i="5" s="1"/>
  <c r="AR106" i="5" s="1"/>
  <c r="AS106" i="5" s="1"/>
  <c r="AH106" i="5"/>
  <c r="AI106" i="5" s="1"/>
  <c r="AJ106" i="5" s="1"/>
  <c r="AC106" i="5"/>
  <c r="AB106" i="5"/>
  <c r="AA106" i="5"/>
  <c r="T106" i="5"/>
  <c r="AS105" i="5"/>
  <c r="AO105" i="5"/>
  <c r="AP105" i="5" s="1"/>
  <c r="AQ105" i="5" s="1"/>
  <c r="AR105" i="5" s="1"/>
  <c r="AN105" i="5"/>
  <c r="AH105" i="5"/>
  <c r="AI105" i="5" s="1"/>
  <c r="AJ105" i="5" s="1"/>
  <c r="AC105" i="5"/>
  <c r="AD105" i="5" s="1"/>
  <c r="AA105" i="5"/>
  <c r="AB105" i="5" s="1"/>
  <c r="T105" i="5"/>
  <c r="AO104" i="5"/>
  <c r="AP104" i="5" s="1"/>
  <c r="AQ104" i="5" s="1"/>
  <c r="AR104" i="5" s="1"/>
  <c r="AS104" i="5" s="1"/>
  <c r="AN104" i="5"/>
  <c r="AJ104" i="5"/>
  <c r="AI104" i="5"/>
  <c r="AH104" i="5"/>
  <c r="AA104" i="5"/>
  <c r="AB104" i="5" s="1"/>
  <c r="AC104" i="5" s="1"/>
  <c r="AD104" i="5" s="1"/>
  <c r="T104" i="5"/>
  <c r="AO103" i="5"/>
  <c r="AP103" i="5" s="1"/>
  <c r="AQ103" i="5" s="1"/>
  <c r="AR103" i="5" s="1"/>
  <c r="AS103" i="5" s="1"/>
  <c r="AN103" i="5"/>
  <c r="AH103" i="5"/>
  <c r="AI103" i="5" s="1"/>
  <c r="AJ103" i="5" s="1"/>
  <c r="AB103" i="5"/>
  <c r="AC103" i="5" s="1"/>
  <c r="AD103" i="5" s="1"/>
  <c r="AA103" i="5"/>
  <c r="T103" i="5"/>
  <c r="AN102" i="5"/>
  <c r="AO102" i="5" s="1"/>
  <c r="AP102" i="5" s="1"/>
  <c r="AQ102" i="5" s="1"/>
  <c r="AR102" i="5" s="1"/>
  <c r="AS102" i="5" s="1"/>
  <c r="AI102" i="5"/>
  <c r="AJ102" i="5" s="1"/>
  <c r="AH102" i="5"/>
  <c r="AB102" i="5"/>
  <c r="AC102" i="5" s="1"/>
  <c r="AD102" i="5" s="1"/>
  <c r="AA102" i="5"/>
  <c r="T102" i="5"/>
  <c r="AN101" i="5"/>
  <c r="AO101" i="5" s="1"/>
  <c r="AP101" i="5" s="1"/>
  <c r="AQ101" i="5" s="1"/>
  <c r="AR101" i="5" s="1"/>
  <c r="AS101" i="5" s="1"/>
  <c r="AI101" i="5"/>
  <c r="AJ101" i="5" s="1"/>
  <c r="AH101" i="5"/>
  <c r="AC101" i="5"/>
  <c r="AD101" i="5" s="1"/>
  <c r="AA101" i="5"/>
  <c r="AB101" i="5" s="1"/>
  <c r="T101" i="5"/>
  <c r="AP100" i="5"/>
  <c r="AQ100" i="5" s="1"/>
  <c r="AO100" i="5"/>
  <c r="AN100" i="5"/>
  <c r="AJ100" i="5"/>
  <c r="AI100" i="5"/>
  <c r="AH100" i="5"/>
  <c r="AB100" i="5"/>
  <c r="AC100" i="5" s="1"/>
  <c r="AD100" i="5" s="1"/>
  <c r="AA100" i="5"/>
  <c r="T100" i="5"/>
  <c r="AQ99" i="5"/>
  <c r="AJ99" i="5"/>
  <c r="T99" i="5"/>
  <c r="AQ98" i="5"/>
  <c r="AR98" i="5" s="1"/>
  <c r="AS98" i="5" s="1"/>
  <c r="AP98" i="5"/>
  <c r="AN98" i="5"/>
  <c r="AO98" i="5" s="1"/>
  <c r="AJ98" i="5"/>
  <c r="AH98" i="5"/>
  <c r="AI98" i="5" s="1"/>
  <c r="AB98" i="5"/>
  <c r="AC98" i="5" s="1"/>
  <c r="AD95" i="5" s="1"/>
  <c r="AA98" i="5"/>
  <c r="T98" i="5"/>
  <c r="AQ97" i="5"/>
  <c r="AR97" i="5" s="1"/>
  <c r="AS97" i="5" s="1"/>
  <c r="AO97" i="5"/>
  <c r="AP97" i="5" s="1"/>
  <c r="AN97" i="5"/>
  <c r="AH97" i="5"/>
  <c r="AI97" i="5" s="1"/>
  <c r="AJ97" i="5" s="1"/>
  <c r="AA97" i="5"/>
  <c r="AB97" i="5" s="1"/>
  <c r="AC97" i="5" s="1"/>
  <c r="T97" i="5"/>
  <c r="AN96" i="5"/>
  <c r="AO96" i="5" s="1"/>
  <c r="AP96" i="5" s="1"/>
  <c r="AQ96" i="5" s="1"/>
  <c r="AR96" i="5" s="1"/>
  <c r="AS96" i="5" s="1"/>
  <c r="AJ96" i="5"/>
  <c r="AI96" i="5"/>
  <c r="AH96" i="5"/>
  <c r="AC96" i="5"/>
  <c r="AA96" i="5"/>
  <c r="AB96" i="5" s="1"/>
  <c r="T96" i="5"/>
  <c r="AO95" i="5"/>
  <c r="AP95" i="5" s="1"/>
  <c r="AQ95" i="5" s="1"/>
  <c r="AN95" i="5"/>
  <c r="AJ95" i="5"/>
  <c r="AH95" i="5"/>
  <c r="AI95" i="5" s="1"/>
  <c r="AB95" i="5"/>
  <c r="AC95" i="5" s="1"/>
  <c r="AA95" i="5"/>
  <c r="T95" i="5"/>
  <c r="AR94" i="5"/>
  <c r="AS94" i="5" s="1"/>
  <c r="AN94" i="5"/>
  <c r="AO94" i="5" s="1"/>
  <c r="AP94" i="5" s="1"/>
  <c r="AQ94" i="5" s="1"/>
  <c r="AJ94" i="5"/>
  <c r="AH94" i="5"/>
  <c r="AI94" i="5" s="1"/>
  <c r="AB94" i="5"/>
  <c r="AC94" i="5" s="1"/>
  <c r="AD94" i="5" s="1"/>
  <c r="AA94" i="5"/>
  <c r="T94" i="5"/>
  <c r="AO93" i="5"/>
  <c r="AP93" i="5" s="1"/>
  <c r="AQ93" i="5" s="1"/>
  <c r="AN93" i="5"/>
  <c r="AI93" i="5"/>
  <c r="AJ93" i="5" s="1"/>
  <c r="AH93" i="5"/>
  <c r="AB93" i="5"/>
  <c r="AC93" i="5" s="1"/>
  <c r="AD93" i="5" s="1"/>
  <c r="AA93" i="5"/>
  <c r="T93" i="5"/>
  <c r="AQ92" i="5"/>
  <c r="AR92" i="5" s="1"/>
  <c r="AS92" i="5" s="1"/>
  <c r="AN92" i="5"/>
  <c r="AO92" i="5" s="1"/>
  <c r="AP92" i="5" s="1"/>
  <c r="AJ92" i="5"/>
  <c r="AI92" i="5"/>
  <c r="AH92" i="5"/>
  <c r="AD92" i="5"/>
  <c r="AA92" i="5"/>
  <c r="AB92" i="5" s="1"/>
  <c r="AC92" i="5" s="1"/>
  <c r="T92" i="5"/>
  <c r="AO91" i="5"/>
  <c r="AP91" i="5" s="1"/>
  <c r="AQ91" i="5" s="1"/>
  <c r="AN91" i="5"/>
  <c r="AJ91" i="5"/>
  <c r="AH91" i="5"/>
  <c r="AI91" i="5" s="1"/>
  <c r="AA91" i="5"/>
  <c r="AB91" i="5" s="1"/>
  <c r="AC91" i="5" s="1"/>
  <c r="AD91" i="5" s="1"/>
  <c r="T91" i="5"/>
  <c r="AP90" i="5"/>
  <c r="AQ90" i="5" s="1"/>
  <c r="AO90" i="5"/>
  <c r="AN90" i="5"/>
  <c r="AJ90" i="5"/>
  <c r="AH90" i="5"/>
  <c r="AI90" i="5" s="1"/>
  <c r="AA90" i="5"/>
  <c r="AB90" i="5" s="1"/>
  <c r="AC90" i="5" s="1"/>
  <c r="AD90" i="5" s="1"/>
  <c r="T90" i="5"/>
  <c r="AO89" i="5"/>
  <c r="AP89" i="5" s="1"/>
  <c r="AQ89" i="5" s="1"/>
  <c r="AR89" i="5" s="1"/>
  <c r="AS89" i="5" s="1"/>
  <c r="AN89" i="5"/>
  <c r="AI89" i="5"/>
  <c r="AJ89" i="5" s="1"/>
  <c r="AH89" i="5"/>
  <c r="AB89" i="5"/>
  <c r="AC89" i="5" s="1"/>
  <c r="AD89" i="5" s="1"/>
  <c r="AA89" i="5"/>
  <c r="T89" i="5"/>
  <c r="AQ88" i="5"/>
  <c r="AO88" i="5"/>
  <c r="AP88" i="5" s="1"/>
  <c r="AN88" i="5"/>
  <c r="AJ88" i="5"/>
  <c r="AH88" i="5"/>
  <c r="AI88" i="5" s="1"/>
  <c r="AA88" i="5"/>
  <c r="AB88" i="5" s="1"/>
  <c r="AC88" i="5" s="1"/>
  <c r="AD88" i="5" s="1"/>
  <c r="T88" i="5"/>
  <c r="AQ87" i="5"/>
  <c r="AJ87" i="5"/>
  <c r="T87" i="5"/>
  <c r="AO86" i="5"/>
  <c r="AP86" i="5" s="1"/>
  <c r="AQ86" i="5" s="1"/>
  <c r="AR86" i="5" s="1"/>
  <c r="AS86" i="5" s="1"/>
  <c r="AN86" i="5"/>
  <c r="AI86" i="5"/>
  <c r="AJ86" i="5" s="1"/>
  <c r="AH86" i="5"/>
  <c r="AA86" i="5"/>
  <c r="AB86" i="5" s="1"/>
  <c r="AC86" i="5" s="1"/>
  <c r="AD86" i="5" s="1"/>
  <c r="T86" i="5"/>
  <c r="AN85" i="5"/>
  <c r="AO85" i="5" s="1"/>
  <c r="AP85" i="5" s="1"/>
  <c r="AQ85" i="5" s="1"/>
  <c r="AR85" i="5" s="1"/>
  <c r="AS85" i="5" s="1"/>
  <c r="AH85" i="5"/>
  <c r="AI85" i="5" s="1"/>
  <c r="AJ85" i="5" s="1"/>
  <c r="AB85" i="5"/>
  <c r="AC85" i="5" s="1"/>
  <c r="AD85" i="5" s="1"/>
  <c r="AA85" i="5"/>
  <c r="T85" i="5"/>
  <c r="AN84" i="5"/>
  <c r="AO84" i="5" s="1"/>
  <c r="AP84" i="5" s="1"/>
  <c r="AQ84" i="5" s="1"/>
  <c r="AR84" i="5" s="1"/>
  <c r="AS84" i="5" s="1"/>
  <c r="AH84" i="5"/>
  <c r="AI84" i="5" s="1"/>
  <c r="AJ84" i="5" s="1"/>
  <c r="AB84" i="5"/>
  <c r="AC84" i="5" s="1"/>
  <c r="AD84" i="5" s="1"/>
  <c r="AA84" i="5"/>
  <c r="T84" i="5"/>
  <c r="AN83" i="5"/>
  <c r="AO83" i="5" s="1"/>
  <c r="AP83" i="5" s="1"/>
  <c r="AQ83" i="5" s="1"/>
  <c r="AR83" i="5" s="1"/>
  <c r="AS83" i="5" s="1"/>
  <c r="AJ83" i="5"/>
  <c r="AI83" i="5"/>
  <c r="AH83" i="5"/>
  <c r="AB83" i="5"/>
  <c r="AC83" i="5" s="1"/>
  <c r="AD83" i="5" s="1"/>
  <c r="AA83" i="5"/>
  <c r="T83" i="5"/>
  <c r="AO82" i="5"/>
  <c r="AP82" i="5" s="1"/>
  <c r="AQ82" i="5" s="1"/>
  <c r="AN82" i="5"/>
  <c r="AJ82" i="5"/>
  <c r="AH82" i="5"/>
  <c r="AI82" i="5" s="1"/>
  <c r="AD82" i="5"/>
  <c r="AB82" i="5"/>
  <c r="AC82" i="5" s="1"/>
  <c r="AA82" i="5"/>
  <c r="T82" i="5"/>
  <c r="AN81" i="5"/>
  <c r="AO81" i="5" s="1"/>
  <c r="AP81" i="5" s="1"/>
  <c r="AQ81" i="5" s="1"/>
  <c r="AH81" i="5"/>
  <c r="AI81" i="5" s="1"/>
  <c r="AJ81" i="5" s="1"/>
  <c r="AR81" i="5" s="1"/>
  <c r="AS81" i="5" s="1"/>
  <c r="AC81" i="5"/>
  <c r="AD81" i="5" s="1"/>
  <c r="AB81" i="5"/>
  <c r="AA81" i="5"/>
  <c r="T81" i="5"/>
  <c r="AO80" i="5"/>
  <c r="AP80" i="5" s="1"/>
  <c r="AQ80" i="5" s="1"/>
  <c r="AR80" i="5" s="1"/>
  <c r="AS80" i="5" s="1"/>
  <c r="AN80" i="5"/>
  <c r="AH80" i="5"/>
  <c r="AI80" i="5" s="1"/>
  <c r="AJ80" i="5" s="1"/>
  <c r="AB80" i="5"/>
  <c r="AC80" i="5" s="1"/>
  <c r="AD80" i="5" s="1"/>
  <c r="AA80" i="5"/>
  <c r="T80" i="5"/>
  <c r="AP79" i="5"/>
  <c r="AQ79" i="5" s="1"/>
  <c r="AO79" i="5"/>
  <c r="AN79" i="5"/>
  <c r="AJ79" i="5"/>
  <c r="AI79" i="5"/>
  <c r="AH79" i="5"/>
  <c r="AB79" i="5"/>
  <c r="AC79" i="5" s="1"/>
  <c r="AD79" i="5" s="1"/>
  <c r="AA79" i="5"/>
  <c r="T79" i="5"/>
  <c r="AP78" i="5"/>
  <c r="AQ78" i="5" s="1"/>
  <c r="AN78" i="5"/>
  <c r="AO78" i="5" s="1"/>
  <c r="AJ78" i="5"/>
  <c r="AI78" i="5"/>
  <c r="AH78" i="5"/>
  <c r="AD78" i="5"/>
  <c r="AA78" i="5"/>
  <c r="AB78" i="5" s="1"/>
  <c r="AC78" i="5" s="1"/>
  <c r="T78" i="5"/>
  <c r="AO77" i="5"/>
  <c r="AP77" i="5" s="1"/>
  <c r="AQ77" i="5" s="1"/>
  <c r="AR77" i="5" s="1"/>
  <c r="AS77" i="5" s="1"/>
  <c r="AN77" i="5"/>
  <c r="AJ77" i="5"/>
  <c r="AH77" i="5"/>
  <c r="AI77" i="5" s="1"/>
  <c r="AA77" i="5"/>
  <c r="AB77" i="5" s="1"/>
  <c r="AC77" i="5" s="1"/>
  <c r="AD77" i="5" s="1"/>
  <c r="T77" i="5"/>
  <c r="AP76" i="5"/>
  <c r="AQ76" i="5" s="1"/>
  <c r="AO76" i="5"/>
  <c r="AN76" i="5"/>
  <c r="AH76" i="5"/>
  <c r="AI76" i="5" s="1"/>
  <c r="AJ76" i="5" s="1"/>
  <c r="AB76" i="5"/>
  <c r="AC76" i="5" s="1"/>
  <c r="AD76" i="5" s="1"/>
  <c r="AA76" i="5"/>
  <c r="T76" i="5"/>
  <c r="AJ75" i="5"/>
  <c r="T75" i="5"/>
  <c r="AO74" i="5"/>
  <c r="AP74" i="5" s="1"/>
  <c r="AQ74" i="5" s="1"/>
  <c r="AR74" i="5" s="1"/>
  <c r="AS74" i="5" s="1"/>
  <c r="AN74" i="5"/>
  <c r="AH74" i="5"/>
  <c r="AI74" i="5" s="1"/>
  <c r="AJ74" i="5" s="1"/>
  <c r="AB74" i="5"/>
  <c r="AC74" i="5" s="1"/>
  <c r="AD74" i="5" s="1"/>
  <c r="AA74" i="5"/>
  <c r="T74" i="5"/>
  <c r="AN73" i="5"/>
  <c r="AO73" i="5" s="1"/>
  <c r="AP73" i="5" s="1"/>
  <c r="AQ73" i="5" s="1"/>
  <c r="AR73" i="5" s="1"/>
  <c r="AS73" i="5" s="1"/>
  <c r="AH73" i="5"/>
  <c r="AI73" i="5" s="1"/>
  <c r="AJ73" i="5" s="1"/>
  <c r="AC73" i="5"/>
  <c r="AD73" i="5" s="1"/>
  <c r="AA73" i="5"/>
  <c r="AB73" i="5" s="1"/>
  <c r="T73" i="5"/>
  <c r="AO72" i="5"/>
  <c r="AP72" i="5" s="1"/>
  <c r="AQ72" i="5" s="1"/>
  <c r="AR72" i="5" s="1"/>
  <c r="AS72" i="5" s="1"/>
  <c r="AN72" i="5"/>
  <c r="AI72" i="5"/>
  <c r="AJ72" i="5" s="1"/>
  <c r="AH72" i="5"/>
  <c r="AC72" i="5"/>
  <c r="AA72" i="5"/>
  <c r="AB72" i="5" s="1"/>
  <c r="T72" i="5"/>
  <c r="AQ71" i="5"/>
  <c r="AR71" i="5" s="1"/>
  <c r="AS71" i="5" s="1"/>
  <c r="AO71" i="5"/>
  <c r="AP71" i="5" s="1"/>
  <c r="AN71" i="5"/>
  <c r="AJ71" i="5"/>
  <c r="AH71" i="5"/>
  <c r="AI71" i="5" s="1"/>
  <c r="AA71" i="5"/>
  <c r="AB71" i="5" s="1"/>
  <c r="AC71" i="5" s="1"/>
  <c r="AD71" i="5" s="1"/>
  <c r="T71" i="5"/>
  <c r="AP70" i="5"/>
  <c r="AQ70" i="5" s="1"/>
  <c r="AR70" i="5" s="1"/>
  <c r="AS70" i="5" s="1"/>
  <c r="AO70" i="5"/>
  <c r="AN70" i="5"/>
  <c r="AJ70" i="5"/>
  <c r="AH70" i="5"/>
  <c r="AI70" i="5" s="1"/>
  <c r="AA70" i="5"/>
  <c r="AB70" i="5" s="1"/>
  <c r="AC70" i="5" s="1"/>
  <c r="AD70" i="5" s="1"/>
  <c r="T70" i="5"/>
  <c r="AS69" i="5"/>
  <c r="AQ69" i="5"/>
  <c r="AR69" i="5" s="1"/>
  <c r="AN69" i="5"/>
  <c r="AO69" i="5" s="1"/>
  <c r="AP69" i="5" s="1"/>
  <c r="AJ69" i="5"/>
  <c r="AH69" i="5"/>
  <c r="AI69" i="5" s="1"/>
  <c r="AA69" i="5"/>
  <c r="AB69" i="5" s="1"/>
  <c r="AC69" i="5" s="1"/>
  <c r="AD69" i="5" s="1"/>
  <c r="T69" i="5"/>
  <c r="AO68" i="5"/>
  <c r="AP68" i="5" s="1"/>
  <c r="AQ68" i="5" s="1"/>
  <c r="AR68" i="5" s="1"/>
  <c r="AS68" i="5" s="1"/>
  <c r="AN68" i="5"/>
  <c r="AH68" i="5"/>
  <c r="AI68" i="5" s="1"/>
  <c r="AJ68" i="5" s="1"/>
  <c r="AC68" i="5"/>
  <c r="AD68" i="5" s="1"/>
  <c r="AA68" i="5"/>
  <c r="AB68" i="5" s="1"/>
  <c r="T68" i="5"/>
  <c r="AQ67" i="5"/>
  <c r="AO67" i="5"/>
  <c r="AP67" i="5" s="1"/>
  <c r="AN67" i="5"/>
  <c r="AH67" i="5"/>
  <c r="AI67" i="5" s="1"/>
  <c r="AJ67" i="5" s="1"/>
  <c r="AC67" i="5"/>
  <c r="AD67" i="5" s="1"/>
  <c r="AA67" i="5"/>
  <c r="AB67" i="5" s="1"/>
  <c r="T67" i="5"/>
  <c r="AO66" i="5"/>
  <c r="AP66" i="5" s="1"/>
  <c r="AQ66" i="5" s="1"/>
  <c r="AN66" i="5"/>
  <c r="AH66" i="5"/>
  <c r="AI66" i="5" s="1"/>
  <c r="AJ66" i="5" s="1"/>
  <c r="AB66" i="5"/>
  <c r="AC66" i="5" s="1"/>
  <c r="AD66" i="5" s="1"/>
  <c r="AA66" i="5"/>
  <c r="T66" i="5"/>
  <c r="AO65" i="5"/>
  <c r="AP65" i="5" s="1"/>
  <c r="AQ65" i="5" s="1"/>
  <c r="AR65" i="5" s="1"/>
  <c r="AS65" i="5" s="1"/>
  <c r="AI65" i="5"/>
  <c r="AJ65" i="5" s="1"/>
  <c r="AH65" i="5"/>
  <c r="AD65" i="5"/>
  <c r="AB65" i="5"/>
  <c r="AC65" i="5" s="1"/>
  <c r="AA65" i="5"/>
  <c r="T65" i="5"/>
  <c r="AP64" i="5"/>
  <c r="AQ64" i="5" s="1"/>
  <c r="AR64" i="5" s="1"/>
  <c r="AS64" i="5" s="1"/>
  <c r="AN64" i="5"/>
  <c r="AO64" i="5" s="1"/>
  <c r="AH64" i="5"/>
  <c r="AI64" i="5" s="1"/>
  <c r="AJ64" i="5" s="1"/>
  <c r="AB64" i="5"/>
  <c r="AC64" i="5" s="1"/>
  <c r="AA64" i="5"/>
  <c r="T64" i="5"/>
  <c r="AQ63" i="5"/>
  <c r="AJ63" i="5"/>
  <c r="T63" i="5"/>
  <c r="AQ62" i="5"/>
  <c r="AJ62" i="5"/>
  <c r="AB62" i="5"/>
  <c r="AC62" i="5" s="1"/>
  <c r="AD62" i="5" s="1"/>
  <c r="AA62" i="5"/>
  <c r="T62" i="5"/>
  <c r="AS61" i="5"/>
  <c r="AR61" i="5"/>
  <c r="AP61" i="5"/>
  <c r="AQ61" i="5" s="1"/>
  <c r="AN61" i="5"/>
  <c r="AO61" i="5" s="1"/>
  <c r="AH61" i="5"/>
  <c r="AI61" i="5" s="1"/>
  <c r="AJ61" i="5" s="1"/>
  <c r="AC61" i="5"/>
  <c r="AD61" i="5" s="1"/>
  <c r="AB61" i="5"/>
  <c r="AA61" i="5"/>
  <c r="T61" i="5"/>
  <c r="AN60" i="5"/>
  <c r="AO60" i="5" s="1"/>
  <c r="AP60" i="5" s="1"/>
  <c r="AQ60" i="5" s="1"/>
  <c r="AR60" i="5" s="1"/>
  <c r="AS60" i="5" s="1"/>
  <c r="AI60" i="5"/>
  <c r="AJ60" i="5" s="1"/>
  <c r="AH60" i="5"/>
  <c r="AA60" i="5"/>
  <c r="AB60" i="5" s="1"/>
  <c r="AC60" i="5" s="1"/>
  <c r="AD60" i="5" s="1"/>
  <c r="T60" i="5"/>
  <c r="AN59" i="5"/>
  <c r="AO59" i="5" s="1"/>
  <c r="AP59" i="5" s="1"/>
  <c r="AQ59" i="5" s="1"/>
  <c r="AI59" i="5"/>
  <c r="AJ59" i="5" s="1"/>
  <c r="AH59" i="5"/>
  <c r="AD59" i="5"/>
  <c r="AA59" i="5"/>
  <c r="AB59" i="5" s="1"/>
  <c r="AC59" i="5" s="1"/>
  <c r="T59" i="5"/>
  <c r="AN58" i="5"/>
  <c r="AO58" i="5" s="1"/>
  <c r="AP58" i="5" s="1"/>
  <c r="AQ58" i="5" s="1"/>
  <c r="AR58" i="5" s="1"/>
  <c r="AS58" i="5" s="1"/>
  <c r="AI58" i="5"/>
  <c r="AJ58" i="5" s="1"/>
  <c r="AH58" i="5"/>
  <c r="AB58" i="5"/>
  <c r="AC58" i="5" s="1"/>
  <c r="AD58" i="5" s="1"/>
  <c r="AA58" i="5"/>
  <c r="T58" i="5"/>
  <c r="AQ57" i="5"/>
  <c r="AR57" i="5" s="1"/>
  <c r="AS57" i="5" s="1"/>
  <c r="AP57" i="5"/>
  <c r="AN57" i="5"/>
  <c r="AO57" i="5" s="1"/>
  <c r="AH57" i="5"/>
  <c r="AI57" i="5" s="1"/>
  <c r="AJ57" i="5" s="1"/>
  <c r="AB57" i="5"/>
  <c r="AC57" i="5" s="1"/>
  <c r="AD57" i="5" s="1"/>
  <c r="AA57" i="5"/>
  <c r="T57" i="5"/>
  <c r="AN56" i="5"/>
  <c r="AO56" i="5" s="1"/>
  <c r="AP56" i="5" s="1"/>
  <c r="AQ56" i="5" s="1"/>
  <c r="AR56" i="5" s="1"/>
  <c r="AS56" i="5" s="1"/>
  <c r="AI56" i="5"/>
  <c r="AJ56" i="5" s="1"/>
  <c r="AH56" i="5"/>
  <c r="AB56" i="5"/>
  <c r="AC56" i="5" s="1"/>
  <c r="AD56" i="5" s="1"/>
  <c r="AA56" i="5"/>
  <c r="T56" i="5"/>
  <c r="AO55" i="5"/>
  <c r="AP55" i="5" s="1"/>
  <c r="AQ55" i="5" s="1"/>
  <c r="AR55" i="5" s="1"/>
  <c r="AS55" i="5" s="1"/>
  <c r="AN55" i="5"/>
  <c r="AJ55" i="5"/>
  <c r="AI55" i="5"/>
  <c r="AH55" i="5"/>
  <c r="AA55" i="5"/>
  <c r="AB55" i="5" s="1"/>
  <c r="AC55" i="5" s="1"/>
  <c r="AD55" i="5" s="1"/>
  <c r="T55" i="5"/>
  <c r="AP54" i="5"/>
  <c r="AQ54" i="5" s="1"/>
  <c r="AN54" i="5"/>
  <c r="AO54" i="5" s="1"/>
  <c r="AH54" i="5"/>
  <c r="AI54" i="5" s="1"/>
  <c r="AJ54" i="5" s="1"/>
  <c r="AC54" i="5"/>
  <c r="AD54" i="5" s="1"/>
  <c r="AB54" i="5"/>
  <c r="AA54" i="5"/>
  <c r="T54" i="5"/>
  <c r="AO53" i="5"/>
  <c r="AP53" i="5" s="1"/>
  <c r="AQ53" i="5" s="1"/>
  <c r="AR53" i="5" s="1"/>
  <c r="AS53" i="5" s="1"/>
  <c r="AN53" i="5"/>
  <c r="AI53" i="5"/>
  <c r="AJ53" i="5" s="1"/>
  <c r="AH53" i="5"/>
  <c r="AB53" i="5"/>
  <c r="AC53" i="5" s="1"/>
  <c r="AD53" i="5" s="1"/>
  <c r="AA53" i="5"/>
  <c r="T53" i="5"/>
  <c r="AN52" i="5"/>
  <c r="AO52" i="5" s="1"/>
  <c r="AP52" i="5" s="1"/>
  <c r="AQ52" i="5" s="1"/>
  <c r="AR52" i="5" s="1"/>
  <c r="AS52" i="5" s="1"/>
  <c r="AJ52" i="5"/>
  <c r="AI52" i="5"/>
  <c r="AH52" i="5"/>
  <c r="AC52" i="5"/>
  <c r="AD52" i="5" s="1"/>
  <c r="AB52" i="5"/>
  <c r="AA52" i="5"/>
  <c r="T52" i="5"/>
  <c r="AQ51" i="5"/>
  <c r="AJ51" i="5"/>
  <c r="AQ50" i="5"/>
  <c r="AJ50" i="5"/>
  <c r="AA50" i="5"/>
  <c r="AB50" i="5" s="1"/>
  <c r="AC50" i="5" s="1"/>
  <c r="AN49" i="5"/>
  <c r="AO49" i="5" s="1"/>
  <c r="AP49" i="5" s="1"/>
  <c r="AQ49" i="5" s="1"/>
  <c r="AR49" i="5" s="1"/>
  <c r="AS49" i="5" s="1"/>
  <c r="AH49" i="5"/>
  <c r="AI49" i="5" s="1"/>
  <c r="AJ49" i="5" s="1"/>
  <c r="AA49" i="5"/>
  <c r="AB49" i="5" s="1"/>
  <c r="AC49" i="5" s="1"/>
  <c r="AD49" i="5" s="1"/>
  <c r="T49" i="5"/>
  <c r="AN48" i="5"/>
  <c r="AO48" i="5" s="1"/>
  <c r="AP48" i="5" s="1"/>
  <c r="AQ48" i="5" s="1"/>
  <c r="AI48" i="5"/>
  <c r="AJ48" i="5" s="1"/>
  <c r="AH48" i="5"/>
  <c r="AC48" i="5"/>
  <c r="AB48" i="5"/>
  <c r="AA48" i="5"/>
  <c r="T48" i="5"/>
  <c r="AP47" i="5"/>
  <c r="AQ47" i="5" s="1"/>
  <c r="AO47" i="5"/>
  <c r="AN47" i="5"/>
  <c r="AH47" i="5"/>
  <c r="AI47" i="5" s="1"/>
  <c r="AJ47" i="5" s="1"/>
  <c r="AA47" i="5"/>
  <c r="AB47" i="5" s="1"/>
  <c r="AC47" i="5" s="1"/>
  <c r="AD47" i="5" s="1"/>
  <c r="T47" i="5"/>
  <c r="AN46" i="5"/>
  <c r="AO46" i="5" s="1"/>
  <c r="AP46" i="5" s="1"/>
  <c r="AQ46" i="5" s="1"/>
  <c r="AI46" i="5"/>
  <c r="AJ46" i="5" s="1"/>
  <c r="AH46" i="5"/>
  <c r="AB46" i="5"/>
  <c r="AC46" i="5" s="1"/>
  <c r="AA46" i="5"/>
  <c r="T46" i="5"/>
  <c r="AN45" i="5"/>
  <c r="AO45" i="5" s="1"/>
  <c r="AP45" i="5" s="1"/>
  <c r="AQ45" i="5" s="1"/>
  <c r="AH45" i="5"/>
  <c r="AI45" i="5" s="1"/>
  <c r="AJ45" i="5" s="1"/>
  <c r="AB45" i="5"/>
  <c r="AC45" i="5" s="1"/>
  <c r="AD45" i="5" s="1"/>
  <c r="AA45" i="5"/>
  <c r="T45" i="5"/>
  <c r="AP44" i="5"/>
  <c r="AQ44" i="5" s="1"/>
  <c r="AR44" i="5" s="1"/>
  <c r="AS44" i="5" s="1"/>
  <c r="AN44" i="5"/>
  <c r="AO44" i="5" s="1"/>
  <c r="AJ44" i="5"/>
  <c r="AI44" i="5"/>
  <c r="AH44" i="5"/>
  <c r="AC44" i="5"/>
  <c r="AD44" i="5" s="1"/>
  <c r="AB44" i="5"/>
  <c r="AA44" i="5"/>
  <c r="T44" i="5"/>
  <c r="AO43" i="5"/>
  <c r="AP43" i="5" s="1"/>
  <c r="AQ43" i="5" s="1"/>
  <c r="AR43" i="5" s="1"/>
  <c r="AS43" i="5" s="1"/>
  <c r="AN43" i="5"/>
  <c r="AI43" i="5"/>
  <c r="AJ43" i="5" s="1"/>
  <c r="AH43" i="5"/>
  <c r="AA43" i="5"/>
  <c r="AB43" i="5" s="1"/>
  <c r="AC43" i="5" s="1"/>
  <c r="AD43" i="5" s="1"/>
  <c r="T43" i="5"/>
  <c r="AO42" i="5"/>
  <c r="AP42" i="5" s="1"/>
  <c r="AQ42" i="5" s="1"/>
  <c r="AN42" i="5"/>
  <c r="AI42" i="5"/>
  <c r="AJ42" i="5" s="1"/>
  <c r="AH42" i="5"/>
  <c r="AA42" i="5"/>
  <c r="AB42" i="5" s="1"/>
  <c r="AC42" i="5" s="1"/>
  <c r="AD42" i="5" s="1"/>
  <c r="T42" i="5"/>
  <c r="AQ40" i="5"/>
  <c r="AJ40" i="5"/>
  <c r="AA40" i="5"/>
  <c r="AB40" i="5" s="1"/>
  <c r="AC40" i="5" s="1"/>
  <c r="AD40" i="5" s="1"/>
  <c r="T40" i="5"/>
  <c r="AO39" i="5"/>
  <c r="AP39" i="5" s="1"/>
  <c r="AQ39" i="5" s="1"/>
  <c r="AN39" i="5"/>
  <c r="AH39" i="5"/>
  <c r="AI39" i="5" s="1"/>
  <c r="AJ39" i="5" s="1"/>
  <c r="AA39" i="5"/>
  <c r="AB39" i="5" s="1"/>
  <c r="AC39" i="5" s="1"/>
  <c r="AD39" i="5" s="1"/>
  <c r="T39" i="5"/>
  <c r="AN38" i="5"/>
  <c r="AO38" i="5" s="1"/>
  <c r="AP38" i="5" s="1"/>
  <c r="AQ38" i="5" s="1"/>
  <c r="AR38" i="5" s="1"/>
  <c r="AS38" i="5" s="1"/>
  <c r="AH38" i="5"/>
  <c r="AI38" i="5" s="1"/>
  <c r="AJ38" i="5" s="1"/>
  <c r="AC38" i="5"/>
  <c r="AD38" i="5" s="1"/>
  <c r="AB38" i="5"/>
  <c r="AA38" i="5"/>
  <c r="T38" i="5"/>
  <c r="AO37" i="5"/>
  <c r="AP37" i="5" s="1"/>
  <c r="AQ37" i="5" s="1"/>
  <c r="AR37" i="5" s="1"/>
  <c r="AS37" i="5" s="1"/>
  <c r="AN37" i="5"/>
  <c r="AH37" i="5"/>
  <c r="AI37" i="5" s="1"/>
  <c r="AJ37" i="5" s="1"/>
  <c r="AA37" i="5"/>
  <c r="AB37" i="5" s="1"/>
  <c r="AC37" i="5" s="1"/>
  <c r="AD37" i="5" s="1"/>
  <c r="T37" i="5"/>
  <c r="AO36" i="5"/>
  <c r="AP36" i="5" s="1"/>
  <c r="AQ36" i="5" s="1"/>
  <c r="AR36" i="5" s="1"/>
  <c r="AS36" i="5" s="1"/>
  <c r="AN36" i="5"/>
  <c r="AJ36" i="5"/>
  <c r="AI36" i="5"/>
  <c r="AH36" i="5"/>
  <c r="AA36" i="5"/>
  <c r="AB36" i="5" s="1"/>
  <c r="AC36" i="5" s="1"/>
  <c r="AD36" i="5" s="1"/>
  <c r="T36" i="5"/>
  <c r="AO35" i="5"/>
  <c r="AP35" i="5" s="1"/>
  <c r="AQ35" i="5" s="1"/>
  <c r="AN35" i="5"/>
  <c r="AH35" i="5"/>
  <c r="AI35" i="5" s="1"/>
  <c r="AJ35" i="5" s="1"/>
  <c r="AA35" i="5"/>
  <c r="AB35" i="5" s="1"/>
  <c r="AC35" i="5" s="1"/>
  <c r="AD35" i="5" s="1"/>
  <c r="T35" i="5"/>
  <c r="AN34" i="5"/>
  <c r="AO34" i="5" s="1"/>
  <c r="AP34" i="5" s="1"/>
  <c r="AQ34" i="5" s="1"/>
  <c r="AH34" i="5"/>
  <c r="AI34" i="5" s="1"/>
  <c r="AJ34" i="5" s="1"/>
  <c r="AC34" i="5"/>
  <c r="AD34" i="5" s="1"/>
  <c r="AB34" i="5"/>
  <c r="AA34" i="5"/>
  <c r="T34" i="5"/>
  <c r="AO33" i="5"/>
  <c r="AP33" i="5" s="1"/>
  <c r="AQ33" i="5" s="1"/>
  <c r="AR33" i="5" s="1"/>
  <c r="AS33" i="5" s="1"/>
  <c r="AN33" i="5"/>
  <c r="AH33" i="5"/>
  <c r="AI33" i="5" s="1"/>
  <c r="AJ33" i="5" s="1"/>
  <c r="AA33" i="5"/>
  <c r="AB33" i="5" s="1"/>
  <c r="AC33" i="5" s="1"/>
  <c r="AD33" i="5" s="1"/>
  <c r="T33" i="5"/>
  <c r="AO32" i="5"/>
  <c r="AP32" i="5" s="1"/>
  <c r="AQ32" i="5" s="1"/>
  <c r="AR32" i="5" s="1"/>
  <c r="AS32" i="5" s="1"/>
  <c r="AN32" i="5"/>
  <c r="AJ32" i="5"/>
  <c r="AI32" i="5"/>
  <c r="AH32" i="5"/>
  <c r="AA32" i="5"/>
  <c r="AB32" i="5" s="1"/>
  <c r="AC32" i="5" s="1"/>
  <c r="AD32" i="5" s="1"/>
  <c r="T32" i="5"/>
  <c r="AO31" i="5"/>
  <c r="AP31" i="5" s="1"/>
  <c r="AQ31" i="5" s="1"/>
  <c r="AN31" i="5"/>
  <c r="AH31" i="5"/>
  <c r="AI31" i="5" s="1"/>
  <c r="AJ31" i="5" s="1"/>
  <c r="AA31" i="5"/>
  <c r="AB31" i="5" s="1"/>
  <c r="AC31" i="5" s="1"/>
  <c r="AD31" i="5" s="1"/>
  <c r="T31" i="5"/>
  <c r="AN30" i="5"/>
  <c r="AO30" i="5" s="1"/>
  <c r="AP30" i="5" s="1"/>
  <c r="AQ30" i="5" s="1"/>
  <c r="AR30" i="5" s="1"/>
  <c r="AS30" i="5" s="1"/>
  <c r="AH30" i="5"/>
  <c r="AI30" i="5" s="1"/>
  <c r="AJ30" i="5" s="1"/>
  <c r="AC30" i="5"/>
  <c r="AD30" i="5" s="1"/>
  <c r="AB30" i="5"/>
  <c r="AA30" i="5"/>
  <c r="T30" i="5"/>
  <c r="T29" i="5"/>
  <c r="AA28" i="5"/>
  <c r="AB28" i="5" s="1"/>
  <c r="AC28" i="5" s="1"/>
  <c r="AD28" i="5" s="1"/>
  <c r="AN27" i="5"/>
  <c r="AO27" i="5" s="1"/>
  <c r="AP27" i="5" s="1"/>
  <c r="AQ27" i="5" s="1"/>
  <c r="AR27" i="5" s="1"/>
  <c r="AS27" i="5" s="1"/>
  <c r="AI27" i="5"/>
  <c r="AJ27" i="5" s="1"/>
  <c r="AH27" i="5"/>
  <c r="AB27" i="5"/>
  <c r="AC27" i="5" s="1"/>
  <c r="AA27" i="5"/>
  <c r="T27" i="5"/>
  <c r="AN26" i="5"/>
  <c r="AO26" i="5" s="1"/>
  <c r="AP26" i="5" s="1"/>
  <c r="AQ26" i="5" s="1"/>
  <c r="AR26" i="5" s="1"/>
  <c r="AS26" i="5" s="1"/>
  <c r="AI26" i="5"/>
  <c r="AJ26" i="5" s="1"/>
  <c r="AH26" i="5"/>
  <c r="AA26" i="5"/>
  <c r="AB26" i="5" s="1"/>
  <c r="AC26" i="5" s="1"/>
  <c r="T26" i="5"/>
  <c r="AP25" i="5"/>
  <c r="AQ25" i="5" s="1"/>
  <c r="AO25" i="5"/>
  <c r="AN25" i="5"/>
  <c r="AI25" i="5"/>
  <c r="AJ25" i="5" s="1"/>
  <c r="AH25" i="5"/>
  <c r="AB25" i="5"/>
  <c r="AC25" i="5" s="1"/>
  <c r="AD25" i="5" s="1"/>
  <c r="AA25" i="5"/>
  <c r="T25" i="5"/>
  <c r="AN24" i="5"/>
  <c r="AO24" i="5" s="1"/>
  <c r="AP24" i="5" s="1"/>
  <c r="AQ24" i="5" s="1"/>
  <c r="AR24" i="5" s="1"/>
  <c r="AS24" i="5" s="1"/>
  <c r="AH24" i="5"/>
  <c r="AI24" i="5" s="1"/>
  <c r="AJ24" i="5" s="1"/>
  <c r="AB24" i="5"/>
  <c r="AC24" i="5" s="1"/>
  <c r="AA24" i="5"/>
  <c r="T24" i="5"/>
  <c r="AN23" i="5"/>
  <c r="AO23" i="5" s="1"/>
  <c r="AP23" i="5" s="1"/>
  <c r="AQ23" i="5" s="1"/>
  <c r="AR23" i="5" s="1"/>
  <c r="AS23" i="5" s="1"/>
  <c r="AI23" i="5"/>
  <c r="AJ23" i="5" s="1"/>
  <c r="AH23" i="5"/>
  <c r="AB23" i="5"/>
  <c r="AC23" i="5" s="1"/>
  <c r="AA23" i="5"/>
  <c r="T23" i="5"/>
  <c r="AN22" i="5"/>
  <c r="AO22" i="5" s="1"/>
  <c r="AP22" i="5" s="1"/>
  <c r="AQ22" i="5" s="1"/>
  <c r="AR22" i="5" s="1"/>
  <c r="AS22" i="5" s="1"/>
  <c r="AI22" i="5"/>
  <c r="AJ22" i="5" s="1"/>
  <c r="AH22" i="5"/>
  <c r="AA22" i="5"/>
  <c r="AB22" i="5" s="1"/>
  <c r="AC22" i="5" s="1"/>
  <c r="AD22" i="5" s="1"/>
  <c r="T22" i="5"/>
  <c r="AP21" i="5"/>
  <c r="AQ21" i="5" s="1"/>
  <c r="AO21" i="5"/>
  <c r="AN21" i="5"/>
  <c r="AI21" i="5"/>
  <c r="AJ21" i="5" s="1"/>
  <c r="AH21" i="5"/>
  <c r="AB21" i="5"/>
  <c r="AC21" i="5" s="1"/>
  <c r="AD21" i="5" s="1"/>
  <c r="AA21" i="5"/>
  <c r="T21" i="5"/>
  <c r="AN20" i="5"/>
  <c r="AO20" i="5" s="1"/>
  <c r="AP20" i="5" s="1"/>
  <c r="AQ20" i="5" s="1"/>
  <c r="AR20" i="5" s="1"/>
  <c r="AS20" i="5" s="1"/>
  <c r="AH20" i="5"/>
  <c r="AI20" i="5" s="1"/>
  <c r="AJ20" i="5" s="1"/>
  <c r="AB20" i="5"/>
  <c r="AC20" i="5" s="1"/>
  <c r="AA20" i="5"/>
  <c r="T20" i="5"/>
  <c r="AN19" i="5"/>
  <c r="AO19" i="5" s="1"/>
  <c r="AP19" i="5" s="1"/>
  <c r="AQ19" i="5" s="1"/>
  <c r="AR19" i="5" s="1"/>
  <c r="AS19" i="5" s="1"/>
  <c r="AI19" i="5"/>
  <c r="AJ19" i="5" s="1"/>
  <c r="AH19" i="5"/>
  <c r="AB19" i="5"/>
  <c r="AC19" i="5" s="1"/>
  <c r="AA19" i="5"/>
  <c r="T19" i="5"/>
  <c r="N13" i="5"/>
  <c r="M13" i="5"/>
  <c r="L13" i="5"/>
  <c r="K13" i="5"/>
  <c r="J13" i="5"/>
  <c r="I13" i="5"/>
  <c r="H13" i="5"/>
  <c r="G13" i="5"/>
  <c r="J12" i="5"/>
  <c r="I12" i="5"/>
  <c r="H12" i="5"/>
  <c r="G12" i="5"/>
  <c r="F12" i="5"/>
  <c r="J9" i="5"/>
  <c r="I9" i="5"/>
  <c r="H9" i="5"/>
  <c r="G9" i="5"/>
  <c r="F9" i="5"/>
  <c r="AA6" i="5"/>
  <c r="Z6" i="5"/>
  <c r="Y6" i="5"/>
  <c r="X6" i="5"/>
  <c r="W6" i="5"/>
  <c r="L6" i="5"/>
  <c r="K6" i="5"/>
  <c r="J6" i="5"/>
  <c r="I6" i="5"/>
  <c r="H6" i="5"/>
  <c r="G6" i="5"/>
  <c r="F6" i="5"/>
  <c r="AT19" i="1"/>
  <c r="AR19" i="1"/>
  <c r="AO20" i="1"/>
  <c r="AP20" i="1"/>
  <c r="AQ20" i="1" s="1"/>
  <c r="AR20" i="1" s="1"/>
  <c r="AS20" i="1" s="1"/>
  <c r="AT20" i="1" s="1"/>
  <c r="AO21" i="1"/>
  <c r="AP21" i="1"/>
  <c r="AQ21" i="1" s="1"/>
  <c r="AR21" i="1" s="1"/>
  <c r="AS21" i="1" s="1"/>
  <c r="AT21" i="1" s="1"/>
  <c r="AO22" i="1"/>
  <c r="AP22" i="1"/>
  <c r="AQ22" i="1" s="1"/>
  <c r="AR22" i="1" s="1"/>
  <c r="AS22" i="1" s="1"/>
  <c r="AT22" i="1" s="1"/>
  <c r="AO23" i="1"/>
  <c r="AP23" i="1" s="1"/>
  <c r="AQ23" i="1" s="1"/>
  <c r="AR23" i="1" s="1"/>
  <c r="AS23" i="1" s="1"/>
  <c r="AT23" i="1" s="1"/>
  <c r="AO24" i="1"/>
  <c r="AP24" i="1"/>
  <c r="AQ24" i="1" s="1"/>
  <c r="AR24" i="1" s="1"/>
  <c r="AS24" i="1" s="1"/>
  <c r="AT24" i="1" s="1"/>
  <c r="AO25" i="1"/>
  <c r="AP25" i="1"/>
  <c r="AQ25" i="1" s="1"/>
  <c r="AR25" i="1" s="1"/>
  <c r="AS25" i="1" s="1"/>
  <c r="AT25" i="1" s="1"/>
  <c r="AO26" i="1"/>
  <c r="AP26" i="1"/>
  <c r="AQ26" i="1" s="1"/>
  <c r="AR26" i="1" s="1"/>
  <c r="AS26" i="1" s="1"/>
  <c r="AT26" i="1" s="1"/>
  <c r="AO27" i="1"/>
  <c r="AP27" i="1" s="1"/>
  <c r="AQ27" i="1" s="1"/>
  <c r="AR27" i="1" s="1"/>
  <c r="AS27" i="1" s="1"/>
  <c r="AT27" i="1" s="1"/>
  <c r="AO19" i="1"/>
  <c r="AP19" i="1" s="1"/>
  <c r="AQ19" i="1" s="1"/>
  <c r="AS19" i="1" s="1"/>
  <c r="AI19" i="1"/>
  <c r="AJ19" i="1" s="1"/>
  <c r="AK19" i="1" s="1"/>
  <c r="AI20" i="1"/>
  <c r="AJ20" i="1"/>
  <c r="AK20" i="1" s="1"/>
  <c r="AI21" i="1"/>
  <c r="AJ21" i="1" s="1"/>
  <c r="AK21" i="1" s="1"/>
  <c r="AI22" i="1"/>
  <c r="AJ22" i="1"/>
  <c r="AK22" i="1" s="1"/>
  <c r="AI23" i="1"/>
  <c r="AJ23" i="1" s="1"/>
  <c r="AK23" i="1" s="1"/>
  <c r="AI24" i="1"/>
  <c r="AJ24" i="1" s="1"/>
  <c r="AK24" i="1" s="1"/>
  <c r="AI25" i="1"/>
  <c r="AJ25" i="1" s="1"/>
  <c r="AK25" i="1" s="1"/>
  <c r="AI26" i="1"/>
  <c r="AJ26" i="1"/>
  <c r="AK26" i="1" s="1"/>
  <c r="AI27" i="1"/>
  <c r="AJ27" i="1"/>
  <c r="AK27" i="1"/>
  <c r="AB28" i="1"/>
  <c r="AC28" i="1"/>
  <c r="AD28" i="1" s="1"/>
  <c r="AR40" i="1"/>
  <c r="AK40" i="1"/>
  <c r="AB40" i="1"/>
  <c r="AC40" i="1" s="1"/>
  <c r="AD40" i="1" s="1"/>
  <c r="U40" i="1"/>
  <c r="AO39" i="1"/>
  <c r="AP39" i="1" s="1"/>
  <c r="AQ39" i="1" s="1"/>
  <c r="AR39" i="1" s="1"/>
  <c r="AI39" i="1"/>
  <c r="AJ39" i="1" s="1"/>
  <c r="AK39" i="1" s="1"/>
  <c r="AB39" i="1"/>
  <c r="AC39" i="1" s="1"/>
  <c r="AD39" i="1" s="1"/>
  <c r="U39" i="1"/>
  <c r="AO38" i="1"/>
  <c r="AP38" i="1" s="1"/>
  <c r="AQ38" i="1" s="1"/>
  <c r="AR38" i="1" s="1"/>
  <c r="AI38" i="1"/>
  <c r="AJ38" i="1" s="1"/>
  <c r="AK38" i="1" s="1"/>
  <c r="AB38" i="1"/>
  <c r="AC38" i="1" s="1"/>
  <c r="AD38" i="1" s="1"/>
  <c r="U38" i="1"/>
  <c r="AO37" i="1"/>
  <c r="AP37" i="1" s="1"/>
  <c r="AQ37" i="1" s="1"/>
  <c r="AR37" i="1" s="1"/>
  <c r="AI37" i="1"/>
  <c r="AJ37" i="1" s="1"/>
  <c r="AK37" i="1" s="1"/>
  <c r="AB37" i="1"/>
  <c r="AC37" i="1" s="1"/>
  <c r="AD37" i="1" s="1"/>
  <c r="U37" i="1"/>
  <c r="AO36" i="1"/>
  <c r="AP36" i="1" s="1"/>
  <c r="AQ36" i="1" s="1"/>
  <c r="AR36" i="1" s="1"/>
  <c r="AI36" i="1"/>
  <c r="AJ36" i="1" s="1"/>
  <c r="AK36" i="1" s="1"/>
  <c r="AB36" i="1"/>
  <c r="AC36" i="1" s="1"/>
  <c r="AD36" i="1" s="1"/>
  <c r="U36" i="1"/>
  <c r="AO35" i="1"/>
  <c r="AP35" i="1" s="1"/>
  <c r="AQ35" i="1" s="1"/>
  <c r="AR35" i="1" s="1"/>
  <c r="AI35" i="1"/>
  <c r="AJ35" i="1" s="1"/>
  <c r="AK35" i="1" s="1"/>
  <c r="AB35" i="1"/>
  <c r="AC35" i="1" s="1"/>
  <c r="AD35" i="1" s="1"/>
  <c r="U35" i="1"/>
  <c r="AO34" i="1"/>
  <c r="AP34" i="1" s="1"/>
  <c r="AQ34" i="1" s="1"/>
  <c r="AR34" i="1" s="1"/>
  <c r="AI34" i="1"/>
  <c r="AJ34" i="1" s="1"/>
  <c r="AK34" i="1" s="1"/>
  <c r="AB34" i="1"/>
  <c r="AC34" i="1" s="1"/>
  <c r="AD34" i="1" s="1"/>
  <c r="U34" i="1"/>
  <c r="AO33" i="1"/>
  <c r="AP33" i="1" s="1"/>
  <c r="AQ33" i="1" s="1"/>
  <c r="AR33" i="1" s="1"/>
  <c r="AI33" i="1"/>
  <c r="AJ33" i="1" s="1"/>
  <c r="AK33" i="1" s="1"/>
  <c r="AB33" i="1"/>
  <c r="AC33" i="1" s="1"/>
  <c r="AD33" i="1" s="1"/>
  <c r="U33" i="1"/>
  <c r="AO32" i="1"/>
  <c r="AP32" i="1" s="1"/>
  <c r="AQ32" i="1" s="1"/>
  <c r="AR32" i="1" s="1"/>
  <c r="AI32" i="1"/>
  <c r="AJ32" i="1" s="1"/>
  <c r="AK32" i="1" s="1"/>
  <c r="AB32" i="1"/>
  <c r="AC32" i="1" s="1"/>
  <c r="AD32" i="1" s="1"/>
  <c r="U32" i="1"/>
  <c r="AO31" i="1"/>
  <c r="AP31" i="1" s="1"/>
  <c r="AQ31" i="1" s="1"/>
  <c r="AR31" i="1" s="1"/>
  <c r="AI31" i="1"/>
  <c r="AJ31" i="1" s="1"/>
  <c r="AK31" i="1" s="1"/>
  <c r="AB31" i="1"/>
  <c r="AC31" i="1" s="1"/>
  <c r="AD31" i="1" s="1"/>
  <c r="U31" i="1"/>
  <c r="AO30" i="1"/>
  <c r="AP30" i="1" s="1"/>
  <c r="AQ30" i="1" s="1"/>
  <c r="AR30" i="1" s="1"/>
  <c r="AI30" i="1"/>
  <c r="AJ30" i="1" s="1"/>
  <c r="AK30" i="1" s="1"/>
  <c r="AB30" i="1"/>
  <c r="AC30" i="1" s="1"/>
  <c r="AD30" i="1" s="1"/>
  <c r="U30" i="1"/>
  <c r="AR50" i="1"/>
  <c r="AR51" i="1"/>
  <c r="AR62" i="1"/>
  <c r="AR63" i="1"/>
  <c r="AR87" i="1"/>
  <c r="AR99" i="1"/>
  <c r="AR113" i="1"/>
  <c r="AR114" i="1"/>
  <c r="AR115" i="1"/>
  <c r="AR116" i="1"/>
  <c r="AR117" i="1"/>
  <c r="AR118" i="1"/>
  <c r="AR119" i="1"/>
  <c r="AR131" i="1"/>
  <c r="AR139" i="1"/>
  <c r="AR145" i="1"/>
  <c r="AR157" i="1"/>
  <c r="AK50" i="1"/>
  <c r="AK51" i="1"/>
  <c r="AK62" i="1"/>
  <c r="AK63" i="1"/>
  <c r="AK75" i="1"/>
  <c r="AK87" i="1"/>
  <c r="AK99" i="1"/>
  <c r="AK112" i="1"/>
  <c r="AK113" i="1"/>
  <c r="AK114" i="1"/>
  <c r="AK115" i="1"/>
  <c r="AK116" i="1"/>
  <c r="AK117" i="1"/>
  <c r="AK118" i="1"/>
  <c r="AK119" i="1"/>
  <c r="AK131" i="1"/>
  <c r="AK139" i="1"/>
  <c r="AK145" i="1"/>
  <c r="AB50" i="1"/>
  <c r="AC50" i="1" s="1"/>
  <c r="AD50" i="1" s="1"/>
  <c r="AE50" i="1" s="1"/>
  <c r="AO49" i="1"/>
  <c r="AP49" i="1" s="1"/>
  <c r="AQ49" i="1" s="1"/>
  <c r="AR49" i="1" s="1"/>
  <c r="AI49" i="1"/>
  <c r="AJ49" i="1" s="1"/>
  <c r="AK49" i="1" s="1"/>
  <c r="AB49" i="1"/>
  <c r="AC49" i="1" s="1"/>
  <c r="AD49" i="1" s="1"/>
  <c r="U49" i="1"/>
  <c r="AO48" i="1"/>
  <c r="AP48" i="1" s="1"/>
  <c r="AQ48" i="1" s="1"/>
  <c r="AR48" i="1" s="1"/>
  <c r="AI48" i="1"/>
  <c r="AJ48" i="1" s="1"/>
  <c r="AK48" i="1" s="1"/>
  <c r="AB48" i="1"/>
  <c r="AC48" i="1" s="1"/>
  <c r="AD48" i="1" s="1"/>
  <c r="U48" i="1"/>
  <c r="AO47" i="1"/>
  <c r="AP47" i="1" s="1"/>
  <c r="AQ47" i="1" s="1"/>
  <c r="AR47" i="1" s="1"/>
  <c r="AI47" i="1"/>
  <c r="AJ47" i="1" s="1"/>
  <c r="AK47" i="1" s="1"/>
  <c r="AB47" i="1"/>
  <c r="AC47" i="1" s="1"/>
  <c r="AD47" i="1" s="1"/>
  <c r="U47" i="1"/>
  <c r="AO46" i="1"/>
  <c r="AP46" i="1" s="1"/>
  <c r="AQ46" i="1" s="1"/>
  <c r="AR46" i="1" s="1"/>
  <c r="AI46" i="1"/>
  <c r="AJ46" i="1" s="1"/>
  <c r="AK46" i="1" s="1"/>
  <c r="AB46" i="1"/>
  <c r="AC46" i="1" s="1"/>
  <c r="AD46" i="1" s="1"/>
  <c r="U46" i="1"/>
  <c r="AO45" i="1"/>
  <c r="AP45" i="1" s="1"/>
  <c r="AQ45" i="1" s="1"/>
  <c r="AR45" i="1" s="1"/>
  <c r="AI45" i="1"/>
  <c r="AJ45" i="1" s="1"/>
  <c r="AK45" i="1" s="1"/>
  <c r="AB45" i="1"/>
  <c r="AC45" i="1" s="1"/>
  <c r="AD45" i="1" s="1"/>
  <c r="U45" i="1"/>
  <c r="AO44" i="1"/>
  <c r="AP44" i="1" s="1"/>
  <c r="AQ44" i="1" s="1"/>
  <c r="AR44" i="1" s="1"/>
  <c r="AI44" i="1"/>
  <c r="AJ44" i="1" s="1"/>
  <c r="AK44" i="1" s="1"/>
  <c r="AB44" i="1"/>
  <c r="AC44" i="1" s="1"/>
  <c r="AD44" i="1" s="1"/>
  <c r="U44" i="1"/>
  <c r="AO43" i="1"/>
  <c r="AP43" i="1" s="1"/>
  <c r="AQ43" i="1" s="1"/>
  <c r="AR43" i="1" s="1"/>
  <c r="AI43" i="1"/>
  <c r="AJ43" i="1" s="1"/>
  <c r="AK43" i="1" s="1"/>
  <c r="AB43" i="1"/>
  <c r="AC43" i="1" s="1"/>
  <c r="AD43" i="1" s="1"/>
  <c r="U43" i="1"/>
  <c r="AO42" i="1"/>
  <c r="AP42" i="1" s="1"/>
  <c r="AQ42" i="1" s="1"/>
  <c r="AR42" i="1" s="1"/>
  <c r="AI42" i="1"/>
  <c r="AJ42" i="1" s="1"/>
  <c r="AK42" i="1" s="1"/>
  <c r="AB42" i="1"/>
  <c r="AC42" i="1" s="1"/>
  <c r="AD42" i="1" s="1"/>
  <c r="U42" i="1"/>
  <c r="AO53" i="1"/>
  <c r="AP53" i="1" s="1"/>
  <c r="AQ53" i="1" s="1"/>
  <c r="AR53" i="1" s="1"/>
  <c r="AO54" i="1"/>
  <c r="AP54" i="1" s="1"/>
  <c r="AQ54" i="1" s="1"/>
  <c r="AR54" i="1" s="1"/>
  <c r="AO55" i="1"/>
  <c r="AP55" i="1" s="1"/>
  <c r="AQ55" i="1" s="1"/>
  <c r="AR55" i="1" s="1"/>
  <c r="AO56" i="1"/>
  <c r="AP56" i="1" s="1"/>
  <c r="AQ56" i="1" s="1"/>
  <c r="AR56" i="1" s="1"/>
  <c r="AO57" i="1"/>
  <c r="AP57" i="1" s="1"/>
  <c r="AQ57" i="1" s="1"/>
  <c r="AR57" i="1" s="1"/>
  <c r="AO58" i="1"/>
  <c r="AP58" i="1" s="1"/>
  <c r="AQ58" i="1" s="1"/>
  <c r="AR58" i="1" s="1"/>
  <c r="AO59" i="1"/>
  <c r="AP59" i="1" s="1"/>
  <c r="AQ59" i="1" s="1"/>
  <c r="AR59" i="1" s="1"/>
  <c r="AO60" i="1"/>
  <c r="AP60" i="1" s="1"/>
  <c r="AQ60" i="1" s="1"/>
  <c r="AR60" i="1" s="1"/>
  <c r="AO61" i="1"/>
  <c r="AP61" i="1" s="1"/>
  <c r="AQ61" i="1" s="1"/>
  <c r="AR61" i="1" s="1"/>
  <c r="U52" i="1"/>
  <c r="AO52" i="1"/>
  <c r="AP52" i="1" s="1"/>
  <c r="AQ52" i="1" s="1"/>
  <c r="AR52" i="1" s="1"/>
  <c r="AI53" i="1"/>
  <c r="AJ53" i="1" s="1"/>
  <c r="AK53" i="1" s="1"/>
  <c r="AI54" i="1"/>
  <c r="AJ54" i="1" s="1"/>
  <c r="AK54" i="1" s="1"/>
  <c r="AI55" i="1"/>
  <c r="AJ55" i="1" s="1"/>
  <c r="AK55" i="1" s="1"/>
  <c r="AI56" i="1"/>
  <c r="AJ56" i="1" s="1"/>
  <c r="AK56" i="1" s="1"/>
  <c r="AI57" i="1"/>
  <c r="AJ57" i="1" s="1"/>
  <c r="AK57" i="1" s="1"/>
  <c r="AI58" i="1"/>
  <c r="AJ58" i="1" s="1"/>
  <c r="AK58" i="1" s="1"/>
  <c r="AI59" i="1"/>
  <c r="AJ59" i="1" s="1"/>
  <c r="AK59" i="1" s="1"/>
  <c r="AI60" i="1"/>
  <c r="AJ60" i="1" s="1"/>
  <c r="AK60" i="1" s="1"/>
  <c r="AI61" i="1"/>
  <c r="AJ61" i="1" s="1"/>
  <c r="AK61" i="1" s="1"/>
  <c r="AI52" i="1"/>
  <c r="AJ52" i="1" s="1"/>
  <c r="AK52" i="1" s="1"/>
  <c r="AB62" i="1"/>
  <c r="AC62" i="1" s="1"/>
  <c r="AD62" i="1" s="1"/>
  <c r="AB61" i="1"/>
  <c r="AC61" i="1" s="1"/>
  <c r="AD61" i="1" s="1"/>
  <c r="U61" i="1"/>
  <c r="AB60" i="1"/>
  <c r="AC60" i="1" s="1"/>
  <c r="AD60" i="1" s="1"/>
  <c r="U60" i="1"/>
  <c r="U62" i="1"/>
  <c r="AB59" i="1"/>
  <c r="AC59" i="1" s="1"/>
  <c r="AD59" i="1" s="1"/>
  <c r="U59" i="1"/>
  <c r="AB58" i="1"/>
  <c r="AC58" i="1" s="1"/>
  <c r="AD58" i="1" s="1"/>
  <c r="AE58" i="1" s="1"/>
  <c r="U58" i="1"/>
  <c r="AB57" i="1"/>
  <c r="AC57" i="1" s="1"/>
  <c r="AD57" i="1" s="1"/>
  <c r="U57" i="1"/>
  <c r="AB56" i="1"/>
  <c r="AC56" i="1" s="1"/>
  <c r="AD56" i="1" s="1"/>
  <c r="U56" i="1"/>
  <c r="AB55" i="1"/>
  <c r="AC55" i="1" s="1"/>
  <c r="AD55" i="1" s="1"/>
  <c r="U55" i="1"/>
  <c r="AB54" i="1"/>
  <c r="AC54" i="1" s="1"/>
  <c r="AD54" i="1" s="1"/>
  <c r="U54" i="1"/>
  <c r="AB53" i="1"/>
  <c r="AC53" i="1" s="1"/>
  <c r="AD53" i="1" s="1"/>
  <c r="U53" i="1"/>
  <c r="AB52" i="1"/>
  <c r="AC52" i="1" s="1"/>
  <c r="AD52" i="1" s="1"/>
  <c r="AO155" i="1"/>
  <c r="AP155" i="1" s="1"/>
  <c r="AQ155" i="1" s="1"/>
  <c r="AR155" i="1" s="1"/>
  <c r="AO156" i="1"/>
  <c r="AP156" i="1" s="1"/>
  <c r="AQ156" i="1" s="1"/>
  <c r="AR156" i="1" s="1"/>
  <c r="AI155" i="1"/>
  <c r="AJ155" i="1" s="1"/>
  <c r="AK155" i="1" s="1"/>
  <c r="AI156" i="1"/>
  <c r="AJ156" i="1" s="1"/>
  <c r="AK156" i="1" s="1"/>
  <c r="AB156" i="1"/>
  <c r="AC156" i="1" s="1"/>
  <c r="AD156" i="1" s="1"/>
  <c r="AB155" i="1"/>
  <c r="AC155" i="1" s="1"/>
  <c r="AD155" i="1" s="1"/>
  <c r="AO153" i="1"/>
  <c r="AP153" i="1" s="1"/>
  <c r="AQ153" i="1" s="1"/>
  <c r="AR153" i="1" s="1"/>
  <c r="AO154" i="1"/>
  <c r="AP154" i="1" s="1"/>
  <c r="AQ154" i="1" s="1"/>
  <c r="AR154" i="1" s="1"/>
  <c r="AI153" i="1"/>
  <c r="AJ153" i="1" s="1"/>
  <c r="AK153" i="1" s="1"/>
  <c r="AI154" i="1"/>
  <c r="AJ154" i="1" s="1"/>
  <c r="AK154" i="1" s="1"/>
  <c r="AB153" i="1"/>
  <c r="AC153" i="1" s="1"/>
  <c r="AD153" i="1" s="1"/>
  <c r="AB154" i="1"/>
  <c r="AC154" i="1" s="1"/>
  <c r="AD154" i="1" s="1"/>
  <c r="AO147" i="1"/>
  <c r="AP147" i="1" s="1"/>
  <c r="AQ147" i="1" s="1"/>
  <c r="AR147" i="1" s="1"/>
  <c r="AO148" i="1"/>
  <c r="AP148" i="1" s="1"/>
  <c r="AQ148" i="1" s="1"/>
  <c r="AR148" i="1" s="1"/>
  <c r="AO149" i="1"/>
  <c r="AP149" i="1" s="1"/>
  <c r="AQ149" i="1" s="1"/>
  <c r="AR149" i="1" s="1"/>
  <c r="AO150" i="1"/>
  <c r="AP150" i="1" s="1"/>
  <c r="AQ150" i="1" s="1"/>
  <c r="AR150" i="1" s="1"/>
  <c r="AO151" i="1"/>
  <c r="AP151" i="1" s="1"/>
  <c r="AQ151" i="1" s="1"/>
  <c r="AR151" i="1" s="1"/>
  <c r="AO152" i="1"/>
  <c r="AP152" i="1" s="1"/>
  <c r="AQ152" i="1" s="1"/>
  <c r="AR152" i="1" s="1"/>
  <c r="AO146" i="1"/>
  <c r="AP146" i="1" s="1"/>
  <c r="AQ146" i="1" s="1"/>
  <c r="AR146" i="1" s="1"/>
  <c r="AO144" i="1"/>
  <c r="AP144" i="1" s="1"/>
  <c r="AQ144" i="1" s="1"/>
  <c r="AR144" i="1" s="1"/>
  <c r="AI151" i="1"/>
  <c r="AJ151" i="1" s="1"/>
  <c r="AK151" i="1" s="1"/>
  <c r="AI152" i="1"/>
  <c r="AJ152" i="1" s="1"/>
  <c r="AK152" i="1" s="1"/>
  <c r="AB152" i="1"/>
  <c r="AC152" i="1" s="1"/>
  <c r="AD152" i="1" s="1"/>
  <c r="AB151" i="1"/>
  <c r="AC151" i="1" s="1"/>
  <c r="AD151" i="1" s="1"/>
  <c r="AI147" i="1"/>
  <c r="AJ147" i="1" s="1"/>
  <c r="AK147" i="1" s="1"/>
  <c r="AI148" i="1"/>
  <c r="AJ148" i="1" s="1"/>
  <c r="AK148" i="1" s="1"/>
  <c r="AI149" i="1"/>
  <c r="AJ149" i="1" s="1"/>
  <c r="AK149" i="1" s="1"/>
  <c r="AI150" i="1"/>
  <c r="AJ150" i="1" s="1"/>
  <c r="AK150" i="1" s="1"/>
  <c r="AI146" i="1"/>
  <c r="AJ146" i="1" s="1"/>
  <c r="AK146" i="1" s="1"/>
  <c r="AB147" i="1"/>
  <c r="AC147" i="1" s="1"/>
  <c r="AD147" i="1" s="1"/>
  <c r="AB148" i="1"/>
  <c r="AC148" i="1" s="1"/>
  <c r="AD148" i="1" s="1"/>
  <c r="AB149" i="1"/>
  <c r="AC149" i="1" s="1"/>
  <c r="AD149" i="1" s="1"/>
  <c r="AB150" i="1"/>
  <c r="AC150" i="1" s="1"/>
  <c r="AD150" i="1" s="1"/>
  <c r="AE150" i="1" s="1"/>
  <c r="AB146" i="1"/>
  <c r="AC146" i="1" s="1"/>
  <c r="AD146" i="1" s="1"/>
  <c r="AO141" i="1"/>
  <c r="AP141" i="1" s="1"/>
  <c r="AQ141" i="1" s="1"/>
  <c r="AR141" i="1" s="1"/>
  <c r="AO142" i="1"/>
  <c r="AP142" i="1" s="1"/>
  <c r="AQ142" i="1" s="1"/>
  <c r="AR142" i="1" s="1"/>
  <c r="AO143" i="1"/>
  <c r="AP143" i="1" s="1"/>
  <c r="AQ143" i="1" s="1"/>
  <c r="AR143" i="1" s="1"/>
  <c r="AO140" i="1"/>
  <c r="AP140" i="1" s="1"/>
  <c r="AQ140" i="1" s="1"/>
  <c r="AR140" i="1" s="1"/>
  <c r="AI141" i="1"/>
  <c r="AJ141" i="1" s="1"/>
  <c r="AK141" i="1" s="1"/>
  <c r="AI142" i="1"/>
  <c r="AJ142" i="1" s="1"/>
  <c r="AK142" i="1" s="1"/>
  <c r="AI143" i="1"/>
  <c r="AJ143" i="1" s="1"/>
  <c r="AK143" i="1" s="1"/>
  <c r="AI144" i="1"/>
  <c r="AJ144" i="1" s="1"/>
  <c r="AK144" i="1" s="1"/>
  <c r="AI140" i="1"/>
  <c r="AJ140" i="1" s="1"/>
  <c r="AK140" i="1" s="1"/>
  <c r="AB141" i="1"/>
  <c r="AC141" i="1" s="1"/>
  <c r="AD141" i="1" s="1"/>
  <c r="AB142" i="1"/>
  <c r="AC142" i="1" s="1"/>
  <c r="AD142" i="1" s="1"/>
  <c r="AB143" i="1"/>
  <c r="AC143" i="1" s="1"/>
  <c r="AD143" i="1" s="1"/>
  <c r="AB144" i="1"/>
  <c r="AC144" i="1" s="1"/>
  <c r="AD144" i="1" s="1"/>
  <c r="AE144" i="1" s="1"/>
  <c r="AB140" i="1"/>
  <c r="AC140" i="1" s="1"/>
  <c r="AD140" i="1" s="1"/>
  <c r="AO133" i="1"/>
  <c r="AP133" i="1" s="1"/>
  <c r="AQ133" i="1" s="1"/>
  <c r="AR133" i="1" s="1"/>
  <c r="AO134" i="1"/>
  <c r="AP134" i="1" s="1"/>
  <c r="AQ134" i="1" s="1"/>
  <c r="AR134" i="1" s="1"/>
  <c r="AO135" i="1"/>
  <c r="AP135" i="1" s="1"/>
  <c r="AQ135" i="1" s="1"/>
  <c r="AR135" i="1" s="1"/>
  <c r="AO136" i="1"/>
  <c r="AP136" i="1" s="1"/>
  <c r="AQ136" i="1" s="1"/>
  <c r="AR136" i="1" s="1"/>
  <c r="AO137" i="1"/>
  <c r="AP137" i="1" s="1"/>
  <c r="AQ137" i="1" s="1"/>
  <c r="AR137" i="1" s="1"/>
  <c r="AO138" i="1"/>
  <c r="AP138" i="1" s="1"/>
  <c r="AQ138" i="1" s="1"/>
  <c r="AR138" i="1" s="1"/>
  <c r="AO132" i="1"/>
  <c r="AP132" i="1" s="1"/>
  <c r="AQ132" i="1" s="1"/>
  <c r="AR132" i="1" s="1"/>
  <c r="AB133" i="1"/>
  <c r="AC133" i="1" s="1"/>
  <c r="AD133" i="1" s="1"/>
  <c r="AB134" i="1"/>
  <c r="AC134" i="1" s="1"/>
  <c r="AD134" i="1" s="1"/>
  <c r="AB135" i="1"/>
  <c r="AC135" i="1" s="1"/>
  <c r="AD135" i="1" s="1"/>
  <c r="AB136" i="1"/>
  <c r="AC136" i="1" s="1"/>
  <c r="AD136" i="1" s="1"/>
  <c r="AB137" i="1"/>
  <c r="AC137" i="1" s="1"/>
  <c r="AD137" i="1" s="1"/>
  <c r="AB138" i="1"/>
  <c r="AC138" i="1" s="1"/>
  <c r="AD138" i="1" s="1"/>
  <c r="AE138" i="1" s="1"/>
  <c r="AB132" i="1"/>
  <c r="AC132" i="1" s="1"/>
  <c r="AD132" i="1" s="1"/>
  <c r="AI133" i="1"/>
  <c r="AJ133" i="1" s="1"/>
  <c r="AK133" i="1" s="1"/>
  <c r="AI134" i="1"/>
  <c r="AJ134" i="1" s="1"/>
  <c r="AK134" i="1" s="1"/>
  <c r="AI135" i="1"/>
  <c r="AJ135" i="1" s="1"/>
  <c r="AK135" i="1" s="1"/>
  <c r="AI136" i="1"/>
  <c r="AJ136" i="1" s="1"/>
  <c r="AK136" i="1" s="1"/>
  <c r="AI137" i="1"/>
  <c r="AJ137" i="1" s="1"/>
  <c r="AK137" i="1" s="1"/>
  <c r="AI138" i="1"/>
  <c r="AJ138" i="1" s="1"/>
  <c r="AK138" i="1" s="1"/>
  <c r="AI132" i="1"/>
  <c r="AJ132" i="1" s="1"/>
  <c r="AK132" i="1" s="1"/>
  <c r="AJ124" i="1"/>
  <c r="AK124" i="1" s="1"/>
  <c r="AO83" i="1"/>
  <c r="AP83" i="1" s="1"/>
  <c r="AQ83" i="1" s="1"/>
  <c r="AR83" i="1" s="1"/>
  <c r="AO84" i="1"/>
  <c r="AP84" i="1" s="1"/>
  <c r="AQ84" i="1" s="1"/>
  <c r="AR84" i="1" s="1"/>
  <c r="AO85" i="1"/>
  <c r="AP85" i="1" s="1"/>
  <c r="AQ85" i="1" s="1"/>
  <c r="AR85" i="1" s="1"/>
  <c r="AO86" i="1"/>
  <c r="AP86" i="1" s="1"/>
  <c r="AQ86" i="1" s="1"/>
  <c r="AR86" i="1" s="1"/>
  <c r="AO64" i="1"/>
  <c r="AP64" i="1" s="1"/>
  <c r="AQ64" i="1" s="1"/>
  <c r="AR64" i="1" s="1"/>
  <c r="U19" i="1"/>
  <c r="U20" i="1"/>
  <c r="U21" i="1"/>
  <c r="U22" i="1"/>
  <c r="U23" i="1"/>
  <c r="U24" i="1"/>
  <c r="U25" i="1"/>
  <c r="U26" i="1"/>
  <c r="U27" i="1"/>
  <c r="U29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0" i="1"/>
  <c r="U121" i="1"/>
  <c r="U122" i="1"/>
  <c r="U123" i="1"/>
  <c r="U124" i="1"/>
  <c r="U125" i="1"/>
  <c r="U126" i="1"/>
  <c r="U127" i="1"/>
  <c r="U128" i="1"/>
  <c r="U129" i="1"/>
  <c r="AO72" i="1"/>
  <c r="AP72" i="1" s="1"/>
  <c r="AQ72" i="1" s="1"/>
  <c r="AR72" i="1" s="1"/>
  <c r="AO73" i="1"/>
  <c r="AP73" i="1" s="1"/>
  <c r="AQ73" i="1" s="1"/>
  <c r="AR73" i="1" s="1"/>
  <c r="AO74" i="1"/>
  <c r="AP74" i="1" s="1"/>
  <c r="AQ74" i="1" s="1"/>
  <c r="AR74" i="1" s="1"/>
  <c r="AO67" i="1"/>
  <c r="AP67" i="1" s="1"/>
  <c r="AQ67" i="1" s="1"/>
  <c r="AR67" i="1" s="1"/>
  <c r="AO68" i="1"/>
  <c r="AP68" i="1" s="1"/>
  <c r="AQ68" i="1" s="1"/>
  <c r="AR68" i="1" s="1"/>
  <c r="AI65" i="1"/>
  <c r="AJ65" i="1" s="1"/>
  <c r="AK65" i="1" s="1"/>
  <c r="AI66" i="1"/>
  <c r="AJ66" i="1" s="1"/>
  <c r="AK66" i="1" s="1"/>
  <c r="AI67" i="1"/>
  <c r="AJ67" i="1" s="1"/>
  <c r="AK67" i="1" s="1"/>
  <c r="AI68" i="1"/>
  <c r="AJ68" i="1" s="1"/>
  <c r="AK68" i="1" s="1"/>
  <c r="AI69" i="1"/>
  <c r="AJ69" i="1" s="1"/>
  <c r="AK69" i="1" s="1"/>
  <c r="AI70" i="1"/>
  <c r="AJ70" i="1" s="1"/>
  <c r="AK70" i="1" s="1"/>
  <c r="AI71" i="1"/>
  <c r="AJ71" i="1" s="1"/>
  <c r="AK71" i="1" s="1"/>
  <c r="AI72" i="1"/>
  <c r="AJ72" i="1" s="1"/>
  <c r="AK72" i="1" s="1"/>
  <c r="AI73" i="1"/>
  <c r="AJ73" i="1" s="1"/>
  <c r="AK73" i="1" s="1"/>
  <c r="AI74" i="1"/>
  <c r="AJ74" i="1" s="1"/>
  <c r="AK74" i="1" s="1"/>
  <c r="AI64" i="1"/>
  <c r="AJ64" i="1" s="1"/>
  <c r="AK64" i="1" s="1"/>
  <c r="AB74" i="1"/>
  <c r="AC74" i="1" s="1"/>
  <c r="AD74" i="1" s="1"/>
  <c r="AE74" i="1" s="1"/>
  <c r="AB64" i="1"/>
  <c r="AC64" i="1" s="1"/>
  <c r="AD64" i="1" s="1"/>
  <c r="AB130" i="1"/>
  <c r="AC130" i="1" s="1"/>
  <c r="AD130" i="1" s="1"/>
  <c r="AE130" i="1" s="1"/>
  <c r="AB129" i="1"/>
  <c r="AC129" i="1" s="1"/>
  <c r="AD129" i="1" s="1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I130" i="1"/>
  <c r="AJ130" i="1" s="1"/>
  <c r="AK130" i="1" s="1"/>
  <c r="AI129" i="1"/>
  <c r="AJ129" i="1" s="1"/>
  <c r="AK129" i="1" s="1"/>
  <c r="AI128" i="1"/>
  <c r="AJ128" i="1" s="1"/>
  <c r="AK128" i="1" s="1"/>
  <c r="AI127" i="1"/>
  <c r="AJ127" i="1" s="1"/>
  <c r="AK127" i="1" s="1"/>
  <c r="AI126" i="1"/>
  <c r="AJ126" i="1" s="1"/>
  <c r="AK126" i="1" s="1"/>
  <c r="AI125" i="1"/>
  <c r="AJ125" i="1" s="1"/>
  <c r="AK125" i="1" s="1"/>
  <c r="AI123" i="1"/>
  <c r="AJ123" i="1" s="1"/>
  <c r="AK123" i="1" s="1"/>
  <c r="AI122" i="1"/>
  <c r="AJ122" i="1" s="1"/>
  <c r="AK122" i="1" s="1"/>
  <c r="AI121" i="1"/>
  <c r="AJ121" i="1" s="1"/>
  <c r="AK121" i="1" s="1"/>
  <c r="AI120" i="1"/>
  <c r="AJ120" i="1" s="1"/>
  <c r="AK120" i="1" s="1"/>
  <c r="AO130" i="1"/>
  <c r="AP130" i="1" s="1"/>
  <c r="AQ130" i="1" s="1"/>
  <c r="AR130" i="1" s="1"/>
  <c r="AO129" i="1"/>
  <c r="AP129" i="1" s="1"/>
  <c r="AQ129" i="1" s="1"/>
  <c r="AR129" i="1" s="1"/>
  <c r="AO128" i="1"/>
  <c r="AP128" i="1" s="1"/>
  <c r="AQ128" i="1" s="1"/>
  <c r="AR128" i="1" s="1"/>
  <c r="AO127" i="1"/>
  <c r="AP127" i="1" s="1"/>
  <c r="AQ127" i="1" s="1"/>
  <c r="AR127" i="1" s="1"/>
  <c r="AO126" i="1"/>
  <c r="AP126" i="1" s="1"/>
  <c r="AQ126" i="1" s="1"/>
  <c r="AR126" i="1" s="1"/>
  <c r="AO125" i="1"/>
  <c r="AP125" i="1" s="1"/>
  <c r="AQ125" i="1" s="1"/>
  <c r="AR125" i="1" s="1"/>
  <c r="AO124" i="1"/>
  <c r="AP124" i="1" s="1"/>
  <c r="AQ124" i="1" s="1"/>
  <c r="AR124" i="1" s="1"/>
  <c r="AO123" i="1"/>
  <c r="AP123" i="1" s="1"/>
  <c r="AQ123" i="1" s="1"/>
  <c r="AR123" i="1" s="1"/>
  <c r="AO122" i="1"/>
  <c r="AP122" i="1" s="1"/>
  <c r="AQ122" i="1" s="1"/>
  <c r="AR122" i="1" s="1"/>
  <c r="AO121" i="1"/>
  <c r="AP121" i="1" s="1"/>
  <c r="AQ121" i="1" s="1"/>
  <c r="AR121" i="1" s="1"/>
  <c r="AO120" i="1"/>
  <c r="AP120" i="1" s="1"/>
  <c r="AQ120" i="1" s="1"/>
  <c r="AR120" i="1" s="1"/>
  <c r="AO70" i="1"/>
  <c r="AP70" i="1" s="1"/>
  <c r="AQ70" i="1" s="1"/>
  <c r="AR70" i="1" s="1"/>
  <c r="AO112" i="1"/>
  <c r="AP112" i="1" s="1"/>
  <c r="AQ112" i="1" s="1"/>
  <c r="AR112" i="1" s="1"/>
  <c r="AO111" i="1"/>
  <c r="AP111" i="1" s="1"/>
  <c r="AQ111" i="1" s="1"/>
  <c r="AR111" i="1" s="1"/>
  <c r="AO110" i="1"/>
  <c r="AP110" i="1" s="1"/>
  <c r="AQ110" i="1" s="1"/>
  <c r="AR110" i="1" s="1"/>
  <c r="AO109" i="1"/>
  <c r="AP109" i="1" s="1"/>
  <c r="AQ109" i="1" s="1"/>
  <c r="AR109" i="1" s="1"/>
  <c r="AO108" i="1"/>
  <c r="AP108" i="1" s="1"/>
  <c r="AQ108" i="1" s="1"/>
  <c r="AR108" i="1" s="1"/>
  <c r="AO107" i="1"/>
  <c r="AP107" i="1" s="1"/>
  <c r="AQ107" i="1" s="1"/>
  <c r="AR107" i="1" s="1"/>
  <c r="AO106" i="1"/>
  <c r="AP106" i="1" s="1"/>
  <c r="AQ106" i="1" s="1"/>
  <c r="AR106" i="1" s="1"/>
  <c r="AO105" i="1"/>
  <c r="AP105" i="1" s="1"/>
  <c r="AQ105" i="1" s="1"/>
  <c r="AR105" i="1" s="1"/>
  <c r="AO104" i="1"/>
  <c r="AP104" i="1" s="1"/>
  <c r="AQ104" i="1" s="1"/>
  <c r="AR104" i="1" s="1"/>
  <c r="AO103" i="1"/>
  <c r="AP103" i="1" s="1"/>
  <c r="AQ103" i="1" s="1"/>
  <c r="AR103" i="1" s="1"/>
  <c r="AO102" i="1"/>
  <c r="AP102" i="1" s="1"/>
  <c r="AQ102" i="1" s="1"/>
  <c r="AR102" i="1" s="1"/>
  <c r="AO101" i="1"/>
  <c r="AP101" i="1" s="1"/>
  <c r="AQ101" i="1" s="1"/>
  <c r="AR101" i="1" s="1"/>
  <c r="AO100" i="1"/>
  <c r="AP100" i="1" s="1"/>
  <c r="AQ100" i="1" s="1"/>
  <c r="AR100" i="1" s="1"/>
  <c r="AI111" i="1"/>
  <c r="AJ111" i="1" s="1"/>
  <c r="AK111" i="1" s="1"/>
  <c r="AI110" i="1"/>
  <c r="AJ110" i="1" s="1"/>
  <c r="AK110" i="1" s="1"/>
  <c r="AI109" i="1"/>
  <c r="AJ109" i="1" s="1"/>
  <c r="AK109" i="1" s="1"/>
  <c r="AI108" i="1"/>
  <c r="AJ108" i="1" s="1"/>
  <c r="AK108" i="1" s="1"/>
  <c r="AI107" i="1"/>
  <c r="AJ107" i="1" s="1"/>
  <c r="AK107" i="1" s="1"/>
  <c r="AI106" i="1"/>
  <c r="AJ106" i="1" s="1"/>
  <c r="AK106" i="1" s="1"/>
  <c r="AI105" i="1"/>
  <c r="AJ105" i="1" s="1"/>
  <c r="AK105" i="1" s="1"/>
  <c r="AI104" i="1"/>
  <c r="AJ104" i="1" s="1"/>
  <c r="AK104" i="1" s="1"/>
  <c r="AI103" i="1"/>
  <c r="AJ103" i="1" s="1"/>
  <c r="AK103" i="1" s="1"/>
  <c r="AI102" i="1"/>
  <c r="AJ102" i="1" s="1"/>
  <c r="AK102" i="1" s="1"/>
  <c r="AI101" i="1"/>
  <c r="AJ101" i="1" s="1"/>
  <c r="AK101" i="1" s="1"/>
  <c r="AI100" i="1"/>
  <c r="AJ100" i="1" s="1"/>
  <c r="AK100" i="1" s="1"/>
  <c r="AB112" i="1"/>
  <c r="AC112" i="1" s="1"/>
  <c r="AD112" i="1" s="1"/>
  <c r="AE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E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O98" i="1"/>
  <c r="AP98" i="1" s="1"/>
  <c r="AQ98" i="1" s="1"/>
  <c r="AR98" i="1" s="1"/>
  <c r="AO97" i="1"/>
  <c r="AP97" i="1" s="1"/>
  <c r="AQ97" i="1" s="1"/>
  <c r="AR97" i="1" s="1"/>
  <c r="AO96" i="1"/>
  <c r="AP96" i="1" s="1"/>
  <c r="AQ96" i="1" s="1"/>
  <c r="AR96" i="1" s="1"/>
  <c r="AO95" i="1"/>
  <c r="AP95" i="1" s="1"/>
  <c r="AQ95" i="1" s="1"/>
  <c r="AR95" i="1" s="1"/>
  <c r="AO94" i="1"/>
  <c r="AP94" i="1" s="1"/>
  <c r="AQ94" i="1" s="1"/>
  <c r="AR94" i="1" s="1"/>
  <c r="AO93" i="1"/>
  <c r="AP93" i="1" s="1"/>
  <c r="AQ93" i="1" s="1"/>
  <c r="AR93" i="1" s="1"/>
  <c r="AO92" i="1"/>
  <c r="AP92" i="1" s="1"/>
  <c r="AQ92" i="1" s="1"/>
  <c r="AR92" i="1" s="1"/>
  <c r="AO91" i="1"/>
  <c r="AP91" i="1" s="1"/>
  <c r="AQ91" i="1" s="1"/>
  <c r="AR91" i="1" s="1"/>
  <c r="AO90" i="1"/>
  <c r="AP90" i="1" s="1"/>
  <c r="AQ90" i="1" s="1"/>
  <c r="AR90" i="1" s="1"/>
  <c r="AO89" i="1"/>
  <c r="AP89" i="1" s="1"/>
  <c r="AQ89" i="1" s="1"/>
  <c r="AR89" i="1" s="1"/>
  <c r="AO88" i="1"/>
  <c r="AP88" i="1" s="1"/>
  <c r="AQ88" i="1" s="1"/>
  <c r="AR88" i="1" s="1"/>
  <c r="AI98" i="1"/>
  <c r="AJ98" i="1" s="1"/>
  <c r="AK98" i="1" s="1"/>
  <c r="AI97" i="1"/>
  <c r="AJ97" i="1" s="1"/>
  <c r="AK97" i="1" s="1"/>
  <c r="AI96" i="1"/>
  <c r="AJ96" i="1" s="1"/>
  <c r="AK96" i="1" s="1"/>
  <c r="AI95" i="1"/>
  <c r="AJ95" i="1" s="1"/>
  <c r="AK95" i="1" s="1"/>
  <c r="AI94" i="1"/>
  <c r="AJ94" i="1" s="1"/>
  <c r="AK94" i="1" s="1"/>
  <c r="AI93" i="1"/>
  <c r="AJ93" i="1" s="1"/>
  <c r="AK93" i="1" s="1"/>
  <c r="AI92" i="1"/>
  <c r="AJ92" i="1" s="1"/>
  <c r="AK92" i="1" s="1"/>
  <c r="AI91" i="1"/>
  <c r="AJ91" i="1" s="1"/>
  <c r="AK91" i="1" s="1"/>
  <c r="AI90" i="1"/>
  <c r="AJ90" i="1" s="1"/>
  <c r="AK90" i="1" s="1"/>
  <c r="AI89" i="1"/>
  <c r="AJ89" i="1" s="1"/>
  <c r="AK89" i="1" s="1"/>
  <c r="AI88" i="1"/>
  <c r="AJ88" i="1" s="1"/>
  <c r="AK88" i="1" s="1"/>
  <c r="AB98" i="1"/>
  <c r="AC98" i="1" s="1"/>
  <c r="AD98" i="1" s="1"/>
  <c r="AE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E90" i="1" s="1"/>
  <c r="AB89" i="1"/>
  <c r="AC89" i="1" s="1"/>
  <c r="AD89" i="1" s="1"/>
  <c r="AB88" i="1"/>
  <c r="AC88" i="1" s="1"/>
  <c r="AD88" i="1" s="1"/>
  <c r="AO71" i="1"/>
  <c r="AP71" i="1" s="1"/>
  <c r="AQ71" i="1" s="1"/>
  <c r="AR71" i="1" s="1"/>
  <c r="AO69" i="1"/>
  <c r="AP69" i="1" s="1"/>
  <c r="AQ69" i="1" s="1"/>
  <c r="AR69" i="1" s="1"/>
  <c r="AO66" i="1"/>
  <c r="AP66" i="1" s="1"/>
  <c r="AQ66" i="1" s="1"/>
  <c r="AR66" i="1" s="1"/>
  <c r="AP65" i="1"/>
  <c r="AQ65" i="1" s="1"/>
  <c r="AR65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I76" i="1"/>
  <c r="AJ76" i="1" s="1"/>
  <c r="AK76" i="1" s="1"/>
  <c r="AB6" i="1"/>
  <c r="AA6" i="1"/>
  <c r="Z6" i="1"/>
  <c r="Y6" i="1"/>
  <c r="X6" i="1"/>
  <c r="K12" i="1"/>
  <c r="J12" i="1"/>
  <c r="I12" i="1"/>
  <c r="H12" i="1"/>
  <c r="G12" i="1"/>
  <c r="H13" i="1"/>
  <c r="I13" i="1"/>
  <c r="J13" i="1"/>
  <c r="K13" i="1"/>
  <c r="L13" i="1"/>
  <c r="M13" i="1"/>
  <c r="N13" i="1"/>
  <c r="O13" i="1"/>
  <c r="K9" i="1"/>
  <c r="J9" i="1"/>
  <c r="I9" i="1"/>
  <c r="H9" i="1"/>
  <c r="G9" i="1"/>
  <c r="AO82" i="1"/>
  <c r="AP82" i="1" s="1"/>
  <c r="AQ82" i="1" s="1"/>
  <c r="AR82" i="1" s="1"/>
  <c r="AO77" i="1"/>
  <c r="AP77" i="1" s="1"/>
  <c r="AQ77" i="1" s="1"/>
  <c r="AR77" i="1" s="1"/>
  <c r="AO78" i="1"/>
  <c r="AP78" i="1" s="1"/>
  <c r="AQ78" i="1" s="1"/>
  <c r="AR78" i="1" s="1"/>
  <c r="AO79" i="1"/>
  <c r="AP79" i="1" s="1"/>
  <c r="AQ79" i="1" s="1"/>
  <c r="AR79" i="1" s="1"/>
  <c r="AO80" i="1"/>
  <c r="AP80" i="1" s="1"/>
  <c r="AQ80" i="1" s="1"/>
  <c r="AR80" i="1" s="1"/>
  <c r="AO81" i="1"/>
  <c r="AP81" i="1" s="1"/>
  <c r="AQ81" i="1" s="1"/>
  <c r="AR81" i="1" s="1"/>
  <c r="AO76" i="1"/>
  <c r="AP76" i="1" s="1"/>
  <c r="AQ76" i="1" s="1"/>
  <c r="AR76" i="1" s="1"/>
  <c r="G6" i="1"/>
  <c r="AI77" i="1"/>
  <c r="AJ77" i="1" s="1"/>
  <c r="AK77" i="1" s="1"/>
  <c r="AI78" i="1"/>
  <c r="AJ78" i="1" s="1"/>
  <c r="AK78" i="1" s="1"/>
  <c r="AI79" i="1"/>
  <c r="AJ79" i="1" s="1"/>
  <c r="AK79" i="1" s="1"/>
  <c r="AI80" i="1"/>
  <c r="AJ80" i="1" s="1"/>
  <c r="AK80" i="1" s="1"/>
  <c r="AI81" i="1"/>
  <c r="AJ81" i="1" s="1"/>
  <c r="AK81" i="1" s="1"/>
  <c r="AI82" i="1"/>
  <c r="AJ82" i="1" s="1"/>
  <c r="AK82" i="1" s="1"/>
  <c r="AI83" i="1"/>
  <c r="AJ83" i="1" s="1"/>
  <c r="AK83" i="1" s="1"/>
  <c r="AI84" i="1"/>
  <c r="AJ84" i="1" s="1"/>
  <c r="AK84" i="1" s="1"/>
  <c r="AI85" i="1"/>
  <c r="AJ85" i="1" s="1"/>
  <c r="AK85" i="1" s="1"/>
  <c r="AI86" i="1"/>
  <c r="AJ86" i="1" s="1"/>
  <c r="AK86" i="1" s="1"/>
  <c r="M6" i="1"/>
  <c r="L6" i="1"/>
  <c r="K6" i="1"/>
  <c r="J6" i="1"/>
  <c r="I6" i="1"/>
  <c r="H6" i="1"/>
  <c r="AB77" i="1"/>
  <c r="AC77" i="1" s="1"/>
  <c r="AD77" i="1" s="1"/>
  <c r="AB78" i="1"/>
  <c r="AC78" i="1" s="1"/>
  <c r="AD78" i="1" s="1"/>
  <c r="AB79" i="1"/>
  <c r="AC79" i="1" s="1"/>
  <c r="AD79" i="1" s="1"/>
  <c r="AB80" i="1"/>
  <c r="AC80" i="1" s="1"/>
  <c r="AD80" i="1" s="1"/>
  <c r="AB81" i="1"/>
  <c r="AC81" i="1" s="1"/>
  <c r="AD81" i="1" s="1"/>
  <c r="AB82" i="1"/>
  <c r="AC82" i="1" s="1"/>
  <c r="AD82" i="1" s="1"/>
  <c r="AB83" i="1"/>
  <c r="AC83" i="1" s="1"/>
  <c r="AD83" i="1" s="1"/>
  <c r="AB84" i="1"/>
  <c r="AC84" i="1" s="1"/>
  <c r="AD84" i="1" s="1"/>
  <c r="AB85" i="1"/>
  <c r="AC85" i="1" s="1"/>
  <c r="AD85" i="1" s="1"/>
  <c r="AB86" i="1"/>
  <c r="AC86" i="1" s="1"/>
  <c r="AD86" i="1" s="1"/>
  <c r="AE86" i="1" s="1"/>
  <c r="AB76" i="1"/>
  <c r="AC76" i="1" s="1"/>
  <c r="AD76" i="1" s="1"/>
  <c r="AB20" i="1"/>
  <c r="AC20" i="1" s="1"/>
  <c r="AD20" i="1" s="1"/>
  <c r="AB21" i="1"/>
  <c r="AC21" i="1" s="1"/>
  <c r="AD21" i="1" s="1"/>
  <c r="AB22" i="1"/>
  <c r="AC22" i="1" s="1"/>
  <c r="AD22" i="1" s="1"/>
  <c r="AB23" i="1"/>
  <c r="AC23" i="1" s="1"/>
  <c r="AD23" i="1" s="1"/>
  <c r="AB24" i="1"/>
  <c r="AC24" i="1" s="1"/>
  <c r="AD24" i="1" s="1"/>
  <c r="AB25" i="1"/>
  <c r="AC25" i="1" s="1"/>
  <c r="AD25" i="1" s="1"/>
  <c r="AB26" i="1"/>
  <c r="AC26" i="1" s="1"/>
  <c r="AD26" i="1" s="1"/>
  <c r="AB27" i="1"/>
  <c r="AC27" i="1" s="1"/>
  <c r="AD27" i="1" s="1"/>
  <c r="AB19" i="1"/>
  <c r="AC19" i="1" s="1"/>
  <c r="AD19" i="1" s="1"/>
  <c r="AD20" i="5" l="1"/>
  <c r="AD24" i="5"/>
  <c r="AR39" i="5"/>
  <c r="AS39" i="5" s="1"/>
  <c r="AR54" i="5"/>
  <c r="AS54" i="5" s="1"/>
  <c r="AR59" i="5"/>
  <c r="AS59" i="5" s="1"/>
  <c r="AR67" i="5"/>
  <c r="AS67" i="5" s="1"/>
  <c r="AR35" i="5"/>
  <c r="AS35" i="5" s="1"/>
  <c r="AD46" i="5"/>
  <c r="AR48" i="5"/>
  <c r="AS48" i="5" s="1"/>
  <c r="AR66" i="5"/>
  <c r="AS66" i="5" s="1"/>
  <c r="AD19" i="5"/>
  <c r="AR21" i="5"/>
  <c r="AS21" i="5" s="1"/>
  <c r="AD23" i="5"/>
  <c r="AR25" i="5"/>
  <c r="AS25" i="5" s="1"/>
  <c r="AD27" i="5"/>
  <c r="AR31" i="5"/>
  <c r="AS31" i="5" s="1"/>
  <c r="AR42" i="5"/>
  <c r="AS42" i="5" s="1"/>
  <c r="AR47" i="5"/>
  <c r="AS47" i="5" s="1"/>
  <c r="AD26" i="5"/>
  <c r="AR34" i="5"/>
  <c r="AS34" i="5" s="1"/>
  <c r="AR46" i="5"/>
  <c r="AS46" i="5" s="1"/>
  <c r="AR45" i="5"/>
  <c r="AS45" i="5" s="1"/>
  <c r="AD50" i="5"/>
  <c r="AD48" i="5"/>
  <c r="AR95" i="5"/>
  <c r="AS95" i="5" s="1"/>
  <c r="AR111" i="5"/>
  <c r="AS111" i="5" s="1"/>
  <c r="AR147" i="5"/>
  <c r="AR78" i="5"/>
  <c r="AS78" i="5" s="1"/>
  <c r="AR82" i="5"/>
  <c r="AS82" i="5" s="1"/>
  <c r="AR91" i="5"/>
  <c r="AS91" i="5" s="1"/>
  <c r="AR93" i="5"/>
  <c r="AS93" i="5" s="1"/>
  <c r="AS127" i="5"/>
  <c r="AR153" i="5"/>
  <c r="AR88" i="5"/>
  <c r="AS88" i="5" s="1"/>
  <c r="AR90" i="5"/>
  <c r="AS90" i="5" s="1"/>
  <c r="AD97" i="5"/>
  <c r="AD98" i="5"/>
  <c r="AR79" i="5"/>
  <c r="AS79" i="5" s="1"/>
  <c r="AD96" i="5"/>
  <c r="AR100" i="5"/>
  <c r="AS100" i="5" s="1"/>
  <c r="AD64" i="5"/>
  <c r="AD72" i="5"/>
  <c r="AR76" i="5"/>
  <c r="AS76" i="5" s="1"/>
  <c r="AR150" i="5"/>
  <c r="AD106" i="5"/>
  <c r="AD110" i="5"/>
  <c r="AD111" i="5"/>
  <c r="AR136" i="5"/>
  <c r="AR141" i="5"/>
  <c r="AR143" i="5"/>
  <c r="AD154" i="5"/>
  <c r="AR122" i="5"/>
  <c r="AS122" i="5" s="1"/>
  <c r="AR124" i="5"/>
  <c r="AS124" i="5" s="1"/>
  <c r="AR135" i="5"/>
  <c r="AR146" i="5"/>
  <c r="AD151" i="5"/>
  <c r="AR152" i="5"/>
  <c r="AR155" i="5"/>
  <c r="AD156" i="5"/>
  <c r="AD155" i="5"/>
  <c r="AR130" i="5"/>
  <c r="AR154" i="5"/>
  <c r="AD141" i="5"/>
  <c r="AD143" i="5"/>
  <c r="AR156" i="5"/>
  <c r="AE21" i="1"/>
  <c r="AE19" i="1"/>
  <c r="AE27" i="1"/>
  <c r="AE20" i="1"/>
  <c r="AE22" i="1"/>
  <c r="AE23" i="1"/>
  <c r="AE24" i="1"/>
  <c r="AE25" i="1"/>
  <c r="AE26" i="1"/>
  <c r="AE28" i="1"/>
  <c r="AE45" i="1"/>
  <c r="AE46" i="1"/>
  <c r="AE48" i="1"/>
  <c r="AE33" i="1"/>
  <c r="AE38" i="1"/>
  <c r="AE40" i="1"/>
  <c r="AE35" i="1"/>
  <c r="AE30" i="1"/>
  <c r="AE32" i="1"/>
  <c r="AE37" i="1"/>
  <c r="AE39" i="1"/>
  <c r="AE34" i="1"/>
  <c r="AE36" i="1"/>
  <c r="AS39" i="1"/>
  <c r="AT39" i="1" s="1"/>
  <c r="AE31" i="1"/>
  <c r="AS33" i="1"/>
  <c r="AT33" i="1" s="1"/>
  <c r="AS35" i="1"/>
  <c r="AT35" i="1" s="1"/>
  <c r="AS36" i="1"/>
  <c r="AT36" i="1" s="1"/>
  <c r="AS34" i="1"/>
  <c r="AT34" i="1" s="1"/>
  <c r="AS30" i="1"/>
  <c r="AT30" i="1" s="1"/>
  <c r="AS32" i="1"/>
  <c r="AT32" i="1" s="1"/>
  <c r="AS31" i="1"/>
  <c r="AT31" i="1" s="1"/>
  <c r="AS38" i="1"/>
  <c r="AT38" i="1" s="1"/>
  <c r="AS37" i="1"/>
  <c r="AT37" i="1" s="1"/>
  <c r="AE122" i="1"/>
  <c r="AE54" i="1"/>
  <c r="AE61" i="1"/>
  <c r="AE42" i="1"/>
  <c r="AE44" i="1"/>
  <c r="AE43" i="1"/>
  <c r="AE152" i="1"/>
  <c r="AE47" i="1"/>
  <c r="AE49" i="1"/>
  <c r="AE64" i="1"/>
  <c r="AE120" i="1"/>
  <c r="AE128" i="1"/>
  <c r="AS68" i="1"/>
  <c r="AT68" i="1" s="1"/>
  <c r="AS77" i="1"/>
  <c r="AT77" i="1" s="1"/>
  <c r="AS130" i="1"/>
  <c r="AS138" i="1"/>
  <c r="AS106" i="1"/>
  <c r="AT106" i="1" s="1"/>
  <c r="AS73" i="1"/>
  <c r="AT73" i="1" s="1"/>
  <c r="AS48" i="1"/>
  <c r="AT48" i="1" s="1"/>
  <c r="AS44" i="1"/>
  <c r="AT44" i="1" s="1"/>
  <c r="AS47" i="1"/>
  <c r="AT47" i="1" s="1"/>
  <c r="AS43" i="1"/>
  <c r="AT43" i="1" s="1"/>
  <c r="AS42" i="1"/>
  <c r="AT42" i="1" s="1"/>
  <c r="AS45" i="1"/>
  <c r="AT45" i="1" s="1"/>
  <c r="AS46" i="1"/>
  <c r="AT46" i="1" s="1"/>
  <c r="AS49" i="1"/>
  <c r="AT49" i="1" s="1"/>
  <c r="AS148" i="1"/>
  <c r="AE56" i="1"/>
  <c r="AE60" i="1"/>
  <c r="AS57" i="1"/>
  <c r="AT57" i="1" s="1"/>
  <c r="AS82" i="1"/>
  <c r="AT82" i="1" s="1"/>
  <c r="AS121" i="1"/>
  <c r="AE55" i="1"/>
  <c r="AE59" i="1"/>
  <c r="AE52" i="1"/>
  <c r="AS150" i="1"/>
  <c r="AE62" i="1"/>
  <c r="AS58" i="1"/>
  <c r="AT58" i="1" s="1"/>
  <c r="AE132" i="1"/>
  <c r="AS55" i="1"/>
  <c r="AT55" i="1" s="1"/>
  <c r="AE53" i="1"/>
  <c r="AS72" i="1"/>
  <c r="AT72" i="1" s="1"/>
  <c r="AS146" i="1"/>
  <c r="AE57" i="1"/>
  <c r="AS92" i="1"/>
  <c r="AT92" i="1" s="1"/>
  <c r="AS100" i="1"/>
  <c r="AT100" i="1" s="1"/>
  <c r="AS108" i="1"/>
  <c r="AT108" i="1" s="1"/>
  <c r="AS122" i="1"/>
  <c r="AT122" i="1" s="1"/>
  <c r="AE125" i="1"/>
  <c r="AS53" i="1"/>
  <c r="AT53" i="1" s="1"/>
  <c r="AS52" i="1"/>
  <c r="AT52" i="1" s="1"/>
  <c r="AS61" i="1"/>
  <c r="AT61" i="1" s="1"/>
  <c r="AS101" i="1"/>
  <c r="AT101" i="1" s="1"/>
  <c r="AS109" i="1"/>
  <c r="AT109" i="1" s="1"/>
  <c r="AE126" i="1"/>
  <c r="AS81" i="1"/>
  <c r="AT81" i="1" s="1"/>
  <c r="AS85" i="1"/>
  <c r="AT85" i="1" s="1"/>
  <c r="AS133" i="1"/>
  <c r="AS151" i="1"/>
  <c r="AS84" i="1"/>
  <c r="AT84" i="1" s="1"/>
  <c r="AE151" i="1"/>
  <c r="AS56" i="1"/>
  <c r="AT56" i="1" s="1"/>
  <c r="AS79" i="1"/>
  <c r="AT79" i="1" s="1"/>
  <c r="AS88" i="1"/>
  <c r="AT88" i="1" s="1"/>
  <c r="AS96" i="1"/>
  <c r="AT96" i="1" s="1"/>
  <c r="AE121" i="1"/>
  <c r="AE129" i="1"/>
  <c r="AS83" i="1"/>
  <c r="AT83" i="1" s="1"/>
  <c r="AS149" i="1"/>
  <c r="AS60" i="1"/>
  <c r="AT60" i="1" s="1"/>
  <c r="AS54" i="1"/>
  <c r="AT54" i="1" s="1"/>
  <c r="AS98" i="1"/>
  <c r="AT98" i="1" s="1"/>
  <c r="AE123" i="1"/>
  <c r="AS74" i="1"/>
  <c r="AT74" i="1" s="1"/>
  <c r="AS59" i="1"/>
  <c r="AT59" i="1" s="1"/>
  <c r="AS67" i="1"/>
  <c r="AT67" i="1" s="1"/>
  <c r="AS90" i="1"/>
  <c r="AT90" i="1" s="1"/>
  <c r="AE89" i="1"/>
  <c r="AE97" i="1"/>
  <c r="AS91" i="1"/>
  <c r="AT91" i="1" s="1"/>
  <c r="AE100" i="1"/>
  <c r="AE108" i="1"/>
  <c r="AS107" i="1"/>
  <c r="AT107" i="1" s="1"/>
  <c r="AE124" i="1"/>
  <c r="AS155" i="1"/>
  <c r="AS154" i="1"/>
  <c r="AS104" i="1"/>
  <c r="AT104" i="1" s="1"/>
  <c r="AS135" i="1"/>
  <c r="AS78" i="1"/>
  <c r="AT78" i="1" s="1"/>
  <c r="AS89" i="1"/>
  <c r="AT89" i="1" s="1"/>
  <c r="AS97" i="1"/>
  <c r="AT97" i="1" s="1"/>
  <c r="AS105" i="1"/>
  <c r="AT105" i="1" s="1"/>
  <c r="AS134" i="1"/>
  <c r="AE140" i="1"/>
  <c r="AS156" i="1"/>
  <c r="AS140" i="1"/>
  <c r="AS94" i="1"/>
  <c r="AT94" i="1" s="1"/>
  <c r="AS102" i="1"/>
  <c r="AT102" i="1" s="1"/>
  <c r="AS110" i="1"/>
  <c r="AT110" i="1" s="1"/>
  <c r="AS86" i="1"/>
  <c r="AT86" i="1" s="1"/>
  <c r="AS137" i="1"/>
  <c r="AS153" i="1"/>
  <c r="AE91" i="1"/>
  <c r="AS93" i="1"/>
  <c r="AT93" i="1" s="1"/>
  <c r="AS80" i="1"/>
  <c r="AT80" i="1" s="1"/>
  <c r="AS66" i="1"/>
  <c r="AT66" i="1" s="1"/>
  <c r="AE93" i="1"/>
  <c r="AS95" i="1"/>
  <c r="AT95" i="1" s="1"/>
  <c r="AS103" i="1"/>
  <c r="AT103" i="1" s="1"/>
  <c r="AS111" i="1"/>
  <c r="AT111" i="1" s="1"/>
  <c r="AS136" i="1"/>
  <c r="AS141" i="1"/>
  <c r="AE153" i="1"/>
  <c r="AE146" i="1"/>
  <c r="AS152" i="1"/>
  <c r="AE149" i="1"/>
  <c r="AE148" i="1"/>
  <c r="AE142" i="1"/>
  <c r="AS143" i="1"/>
  <c r="AE155" i="1"/>
  <c r="AE156" i="1"/>
  <c r="AS147" i="1"/>
  <c r="AE143" i="1"/>
  <c r="AE147" i="1"/>
  <c r="AE141" i="1"/>
  <c r="AS142" i="1"/>
  <c r="AS144" i="1"/>
  <c r="AE154" i="1"/>
  <c r="AE102" i="1"/>
  <c r="AE110" i="1"/>
  <c r="AE92" i="1"/>
  <c r="AE103" i="1"/>
  <c r="AE111" i="1"/>
  <c r="AE127" i="1"/>
  <c r="AS76" i="1"/>
  <c r="AT76" i="1" s="1"/>
  <c r="AS124" i="1"/>
  <c r="AT124" i="1" s="1"/>
  <c r="AS123" i="1"/>
  <c r="AT123" i="1" s="1"/>
  <c r="AE94" i="1"/>
  <c r="AE105" i="1"/>
  <c r="AE76" i="1"/>
  <c r="AE95" i="1"/>
  <c r="AE106" i="1"/>
  <c r="AS129" i="1"/>
  <c r="AT129" i="1" s="1"/>
  <c r="AT121" i="1"/>
  <c r="AE88" i="1"/>
  <c r="AE96" i="1"/>
  <c r="AE107" i="1"/>
  <c r="AS120" i="1"/>
  <c r="AT120" i="1" s="1"/>
  <c r="AS71" i="1"/>
  <c r="AT71" i="1" s="1"/>
  <c r="AS128" i="1"/>
  <c r="AT128" i="1" s="1"/>
  <c r="AS70" i="1"/>
  <c r="AT70" i="1" s="1"/>
  <c r="AS127" i="1"/>
  <c r="AT127" i="1" s="1"/>
  <c r="AS65" i="1"/>
  <c r="AT65" i="1" s="1"/>
  <c r="AE101" i="1"/>
  <c r="AE109" i="1"/>
  <c r="AS112" i="1"/>
  <c r="AT112" i="1" s="1"/>
  <c r="AS69" i="1"/>
  <c r="AT69" i="1" s="1"/>
  <c r="AS126" i="1"/>
  <c r="AT126" i="1" s="1"/>
  <c r="AS125" i="1"/>
  <c r="AT125" i="1" s="1"/>
  <c r="AE85" i="1"/>
  <c r="AE84" i="1"/>
  <c r="AE83" i="1"/>
  <c r="AE82" i="1"/>
  <c r="AE81" i="1"/>
  <c r="AE80" i="1"/>
  <c r="AE79" i="1"/>
  <c r="AE78" i="1"/>
  <c r="AE77" i="1"/>
  <c r="AS64" i="1"/>
  <c r="AT64" i="1" s="1"/>
  <c r="AE137" i="1"/>
  <c r="AE136" i="1"/>
  <c r="AE135" i="1"/>
  <c r="AE134" i="1"/>
  <c r="AE133" i="1"/>
  <c r="AS132" i="1"/>
  <c r="AE65" i="1"/>
  <c r="AE66" i="1"/>
  <c r="AE67" i="1"/>
  <c r="AE68" i="1"/>
  <c r="AE69" i="1"/>
  <c r="AE70" i="1"/>
  <c r="AE71" i="1"/>
  <c r="AE72" i="1"/>
  <c r="AE73" i="1"/>
</calcChain>
</file>

<file path=xl/comments1.xml><?xml version="1.0" encoding="utf-8"?>
<comments xmlns="http://schemas.openxmlformats.org/spreadsheetml/2006/main">
  <authors>
    <author>tc={7EBC2AB5-19AA-4021-BC18-B8355319B66D}</author>
    <author>tc={5900B887-FA18-4823-832E-B940EC37A829}</author>
    <author>tc={821AF568-5D37-465E-8115-CB3C74D428D1}</author>
    <author>tc={D6846407-A013-4429-B954-239E87FDBD3C}</author>
    <author>tc={16C3B1B4-3805-4E69-965D-0970A72E8812}</author>
    <author>tc={E9B93A0C-DB3B-4B86-AC2C-7EBC59BC5DDC}</author>
    <author>tc={8E7B6113-F78B-49F8-9E02-93CF9616B9FE}</author>
    <author>tc={1695338B-BAEA-487A-AAA6-648C8CDC65B8}</author>
    <author>tc={E05F4FB2-AE2C-4D7A-BC66-4863EBF89C72}</author>
    <author>tc={9E0EC5F3-3EE8-4345-9E63-AFFCD1E6C162}</author>
    <author>tc={B5BB6754-A247-4C39-8123-71ACC8ED0956}</author>
    <author>tc={6564652E-8245-4B67-8B6F-E95868B8BB42}</author>
  </authors>
  <commentList>
    <comment ref="Y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value too high</t>
        </r>
      </text>
    </comment>
    <comment ref="AF6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had no Ct value</t>
        </r>
      </text>
    </comment>
    <comment ref="AM6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  </r>
      </text>
    </comment>
    <comment ref="AM6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  </r>
      </text>
    </comment>
    <comment ref="AM72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  </r>
      </text>
    </comment>
    <comment ref="AL73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  </r>
      </text>
    </comment>
    <comment ref="Z74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too high</t>
        </r>
      </text>
    </comment>
    <comment ref="AG74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  </r>
      </text>
    </comment>
    <comment ref="L88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Qpcr done by Fernando</t>
        </r>
      </text>
    </comment>
    <comment ref="L100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RNA extraction done by Fernando</t>
        </r>
      </text>
    </comment>
    <comment ref="C110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 ml of sample 1</t>
        </r>
      </text>
    </comment>
    <comment ref="C111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 ml of sample 2</t>
        </r>
      </text>
    </comment>
  </commentList>
</comments>
</file>

<file path=xl/comments2.xml><?xml version="1.0" encoding="utf-8"?>
<comments xmlns="http://schemas.openxmlformats.org/spreadsheetml/2006/main">
  <authors>
    <author>tc={820B15A7-CDB6-44A5-9518-58E4F0961F4C}</author>
    <author>tc={9AE6A539-E6E9-480E-8D59-F62019E4C1F5}</author>
    <author>tc={56ACCBA2-743C-488A-B9CD-9F6D729126F9}</author>
    <author>tc={BC881DA6-D277-4734-9FAA-4913EE0B865C}</author>
    <author>tc={5A9C6D9A-4476-4E37-A5BB-CB4EFF8E0034}</author>
    <author>tc={1ADAE6ED-5164-4A79-8F76-7360882AD135}</author>
    <author>tc={E7CF492C-7600-498E-8894-DC565DD68F6F}</author>
    <author>tc={4D5907A0-358B-4A38-8A08-4F0CAF2939C9}</author>
    <author>tc={5350A3C5-3128-4B42-9E45-F143F66D35E2}</author>
    <author>tc={C1E351E2-6586-4E26-8B57-D97D66582B4E}</author>
  </authors>
  <commentList>
    <comment ref="X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value too high</t>
        </r>
      </text>
    </comment>
    <comment ref="AE6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had no Ct value</t>
        </r>
      </text>
    </comment>
    <comment ref="AL6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  </r>
      </text>
    </comment>
    <comment ref="AL6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  </r>
      </text>
    </comment>
    <comment ref="AL72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  </r>
      </text>
    </comment>
    <comment ref="AK73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  </r>
      </text>
    </comment>
    <comment ref="Y74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too high</t>
        </r>
      </text>
    </comment>
    <comment ref="AF74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  </r>
      </text>
    </comment>
    <comment ref="K88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Qpcr done by Fernando</t>
        </r>
      </text>
    </comment>
    <comment ref="K100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RNA extraction done by Fernando</t>
        </r>
      </text>
    </comment>
  </commentList>
</comments>
</file>

<file path=xl/sharedStrings.xml><?xml version="1.0" encoding="utf-8"?>
<sst xmlns="http://schemas.openxmlformats.org/spreadsheetml/2006/main" count="4610" uniqueCount="263">
  <si>
    <t>PCR system: CFX96 Deep Well - Bio Rad</t>
  </si>
  <si>
    <t>PCR system: ABI 7500/7500 fast real - ABI</t>
  </si>
  <si>
    <t>Cocentration</t>
  </si>
  <si>
    <t>Slope</t>
  </si>
  <si>
    <t>Intercept</t>
  </si>
  <si>
    <t>STANDARD CURVES: Virus / template</t>
  </si>
  <si>
    <t>ng</t>
  </si>
  <si>
    <t>BRSV / 15 123 pb / Zoetis Vaccine</t>
  </si>
  <si>
    <t>Ct</t>
  </si>
  <si>
    <t>PMMV / Pool of RNA samples from WW</t>
  </si>
  <si>
    <t>gc</t>
  </si>
  <si>
    <t>SARS-CoV-2 / 29 903 pb / RNA whole viral genome</t>
  </si>
  <si>
    <t>SAMPLING</t>
  </si>
  <si>
    <t>CONCENTRATION</t>
  </si>
  <si>
    <t>MOLECULAR DETECTION</t>
  </si>
  <si>
    <t>OTHERS</t>
  </si>
  <si>
    <t>General</t>
  </si>
  <si>
    <t>Key parametres</t>
  </si>
  <si>
    <t>Date of RNA extraction (d/m/y)</t>
  </si>
  <si>
    <t>RNA kit used</t>
  </si>
  <si>
    <t>Date of PCR (d/m/y)</t>
  </si>
  <si>
    <t>External control (BRSV)</t>
  </si>
  <si>
    <t>PMMV</t>
  </si>
  <si>
    <t>SARS-CoV-2</t>
  </si>
  <si>
    <t>Comments</t>
  </si>
  <si>
    <t>City</t>
  </si>
  <si>
    <t>WWPT</t>
  </si>
  <si>
    <t>Date (d/m/y)</t>
  </si>
  <si>
    <t>Type sample</t>
  </si>
  <si>
    <t>Time / frequency</t>
  </si>
  <si>
    <t>Volume</t>
  </si>
  <si>
    <t>Stored temperature</t>
  </si>
  <si>
    <t>Date of sample reception (d/m/y)</t>
  </si>
  <si>
    <t>PI Laboratory</t>
  </si>
  <si>
    <t>Institution</t>
  </si>
  <si>
    <t>Manipulator</t>
  </si>
  <si>
    <t>Date of concentration (d/m/y)</t>
  </si>
  <si>
    <t>Concentrated Volume (ml)</t>
  </si>
  <si>
    <t>Sample details</t>
  </si>
  <si>
    <t>Concentration Method</t>
  </si>
  <si>
    <t>pH</t>
  </si>
  <si>
    <t>TSS (mg/l)</t>
  </si>
  <si>
    <t>Flow</t>
  </si>
  <si>
    <t>% recovery</t>
  </si>
  <si>
    <t>gc/rx</t>
  </si>
  <si>
    <t>gc/ml</t>
  </si>
  <si>
    <t>gc/normalized to PMMV</t>
  </si>
  <si>
    <t>gc/d normalized</t>
  </si>
  <si>
    <t>Initial</t>
  </si>
  <si>
    <t>Final</t>
  </si>
  <si>
    <t>m3/d</t>
  </si>
  <si>
    <t>ml/d</t>
  </si>
  <si>
    <t>Mean</t>
  </si>
  <si>
    <t>mean</t>
  </si>
  <si>
    <t>Quebec</t>
  </si>
  <si>
    <t>East</t>
  </si>
  <si>
    <t>19-08-2020</t>
  </si>
  <si>
    <t>Composite</t>
  </si>
  <si>
    <t>24 h / each 10 min</t>
  </si>
  <si>
    <t>500 ml</t>
  </si>
  <si>
    <t>ND</t>
  </si>
  <si>
    <t>Dominic Frigon</t>
  </si>
  <si>
    <t>McGill University</t>
  </si>
  <si>
    <t>Fernando</t>
  </si>
  <si>
    <t>Supernatant after settling</t>
  </si>
  <si>
    <t>Adsorption</t>
  </si>
  <si>
    <t>Allprep Powerviral RNA/DNA</t>
  </si>
  <si>
    <t>Data no plotted because different vol and subsample (setting after mixing)</t>
  </si>
  <si>
    <t>21-08-2020</t>
  </si>
  <si>
    <t>22-08-2020</t>
  </si>
  <si>
    <t>24-08-2020</t>
  </si>
  <si>
    <t>25-08-2020</t>
  </si>
  <si>
    <t>27-08-2020</t>
  </si>
  <si>
    <t>29-08-2020</t>
  </si>
  <si>
    <t>31-08-2020</t>
  </si>
  <si>
    <t>Reference</t>
  </si>
  <si>
    <t>7,45</t>
  </si>
  <si>
    <t>8,31</t>
  </si>
  <si>
    <t>8,48</t>
  </si>
  <si>
    <t>8,27</t>
  </si>
  <si>
    <t>8,88</t>
  </si>
  <si>
    <t>7,81</t>
  </si>
  <si>
    <t>West</t>
  </si>
  <si>
    <t>7,62</t>
  </si>
  <si>
    <t>No Cq</t>
  </si>
  <si>
    <t>7,92</t>
  </si>
  <si>
    <t>7,99</t>
  </si>
  <si>
    <t>NO BRSV</t>
  </si>
  <si>
    <t>17-09-2020</t>
  </si>
  <si>
    <t>Betty</t>
  </si>
  <si>
    <t>07-12-2020</t>
  </si>
  <si>
    <t>50 ml</t>
  </si>
  <si>
    <t>Completely mixed</t>
  </si>
  <si>
    <t>08/12/2020</t>
  </si>
  <si>
    <t>09/12/2020</t>
  </si>
  <si>
    <t>No Ct</t>
  </si>
  <si>
    <t>28-09-2020</t>
  </si>
  <si>
    <t>PMMV no recovery</t>
  </si>
  <si>
    <t>05-10-2020</t>
  </si>
  <si>
    <t>19-10-2020</t>
  </si>
  <si>
    <t xml:space="preserve">No Ct </t>
  </si>
  <si>
    <t>Forte pluie dosage de chimique au primaire pour 6,1 heures</t>
  </si>
  <si>
    <t>29-09-2020</t>
  </si>
  <si>
    <t>Training samples</t>
  </si>
  <si>
    <t>30-09-2020</t>
  </si>
  <si>
    <t>Spike reference</t>
  </si>
  <si>
    <t>15 ml</t>
  </si>
  <si>
    <t>200 µl</t>
  </si>
  <si>
    <t>NA</t>
  </si>
  <si>
    <t xml:space="preserve"> </t>
  </si>
  <si>
    <t>25-10-2020</t>
  </si>
  <si>
    <t>11-12-2020</t>
  </si>
  <si>
    <t>14-12-2020</t>
  </si>
  <si>
    <t>15/12/2020</t>
  </si>
  <si>
    <t>16/12/2020</t>
  </si>
  <si>
    <t>02-11-2020</t>
  </si>
  <si>
    <t>09-11-2020</t>
  </si>
  <si>
    <t>15-11-2020</t>
  </si>
  <si>
    <t>22-11-2020</t>
  </si>
  <si>
    <t>NO BRSV recovery</t>
  </si>
  <si>
    <t>16/12/2021</t>
  </si>
  <si>
    <t>12-11-2020</t>
  </si>
  <si>
    <t>18-12-2020</t>
  </si>
  <si>
    <t>Betty/Fernando</t>
  </si>
  <si>
    <t>21-12-2020</t>
  </si>
  <si>
    <t>50ml</t>
  </si>
  <si>
    <t>completely mixed</t>
  </si>
  <si>
    <t>22-12-2020</t>
  </si>
  <si>
    <t>18-11-2020</t>
  </si>
  <si>
    <t>25-11-2020</t>
  </si>
  <si>
    <t>29-11-2020</t>
  </si>
  <si>
    <t>03-12-2020</t>
  </si>
  <si>
    <t>fermeture dessableurs pour forcer le transfert de solides tournant en bouble dans le pré-traitement vers les décanteurs primaires.</t>
  </si>
  <si>
    <t>entretien d'un dessableur + Forte pluie dosage de chimique au primaire pour 8,9 heures</t>
  </si>
  <si>
    <t>15ml</t>
  </si>
  <si>
    <t>31-12-2020</t>
  </si>
  <si>
    <t xml:space="preserve">homogenized </t>
  </si>
  <si>
    <t>12-12-2020</t>
  </si>
  <si>
    <t>13-12-2020</t>
  </si>
  <si>
    <t>15-12-2020</t>
  </si>
  <si>
    <t xml:space="preserve">West </t>
  </si>
  <si>
    <t>100 ml</t>
  </si>
  <si>
    <t>Differente vol (100 ml)</t>
  </si>
  <si>
    <t>Montreal</t>
  </si>
  <si>
    <t>North</t>
  </si>
  <si>
    <t>Grab sample ?</t>
  </si>
  <si>
    <t>400 ml</t>
  </si>
  <si>
    <t>06-01-2021</t>
  </si>
  <si>
    <t>07-01-2021</t>
  </si>
  <si>
    <t>adsorption</t>
  </si>
  <si>
    <t>12-01-2021</t>
  </si>
  <si>
    <t>Sample from Mtl</t>
  </si>
  <si>
    <t xml:space="preserve">South </t>
  </si>
  <si>
    <t>04-01-2021</t>
  </si>
  <si>
    <t>spike reference</t>
  </si>
  <si>
    <t>dominic Frigon</t>
  </si>
  <si>
    <t>mcGill University</t>
  </si>
  <si>
    <t>betty/Fernando</t>
  </si>
  <si>
    <t>06-12-2020</t>
  </si>
  <si>
    <t>composite</t>
  </si>
  <si>
    <t>13-01-2021</t>
  </si>
  <si>
    <t>18-01-2021</t>
  </si>
  <si>
    <t>08-12-2020</t>
  </si>
  <si>
    <t>entretien d'un dessableur</t>
  </si>
  <si>
    <t>09-12-2020</t>
  </si>
  <si>
    <t>10-12-2020</t>
  </si>
  <si>
    <t>Forte pluie dosage de chimique au primaire pour 1,6 heures</t>
  </si>
  <si>
    <t>500ml</t>
  </si>
  <si>
    <t>15-01-2021</t>
  </si>
  <si>
    <t>19-01-2021</t>
  </si>
  <si>
    <t>20-01-2021</t>
  </si>
  <si>
    <t>16-01-2021</t>
  </si>
  <si>
    <t>17-01-2021</t>
  </si>
  <si>
    <t xml:space="preserve">Spike reference </t>
  </si>
  <si>
    <t>21-01-2021</t>
  </si>
  <si>
    <t>25-01-2021</t>
  </si>
  <si>
    <t>22-01-2021</t>
  </si>
  <si>
    <t>degradation</t>
  </si>
  <si>
    <t>450 ml</t>
  </si>
  <si>
    <t>Spike reference 1</t>
  </si>
  <si>
    <t>Spike reference 2</t>
  </si>
  <si>
    <t>25-01-2022</t>
  </si>
  <si>
    <t>Conclusion</t>
  </si>
  <si>
    <t>General information</t>
  </si>
  <si>
    <r>
      <t>Final elution in the extraction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</si>
  <si>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Worker/Student (RNA extraction)</t>
  </si>
  <si>
    <r>
      <t>Final volume in the PCR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</si>
  <si>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Worker/Student (PCR)</t>
  </si>
  <si>
    <t>Sampling point</t>
  </si>
  <si>
    <t>Date of reception (d/m/y)</t>
  </si>
  <si>
    <t>Worker/Student</t>
  </si>
  <si>
    <t>Volume concentrated (ml)</t>
  </si>
  <si>
    <t xml:space="preserve">Turbidity </t>
  </si>
  <si>
    <t>gc/rxn</t>
  </si>
  <si>
    <t>24/2/2021</t>
  </si>
  <si>
    <t>VSTL-III</t>
  </si>
  <si>
    <t>Grab</t>
  </si>
  <si>
    <t>RNA extraction issue (clean up steps were not done)</t>
  </si>
  <si>
    <t>Extraction need to be done again</t>
  </si>
  <si>
    <t>CDN-05</t>
  </si>
  <si>
    <t>BORD-16</t>
  </si>
  <si>
    <t>ANJOU</t>
  </si>
  <si>
    <t>REFERENCE</t>
  </si>
  <si>
    <t>NEGATIVE</t>
  </si>
  <si>
    <t>25/2/2021</t>
  </si>
  <si>
    <t>PCR need to be done again to correct the backgraound of SARS</t>
  </si>
  <si>
    <t>No recovery of PMMV and BRSV</t>
  </si>
  <si>
    <r>
      <t xml:space="preserve">Very high negative background signal for SARS-CoV-2 (Cts values must be </t>
    </r>
    <r>
      <rPr>
        <sz val="10"/>
        <color theme="1"/>
        <rFont val="Calibri"/>
        <family val="2"/>
      </rPr>
      <t>≥37)</t>
    </r>
  </si>
  <si>
    <t>26/2/2021</t>
  </si>
  <si>
    <t>Computer issue, then resolve</t>
  </si>
  <si>
    <t>Collection point</t>
  </si>
  <si>
    <t>SARS-CoV-2 N1 gene</t>
  </si>
  <si>
    <t>N°</t>
  </si>
  <si>
    <t>ng/rxn</t>
  </si>
  <si>
    <t>Log(gc)</t>
  </si>
  <si>
    <t>16/2/2021</t>
  </si>
  <si>
    <t>Date</t>
  </si>
  <si>
    <t>Target</t>
  </si>
  <si>
    <t>Target Gene</t>
  </si>
  <si>
    <t>Automatic or Manual Cycle threshold</t>
  </si>
  <si>
    <t>Ct Threshold</t>
  </si>
  <si>
    <t>Y-intercept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</si>
  <si>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</si>
  <si>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Efficiency (%)</t>
  </si>
  <si>
    <t>Ct1</t>
  </si>
  <si>
    <t>Ct2</t>
  </si>
  <si>
    <t>Ct3</t>
  </si>
  <si>
    <t>Average</t>
  </si>
  <si>
    <t>Theoretical Effiency</t>
  </si>
  <si>
    <t>SARS-CoV-2 (using viral RNA)</t>
  </si>
  <si>
    <t>N1</t>
  </si>
  <si>
    <t>Manual</t>
  </si>
  <si>
    <t>CP</t>
  </si>
  <si>
    <t>BRSV</t>
  </si>
  <si>
    <t>Nucleocapsid</t>
  </si>
  <si>
    <t>PMMV (CP gene)</t>
  </si>
  <si>
    <t>BRSV gene</t>
  </si>
  <si>
    <t>COVID19 new cases (by lab)</t>
  </si>
  <si>
    <t>SARS-CoV-2 (gc/ml)</t>
  </si>
  <si>
    <t>Weekend</t>
  </si>
  <si>
    <t>COVID19 new cases</t>
  </si>
  <si>
    <t>GRAB SAMPLES SARS-CoV-2 (gc/ml)</t>
  </si>
  <si>
    <t>COMPOSITE SAMPLES SARS-CoV-2 (gc/ml)</t>
  </si>
  <si>
    <t>GRAB SAMPLES PMMV (gc/ml)</t>
  </si>
  <si>
    <t>COMPOSITE SAMPLES PMMV (gc/ml)</t>
  </si>
  <si>
    <t>GRAB SAMPLES SARS-CoV-2 normalized to PMMV</t>
  </si>
  <si>
    <t>COMPOSITE SAMPLES SARS-CoV-2 normalized to PMMV</t>
  </si>
  <si>
    <t>GRAB SAMPLES</t>
  </si>
  <si>
    <t>COMPOSITE SAMPLES</t>
  </si>
  <si>
    <t>CV</t>
  </si>
  <si>
    <t>Site 11 (VSL Ind.)</t>
  </si>
  <si>
    <t>Site 5 (CDN)</t>
  </si>
  <si>
    <t>Site 16 (Bordeau)</t>
  </si>
  <si>
    <t>Site 12 (Anjou Ind.)</t>
  </si>
  <si>
    <t>Daily</t>
  </si>
  <si>
    <t>Averages</t>
  </si>
  <si>
    <t>Prob. CV</t>
  </si>
  <si>
    <t>Correl</t>
  </si>
  <si>
    <t>One Week Average Ratio (Avg Num/Avg Den)</t>
  </si>
  <si>
    <t>Site 11 
(St-Laurent-Industrial)</t>
  </si>
  <si>
    <t>Site 5 
(Cote-de-Nige)</t>
  </si>
  <si>
    <t>Site 16 
(Bordeau Prison)</t>
  </si>
  <si>
    <t>Site 12 
(Anjou-Industrial)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</si>
</sst>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mm/dd/yy;@"/>
    <numFmt numFmtId="165" formatCode="dd/mm/yyyy;@"/>
    <numFmt numFmtId="166" formatCode="0.000"/>
    <numFmt numFmtId="167" formatCode="0.0000"/>
    <numFmt numFmtId="168" formatCode="[$-F800]dddd\,\ mmmm\ dd\,\ yyyy"/>
    <numFmt numFmtId="169" formatCode="0.0"/>
    <numFmt numFmtId="170" formatCode="0.000E+00"/>
    <numFmt numFmtId="171" formatCode="0.0E+00"/>
    <numFmt numFmtId="172" formatCode="0.0%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4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2" fontId="6" fillId="0" borderId="11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8" fillId="0" borderId="11" xfId="0" applyFont="1" applyFill="1" applyBorder="1" applyAlignment="1">
      <alignment wrapText="1"/>
    </xf>
    <xf numFmtId="2" fontId="6" fillId="0" borderId="12" xfId="0" applyNumberFormat="1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7" fillId="0" borderId="11" xfId="0" applyFont="1" applyFill="1" applyBorder="1" applyAlignment="1">
      <alignment wrapText="1"/>
    </xf>
    <xf numFmtId="0" fontId="7" fillId="0" borderId="10" xfId="0" applyFont="1" applyFill="1" applyBorder="1" applyAlignment="1">
      <alignment wrapText="1"/>
    </xf>
    <xf numFmtId="11" fontId="4" fillId="0" borderId="11" xfId="0" applyNumberFormat="1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1" xfId="0" applyFont="1" applyFill="1" applyBorder="1"/>
    <xf numFmtId="0" fontId="1" fillId="9" borderId="53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4" fillId="9" borderId="11" xfId="0" applyNumberFormat="1" applyFont="1" applyFill="1" applyBorder="1" applyAlignment="1">
      <alignment horizontal="center" vertical="center"/>
    </xf>
    <xf numFmtId="2" fontId="1" fillId="9" borderId="11" xfId="0" applyNumberFormat="1" applyFont="1" applyFill="1" applyBorder="1" applyAlignment="1">
      <alignment horizontal="center" vertical="center"/>
    </xf>
    <xf numFmtId="11" fontId="4" fillId="9" borderId="11" xfId="0" applyNumberFormat="1" applyFont="1" applyFill="1" applyBorder="1" applyAlignment="1">
      <alignment horizontal="center" vertical="center"/>
    </xf>
    <xf numFmtId="11" fontId="1" fillId="9" borderId="11" xfId="0" applyNumberFormat="1" applyFont="1" applyFill="1" applyBorder="1" applyAlignment="1">
      <alignment horizontal="center" vertical="center"/>
    </xf>
    <xf numFmtId="0" fontId="1" fillId="9" borderId="0" xfId="0" applyFont="1" applyFill="1"/>
    <xf numFmtId="165" fontId="1" fillId="9" borderId="11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2" fontId="1" fillId="9" borderId="11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/>
    <xf numFmtId="0" fontId="4" fillId="9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165" fontId="1" fillId="10" borderId="11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/>
    </xf>
    <xf numFmtId="2" fontId="1" fillId="10" borderId="11" xfId="0" applyNumberFormat="1" applyFont="1" applyFill="1" applyBorder="1" applyAlignment="1">
      <alignment horizontal="center" vertical="center"/>
    </xf>
    <xf numFmtId="11" fontId="1" fillId="10" borderId="11" xfId="0" applyNumberFormat="1" applyFont="1" applyFill="1" applyBorder="1" applyAlignment="1">
      <alignment horizontal="center" vertical="center"/>
    </xf>
    <xf numFmtId="2" fontId="4" fillId="10" borderId="11" xfId="0" applyNumberFormat="1" applyFont="1" applyFill="1" applyBorder="1" applyAlignment="1">
      <alignment horizontal="center" vertical="center"/>
    </xf>
    <xf numFmtId="0" fontId="1" fillId="10" borderId="0" xfId="0" applyFont="1" applyFill="1" applyBorder="1"/>
    <xf numFmtId="164" fontId="1" fillId="9" borderId="11" xfId="0" applyNumberFormat="1" applyFont="1" applyFill="1" applyBorder="1" applyAlignment="1">
      <alignment horizontal="center" vertical="center"/>
    </xf>
    <xf numFmtId="0" fontId="9" fillId="9" borderId="0" xfId="0" applyFont="1" applyFill="1" applyAlignment="1">
      <alignment wrapText="1"/>
    </xf>
    <xf numFmtId="0" fontId="7" fillId="9" borderId="0" xfId="0" applyFont="1" applyFill="1" applyBorder="1" applyAlignment="1">
      <alignment wrapText="1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11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wrapText="1"/>
    </xf>
    <xf numFmtId="0" fontId="1" fillId="9" borderId="14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2" fontId="3" fillId="9" borderId="11" xfId="0" applyNumberFormat="1" applyFont="1" applyFill="1" applyBorder="1" applyAlignment="1">
      <alignment horizontal="center" vertical="center" wrapText="1"/>
    </xf>
    <xf numFmtId="2" fontId="2" fillId="9" borderId="11" xfId="0" applyNumberFormat="1" applyFont="1" applyFill="1" applyBorder="1" applyAlignment="1">
      <alignment horizontal="center" vertical="center"/>
    </xf>
    <xf numFmtId="2" fontId="6" fillId="0" borderId="55" xfId="0" applyNumberFormat="1" applyFont="1" applyBorder="1" applyAlignment="1">
      <alignment horizontal="center" vertical="center"/>
    </xf>
    <xf numFmtId="2" fontId="6" fillId="0" borderId="56" xfId="0" applyNumberFormat="1" applyFont="1" applyBorder="1" applyAlignment="1">
      <alignment horizontal="center" vertical="center"/>
    </xf>
    <xf numFmtId="0" fontId="1" fillId="9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1" fillId="11" borderId="0" xfId="0" applyFont="1" applyFill="1"/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/>
    <xf numFmtId="0" fontId="1" fillId="11" borderId="53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2" fontId="4" fillId="11" borderId="11" xfId="0" applyNumberFormat="1" applyFont="1" applyFill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center" vertical="center"/>
    </xf>
    <xf numFmtId="11" fontId="4" fillId="11" borderId="11" xfId="0" applyNumberFormat="1" applyFont="1" applyFill="1" applyBorder="1" applyAlignment="1">
      <alignment horizontal="center" vertical="center"/>
    </xf>
    <xf numFmtId="11" fontId="1" fillId="11" borderId="11" xfId="0" applyNumberFormat="1" applyFont="1" applyFill="1" applyBorder="1" applyAlignment="1">
      <alignment horizontal="center" vertical="center"/>
    </xf>
    <xf numFmtId="0" fontId="1" fillId="12" borderId="0" xfId="0" applyFont="1" applyFill="1" applyBorder="1"/>
    <xf numFmtId="0" fontId="1" fillId="12" borderId="10" xfId="0" applyFont="1" applyFill="1" applyBorder="1" applyAlignment="1">
      <alignment horizontal="center" vertical="center"/>
    </xf>
    <xf numFmtId="165" fontId="1" fillId="12" borderId="10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1" fillId="12" borderId="10" xfId="0" applyNumberFormat="1" applyFont="1" applyFill="1" applyBorder="1" applyAlignment="1">
      <alignment horizontal="center" vertical="center"/>
    </xf>
    <xf numFmtId="11" fontId="1" fillId="12" borderId="10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/>
    </xf>
    <xf numFmtId="11" fontId="1" fillId="12" borderId="11" xfId="0" applyNumberFormat="1" applyFont="1" applyFill="1" applyBorder="1" applyAlignment="1">
      <alignment horizontal="center" vertical="center"/>
    </xf>
    <xf numFmtId="2" fontId="4" fillId="12" borderId="11" xfId="0" applyNumberFormat="1" applyFont="1" applyFill="1" applyBorder="1" applyAlignment="1">
      <alignment horizontal="center" vertical="center"/>
    </xf>
    <xf numFmtId="165" fontId="1" fillId="12" borderId="1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wrapText="1"/>
    </xf>
    <xf numFmtId="2" fontId="1" fillId="12" borderId="11" xfId="0" applyNumberFormat="1" applyFont="1" applyFill="1" applyBorder="1" applyAlignment="1">
      <alignment horizontal="center" vertical="center" wrapText="1"/>
    </xf>
    <xf numFmtId="0" fontId="1" fillId="12" borderId="11" xfId="0" applyNumberFormat="1" applyFont="1" applyFill="1" applyBorder="1" applyAlignment="1">
      <alignment horizontal="center" vertical="center"/>
    </xf>
    <xf numFmtId="0" fontId="1" fillId="10" borderId="11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1" fillId="13" borderId="11" xfId="0" applyFont="1" applyFill="1" applyBorder="1" applyAlignment="1">
      <alignment horizontal="center" vertical="center"/>
    </xf>
    <xf numFmtId="164" fontId="1" fillId="13" borderId="11" xfId="0" applyNumberFormat="1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165" fontId="1" fillId="13" borderId="11" xfId="0" applyNumberFormat="1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2" fontId="4" fillId="13" borderId="11" xfId="0" applyNumberFormat="1" applyFont="1" applyFill="1" applyBorder="1" applyAlignment="1">
      <alignment horizontal="center" vertical="center"/>
    </xf>
    <xf numFmtId="2" fontId="1" fillId="13" borderId="11" xfId="0" applyNumberFormat="1" applyFont="1" applyFill="1" applyBorder="1" applyAlignment="1">
      <alignment horizontal="center" vertical="center"/>
    </xf>
    <xf numFmtId="11" fontId="4" fillId="13" borderId="11" xfId="0" applyNumberFormat="1" applyFont="1" applyFill="1" applyBorder="1" applyAlignment="1">
      <alignment horizontal="center" vertical="center"/>
    </xf>
    <xf numFmtId="11" fontId="1" fillId="13" borderId="11" xfId="0" applyNumberFormat="1" applyFont="1" applyFill="1" applyBorder="1" applyAlignment="1">
      <alignment horizontal="center" vertical="center"/>
    </xf>
    <xf numFmtId="0" fontId="1" fillId="13" borderId="11" xfId="0" applyFont="1" applyFill="1" applyBorder="1"/>
    <xf numFmtId="0" fontId="1" fillId="13" borderId="10" xfId="0" applyFont="1" applyFill="1" applyBorder="1"/>
    <xf numFmtId="0" fontId="1" fillId="13" borderId="10" xfId="0" applyFont="1" applyFill="1" applyBorder="1" applyAlignment="1">
      <alignment horizontal="center" vertical="center"/>
    </xf>
    <xf numFmtId="164" fontId="1" fillId="13" borderId="10" xfId="0" applyNumberFormat="1" applyFont="1" applyFill="1" applyBorder="1" applyAlignment="1">
      <alignment horizontal="center" vertical="center"/>
    </xf>
    <xf numFmtId="2" fontId="1" fillId="13" borderId="10" xfId="0" applyNumberFormat="1" applyFont="1" applyFill="1" applyBorder="1" applyAlignment="1">
      <alignment horizontal="center" vertical="center"/>
    </xf>
    <xf numFmtId="2" fontId="4" fillId="13" borderId="10" xfId="0" applyNumberFormat="1" applyFont="1" applyFill="1" applyBorder="1" applyAlignment="1">
      <alignment horizontal="center" vertical="center"/>
    </xf>
    <xf numFmtId="14" fontId="1" fillId="13" borderId="10" xfId="0" applyNumberFormat="1" applyFont="1" applyFill="1" applyBorder="1" applyAlignment="1">
      <alignment horizontal="center" vertical="center"/>
    </xf>
    <xf numFmtId="14" fontId="1" fillId="13" borderId="11" xfId="0" applyNumberFormat="1" applyFont="1" applyFill="1" applyBorder="1" applyAlignment="1">
      <alignment horizontal="center" vertical="center"/>
    </xf>
    <xf numFmtId="0" fontId="1" fillId="12" borderId="0" xfId="0" applyFont="1" applyFill="1"/>
    <xf numFmtId="14" fontId="1" fillId="12" borderId="10" xfId="0" applyNumberFormat="1" applyFont="1" applyFill="1" applyBorder="1" applyAlignment="1">
      <alignment horizontal="center" vertical="center"/>
    </xf>
    <xf numFmtId="14" fontId="1" fillId="12" borderId="11" xfId="0" applyNumberFormat="1" applyFont="1" applyFill="1" applyBorder="1" applyAlignment="1">
      <alignment horizontal="center" vertical="center"/>
    </xf>
    <xf numFmtId="11" fontId="4" fillId="12" borderId="11" xfId="0" applyNumberFormat="1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wrapText="1"/>
    </xf>
    <xf numFmtId="0" fontId="0" fillId="13" borderId="0" xfId="0" applyFill="1" applyAlignment="1">
      <alignment wrapText="1"/>
    </xf>
    <xf numFmtId="0" fontId="7" fillId="13" borderId="11" xfId="0" applyFont="1" applyFill="1" applyBorder="1" applyAlignment="1">
      <alignment wrapText="1"/>
    </xf>
    <xf numFmtId="0" fontId="7" fillId="13" borderId="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166" fontId="1" fillId="13" borderId="11" xfId="0" applyNumberFormat="1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53" xfId="0" applyFont="1" applyFill="1" applyBorder="1" applyAlignment="1">
      <alignment horizontal="center" vertical="center"/>
    </xf>
    <xf numFmtId="166" fontId="1" fillId="9" borderId="11" xfId="0" applyNumberFormat="1" applyFont="1" applyFill="1" applyBorder="1" applyAlignment="1">
      <alignment horizontal="center" vertical="center"/>
    </xf>
    <xf numFmtId="0" fontId="1" fillId="9" borderId="54" xfId="0" applyFont="1" applyFill="1" applyBorder="1"/>
    <xf numFmtId="0" fontId="8" fillId="13" borderId="10" xfId="0" applyFont="1" applyFill="1" applyBorder="1" applyAlignment="1">
      <alignment wrapText="1"/>
    </xf>
    <xf numFmtId="0" fontId="4" fillId="12" borderId="11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164" fontId="1" fillId="12" borderId="13" xfId="0" applyNumberFormat="1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4" fillId="12" borderId="13" xfId="0" applyNumberFormat="1" applyFont="1" applyFill="1" applyBorder="1" applyAlignment="1">
      <alignment horizontal="center" vertical="center"/>
    </xf>
    <xf numFmtId="164" fontId="1" fillId="12" borderId="11" xfId="0" applyNumberFormat="1" applyFont="1" applyFill="1" applyBorder="1" applyAlignment="1">
      <alignment horizontal="center" vertical="center"/>
    </xf>
    <xf numFmtId="0" fontId="1" fillId="12" borderId="11" xfId="0" applyFont="1" applyFill="1" applyBorder="1"/>
    <xf numFmtId="0" fontId="7" fillId="12" borderId="0" xfId="0" applyFont="1" applyFill="1" applyBorder="1" applyAlignment="1">
      <alignment wrapText="1"/>
    </xf>
    <xf numFmtId="2" fontId="1" fillId="13" borderId="11" xfId="0" applyNumberFormat="1" applyFont="1" applyFill="1" applyBorder="1" applyAlignment="1">
      <alignment horizontal="center" vertical="center" wrapText="1"/>
    </xf>
    <xf numFmtId="1" fontId="11" fillId="13" borderId="0" xfId="0" applyNumberFormat="1" applyFont="1" applyFill="1" applyAlignment="1">
      <alignment horizontal="center" wrapText="1"/>
    </xf>
    <xf numFmtId="0" fontId="1" fillId="13" borderId="0" xfId="0" applyFont="1" applyFill="1" applyBorder="1"/>
    <xf numFmtId="0" fontId="1" fillId="14" borderId="10" xfId="0" applyFont="1" applyFill="1" applyBorder="1" applyAlignment="1">
      <alignment horizontal="center" vertical="center"/>
    </xf>
    <xf numFmtId="165" fontId="1" fillId="14" borderId="10" xfId="0" applyNumberFormat="1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center" vertical="center"/>
    </xf>
    <xf numFmtId="11" fontId="1" fillId="14" borderId="10" xfId="0" applyNumberFormat="1" applyFont="1" applyFill="1" applyBorder="1" applyAlignment="1">
      <alignment horizontal="center" vertical="center"/>
    </xf>
    <xf numFmtId="2" fontId="4" fillId="14" borderId="10" xfId="0" applyNumberFormat="1" applyFont="1" applyFill="1" applyBorder="1" applyAlignment="1">
      <alignment horizontal="center" vertical="center"/>
    </xf>
    <xf numFmtId="0" fontId="1" fillId="14" borderId="0" xfId="0" applyFont="1" applyFill="1" applyBorder="1"/>
    <xf numFmtId="0" fontId="1" fillId="14" borderId="11" xfId="0" applyFont="1" applyFill="1" applyBorder="1" applyAlignment="1">
      <alignment horizontal="center" vertical="center"/>
    </xf>
    <xf numFmtId="165" fontId="1" fillId="14" borderId="11" xfId="0" applyNumberFormat="1" applyFont="1" applyFill="1" applyBorder="1" applyAlignment="1">
      <alignment horizontal="center" vertical="center"/>
    </xf>
    <xf numFmtId="2" fontId="3" fillId="14" borderId="11" xfId="0" applyNumberFormat="1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/>
    </xf>
    <xf numFmtId="11" fontId="1" fillId="14" borderId="11" xfId="0" applyNumberFormat="1" applyFont="1" applyFill="1" applyBorder="1" applyAlignment="1">
      <alignment horizontal="center" vertical="center"/>
    </xf>
    <xf numFmtId="2" fontId="4" fillId="14" borderId="11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 wrapText="1"/>
    </xf>
    <xf numFmtId="164" fontId="1" fillId="14" borderId="11" xfId="0" applyNumberFormat="1" applyFont="1" applyFill="1" applyBorder="1" applyAlignment="1">
      <alignment horizontal="center" vertical="center"/>
    </xf>
    <xf numFmtId="1" fontId="11" fillId="14" borderId="0" xfId="0" applyNumberFormat="1" applyFont="1" applyFill="1" applyAlignment="1">
      <alignment horizontal="center" wrapText="1"/>
    </xf>
    <xf numFmtId="0" fontId="4" fillId="14" borderId="11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wrapText="1"/>
    </xf>
    <xf numFmtId="11" fontId="4" fillId="14" borderId="11" xfId="0" applyNumberFormat="1" applyFont="1" applyFill="1" applyBorder="1" applyAlignment="1">
      <alignment horizontal="center" vertical="center"/>
    </xf>
    <xf numFmtId="0" fontId="9" fillId="14" borderId="0" xfId="0" applyFont="1" applyFill="1" applyAlignment="1">
      <alignment wrapText="1"/>
    </xf>
    <xf numFmtId="0" fontId="1" fillId="14" borderId="0" xfId="0" applyFont="1" applyFill="1"/>
    <xf numFmtId="0" fontId="1" fillId="14" borderId="13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14" borderId="11" xfId="0" applyFont="1" applyFill="1" applyBorder="1"/>
    <xf numFmtId="14" fontId="1" fillId="14" borderId="10" xfId="0" applyNumberFormat="1" applyFont="1" applyFill="1" applyBorder="1" applyAlignment="1">
      <alignment horizontal="center" vertical="center"/>
    </xf>
    <xf numFmtId="14" fontId="1" fillId="14" borderId="11" xfId="0" applyNumberFormat="1" applyFont="1" applyFill="1" applyBorder="1" applyAlignment="1">
      <alignment horizontal="center" vertical="center"/>
    </xf>
    <xf numFmtId="16" fontId="1" fillId="14" borderId="1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66" fontId="1" fillId="14" borderId="11" xfId="0" applyNumberFormat="1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wrapText="1"/>
    </xf>
    <xf numFmtId="0" fontId="1" fillId="14" borderId="54" xfId="0" applyFont="1" applyFill="1" applyBorder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16" borderId="75" xfId="0" applyFill="1" applyBorder="1" applyAlignment="1">
      <alignment horizontal="center" vertical="center"/>
    </xf>
    <xf numFmtId="0" fontId="0" fillId="0" borderId="1" xfId="0" applyBorder="1"/>
    <xf numFmtId="167" fontId="0" fillId="0" borderId="1" xfId="0" applyNumberFormat="1" applyBorder="1"/>
    <xf numFmtId="2" fontId="0" fillId="0" borderId="1" xfId="0" applyNumberFormat="1" applyBorder="1"/>
    <xf numFmtId="0" fontId="14" fillId="0" borderId="0" xfId="0" applyFont="1"/>
    <xf numFmtId="0" fontId="0" fillId="0" borderId="6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4" fontId="0" fillId="0" borderId="78" xfId="0" applyNumberFormat="1" applyBorder="1" applyAlignment="1">
      <alignment horizontal="center" vertical="center"/>
    </xf>
    <xf numFmtId="4" fontId="0" fillId="0" borderId="69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66" fontId="0" fillId="0" borderId="1" xfId="0" applyNumberFormat="1" applyBorder="1"/>
    <xf numFmtId="4" fontId="0" fillId="0" borderId="68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4" fontId="0" fillId="0" borderId="73" xfId="0" applyNumberFormat="1" applyBorder="1" applyAlignment="1">
      <alignment horizontal="center" vertical="center"/>
    </xf>
    <xf numFmtId="4" fontId="0" fillId="0" borderId="74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7" borderId="77" xfId="0" applyFill="1" applyBorder="1" applyAlignment="1">
      <alignment horizontal="center" vertical="center"/>
    </xf>
    <xf numFmtId="0" fontId="0" fillId="17" borderId="80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17" borderId="78" xfId="0" applyFill="1" applyBorder="1" applyAlignment="1">
      <alignment horizontal="center" vertical="center"/>
    </xf>
    <xf numFmtId="0" fontId="0" fillId="17" borderId="67" xfId="0" applyFill="1" applyBorder="1" applyAlignment="1">
      <alignment horizontal="center" vertical="center"/>
    </xf>
    <xf numFmtId="0" fontId="0" fillId="17" borderId="7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70" xfId="0" applyFill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0" fillId="17" borderId="71" xfId="0" applyFill="1" applyBorder="1" applyAlignment="1">
      <alignment horizontal="center" vertical="center"/>
    </xf>
    <xf numFmtId="0" fontId="0" fillId="17" borderId="72" xfId="0" applyFill="1" applyBorder="1" applyAlignment="1">
      <alignment horizontal="center" vertical="center"/>
    </xf>
    <xf numFmtId="0" fontId="0" fillId="17" borderId="75" xfId="0" applyFill="1" applyBorder="1" applyAlignment="1">
      <alignment horizontal="center" vertical="center"/>
    </xf>
    <xf numFmtId="0" fontId="0" fillId="17" borderId="82" xfId="0" applyFill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78" xfId="0" applyNumberFormat="1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0" fillId="16" borderId="87" xfId="0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4" fontId="0" fillId="0" borderId="92" xfId="0" applyNumberFormat="1" applyBorder="1" applyAlignment="1">
      <alignment horizontal="center" vertical="center"/>
    </xf>
    <xf numFmtId="4" fontId="0" fillId="0" borderId="44" xfId="0" applyNumberFormat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9" fontId="1" fillId="14" borderId="11" xfId="0" applyNumberFormat="1" applyFont="1" applyFill="1" applyBorder="1" applyAlignment="1">
      <alignment horizontal="center" vertical="center"/>
    </xf>
    <xf numFmtId="14" fontId="1" fillId="14" borderId="13" xfId="0" applyNumberFormat="1" applyFont="1" applyFill="1" applyBorder="1" applyAlignment="1">
      <alignment horizontal="center" vertical="center"/>
    </xf>
    <xf numFmtId="0" fontId="1" fillId="14" borderId="97" xfId="0" applyFont="1" applyFill="1" applyBorder="1" applyAlignment="1">
      <alignment horizontal="center" vertical="center"/>
    </xf>
    <xf numFmtId="165" fontId="1" fillId="14" borderId="13" xfId="0" applyNumberFormat="1" applyFont="1" applyFill="1" applyBorder="1" applyAlignment="1">
      <alignment horizontal="center" vertical="center"/>
    </xf>
    <xf numFmtId="0" fontId="4" fillId="14" borderId="97" xfId="0" applyFont="1" applyFill="1" applyBorder="1" applyAlignment="1">
      <alignment horizontal="center" vertic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168" fontId="1" fillId="11" borderId="11" xfId="0" applyNumberFormat="1" applyFont="1" applyFill="1" applyBorder="1" applyAlignment="1">
      <alignment horizontal="center" vertical="center"/>
    </xf>
    <xf numFmtId="165" fontId="1" fillId="11" borderId="11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center" vertical="center" wrapText="1"/>
    </xf>
    <xf numFmtId="2" fontId="1" fillId="11" borderId="10" xfId="0" applyNumberFormat="1" applyFont="1" applyFill="1" applyBorder="1" applyAlignment="1">
      <alignment horizontal="center" vertical="center"/>
    </xf>
    <xf numFmtId="11" fontId="1" fillId="11" borderId="10" xfId="0" applyNumberFormat="1" applyFont="1" applyFill="1" applyBorder="1" applyAlignment="1">
      <alignment horizontal="center" vertical="center"/>
    </xf>
    <xf numFmtId="0" fontId="1" fillId="11" borderId="0" xfId="0" applyFont="1" applyFill="1" applyBorder="1"/>
    <xf numFmtId="0" fontId="1" fillId="11" borderId="11" xfId="0" applyNumberFormat="1" applyFont="1" applyFill="1" applyBorder="1" applyAlignment="1">
      <alignment horizontal="center" vertical="center"/>
    </xf>
    <xf numFmtId="164" fontId="1" fillId="11" borderId="11" xfId="0" applyNumberFormat="1" applyFont="1" applyFill="1" applyBorder="1" applyAlignment="1">
      <alignment horizontal="center" vertical="center"/>
    </xf>
    <xf numFmtId="170" fontId="1" fillId="14" borderId="10" xfId="0" applyNumberFormat="1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right" vertical="center"/>
    </xf>
    <xf numFmtId="1" fontId="1" fillId="14" borderId="1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1" fontId="1" fillId="14" borderId="11" xfId="0" applyNumberFormat="1" applyFont="1" applyFill="1" applyBorder="1" applyAlignment="1">
      <alignment vertical="center"/>
    </xf>
    <xf numFmtId="0" fontId="1" fillId="14" borderId="11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1" borderId="98" xfId="0" applyFont="1" applyFill="1" applyBorder="1" applyAlignment="1">
      <alignment vertical="center"/>
    </xf>
    <xf numFmtId="0" fontId="1" fillId="11" borderId="99" xfId="0" applyFont="1" applyFill="1" applyBorder="1" applyAlignment="1">
      <alignment vertical="center"/>
    </xf>
    <xf numFmtId="11" fontId="1" fillId="14" borderId="11" xfId="0" applyNumberFormat="1" applyFont="1" applyFill="1" applyBorder="1" applyAlignment="1">
      <alignment horizontal="right" vertical="center"/>
    </xf>
    <xf numFmtId="0" fontId="1" fillId="14" borderId="11" xfId="0" applyFont="1" applyFill="1" applyBorder="1" applyAlignment="1">
      <alignment horizontal="right" vertical="center"/>
    </xf>
    <xf numFmtId="0" fontId="1" fillId="14" borderId="0" xfId="0" applyFont="1" applyFill="1" applyAlignment="1">
      <alignment horizontal="right" vertical="center"/>
    </xf>
    <xf numFmtId="2" fontId="1" fillId="14" borderId="11" xfId="0" applyNumberFormat="1" applyFont="1" applyFill="1" applyBorder="1" applyAlignment="1">
      <alignment horizontal="right" vertical="center"/>
    </xf>
    <xf numFmtId="166" fontId="1" fillId="14" borderId="11" xfId="0" applyNumberFormat="1" applyFont="1" applyFill="1" applyBorder="1" applyAlignment="1">
      <alignment horizontal="right" vertical="center"/>
    </xf>
    <xf numFmtId="2" fontId="4" fillId="14" borderId="10" xfId="0" applyNumberFormat="1" applyFont="1" applyFill="1" applyBorder="1" applyAlignment="1">
      <alignment horizontal="right" vertical="center"/>
    </xf>
    <xf numFmtId="2" fontId="4" fillId="11" borderId="10" xfId="0" applyNumberFormat="1" applyFont="1" applyFill="1" applyBorder="1" applyAlignment="1">
      <alignment horizontal="right" vertical="center"/>
    </xf>
    <xf numFmtId="2" fontId="1" fillId="11" borderId="10" xfId="0" applyNumberFormat="1" applyFont="1" applyFill="1" applyBorder="1" applyAlignment="1">
      <alignment horizontal="right" vertical="center"/>
    </xf>
    <xf numFmtId="2" fontId="1" fillId="11" borderId="98" xfId="0" applyNumberFormat="1" applyFont="1" applyFill="1" applyBorder="1" applyAlignment="1">
      <alignment horizontal="right" vertical="center"/>
    </xf>
    <xf numFmtId="1" fontId="1" fillId="11" borderId="10" xfId="0" applyNumberFormat="1" applyFont="1" applyFill="1" applyBorder="1" applyAlignment="1">
      <alignment horizontal="right" vertical="center"/>
    </xf>
    <xf numFmtId="1" fontId="1" fillId="11" borderId="98" xfId="0" applyNumberFormat="1" applyFont="1" applyFill="1" applyBorder="1" applyAlignment="1">
      <alignment horizontal="right" vertical="center"/>
    </xf>
    <xf numFmtId="1" fontId="1" fillId="14" borderId="11" xfId="0" applyNumberFormat="1" applyFont="1" applyFill="1" applyBorder="1" applyAlignment="1">
      <alignment horizontal="right" vertical="center"/>
    </xf>
    <xf numFmtId="14" fontId="1" fillId="15" borderId="11" xfId="0" applyNumberFormat="1" applyFont="1" applyFill="1" applyBorder="1" applyAlignment="1">
      <alignment horizontal="center" vertical="center"/>
    </xf>
    <xf numFmtId="165" fontId="1" fillId="15" borderId="10" xfId="0" applyNumberFormat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14" fontId="1" fillId="15" borderId="10" xfId="0" applyNumberFormat="1" applyFont="1" applyFill="1" applyBorder="1" applyAlignment="1">
      <alignment horizontal="center" vertical="center"/>
    </xf>
    <xf numFmtId="2" fontId="1" fillId="15" borderId="10" xfId="0" applyNumberFormat="1" applyFont="1" applyFill="1" applyBorder="1" applyAlignment="1">
      <alignment horizontal="center" vertical="center"/>
    </xf>
    <xf numFmtId="2" fontId="2" fillId="15" borderId="10" xfId="0" applyNumberFormat="1" applyFont="1" applyFill="1" applyBorder="1" applyAlignment="1">
      <alignment horizontal="center" vertical="center"/>
    </xf>
    <xf numFmtId="11" fontId="1" fillId="15" borderId="10" xfId="0" applyNumberFormat="1" applyFont="1" applyFill="1" applyBorder="1" applyAlignment="1">
      <alignment horizontal="center" vertical="center"/>
    </xf>
    <xf numFmtId="0" fontId="1" fillId="15" borderId="10" xfId="0" applyNumberFormat="1" applyFont="1" applyFill="1" applyBorder="1" applyAlignment="1">
      <alignment horizontal="center" vertical="center"/>
    </xf>
    <xf numFmtId="1" fontId="1" fillId="15" borderId="10" xfId="0" applyNumberFormat="1" applyFont="1" applyFill="1" applyBorder="1" applyAlignment="1">
      <alignment horizontal="right" vertical="center"/>
    </xf>
    <xf numFmtId="0" fontId="1" fillId="15" borderId="0" xfId="0" applyFont="1" applyFill="1" applyBorder="1"/>
    <xf numFmtId="165" fontId="1" fillId="15" borderId="11" xfId="0" applyNumberFormat="1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2" fontId="3" fillId="15" borderId="11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/>
    </xf>
    <xf numFmtId="2" fontId="1" fillId="15" borderId="11" xfId="0" applyNumberFormat="1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wrapText="1"/>
    </xf>
    <xf numFmtId="2" fontId="2" fillId="15" borderId="11" xfId="0" applyNumberFormat="1" applyFont="1" applyFill="1" applyBorder="1" applyAlignment="1">
      <alignment horizontal="center" vertical="center"/>
    </xf>
    <xf numFmtId="2" fontId="1" fillId="15" borderId="11" xfId="0" applyNumberFormat="1" applyFont="1" applyFill="1" applyBorder="1" applyAlignment="1">
      <alignment horizontal="center" vertical="center" wrapText="1"/>
    </xf>
    <xf numFmtId="2" fontId="1" fillId="15" borderId="10" xfId="0" applyNumberFormat="1" applyFont="1" applyFill="1" applyBorder="1" applyAlignment="1">
      <alignment horizontal="right" vertical="center"/>
    </xf>
    <xf numFmtId="2" fontId="4" fillId="15" borderId="10" xfId="0" applyNumberFormat="1" applyFont="1" applyFill="1" applyBorder="1" applyAlignment="1">
      <alignment horizontal="right" vertical="center"/>
    </xf>
    <xf numFmtId="169" fontId="1" fillId="15" borderId="11" xfId="0" applyNumberFormat="1" applyFont="1" applyFill="1" applyBorder="1" applyAlignment="1">
      <alignment horizontal="center" vertical="center"/>
    </xf>
    <xf numFmtId="14" fontId="1" fillId="1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5" borderId="5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70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wrapText="1"/>
    </xf>
    <xf numFmtId="0" fontId="7" fillId="14" borderId="52" xfId="0" applyFont="1" applyFill="1" applyBorder="1" applyAlignment="1">
      <alignment wrapText="1"/>
    </xf>
    <xf numFmtId="0" fontId="1" fillId="11" borderId="1" xfId="0" applyFont="1" applyFill="1" applyBorder="1"/>
    <xf numFmtId="0" fontId="1" fillId="14" borderId="1" xfId="0" applyFont="1" applyFill="1" applyBorder="1"/>
    <xf numFmtId="0" fontId="1" fillId="11" borderId="1" xfId="0" applyFont="1" applyFill="1" applyBorder="1" applyAlignment="1">
      <alignment vertical="center"/>
    </xf>
    <xf numFmtId="0" fontId="1" fillId="0" borderId="1" xfId="0" applyFont="1" applyBorder="1"/>
    <xf numFmtId="14" fontId="0" fillId="0" borderId="1" xfId="0" applyNumberFormat="1" applyBorder="1"/>
    <xf numFmtId="171" fontId="0" fillId="0" borderId="1" xfId="0" applyNumberFormat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right" vertical="center"/>
    </xf>
    <xf numFmtId="1" fontId="1" fillId="11" borderId="11" xfId="0" applyNumberFormat="1" applyFont="1" applyFill="1" applyBorder="1" applyAlignment="1">
      <alignment horizontal="right" vertical="center"/>
    </xf>
    <xf numFmtId="0" fontId="7" fillId="11" borderId="0" xfId="0" applyFont="1" applyFill="1" applyBorder="1" applyAlignment="1">
      <alignment wrapText="1"/>
    </xf>
    <xf numFmtId="2" fontId="1" fillId="11" borderId="13" xfId="0" applyNumberFormat="1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169" fontId="1" fillId="11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1" fontId="1" fillId="14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16" borderId="71" xfId="0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16" borderId="7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9" fillId="14" borderId="1" xfId="0" applyNumberFormat="1" applyFont="1" applyFill="1" applyBorder="1" applyAlignment="1">
      <alignment horizontal="center" vertical="center"/>
    </xf>
    <xf numFmtId="1" fontId="19" fillId="14" borderId="10" xfId="0" applyNumberFormat="1" applyFont="1" applyFill="1" applyBorder="1" applyAlignment="1">
      <alignment horizontal="right" vertical="center"/>
    </xf>
    <xf numFmtId="1" fontId="1" fillId="14" borderId="103" xfId="0" applyNumberFormat="1" applyFont="1" applyFill="1" applyBorder="1" applyAlignment="1">
      <alignment horizontal="right" vertical="center"/>
    </xf>
    <xf numFmtId="2" fontId="19" fillId="14" borderId="1" xfId="0" applyNumberFormat="1" applyFont="1" applyFill="1" applyBorder="1" applyAlignment="1">
      <alignment horizontal="center" vertical="center"/>
    </xf>
    <xf numFmtId="9" fontId="19" fillId="14" borderId="1" xfId="1" applyFont="1" applyFill="1" applyBorder="1" applyAlignment="1">
      <alignment horizontal="center" vertical="center"/>
    </xf>
    <xf numFmtId="165" fontId="1" fillId="14" borderId="70" xfId="0" applyNumberFormat="1" applyFont="1" applyFill="1" applyBorder="1" applyAlignment="1">
      <alignment horizontal="left" vertical="center"/>
    </xf>
    <xf numFmtId="165" fontId="1" fillId="14" borderId="52" xfId="0" applyNumberFormat="1" applyFont="1" applyFill="1" applyBorder="1" applyAlignment="1">
      <alignment horizontal="left" vertical="center"/>
    </xf>
    <xf numFmtId="165" fontId="1" fillId="14" borderId="12" xfId="0" applyNumberFormat="1" applyFont="1" applyFill="1" applyBorder="1" applyAlignment="1">
      <alignment horizontal="left" vertical="center"/>
    </xf>
    <xf numFmtId="1" fontId="19" fillId="14" borderId="1" xfId="0" applyNumberFormat="1" applyFont="1" applyFill="1" applyBorder="1" applyAlignment="1">
      <alignment horizontal="right" vertical="center"/>
    </xf>
    <xf numFmtId="1" fontId="18" fillId="0" borderId="1" xfId="0" applyNumberFormat="1" applyFont="1" applyBorder="1" applyAlignment="1">
      <alignment horizontal="center" vertical="center"/>
    </xf>
    <xf numFmtId="1" fontId="19" fillId="14" borderId="1" xfId="0" applyNumberFormat="1" applyFont="1" applyFill="1" applyBorder="1" applyAlignment="1">
      <alignment horizontal="center" vertical="center"/>
    </xf>
    <xf numFmtId="167" fontId="1" fillId="14" borderId="1" xfId="0" applyNumberFormat="1" applyFont="1" applyFill="1" applyBorder="1" applyAlignment="1">
      <alignment horizontal="center" vertical="center"/>
    </xf>
    <xf numFmtId="0" fontId="18" fillId="0" borderId="0" xfId="0" applyFont="1"/>
    <xf numFmtId="167" fontId="19" fillId="1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8" fillId="0" borderId="0" xfId="0" applyNumberFormat="1" applyFont="1"/>
    <xf numFmtId="172" fontId="18" fillId="0" borderId="0" xfId="1" applyNumberFormat="1" applyFont="1"/>
    <xf numFmtId="166" fontId="18" fillId="0" borderId="0" xfId="0" applyNumberFormat="1" applyFont="1"/>
    <xf numFmtId="0" fontId="12" fillId="0" borderId="0" xfId="0" applyFont="1"/>
    <xf numFmtId="165" fontId="1" fillId="14" borderId="70" xfId="0" applyNumberFormat="1" applyFont="1" applyFill="1" applyBorder="1" applyAlignment="1">
      <alignment horizontal="left" vertical="center" wrapText="1"/>
    </xf>
    <xf numFmtId="165" fontId="1" fillId="14" borderId="52" xfId="0" applyNumberFormat="1" applyFont="1" applyFill="1" applyBorder="1" applyAlignment="1">
      <alignment horizontal="left" vertical="center" wrapText="1"/>
    </xf>
    <xf numFmtId="165" fontId="1" fillId="14" borderId="12" xfId="0" applyNumberFormat="1" applyFont="1" applyFill="1" applyBorder="1" applyAlignment="1">
      <alignment horizontal="left" vertical="center" wrapText="1"/>
    </xf>
    <xf numFmtId="1" fontId="18" fillId="0" borderId="1" xfId="0" applyNumberFormat="1" applyFont="1" applyBorder="1"/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6" borderId="59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5" borderId="102" xfId="0" applyFont="1" applyFill="1" applyBorder="1" applyAlignment="1">
      <alignment horizontal="center" vertical="center"/>
    </xf>
    <xf numFmtId="0" fontId="1" fillId="5" borderId="101" xfId="0" applyFont="1" applyFill="1" applyBorder="1" applyAlignment="1">
      <alignment horizontal="center" vertical="center"/>
    </xf>
    <xf numFmtId="0" fontId="1" fillId="5" borderId="79" xfId="0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 wrapText="1"/>
    </xf>
    <xf numFmtId="14" fontId="0" fillId="16" borderId="64" xfId="0" applyNumberFormat="1" applyFill="1" applyBorder="1" applyAlignment="1">
      <alignment horizontal="center" vertical="center"/>
    </xf>
    <xf numFmtId="0" fontId="0" fillId="16" borderId="65" xfId="0" applyFill="1" applyBorder="1" applyAlignment="1">
      <alignment horizontal="center" vertical="center"/>
    </xf>
    <xf numFmtId="0" fontId="0" fillId="16" borderId="66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60" xfId="0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0" fillId="16" borderId="73" xfId="0" applyFill="1" applyBorder="1" applyAlignment="1">
      <alignment horizontal="center" vertical="center"/>
    </xf>
    <xf numFmtId="0" fontId="0" fillId="16" borderId="62" xfId="0" applyFill="1" applyBorder="1" applyAlignment="1">
      <alignment horizontal="center" vertical="center"/>
    </xf>
    <xf numFmtId="0" fontId="0" fillId="16" borderId="74" xfId="0" applyFill="1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14" fontId="0" fillId="16" borderId="31" xfId="0" applyNumberFormat="1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6" borderId="8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86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83" xfId="0" applyFill="1" applyBorder="1" applyAlignment="1">
      <alignment horizontal="center" vertical="center"/>
    </xf>
    <xf numFmtId="0" fontId="0" fillId="16" borderId="8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0" xfId="0" applyBorder="1" applyAlignment="1">
      <alignment horizontal="center"/>
    </xf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D7D31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SARS-CoV-2 N1 (using viral</a:t>
            </a:r>
            <a:r>
              <a:rPr lang="en-CA" baseline="0"/>
              <a:t> RNA)</a:t>
            </a:r>
            <a:endParaRPr lang="en-CA"/>
          </a:p>
          <a:p>
            <a:pPr>
              <a:defRPr/>
            </a:pPr>
            <a:r>
              <a:rPr lang="en-CA"/>
              <a:t>9/2/2021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Summaries'!$Q$4:$Q$11</c:f>
              <c:numCache>
                <c:formatCode>#,##0.00</c:formatCode>
                <c:ptCount val="8"/>
                <c:pt idx="0">
                  <c:v>8.7725542850369767</c:v>
                </c:pt>
                <c:pt idx="1">
                  <c:v>7.7725542850369775</c:v>
                </c:pt>
                <c:pt idx="2">
                  <c:v>6.7725542850369775</c:v>
                </c:pt>
                <c:pt idx="3">
                  <c:v>5.7725542850369775</c:v>
                </c:pt>
                <c:pt idx="4">
                  <c:v>4.7725542850369775</c:v>
                </c:pt>
                <c:pt idx="5">
                  <c:v>3.7725542850369775</c:v>
                </c:pt>
                <c:pt idx="6">
                  <c:v>2.7725542850369775</c:v>
                </c:pt>
                <c:pt idx="7">
                  <c:v>1.7725542850369773</c:v>
                </c:pt>
              </c:numCache>
            </c:numRef>
          </c:xVal>
          <c:yVal>
            <c:numRef>
              <c:f>'Standard Curve Summaries'!$U$4:$U$11</c:f>
              <c:numCache>
                <c:formatCode>General</c:formatCode>
                <c:ptCount val="8"/>
                <c:pt idx="0">
                  <c:v>10.349723600409932</c:v>
                </c:pt>
                <c:pt idx="1">
                  <c:v>13.938197551299732</c:v>
                </c:pt>
                <c:pt idx="2">
                  <c:v>17.1950821325498</c:v>
                </c:pt>
                <c:pt idx="3">
                  <c:v>20.768188790913268</c:v>
                </c:pt>
                <c:pt idx="4">
                  <c:v>24.183287355023964</c:v>
                </c:pt>
                <c:pt idx="5">
                  <c:v>27.95287621851287</c:v>
                </c:pt>
                <c:pt idx="6">
                  <c:v>30.946042430894632</c:v>
                </c:pt>
                <c:pt idx="7">
                  <c:v>33.265438037803804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5-447B-9482-3205947F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5 (CDN)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Grab!$E$3:$K$3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Grab!$E$5:$K$5</c:f>
              <c:numCache>
                <c:formatCode>0</c:formatCode>
                <c:ptCount val="7"/>
                <c:pt idx="0">
                  <c:v>22.073386816205506</c:v>
                </c:pt>
                <c:pt idx="1">
                  <c:v>25.446966052759468</c:v>
                </c:pt>
                <c:pt idx="2">
                  <c:v>70</c:v>
                </c:pt>
                <c:pt idx="3">
                  <c:v>39.792772684871878</c:v>
                </c:pt>
                <c:pt idx="4">
                  <c:v>74.461807091558327</c:v>
                </c:pt>
                <c:pt idx="5">
                  <c:v>1199</c:v>
                </c:pt>
                <c:pt idx="6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B-45D4-90C2-4A1CD17B110A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Composite!$E$3:$K$3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Composite!$E$5:$K$5</c:f>
              <c:numCache>
                <c:formatCode>0</c:formatCode>
                <c:ptCount val="7"/>
                <c:pt idx="0">
                  <c:v>134.01440602747999</c:v>
                </c:pt>
                <c:pt idx="1">
                  <c:v>126.71498724750623</c:v>
                </c:pt>
                <c:pt idx="2">
                  <c:v>91</c:v>
                </c:pt>
                <c:pt idx="3">
                  <c:v>87.232271698595838</c:v>
                </c:pt>
                <c:pt idx="4">
                  <c:v>19.004684623124238</c:v>
                </c:pt>
                <c:pt idx="5">
                  <c:v>138</c:v>
                </c:pt>
                <c:pt idx="6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B-45D4-90C2-4A1CD17B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16 Bordeau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Grab!$E$3:$K$3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Grab!$E$6:$K$6</c:f>
              <c:numCache>
                <c:formatCode>0</c:formatCode>
                <c:ptCount val="7"/>
                <c:pt idx="0">
                  <c:v>554.64569294868056</c:v>
                </c:pt>
                <c:pt idx="1">
                  <c:v>265.53062727046427</c:v>
                </c:pt>
                <c:pt idx="2">
                  <c:v>6</c:v>
                </c:pt>
                <c:pt idx="3">
                  <c:v>153.53990916144545</c:v>
                </c:pt>
                <c:pt idx="4">
                  <c:v>5.1440266869815519</c:v>
                </c:pt>
                <c:pt idx="5">
                  <c:v>17</c:v>
                </c:pt>
                <c:pt idx="6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9FE-9D23-4A368FF06D6F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Composite!$E$3:$K$3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Composite!$E$6:$K$6</c:f>
              <c:numCache>
                <c:formatCode>0</c:formatCode>
                <c:ptCount val="7"/>
                <c:pt idx="0">
                  <c:v>289.33765321190293</c:v>
                </c:pt>
                <c:pt idx="1">
                  <c:v>459.11967589195694</c:v>
                </c:pt>
                <c:pt idx="2">
                  <c:v>342</c:v>
                </c:pt>
                <c:pt idx="3">
                  <c:v>265.49847565508526</c:v>
                </c:pt>
                <c:pt idx="4">
                  <c:v>124.24751348992568</c:v>
                </c:pt>
                <c:pt idx="5">
                  <c:v>157</c:v>
                </c:pt>
                <c:pt idx="6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9-49FE-9D23-4A368FF0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12 (Anjou Ind.)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Grab!$E$3:$K$3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Grab!$E$7:$K$7</c:f>
              <c:numCache>
                <c:formatCode>0</c:formatCode>
                <c:ptCount val="7"/>
                <c:pt idx="0">
                  <c:v>3.4490450355944695</c:v>
                </c:pt>
                <c:pt idx="1">
                  <c:v>9.543314059983528</c:v>
                </c:pt>
                <c:pt idx="2">
                  <c:v>5</c:v>
                </c:pt>
                <c:pt idx="3">
                  <c:v>24.869415561130392</c:v>
                </c:pt>
                <c:pt idx="4">
                  <c:v>10.070118168812165</c:v>
                </c:pt>
                <c:pt idx="5">
                  <c:v>16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8-41A3-81DE-2F93B7FA6C6B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Composite!$E$3:$K$3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Composite!$E$7:$K$7</c:f>
              <c:numCache>
                <c:formatCode>0</c:formatCode>
                <c:ptCount val="7"/>
                <c:pt idx="0">
                  <c:v>11.669042977161551</c:v>
                </c:pt>
                <c:pt idx="1">
                  <c:v>11.253759573560549</c:v>
                </c:pt>
                <c:pt idx="2">
                  <c:v>4</c:v>
                </c:pt>
                <c:pt idx="3">
                  <c:v>26.054746850952096</c:v>
                </c:pt>
                <c:pt idx="4">
                  <c:v>23.420654087705866</c:v>
                </c:pt>
                <c:pt idx="5">
                  <c:v>12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8-41A3-81DE-2F93B7FA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SARS-Grab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Grab!$B$4:$B$7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Grab!$C$4:$C$7</c:f>
              <c:numCache>
                <c:formatCode>0.00</c:formatCode>
                <c:ptCount val="4"/>
                <c:pt idx="0">
                  <c:v>7.3859525475376904</c:v>
                </c:pt>
                <c:pt idx="1">
                  <c:v>223.1107046636279</c:v>
                </c:pt>
                <c:pt idx="2">
                  <c:v>173.98003658108169</c:v>
                </c:pt>
                <c:pt idx="3">
                  <c:v>11.847413260788651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4-4280-BCD7-01FBF1F1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SARS-Grab 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Grab!$B$4:$B$7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Grab!$D$4:$D$7</c:f>
              <c:numCache>
                <c:formatCode>0%</c:formatCode>
                <c:ptCount val="4"/>
                <c:pt idx="0">
                  <c:v>0.51230410400790505</c:v>
                </c:pt>
                <c:pt idx="1">
                  <c:v>1.9360268694671996</c:v>
                </c:pt>
                <c:pt idx="2">
                  <c:v>1.141956834812808</c:v>
                </c:pt>
                <c:pt idx="3">
                  <c:v>0.6138489348468934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2-4E9B-80BA-2B0046DC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SARS-Composite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Composite!$B$4:$B$7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Composite!$C$4:$C$7</c:f>
              <c:numCache>
                <c:formatCode>0.00</c:formatCode>
                <c:ptCount val="4"/>
                <c:pt idx="0">
                  <c:v>11.411267548889352</c:v>
                </c:pt>
                <c:pt idx="1">
                  <c:v>135.42376422810091</c:v>
                </c:pt>
                <c:pt idx="2">
                  <c:v>254.88618832126727</c:v>
                </c:pt>
                <c:pt idx="3">
                  <c:v>15.342600498482867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0E9-B738-5AD6F549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SARS-Composite 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Composite!$B$4:$B$7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Composite!$D$4:$D$7</c:f>
              <c:numCache>
                <c:formatCode>0%</c:formatCode>
                <c:ptCount val="4"/>
                <c:pt idx="0">
                  <c:v>0.48664757757436594</c:v>
                </c:pt>
                <c:pt idx="1">
                  <c:v>0.76762256172055088</c:v>
                </c:pt>
                <c:pt idx="2">
                  <c:v>0.47752688016925421</c:v>
                </c:pt>
                <c:pt idx="3">
                  <c:v>0.50726101786644184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183-9DA0-D7D0970A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Composite!$B$4</c:f>
              <c:strCache>
                <c:ptCount val="1"/>
                <c:pt idx="0">
                  <c:v>Site 11 (VSL Ind.)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Composite!$E$2:$K$2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Composite!$E$4:$K$4</c:f>
              <c:numCache>
                <c:formatCode>0</c:formatCode>
                <c:ptCount val="7"/>
                <c:pt idx="0">
                  <c:v>5.5517519075425774</c:v>
                </c:pt>
                <c:pt idx="1">
                  <c:v>9.8646937649361526</c:v>
                </c:pt>
                <c:pt idx="2">
                  <c:v>4</c:v>
                </c:pt>
                <c:pt idx="3">
                  <c:v>12.23296718573455</c:v>
                </c:pt>
                <c:pt idx="4">
                  <c:v>19.229459984012177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3-4DBA-9CB9-CE059480EE19}"/>
            </c:ext>
          </c:extLst>
        </c:ser>
        <c:ser>
          <c:idx val="1"/>
          <c:order val="1"/>
          <c:tx>
            <c:strRef>
              <c:f>Composite!$B$5</c:f>
              <c:strCache>
                <c:ptCount val="1"/>
                <c:pt idx="0">
                  <c:v>Site 5 (CDN)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Composite!$E$2:$K$2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Composite!$E$5:$K$5</c:f>
              <c:numCache>
                <c:formatCode>0</c:formatCode>
                <c:ptCount val="7"/>
                <c:pt idx="0">
                  <c:v>134.01440602747999</c:v>
                </c:pt>
                <c:pt idx="1">
                  <c:v>126.71498724750623</c:v>
                </c:pt>
                <c:pt idx="2">
                  <c:v>91</c:v>
                </c:pt>
                <c:pt idx="3">
                  <c:v>87.232271698595838</c:v>
                </c:pt>
                <c:pt idx="4">
                  <c:v>19.004684623124238</c:v>
                </c:pt>
                <c:pt idx="5">
                  <c:v>138</c:v>
                </c:pt>
                <c:pt idx="6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3-4DBA-9CB9-CE059480EE19}"/>
            </c:ext>
          </c:extLst>
        </c:ser>
        <c:ser>
          <c:idx val="2"/>
          <c:order val="2"/>
          <c:tx>
            <c:strRef>
              <c:f>Composite!$B$6</c:f>
              <c:strCache>
                <c:ptCount val="1"/>
                <c:pt idx="0">
                  <c:v>Site 16 (Bordeau)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Composite!$E$2:$K$2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Composite!$E$6:$K$6</c:f>
              <c:numCache>
                <c:formatCode>0</c:formatCode>
                <c:ptCount val="7"/>
                <c:pt idx="0">
                  <c:v>289.33765321190293</c:v>
                </c:pt>
                <c:pt idx="1">
                  <c:v>459.11967589195694</c:v>
                </c:pt>
                <c:pt idx="2">
                  <c:v>342</c:v>
                </c:pt>
                <c:pt idx="3">
                  <c:v>265.49847565508526</c:v>
                </c:pt>
                <c:pt idx="4">
                  <c:v>124.24751348992568</c:v>
                </c:pt>
                <c:pt idx="5">
                  <c:v>157</c:v>
                </c:pt>
                <c:pt idx="6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3-4DBA-9CB9-CE059480EE19}"/>
            </c:ext>
          </c:extLst>
        </c:ser>
        <c:ser>
          <c:idx val="3"/>
          <c:order val="3"/>
          <c:tx>
            <c:strRef>
              <c:f>Composite!$B$7</c:f>
              <c:strCache>
                <c:ptCount val="1"/>
                <c:pt idx="0">
                  <c:v>Site 12 (Anjou Ind.)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Composite!$E$2:$K$2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Composite!$E$7:$K$7</c:f>
              <c:numCache>
                <c:formatCode>0</c:formatCode>
                <c:ptCount val="7"/>
                <c:pt idx="0">
                  <c:v>11.669042977161551</c:v>
                </c:pt>
                <c:pt idx="1">
                  <c:v>11.253759573560549</c:v>
                </c:pt>
                <c:pt idx="2">
                  <c:v>4</c:v>
                </c:pt>
                <c:pt idx="3">
                  <c:v>26.054746850952096</c:v>
                </c:pt>
                <c:pt idx="4">
                  <c:v>23.420654087705866</c:v>
                </c:pt>
                <c:pt idx="5">
                  <c:v>12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3-4DBA-9CB9-CE059480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date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Offset val="100"/>
        <c:baseTimeUnit val="days"/>
      </c:date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'Grab (PMMV)'!$B$4</c:f>
              <c:strCache>
                <c:ptCount val="1"/>
                <c:pt idx="0">
                  <c:v>Site 11 (VSL Ind.)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(PMMV)'!$E$4:$K$4</c:f>
              <c:numCache>
                <c:formatCode>0</c:formatCode>
                <c:ptCount val="7"/>
                <c:pt idx="0">
                  <c:v>6077.8089487460693</c:v>
                </c:pt>
                <c:pt idx="1">
                  <c:v>1807.1215983103211</c:v>
                </c:pt>
                <c:pt idx="2">
                  <c:v>5572.0317640090307</c:v>
                </c:pt>
                <c:pt idx="3">
                  <c:v>1883.8918603599755</c:v>
                </c:pt>
                <c:pt idx="4">
                  <c:v>5440.8923845420059</c:v>
                </c:pt>
                <c:pt idx="5">
                  <c:v>3764.5034450129979</c:v>
                </c:pt>
                <c:pt idx="6">
                  <c:v>615.00052074467465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C-4B21-8F47-0C1C01C3B167}"/>
            </c:ext>
          </c:extLst>
        </c:ser>
        <c:ser>
          <c:idx val="1"/>
          <c:order val="1"/>
          <c:tx>
            <c:strRef>
              <c:f>'Grab (PMMV)'!$B$5</c:f>
              <c:strCache>
                <c:ptCount val="1"/>
                <c:pt idx="0">
                  <c:v>Site 5 (CDN)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(PMMV)'!$E$5:$K$5</c:f>
              <c:numCache>
                <c:formatCode>0</c:formatCode>
                <c:ptCount val="7"/>
                <c:pt idx="0">
                  <c:v>1433.7031941619205</c:v>
                </c:pt>
                <c:pt idx="1">
                  <c:v>3022.3747097128007</c:v>
                </c:pt>
                <c:pt idx="2">
                  <c:v>1722.0563527702343</c:v>
                </c:pt>
                <c:pt idx="3">
                  <c:v>5963.5916599368993</c:v>
                </c:pt>
                <c:pt idx="4">
                  <c:v>432.21736795983753</c:v>
                </c:pt>
                <c:pt idx="5">
                  <c:v>5645.7567266438537</c:v>
                </c:pt>
                <c:pt idx="6">
                  <c:v>798.17036087680651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C-4B21-8F47-0C1C01C3B167}"/>
            </c:ext>
          </c:extLst>
        </c:ser>
        <c:ser>
          <c:idx val="2"/>
          <c:order val="2"/>
          <c:tx>
            <c:strRef>
              <c:f>'Grab (PMMV)'!$B$6</c:f>
              <c:strCache>
                <c:ptCount val="1"/>
                <c:pt idx="0">
                  <c:v>Site 16 (Bordeau)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(PMMV)'!$E$6:$K$6</c:f>
              <c:numCache>
                <c:formatCode>0</c:formatCode>
                <c:ptCount val="7"/>
                <c:pt idx="0">
                  <c:v>979.7629854108643</c:v>
                </c:pt>
                <c:pt idx="1">
                  <c:v>1641.7784246494207</c:v>
                </c:pt>
                <c:pt idx="2">
                  <c:v>699.85782921290092</c:v>
                </c:pt>
                <c:pt idx="3">
                  <c:v>398.55883247233544</c:v>
                </c:pt>
                <c:pt idx="4">
                  <c:v>93.050417917239798</c:v>
                </c:pt>
                <c:pt idx="5">
                  <c:v>145.49057405933274</c:v>
                </c:pt>
                <c:pt idx="6">
                  <c:v>4246.5507892994947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C-4B21-8F47-0C1C01C3B167}"/>
            </c:ext>
          </c:extLst>
        </c:ser>
        <c:ser>
          <c:idx val="3"/>
          <c:order val="3"/>
          <c:tx>
            <c:strRef>
              <c:f>'Grab (PMMV)'!$B$7</c:f>
              <c:strCache>
                <c:ptCount val="1"/>
                <c:pt idx="0">
                  <c:v>Site 12 (Anjou Ind.)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(PMMV)'!$E$7:$K$7</c:f>
              <c:numCache>
                <c:formatCode>0</c:formatCode>
                <c:ptCount val="7"/>
                <c:pt idx="0">
                  <c:v>549.0961450194643</c:v>
                </c:pt>
                <c:pt idx="1">
                  <c:v>2950.3775312867674</c:v>
                </c:pt>
                <c:pt idx="2">
                  <c:v>967.87973017797708</c:v>
                </c:pt>
                <c:pt idx="3">
                  <c:v>20382.613109403024</c:v>
                </c:pt>
                <c:pt idx="4">
                  <c:v>417.58366329693808</c:v>
                </c:pt>
                <c:pt idx="5">
                  <c:v>750.68125275972739</c:v>
                </c:pt>
                <c:pt idx="6">
                  <c:v>699.85782921290092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C-4B21-8F47-0C1C01C3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date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Offset val="100"/>
        <c:baseTimeUnit val="days"/>
      </c:date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11 (Ind. VSL)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(PMMV)'!$E$4:$K$4</c:f>
              <c:numCache>
                <c:formatCode>0</c:formatCode>
                <c:ptCount val="7"/>
                <c:pt idx="0">
                  <c:v>6077.8089487460693</c:v>
                </c:pt>
                <c:pt idx="1">
                  <c:v>1807.1215983103211</c:v>
                </c:pt>
                <c:pt idx="2">
                  <c:v>5572.0317640090307</c:v>
                </c:pt>
                <c:pt idx="3">
                  <c:v>1883.8918603599755</c:v>
                </c:pt>
                <c:pt idx="4">
                  <c:v>5440.8923845420059</c:v>
                </c:pt>
                <c:pt idx="5">
                  <c:v>3764.5034450129979</c:v>
                </c:pt>
                <c:pt idx="6">
                  <c:v>615.00052074467465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3-486F-B2EB-0365A60E6292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(PMMV)'!$E$4:$K$4</c:f>
              <c:numCache>
                <c:formatCode>0</c:formatCode>
                <c:ptCount val="7"/>
                <c:pt idx="0">
                  <c:v>9325.4404798174401</c:v>
                </c:pt>
                <c:pt idx="1">
                  <c:v>754.13661506389678</c:v>
                </c:pt>
                <c:pt idx="2">
                  <c:v>1938.3158785601004</c:v>
                </c:pt>
                <c:pt idx="3">
                  <c:v>335.95486551236809</c:v>
                </c:pt>
                <c:pt idx="4">
                  <c:v>326.71624700611596</c:v>
                </c:pt>
                <c:pt idx="5">
                  <c:v>2945.4224477334214</c:v>
                </c:pt>
                <c:pt idx="6">
                  <c:v>19723.701360608444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3-486F-B2EB-0365A60E6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SARS-CoV-2 N1 (using</a:t>
            </a:r>
            <a:r>
              <a:rPr lang="en-CA" baseline="0"/>
              <a:t> viral RNA)</a:t>
            </a:r>
            <a:endParaRPr lang="en-CA"/>
          </a:p>
          <a:p>
            <a:pPr>
              <a:defRPr/>
            </a:pPr>
            <a:r>
              <a:rPr lang="en-CA"/>
              <a:t>16/2/2021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Summaries'!$Q$4:$Q$11</c:f>
              <c:numCache>
                <c:formatCode>#,##0.00</c:formatCode>
                <c:ptCount val="8"/>
                <c:pt idx="0">
                  <c:v>8.7725542850369767</c:v>
                </c:pt>
                <c:pt idx="1">
                  <c:v>7.7725542850369775</c:v>
                </c:pt>
                <c:pt idx="2">
                  <c:v>6.7725542850369775</c:v>
                </c:pt>
                <c:pt idx="3">
                  <c:v>5.7725542850369775</c:v>
                </c:pt>
                <c:pt idx="4">
                  <c:v>4.7725542850369775</c:v>
                </c:pt>
                <c:pt idx="5">
                  <c:v>3.7725542850369775</c:v>
                </c:pt>
                <c:pt idx="6">
                  <c:v>2.7725542850369775</c:v>
                </c:pt>
                <c:pt idx="7">
                  <c:v>1.7725542850369773</c:v>
                </c:pt>
              </c:numCache>
            </c:numRef>
          </c:xVal>
          <c:yVal>
            <c:numRef>
              <c:f>'Standard Curve Summaries'!$Y$4:$Y$11</c:f>
              <c:numCache>
                <c:formatCode>General</c:formatCode>
                <c:ptCount val="8"/>
                <c:pt idx="0">
                  <c:v>12.064822744968467</c:v>
                </c:pt>
                <c:pt idx="1">
                  <c:v>15.530560571098667</c:v>
                </c:pt>
                <c:pt idx="2">
                  <c:v>18.819298390793932</c:v>
                </c:pt>
                <c:pt idx="3">
                  <c:v>22.433119596187534</c:v>
                </c:pt>
                <c:pt idx="4">
                  <c:v>25.801269322195534</c:v>
                </c:pt>
                <c:pt idx="5">
                  <c:v>29.40503757280743</c:v>
                </c:pt>
                <c:pt idx="6">
                  <c:v>32.819541023783493</c:v>
                </c:pt>
                <c:pt idx="7">
                  <c:v>36.238333713635754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9-4956-B487-98D3F622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5 (CDN)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(PMMV)'!$E$5:$K$5</c:f>
              <c:numCache>
                <c:formatCode>0</c:formatCode>
                <c:ptCount val="7"/>
                <c:pt idx="0">
                  <c:v>1433.7031941619205</c:v>
                </c:pt>
                <c:pt idx="1">
                  <c:v>3022.3747097128007</c:v>
                </c:pt>
                <c:pt idx="2">
                  <c:v>1722.0563527702343</c:v>
                </c:pt>
                <c:pt idx="3">
                  <c:v>5963.5916599368993</c:v>
                </c:pt>
                <c:pt idx="4">
                  <c:v>432.21736795983753</c:v>
                </c:pt>
                <c:pt idx="5">
                  <c:v>5645.7567266438537</c:v>
                </c:pt>
                <c:pt idx="6">
                  <c:v>798.17036087680651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0-4463-BA24-4FD102DC18D9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(PMMV)'!$E$5:$K$5</c:f>
              <c:numCache>
                <c:formatCode>0</c:formatCode>
                <c:ptCount val="7"/>
                <c:pt idx="0">
                  <c:v>1382.9553282786962</c:v>
                </c:pt>
                <c:pt idx="1">
                  <c:v>1372.5835661055712</c:v>
                </c:pt>
                <c:pt idx="2">
                  <c:v>15230.695462372634</c:v>
                </c:pt>
                <c:pt idx="3">
                  <c:v>40640.604649023255</c:v>
                </c:pt>
                <c:pt idx="4">
                  <c:v>7579.7698195515914</c:v>
                </c:pt>
                <c:pt idx="5">
                  <c:v>1321.0656095108789</c:v>
                </c:pt>
                <c:pt idx="6">
                  <c:v>1404.6380010274893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0-4463-BA24-4FD102DC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16 Bordeau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(PMMV)'!$E$6:$K$6</c:f>
              <c:numCache>
                <c:formatCode>0</c:formatCode>
                <c:ptCount val="7"/>
                <c:pt idx="0">
                  <c:v>979.7629854108643</c:v>
                </c:pt>
                <c:pt idx="1">
                  <c:v>1641.7784246494207</c:v>
                </c:pt>
                <c:pt idx="2">
                  <c:v>699.85782921290092</c:v>
                </c:pt>
                <c:pt idx="3">
                  <c:v>398.55883247233544</c:v>
                </c:pt>
                <c:pt idx="4">
                  <c:v>93.050417917239798</c:v>
                </c:pt>
                <c:pt idx="5">
                  <c:v>145.49057405933274</c:v>
                </c:pt>
                <c:pt idx="6">
                  <c:v>4246.5507892994947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9-4FA6-8D3D-D563CE0E1E16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(PMMV)'!$E$6:$K$6</c:f>
              <c:numCache>
                <c:formatCode>0</c:formatCode>
                <c:ptCount val="7"/>
                <c:pt idx="0">
                  <c:v>874.13743537903179</c:v>
                </c:pt>
                <c:pt idx="1">
                  <c:v>1213.4017835228353</c:v>
                </c:pt>
                <c:pt idx="2">
                  <c:v>659.66163710666592</c:v>
                </c:pt>
                <c:pt idx="3">
                  <c:v>295.86801830951953</c:v>
                </c:pt>
                <c:pt idx="4">
                  <c:v>201.28840729070893</c:v>
                </c:pt>
                <c:pt idx="5">
                  <c:v>666.92711674049349</c:v>
                </c:pt>
                <c:pt idx="6">
                  <c:v>833.91961114663286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9-4FA6-8D3D-D563CE0E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12 (Anjou Ind.)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(PMMV)'!$E$7:$K$7</c:f>
              <c:numCache>
                <c:formatCode>0</c:formatCode>
                <c:ptCount val="7"/>
                <c:pt idx="0">
                  <c:v>549.0961450194643</c:v>
                </c:pt>
                <c:pt idx="1">
                  <c:v>2950.3775312867674</c:v>
                </c:pt>
                <c:pt idx="2">
                  <c:v>967.87973017797708</c:v>
                </c:pt>
                <c:pt idx="3">
                  <c:v>20382.613109403024</c:v>
                </c:pt>
                <c:pt idx="4">
                  <c:v>417.58366329693808</c:v>
                </c:pt>
                <c:pt idx="5">
                  <c:v>750.68125275972739</c:v>
                </c:pt>
                <c:pt idx="6">
                  <c:v>699.85782921290092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F5C-90A0-7DFB4E917831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(PMMV)'!$E$3:$K$3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(PMMV)'!$E$7:$K$7</c:f>
              <c:numCache>
                <c:formatCode>0</c:formatCode>
                <c:ptCount val="7"/>
                <c:pt idx="0">
                  <c:v>1009.4496781500262</c:v>
                </c:pt>
                <c:pt idx="1">
                  <c:v>971.35889306295962</c:v>
                </c:pt>
                <c:pt idx="2">
                  <c:v>4475.7995802297573</c:v>
                </c:pt>
                <c:pt idx="3">
                  <c:v>421.91950757124567</c:v>
                </c:pt>
                <c:pt idx="4">
                  <c:v>384.43900237819867</c:v>
                </c:pt>
                <c:pt idx="5">
                  <c:v>4972.0930578642265</c:v>
                </c:pt>
                <c:pt idx="6">
                  <c:v>299.78272294842662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D-4F5C-90A0-7DFB4E91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PMMV-Grab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'Grab (PMMV)'!$B$4:$B$7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'Grab (PMMV)'!$C$4:$C$7</c:f>
              <c:numCache>
                <c:formatCode>0.00</c:formatCode>
                <c:ptCount val="4"/>
                <c:pt idx="0">
                  <c:v>3594.4643602464389</c:v>
                </c:pt>
                <c:pt idx="1">
                  <c:v>2716.8386245803363</c:v>
                </c:pt>
                <c:pt idx="2">
                  <c:v>1172.1499790030841</c:v>
                </c:pt>
                <c:pt idx="3">
                  <c:v>3816.8698944509715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DC3-ADF7-6F41D457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PMMV-Grab 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'Grab (PMMV)'!$B$4:$B$7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'Grab (PMMV)'!$D$4:$D$7</c:f>
              <c:numCache>
                <c:formatCode>0%</c:formatCode>
                <c:ptCount val="4"/>
                <c:pt idx="0">
                  <c:v>0.60648218460049774</c:v>
                </c:pt>
                <c:pt idx="1">
                  <c:v>0.83326665932969679</c:v>
                </c:pt>
                <c:pt idx="2">
                  <c:v>1.2436198337583246</c:v>
                </c:pt>
                <c:pt idx="3">
                  <c:v>1.927167600260637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6-4A74-A6AE-528813BB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PMMV-Composite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'Composite (PMMV)'!$B$4:$B$7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'Composite (PMMV)'!$C$4:$C$7</c:f>
              <c:numCache>
                <c:formatCode>0.00</c:formatCode>
                <c:ptCount val="4"/>
                <c:pt idx="0">
                  <c:v>5049.9554134716836</c:v>
                </c:pt>
                <c:pt idx="1">
                  <c:v>9847.4732051243027</c:v>
                </c:pt>
                <c:pt idx="2">
                  <c:v>677.88628707084115</c:v>
                </c:pt>
                <c:pt idx="3">
                  <c:v>1790.6917774578344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2-45EC-A6CF-C7699BC7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PMMV-Composite 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'Composite (PMMV)'!$B$4:$B$7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'Composite (PMMV)'!$D$4:$D$7</c:f>
              <c:numCache>
                <c:formatCode>0%</c:formatCode>
                <c:ptCount val="4"/>
                <c:pt idx="0">
                  <c:v>1.4249637750607065</c:v>
                </c:pt>
                <c:pt idx="1">
                  <c:v>1.4772900074941941</c:v>
                </c:pt>
                <c:pt idx="2">
                  <c:v>0.51214009388867721</c:v>
                </c:pt>
                <c:pt idx="3">
                  <c:v>1.1327515993498727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49D-B182-B07BA767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'Composite (PMMV)'!$B$4</c:f>
              <c:strCache>
                <c:ptCount val="1"/>
                <c:pt idx="0">
                  <c:v>Site 11 (VSL Ind.)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(PMMV)'!$E$4:$K$4</c:f>
              <c:numCache>
                <c:formatCode>0</c:formatCode>
                <c:ptCount val="7"/>
                <c:pt idx="0">
                  <c:v>9325.4404798174401</c:v>
                </c:pt>
                <c:pt idx="1">
                  <c:v>754.13661506389678</c:v>
                </c:pt>
                <c:pt idx="2">
                  <c:v>1938.3158785601004</c:v>
                </c:pt>
                <c:pt idx="3">
                  <c:v>335.95486551236809</c:v>
                </c:pt>
                <c:pt idx="4">
                  <c:v>326.71624700611596</c:v>
                </c:pt>
                <c:pt idx="5">
                  <c:v>2945.4224477334214</c:v>
                </c:pt>
                <c:pt idx="6">
                  <c:v>19723.701360608444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3-4FCE-820C-FB15D53D9867}"/>
            </c:ext>
          </c:extLst>
        </c:ser>
        <c:ser>
          <c:idx val="1"/>
          <c:order val="1"/>
          <c:tx>
            <c:strRef>
              <c:f>'Composite (PMMV)'!$B$5</c:f>
              <c:strCache>
                <c:ptCount val="1"/>
                <c:pt idx="0">
                  <c:v>Site 5 (CDN)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(PMMV)'!$E$5:$K$5</c:f>
              <c:numCache>
                <c:formatCode>0</c:formatCode>
                <c:ptCount val="7"/>
                <c:pt idx="0">
                  <c:v>1382.9553282786962</c:v>
                </c:pt>
                <c:pt idx="1">
                  <c:v>1372.5835661055712</c:v>
                </c:pt>
                <c:pt idx="2">
                  <c:v>15230.695462372634</c:v>
                </c:pt>
                <c:pt idx="3">
                  <c:v>40640.604649023255</c:v>
                </c:pt>
                <c:pt idx="4">
                  <c:v>7579.7698195515914</c:v>
                </c:pt>
                <c:pt idx="5">
                  <c:v>1321.0656095108789</c:v>
                </c:pt>
                <c:pt idx="6">
                  <c:v>1404.6380010274893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3-4FCE-820C-FB15D53D9867}"/>
            </c:ext>
          </c:extLst>
        </c:ser>
        <c:ser>
          <c:idx val="2"/>
          <c:order val="2"/>
          <c:tx>
            <c:strRef>
              <c:f>'Composite (PMMV)'!$B$6</c:f>
              <c:strCache>
                <c:ptCount val="1"/>
                <c:pt idx="0">
                  <c:v>Site 16 (Bordeau)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(PMMV)'!$E$6:$K$6</c:f>
              <c:numCache>
                <c:formatCode>0</c:formatCode>
                <c:ptCount val="7"/>
                <c:pt idx="0">
                  <c:v>874.13743537903179</c:v>
                </c:pt>
                <c:pt idx="1">
                  <c:v>1213.4017835228353</c:v>
                </c:pt>
                <c:pt idx="2">
                  <c:v>659.66163710666592</c:v>
                </c:pt>
                <c:pt idx="3">
                  <c:v>295.86801830951953</c:v>
                </c:pt>
                <c:pt idx="4">
                  <c:v>201.28840729070893</c:v>
                </c:pt>
                <c:pt idx="5">
                  <c:v>666.92711674049349</c:v>
                </c:pt>
                <c:pt idx="6">
                  <c:v>833.91961114663286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3-4FCE-820C-FB15D53D9867}"/>
            </c:ext>
          </c:extLst>
        </c:ser>
        <c:ser>
          <c:idx val="3"/>
          <c:order val="3"/>
          <c:tx>
            <c:strRef>
              <c:f>'Composite (PMMV)'!$B$7</c:f>
              <c:strCache>
                <c:ptCount val="1"/>
                <c:pt idx="0">
                  <c:v>Site 12 (Anjou Ind.)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(PMMV)'!$E$2:$K$2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(PMMV)'!$E$7:$K$7</c:f>
              <c:numCache>
                <c:formatCode>0</c:formatCode>
                <c:ptCount val="7"/>
                <c:pt idx="0">
                  <c:v>1009.4496781500262</c:v>
                </c:pt>
                <c:pt idx="1">
                  <c:v>971.35889306295962</c:v>
                </c:pt>
                <c:pt idx="2">
                  <c:v>4475.7995802297573</c:v>
                </c:pt>
                <c:pt idx="3">
                  <c:v>421.91950757124567</c:v>
                </c:pt>
                <c:pt idx="4">
                  <c:v>384.43900237819867</c:v>
                </c:pt>
                <c:pt idx="5">
                  <c:v>4972.0930578642265</c:v>
                </c:pt>
                <c:pt idx="6">
                  <c:v>299.78272294842662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3-4FCE-820C-FB15D53D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date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Offset val="100"/>
        <c:baseTimeUnit val="days"/>
      </c:date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'Grab (normalization)'!$B$4</c:f>
              <c:strCache>
                <c:ptCount val="1"/>
                <c:pt idx="0">
                  <c:v>Site 11 (VSL Ind.)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(normalization)'!$H$4:$N$4</c:f>
              <c:numCache>
                <c:formatCode>0.0000</c:formatCode>
                <c:ptCount val="7"/>
                <c:pt idx="0">
                  <c:v>5.0828494771469157E-4</c:v>
                </c:pt>
                <c:pt idx="1">
                  <c:v>4.9428285276822059E-3</c:v>
                </c:pt>
                <c:pt idx="2">
                  <c:v>7.1787099740473E-4</c:v>
                </c:pt>
                <c:pt idx="3">
                  <c:v>4.7212898849156139E-3</c:v>
                </c:pt>
                <c:pt idx="4">
                  <c:v>6.957897689861941E-4</c:v>
                </c:pt>
                <c:pt idx="5">
                  <c:v>3.4533106928675197E-3</c:v>
                </c:pt>
                <c:pt idx="6">
                  <c:v>1.6260148833518839E-2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8-48BE-8FA2-CF96525A7D47}"/>
            </c:ext>
          </c:extLst>
        </c:ser>
        <c:ser>
          <c:idx val="1"/>
          <c:order val="1"/>
          <c:tx>
            <c:strRef>
              <c:f>'Grab (normalization)'!$B$5</c:f>
              <c:strCache>
                <c:ptCount val="1"/>
                <c:pt idx="0">
                  <c:v>Site 5 (CDN)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(normalization)'!$H$5:$N$5</c:f>
              <c:numCache>
                <c:formatCode>0.0000</c:formatCode>
                <c:ptCount val="7"/>
                <c:pt idx="0">
                  <c:v>1.5396064475610401E-2</c:v>
                </c:pt>
                <c:pt idx="1">
                  <c:v>8.4195271919733448E-3</c:v>
                </c:pt>
                <c:pt idx="2">
                  <c:v>4.0649076255485216E-2</c:v>
                </c:pt>
                <c:pt idx="3">
                  <c:v>6.6726186087148909E-3</c:v>
                </c:pt>
                <c:pt idx="4">
                  <c:v>0.17227860935583103</c:v>
                </c:pt>
                <c:pt idx="5">
                  <c:v>0.21237188530309756</c:v>
                </c:pt>
                <c:pt idx="6">
                  <c:v>0.16412536273095107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8-48BE-8FA2-CF96525A7D47}"/>
            </c:ext>
          </c:extLst>
        </c:ser>
        <c:ser>
          <c:idx val="2"/>
          <c:order val="2"/>
          <c:tx>
            <c:strRef>
              <c:f>'Grab (normalization)'!$B$6</c:f>
              <c:strCache>
                <c:ptCount val="1"/>
                <c:pt idx="0">
                  <c:v>Site 16 (Bordeau)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(normalization)'!$H$6:$N$6</c:f>
              <c:numCache>
                <c:formatCode>0.0000</c:formatCode>
                <c:ptCount val="7"/>
                <c:pt idx="0">
                  <c:v>0.56610190546858585</c:v>
                </c:pt>
                <c:pt idx="1">
                  <c:v>0.16173353436969712</c:v>
                </c:pt>
                <c:pt idx="2">
                  <c:v>8.5731697918532031E-3</c:v>
                </c:pt>
                <c:pt idx="3">
                  <c:v>0.3852377532546663</c:v>
                </c:pt>
                <c:pt idx="4">
                  <c:v>5.5282144907255693E-2</c:v>
                </c:pt>
                <c:pt idx="5">
                  <c:v>0.11684605762203676</c:v>
                </c:pt>
                <c:pt idx="6">
                  <c:v>5.0864810222988305E-2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8-48BE-8FA2-CF96525A7D47}"/>
            </c:ext>
          </c:extLst>
        </c:ser>
        <c:ser>
          <c:idx val="3"/>
          <c:order val="3"/>
          <c:tx>
            <c:strRef>
              <c:f>'Grab (normalization)'!$B$7</c:f>
              <c:strCache>
                <c:ptCount val="1"/>
                <c:pt idx="0">
                  <c:v>Site 12 (Anjou Ind.)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'Grab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'Grab (normalization)'!$H$7:$N$7</c:f>
              <c:numCache>
                <c:formatCode>0.0000</c:formatCode>
                <c:ptCount val="7"/>
                <c:pt idx="0">
                  <c:v>6.2813135129043893E-3</c:v>
                </c:pt>
                <c:pt idx="1">
                  <c:v>3.2346077607977647E-3</c:v>
                </c:pt>
                <c:pt idx="2">
                  <c:v>5.1659311008409921E-3</c:v>
                </c:pt>
                <c:pt idx="3">
                  <c:v>1.2201289122078999E-3</c:v>
                </c:pt>
                <c:pt idx="4">
                  <c:v>2.4115211043712313E-2</c:v>
                </c:pt>
                <c:pt idx="5">
                  <c:v>2.1313973062707034E-2</c:v>
                </c:pt>
                <c:pt idx="6">
                  <c:v>2.0004062847657472E-2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8-48BE-8FA2-CF96525A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date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Offset val="100"/>
        <c:baseTimeUnit val="days"/>
      </c:date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11 (Ind. VSL)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(normalization)'!$H$4:$N$4</c:f>
              <c:numCache>
                <c:formatCode>0.0000</c:formatCode>
                <c:ptCount val="7"/>
                <c:pt idx="0">
                  <c:v>5.0828494771469157E-4</c:v>
                </c:pt>
                <c:pt idx="1">
                  <c:v>4.9428285276822059E-3</c:v>
                </c:pt>
                <c:pt idx="2">
                  <c:v>7.1787099740473E-4</c:v>
                </c:pt>
                <c:pt idx="3">
                  <c:v>4.7212898849156139E-3</c:v>
                </c:pt>
                <c:pt idx="4">
                  <c:v>6.957897689861941E-4</c:v>
                </c:pt>
                <c:pt idx="5">
                  <c:v>3.4533106928675197E-3</c:v>
                </c:pt>
                <c:pt idx="6">
                  <c:v>1.6260148833518839E-2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8-4CDF-A76E-DFBD084F6FA3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(normalization)'!$H$4:$N$4</c:f>
              <c:numCache>
                <c:formatCode>0.0000</c:formatCode>
                <c:ptCount val="7"/>
                <c:pt idx="0">
                  <c:v>5.9533401339678714E-4</c:v>
                </c:pt>
                <c:pt idx="1">
                  <c:v>1.3080778161262376E-2</c:v>
                </c:pt>
                <c:pt idx="2">
                  <c:v>2.063647130090811E-3</c:v>
                </c:pt>
                <c:pt idx="3">
                  <c:v>3.6412531686594064E-2</c:v>
                </c:pt>
                <c:pt idx="4">
                  <c:v>5.8856760752556671E-2</c:v>
                </c:pt>
                <c:pt idx="5">
                  <c:v>4.0741184712686325E-3</c:v>
                </c:pt>
                <c:pt idx="6">
                  <c:v>8.6190718918264836E-4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8-4CDF-A76E-DFBD084F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SARS/PMMV (gc/gc)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BRSV</a:t>
            </a:r>
          </a:p>
          <a:p>
            <a:pPr>
              <a:defRPr/>
            </a:pPr>
            <a:r>
              <a:rPr lang="en-CA"/>
              <a:t>11/2/2021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Summaries'!$Q$30:$Q$34</c:f>
              <c:numCache>
                <c:formatCode>#,##0.00</c:formatCode>
                <c:ptCount val="5"/>
                <c:pt idx="0">
                  <c:v>10.068631093714899</c:v>
                </c:pt>
                <c:pt idx="1">
                  <c:v>9.0686310937148988</c:v>
                </c:pt>
                <c:pt idx="2">
                  <c:v>8.0686310937148988</c:v>
                </c:pt>
                <c:pt idx="3">
                  <c:v>7.0686310937148997</c:v>
                </c:pt>
                <c:pt idx="4">
                  <c:v>6.0686310937148997</c:v>
                </c:pt>
              </c:numCache>
            </c:numRef>
          </c:xVal>
          <c:yVal>
            <c:numRef>
              <c:f>'Standard Curve Summaries'!$U$30:$U$34</c:f>
              <c:numCache>
                <c:formatCode>General</c:formatCode>
                <c:ptCount val="5"/>
                <c:pt idx="0">
                  <c:v>13.966666666666667</c:v>
                </c:pt>
                <c:pt idx="1">
                  <c:v>17.093333333333334</c:v>
                </c:pt>
                <c:pt idx="2">
                  <c:v>20.743333333333332</c:v>
                </c:pt>
                <c:pt idx="3">
                  <c:v>23.016666666666666</c:v>
                </c:pt>
                <c:pt idx="4">
                  <c:v>26.47666666666667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6-4650-BA9A-67CA9764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5 (CDN)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(normalization)'!$H$5:$N$5</c:f>
              <c:numCache>
                <c:formatCode>0.0000</c:formatCode>
                <c:ptCount val="7"/>
                <c:pt idx="0">
                  <c:v>1.5396064475610401E-2</c:v>
                </c:pt>
                <c:pt idx="1">
                  <c:v>8.4195271919733448E-3</c:v>
                </c:pt>
                <c:pt idx="2">
                  <c:v>4.0649076255485216E-2</c:v>
                </c:pt>
                <c:pt idx="3">
                  <c:v>6.6726186087148909E-3</c:v>
                </c:pt>
                <c:pt idx="4">
                  <c:v>0.17227860935583103</c:v>
                </c:pt>
                <c:pt idx="5">
                  <c:v>0.21237188530309756</c:v>
                </c:pt>
                <c:pt idx="6">
                  <c:v>0.16412536273095107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4290-9D75-61FD0E3429F7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(normalization)'!$H$5:$N$5</c:f>
              <c:numCache>
                <c:formatCode>0.0000</c:formatCode>
                <c:ptCount val="7"/>
                <c:pt idx="0">
                  <c:v>9.6904363638615751E-2</c:v>
                </c:pt>
                <c:pt idx="1">
                  <c:v>9.2318595659012903E-2</c:v>
                </c:pt>
                <c:pt idx="2">
                  <c:v>5.9747764128575149E-3</c:v>
                </c:pt>
                <c:pt idx="3">
                  <c:v>2.1464314434281517E-3</c:v>
                </c:pt>
                <c:pt idx="4">
                  <c:v>2.5072904686502112E-3</c:v>
                </c:pt>
                <c:pt idx="5">
                  <c:v>0.10446112517537577</c:v>
                </c:pt>
                <c:pt idx="6">
                  <c:v>0.25059837462927304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C-4290-9D75-61FD0E34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SARS/PMMV (gc/gc)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16 Bordeau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(normalization)'!$H$6:$N$6</c:f>
              <c:numCache>
                <c:formatCode>0.0000</c:formatCode>
                <c:ptCount val="7"/>
                <c:pt idx="0">
                  <c:v>0.56610190546858585</c:v>
                </c:pt>
                <c:pt idx="1">
                  <c:v>0.16173353436969712</c:v>
                </c:pt>
                <c:pt idx="2">
                  <c:v>8.5731697918532031E-3</c:v>
                </c:pt>
                <c:pt idx="3">
                  <c:v>0.3852377532546663</c:v>
                </c:pt>
                <c:pt idx="4">
                  <c:v>5.5282144907255693E-2</c:v>
                </c:pt>
                <c:pt idx="5">
                  <c:v>0.11684605762203676</c:v>
                </c:pt>
                <c:pt idx="6">
                  <c:v>5.0864810222988305E-2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2-4CEB-94DD-49E4EC6591E0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(normalization)'!$H$6:$N$6</c:f>
              <c:numCache>
                <c:formatCode>0.0000</c:formatCode>
                <c:ptCount val="7"/>
                <c:pt idx="0">
                  <c:v>0.33099789747185948</c:v>
                </c:pt>
                <c:pt idx="1">
                  <c:v>0.37837399130814503</c:v>
                </c:pt>
                <c:pt idx="2">
                  <c:v>0.51844761126331695</c:v>
                </c:pt>
                <c:pt idx="3">
                  <c:v>0.8973544257065883</c:v>
                </c:pt>
                <c:pt idx="4">
                  <c:v>0.61726114862880477</c:v>
                </c:pt>
                <c:pt idx="5">
                  <c:v>0.23540803194105228</c:v>
                </c:pt>
                <c:pt idx="6">
                  <c:v>0.17627598396190272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2-4CEB-94DD-49E4EC65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SARS/PMMV (gc/gc)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12 (Anjou Ind.)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(normalization)'!$H$7:$N$7</c:f>
              <c:numCache>
                <c:formatCode>0.0000</c:formatCode>
                <c:ptCount val="7"/>
                <c:pt idx="0">
                  <c:v>6.2813135129043893E-3</c:v>
                </c:pt>
                <c:pt idx="1">
                  <c:v>3.2346077607977647E-3</c:v>
                </c:pt>
                <c:pt idx="2">
                  <c:v>5.1659311008409921E-3</c:v>
                </c:pt>
                <c:pt idx="3">
                  <c:v>1.2201289122078999E-3</c:v>
                </c:pt>
                <c:pt idx="4">
                  <c:v>2.4115211043712313E-2</c:v>
                </c:pt>
                <c:pt idx="5">
                  <c:v>2.1313973062707034E-2</c:v>
                </c:pt>
                <c:pt idx="6">
                  <c:v>2.0004062847657472E-2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A-41E4-B089-C163EEFAF7F4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(normalization)'!$H$7:$N$7</c:f>
              <c:numCache>
                <c:formatCode>0.0000</c:formatCode>
                <c:ptCount val="7"/>
                <c:pt idx="0">
                  <c:v>1.1559806526014144E-2</c:v>
                </c:pt>
                <c:pt idx="1">
                  <c:v>1.1585583509792528E-2</c:v>
                </c:pt>
                <c:pt idx="2">
                  <c:v>8.9369506571933385E-4</c:v>
                </c:pt>
                <c:pt idx="3">
                  <c:v>6.1752885048939034E-2</c:v>
                </c:pt>
                <c:pt idx="4">
                  <c:v>6.0921638914943871E-2</c:v>
                </c:pt>
                <c:pt idx="5">
                  <c:v>2.4134705164095675E-3</c:v>
                </c:pt>
                <c:pt idx="6">
                  <c:v>6.3379236178559506E-2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A-41E4-B089-C163EEFA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SARS/PMMV (gc/gc)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Moving Average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'Grab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'Grab (normalization)'!$H$4:$N$4</c:f>
              <c:numCache>
                <c:formatCode>0.0000</c:formatCode>
                <c:ptCount val="7"/>
                <c:pt idx="0">
                  <c:v>5.0828494771469157E-4</c:v>
                </c:pt>
                <c:pt idx="1">
                  <c:v>4.9428285276822059E-3</c:v>
                </c:pt>
                <c:pt idx="2">
                  <c:v>7.1787099740473E-4</c:v>
                </c:pt>
                <c:pt idx="3">
                  <c:v>4.7212898849156139E-3</c:v>
                </c:pt>
                <c:pt idx="4">
                  <c:v>6.957897689861941E-4</c:v>
                </c:pt>
                <c:pt idx="5">
                  <c:v>3.4533106928675197E-3</c:v>
                </c:pt>
                <c:pt idx="6">
                  <c:v>1.6260148833518839E-2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0-42E5-93CD-9530012DC0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'Grab (normalization)'!$I$3:$N$3</c:f>
              <c:numCache>
                <c:formatCode>0</c:formatCod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66</c:v>
                </c:pt>
              </c:numCache>
            </c:numRef>
          </c:xVal>
          <c:yVal>
            <c:numRef>
              <c:f>'Grab (normalization)'!$I$17:$N$17</c:f>
              <c:numCache>
                <c:formatCode>0.0000</c:formatCode>
                <c:ptCount val="6"/>
                <c:pt idx="0">
                  <c:v>0.36391771991914146</c:v>
                </c:pt>
                <c:pt idx="1">
                  <c:v>8.5153352080775166E-2</c:v>
                </c:pt>
                <c:pt idx="2">
                  <c:v>0.19690546152325974</c:v>
                </c:pt>
                <c:pt idx="3">
                  <c:v>0.220259949080961</c:v>
                </c:pt>
                <c:pt idx="4">
                  <c:v>8.6064101264646226E-2</c:v>
                </c:pt>
                <c:pt idx="5">
                  <c:v>8.3855433922512532E-2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0-42E5-93CD-9530012DC0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'Grab (normalization)'!$I$3:$N$3</c:f>
              <c:numCache>
                <c:formatCode>0</c:formatCod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66</c:v>
                </c:pt>
              </c:numCache>
            </c:numRef>
          </c:xVal>
          <c:yVal>
            <c:numRef>
              <c:f>'Grab (normalization)'!$I$10:$N$10</c:f>
              <c:numCache>
                <c:formatCode>0.0000</c:formatCode>
                <c:ptCount val="6"/>
                <c:pt idx="0">
                  <c:v>1.0664165639394299E-2</c:v>
                </c:pt>
                <c:pt idx="1">
                  <c:v>2.0117684248278769E-2</c:v>
                </c:pt>
                <c:pt idx="2">
                  <c:v>1.4285428177734009E-2</c:v>
                </c:pt>
                <c:pt idx="3">
                  <c:v>1.7863976125316372E-2</c:v>
                </c:pt>
                <c:pt idx="4">
                  <c:v>0.2095207691362484</c:v>
                </c:pt>
                <c:pt idx="5">
                  <c:v>0.20639587970752871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0-42E5-93CD-9530012D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SARS/PMMV (gc/gc)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083114610673663E-2"/>
          <c:y val="0.51851851851851849"/>
          <c:w val="0.28562860892388453"/>
          <c:h val="0.240162583843686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PMMV-Grab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'Grab (normalization)'!$B$4:$B$7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'Grab (normalization)'!$C$4:$C$7</c:f>
              <c:numCache>
                <c:formatCode>0.0000</c:formatCode>
                <c:ptCount val="4"/>
                <c:pt idx="0">
                  <c:v>2.054813125767452E-3</c:v>
                </c:pt>
                <c:pt idx="1">
                  <c:v>8.2121441680435212E-2</c:v>
                </c:pt>
                <c:pt idx="2">
                  <c:v>0.14842813607269956</c:v>
                </c:pt>
                <c:pt idx="3">
                  <c:v>3.103960467191354E-3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9-458B-BFFC-E298D55F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PMMV-Grab 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'Grab (normalization)'!$B$4:$B$7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'Grab (normalization)'!$D$4:$D$7</c:f>
              <c:numCache>
                <c:formatCode>0%</c:formatCode>
                <c:ptCount val="4"/>
                <c:pt idx="0">
                  <c:v>0.79389932310157219</c:v>
                </c:pt>
                <c:pt idx="1">
                  <c:v>2.1077318057213632</c:v>
                </c:pt>
                <c:pt idx="2">
                  <c:v>1.6883884930586235</c:v>
                </c:pt>
                <c:pt idx="3">
                  <c:v>2.0225690283169593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5-4F51-8470-C054D5CB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PMMV-Composite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'Composite (normalization)'!$B$4:$B$7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'Composite (normalization)'!$C$4:$C$7</c:f>
              <c:numCache>
                <c:formatCode>0.0000</c:formatCode>
                <c:ptCount val="4"/>
                <c:pt idx="0">
                  <c:v>2.259676891096444E-3</c:v>
                </c:pt>
                <c:pt idx="1">
                  <c:v>1.375213330437201E-2</c:v>
                </c:pt>
                <c:pt idx="2">
                  <c:v>0.37600139312838893</c:v>
                </c:pt>
                <c:pt idx="3">
                  <c:v>8.5679739481822354E-3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C-486D-A4D5-061C4534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PMMV-Composite 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'Composite (normalization)'!$B$4:$B$7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'Composite (normalization)'!$D$4:$D$7</c:f>
              <c:numCache>
                <c:formatCode>0%</c:formatCode>
                <c:ptCount val="4"/>
                <c:pt idx="0">
                  <c:v>1.50577143849731</c:v>
                </c:pt>
                <c:pt idx="1">
                  <c:v>1.6648213608386389</c:v>
                </c:pt>
                <c:pt idx="2">
                  <c:v>0.7002281035865987</c:v>
                </c:pt>
                <c:pt idx="3">
                  <c:v>1.241144603209712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77E-A0E1-B9A169FA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PMMV-Grab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'Grab (normalization)'!$B$4:$B$7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'Grab (normalization)'!$E$4:$E$7</c:f>
              <c:numCache>
                <c:formatCode>0.0000</c:formatCode>
                <c:ptCount val="4"/>
                <c:pt idx="0">
                  <c:v>4.4713605218699706E-3</c:v>
                </c:pt>
                <c:pt idx="1">
                  <c:v>8.8559020560237636E-2</c:v>
                </c:pt>
                <c:pt idx="2">
                  <c:v>0.19209133937672612</c:v>
                </c:pt>
                <c:pt idx="3">
                  <c:v>1.1619318320118267E-2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466A-9314-BE0B00838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PMMV-Composite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'Composite (normalization)'!$B$4:$B$7</c:f>
              <c:strCache>
                <c:ptCount val="4"/>
                <c:pt idx="0">
                  <c:v>Site 11 (VSL Ind.)</c:v>
                </c:pt>
                <c:pt idx="1">
                  <c:v>Site 5 (CDN)</c:v>
                </c:pt>
                <c:pt idx="2">
                  <c:v>Site 16 (Bordeau)</c:v>
                </c:pt>
                <c:pt idx="3">
                  <c:v>Site 12 (Anjou Ind.)</c:v>
                </c:pt>
              </c:strCache>
            </c:strRef>
          </c:cat>
          <c:val>
            <c:numRef>
              <c:f>'Composite (normalization)'!$E$4:$E$7</c:f>
              <c:numCache>
                <c:formatCode>0.0000</c:formatCode>
                <c:ptCount val="4"/>
                <c:pt idx="0">
                  <c:v>1.6563582486336E-2</c:v>
                </c:pt>
                <c:pt idx="1">
                  <c:v>7.9272993918173329E-2</c:v>
                </c:pt>
                <c:pt idx="2">
                  <c:v>0.45058844146880989</c:v>
                </c:pt>
                <c:pt idx="3">
                  <c:v>3.0358045108625425E-2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8-497F-A96F-20BA9CDE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BRSV</a:t>
            </a:r>
          </a:p>
          <a:p>
            <a:pPr>
              <a:defRPr/>
            </a:pPr>
            <a:r>
              <a:rPr lang="en-CA"/>
              <a:t>16/2/2021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Summaries'!$Q$35:$Q$41</c:f>
              <c:numCache>
                <c:formatCode>#,##0.00</c:formatCode>
                <c:ptCount val="7"/>
                <c:pt idx="0">
                  <c:v>9.7676010980509176</c:v>
                </c:pt>
                <c:pt idx="1">
                  <c:v>8.7676010980509176</c:v>
                </c:pt>
                <c:pt idx="2">
                  <c:v>7.7676010980509185</c:v>
                </c:pt>
                <c:pt idx="3">
                  <c:v>6.7676010980509185</c:v>
                </c:pt>
                <c:pt idx="4">
                  <c:v>5.7676010980509185</c:v>
                </c:pt>
                <c:pt idx="5">
                  <c:v>4.7676010980509185</c:v>
                </c:pt>
                <c:pt idx="6">
                  <c:v>3.7676010980509185</c:v>
                </c:pt>
              </c:numCache>
            </c:numRef>
          </c:xVal>
          <c:yVal>
            <c:numRef>
              <c:f>'Standard Curve Summaries'!$Y$35:$Y$41</c:f>
              <c:numCache>
                <c:formatCode>0.00</c:formatCode>
                <c:ptCount val="7"/>
                <c:pt idx="0">
                  <c:v>15.275</c:v>
                </c:pt>
                <c:pt idx="1">
                  <c:v>18.95</c:v>
                </c:pt>
                <c:pt idx="2">
                  <c:v>22.22</c:v>
                </c:pt>
                <c:pt idx="3">
                  <c:v>25.824999999999999</c:v>
                </c:pt>
                <c:pt idx="4">
                  <c:v>29.005000000000003</c:v>
                </c:pt>
                <c:pt idx="5">
                  <c:v>31.655000000000001</c:v>
                </c:pt>
                <c:pt idx="6">
                  <c:v>36.659999999999997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2-4568-BE11-16842C21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Standardized</a:t>
            </a:r>
            <a:r>
              <a:rPr lang="en-CA" baseline="0">
                <a:solidFill>
                  <a:sysClr val="windowText" lastClr="000000"/>
                </a:solidFill>
              </a:rPr>
              <a:t> SARS/PMMV</a:t>
            </a:r>
            <a:endParaRPr lang="en-CA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'Grab (normalization)'!$Q$81:$Q$84</c:f>
              <c:strCache>
                <c:ptCount val="4"/>
                <c:pt idx="0">
                  <c:v>Site 11 
(St-Laurent-Industrial)</c:v>
                </c:pt>
                <c:pt idx="1">
                  <c:v>Site 5 
(Cote-de-Nige)</c:v>
                </c:pt>
                <c:pt idx="2">
                  <c:v>Site 16 
(Bordeau Prison)</c:v>
                </c:pt>
                <c:pt idx="3">
                  <c:v>Site 12 
(Anjou-Industrial)</c:v>
                </c:pt>
              </c:strCache>
            </c:strRef>
          </c:cat>
          <c:val>
            <c:numRef>
              <c:f>'Composite (normalization)'!$C$4:$C$7</c:f>
              <c:numCache>
                <c:formatCode>0.0000</c:formatCode>
                <c:ptCount val="4"/>
                <c:pt idx="0">
                  <c:v>2.259676891096444E-3</c:v>
                </c:pt>
                <c:pt idx="1">
                  <c:v>1.375213330437201E-2</c:v>
                </c:pt>
                <c:pt idx="2">
                  <c:v>0.37600139312838893</c:v>
                </c:pt>
                <c:pt idx="3">
                  <c:v>8.5679739481822354E-3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A-4EFE-AD4A-80EB32BE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axId val="682207144"/>
        <c:axId val="682205504"/>
      </c:barChart>
      <c:catAx>
        <c:axId val="6822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5504"/>
        <c:crosses val="autoZero"/>
        <c:auto val="1"/>
        <c:lblAlgn val="ctr"/>
        <c:lblOffset val="100"/>
        <c:noMultiLvlLbl val="0"/>
      </c:catAx>
      <c:valAx>
        <c:axId val="68220550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ysClr val="windowText" lastClr="000000"/>
                    </a:solidFill>
                  </a:rPr>
                  <a:t>% SARS/PMMV (gc/gc)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8302712160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'Composite (normalization)'!$B$4</c:f>
              <c:strCache>
                <c:ptCount val="1"/>
                <c:pt idx="0">
                  <c:v>Site 11 (VSL Ind.)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(normalization)'!$H$4:$N$4</c:f>
              <c:numCache>
                <c:formatCode>0.0000</c:formatCode>
                <c:ptCount val="7"/>
                <c:pt idx="0">
                  <c:v>5.9533401339678714E-4</c:v>
                </c:pt>
                <c:pt idx="1">
                  <c:v>1.3080778161262376E-2</c:v>
                </c:pt>
                <c:pt idx="2">
                  <c:v>2.063647130090811E-3</c:v>
                </c:pt>
                <c:pt idx="3">
                  <c:v>3.6412531686594064E-2</c:v>
                </c:pt>
                <c:pt idx="4">
                  <c:v>5.8856760752556671E-2</c:v>
                </c:pt>
                <c:pt idx="5">
                  <c:v>4.0741184712686325E-3</c:v>
                </c:pt>
                <c:pt idx="6">
                  <c:v>8.6190718918264836E-4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7-4926-9318-A1731896F5BC}"/>
            </c:ext>
          </c:extLst>
        </c:ser>
        <c:ser>
          <c:idx val="1"/>
          <c:order val="1"/>
          <c:tx>
            <c:strRef>
              <c:f>'Composite (normalization)'!$B$5</c:f>
              <c:strCache>
                <c:ptCount val="1"/>
                <c:pt idx="0">
                  <c:v>Site 5 (CDN)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(normalization)'!$H$5:$N$5</c:f>
              <c:numCache>
                <c:formatCode>0.0000</c:formatCode>
                <c:ptCount val="7"/>
                <c:pt idx="0">
                  <c:v>9.6904363638615751E-2</c:v>
                </c:pt>
                <c:pt idx="1">
                  <c:v>9.2318595659012903E-2</c:v>
                </c:pt>
                <c:pt idx="2">
                  <c:v>5.9747764128575149E-3</c:v>
                </c:pt>
                <c:pt idx="3">
                  <c:v>2.1464314434281517E-3</c:v>
                </c:pt>
                <c:pt idx="4">
                  <c:v>2.5072904686502112E-3</c:v>
                </c:pt>
                <c:pt idx="5">
                  <c:v>0.10446112517537577</c:v>
                </c:pt>
                <c:pt idx="6">
                  <c:v>0.25059837462927304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7-4926-9318-A1731896F5BC}"/>
            </c:ext>
          </c:extLst>
        </c:ser>
        <c:ser>
          <c:idx val="2"/>
          <c:order val="2"/>
          <c:tx>
            <c:strRef>
              <c:f>'Composite (normalization)'!$B$6</c:f>
              <c:strCache>
                <c:ptCount val="1"/>
                <c:pt idx="0">
                  <c:v>Site 16 (Bordeau)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(normalization)'!$H$6:$N$6</c:f>
              <c:numCache>
                <c:formatCode>0.0000</c:formatCode>
                <c:ptCount val="7"/>
                <c:pt idx="0">
                  <c:v>0.33099789747185948</c:v>
                </c:pt>
                <c:pt idx="1">
                  <c:v>0.37837399130814503</c:v>
                </c:pt>
                <c:pt idx="2">
                  <c:v>0.51844761126331695</c:v>
                </c:pt>
                <c:pt idx="3">
                  <c:v>0.8973544257065883</c:v>
                </c:pt>
                <c:pt idx="4">
                  <c:v>0.61726114862880477</c:v>
                </c:pt>
                <c:pt idx="5">
                  <c:v>0.23540803194105228</c:v>
                </c:pt>
                <c:pt idx="6">
                  <c:v>0.17627598396190272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7-4926-9318-A1731896F5BC}"/>
            </c:ext>
          </c:extLst>
        </c:ser>
        <c:ser>
          <c:idx val="3"/>
          <c:order val="3"/>
          <c:tx>
            <c:strRef>
              <c:f>'Composite (normalization)'!$B$7</c:f>
              <c:strCache>
                <c:ptCount val="1"/>
                <c:pt idx="0">
                  <c:v>Site 12 (Anjou Ind.)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'Composite (normalization)'!$H$2:$N$2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'Composite (normalization)'!$H$7:$N$7</c:f>
              <c:numCache>
                <c:formatCode>0.0000</c:formatCode>
                <c:ptCount val="7"/>
                <c:pt idx="0">
                  <c:v>1.1559806526014144E-2</c:v>
                </c:pt>
                <c:pt idx="1">
                  <c:v>1.1585583509792528E-2</c:v>
                </c:pt>
                <c:pt idx="2">
                  <c:v>8.9369506571933385E-4</c:v>
                </c:pt>
                <c:pt idx="3">
                  <c:v>6.1752885048939034E-2</c:v>
                </c:pt>
                <c:pt idx="4">
                  <c:v>6.0921638914943871E-2</c:v>
                </c:pt>
                <c:pt idx="5">
                  <c:v>2.4134705164095675E-3</c:v>
                </c:pt>
                <c:pt idx="6">
                  <c:v>6.3379236178559506E-2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7-4926-9318-A1731896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date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Offset val="100"/>
        <c:baseTimeUnit val="days"/>
      </c:date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Moving Average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(normalization)'!$H$3:$N$3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'Composite (normalization)'!$H$7:$N$7</c:f>
              <c:numCache>
                <c:formatCode>0.0000</c:formatCode>
                <c:ptCount val="7"/>
                <c:pt idx="0">
                  <c:v>1.1559806526014144E-2</c:v>
                </c:pt>
                <c:pt idx="1">
                  <c:v>1.1585583509792528E-2</c:v>
                </c:pt>
                <c:pt idx="2">
                  <c:v>8.9369506571933385E-4</c:v>
                </c:pt>
                <c:pt idx="3">
                  <c:v>6.1752885048939034E-2</c:v>
                </c:pt>
                <c:pt idx="4">
                  <c:v>6.0921638914943871E-2</c:v>
                </c:pt>
                <c:pt idx="5">
                  <c:v>2.4134705164095675E-3</c:v>
                </c:pt>
                <c:pt idx="6">
                  <c:v>6.3379236178559506E-2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7-438B-A1D6-0725CACB0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(normalization)'!$I$3:$N$3</c:f>
              <c:numCache>
                <c:formatCode>0</c:formatCod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66</c:v>
                </c:pt>
              </c:numCache>
            </c:numRef>
          </c:xVal>
          <c:yVal>
            <c:numRef>
              <c:f>'Composite (normalization)'!$I$18:$N$18</c:f>
              <c:numCache>
                <c:formatCode>0.0000</c:formatCode>
                <c:ptCount val="6"/>
                <c:pt idx="0">
                  <c:v>1.1572695017903336E-2</c:v>
                </c:pt>
                <c:pt idx="1">
                  <c:v>6.239639287755931E-3</c:v>
                </c:pt>
                <c:pt idx="2">
                  <c:v>3.1323290057329187E-2</c:v>
                </c:pt>
                <c:pt idx="3">
                  <c:v>6.1337261981941449E-2</c:v>
                </c:pt>
                <c:pt idx="4">
                  <c:v>3.166755471567672E-2</c:v>
                </c:pt>
                <c:pt idx="5">
                  <c:v>3.2896353347484537E-2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7-438B-A1D6-0725CACB07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(normalization)'!$I$3:$N$3</c:f>
              <c:numCache>
                <c:formatCode>0</c:formatCod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66</c:v>
                </c:pt>
              </c:numCache>
            </c:numRef>
          </c:xVal>
          <c:yVal>
            <c:numRef>
              <c:f>'Composite (normalization)'!$I$12:$N$12</c:f>
              <c:numCache>
                <c:formatCode>0.0000</c:formatCode>
                <c:ptCount val="6"/>
                <c:pt idx="0">
                  <c:v>1.1572447173269693E-2</c:v>
                </c:pt>
                <c:pt idx="1">
                  <c:v>2.8003149987923712E-3</c:v>
                </c:pt>
                <c:pt idx="2">
                  <c:v>6.1364782896207691E-3</c:v>
                </c:pt>
                <c:pt idx="3">
                  <c:v>6.1356580637761088E-2</c:v>
                </c:pt>
                <c:pt idx="4">
                  <c:v>6.6126093691489651E-3</c:v>
                </c:pt>
                <c:pt idx="5">
                  <c:v>5.8802599471001549E-3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07-438B-A1D6-0725CACB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SARS/PMMV (gc/gc)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28562860892388453"/>
          <c:h val="0.240162583843686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'Grab (BRSV recovery)'!$B$4</c:f>
              <c:strCache>
                <c:ptCount val="1"/>
                <c:pt idx="0">
                  <c:v>VSTL-III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recovery)'!$C$4,'Grab (BRSV recovery)'!$D$4,'Grab (BRSV recovery)'!$E$4,'Grab (BRSV recovery)'!$F$4,'Grab (BRSV recovery)'!$G$4)</c:f>
              <c:numCache>
                <c:formatCode>0.0</c:formatCode>
                <c:ptCount val="5"/>
                <c:pt idx="0">
                  <c:v>13.381575884257451</c:v>
                </c:pt>
                <c:pt idx="1">
                  <c:v>22.197814676949129</c:v>
                </c:pt>
                <c:pt idx="2" formatCode="0.00">
                  <c:v>6.9260728231030981</c:v>
                </c:pt>
                <c:pt idx="3" formatCode="0.00">
                  <c:v>29.585637911117999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4-4987-9F60-B655BE2197EB}"/>
            </c:ext>
          </c:extLst>
        </c:ser>
        <c:ser>
          <c:idx val="1"/>
          <c:order val="1"/>
          <c:tx>
            <c:strRef>
              <c:f>'Grab (BRSV recovery)'!$B$5</c:f>
              <c:strCache>
                <c:ptCount val="1"/>
                <c:pt idx="0">
                  <c:v>CDN-05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recovery)'!$C$5,'Grab (BRSV recovery)'!$D$5,'Grab (BRSV recovery)'!$E$5,'Grab (BRSV recovery)'!$F$5,'Grab (BRSV recovery)'!$G$5)</c:f>
              <c:numCache>
                <c:formatCode>0.0</c:formatCode>
                <c:ptCount val="5"/>
                <c:pt idx="0">
                  <c:v>17.615626000868627</c:v>
                </c:pt>
                <c:pt idx="1">
                  <c:v>21.874280480432137</c:v>
                </c:pt>
                <c:pt idx="2" formatCode="0.00">
                  <c:v>8.2238580538542596</c:v>
                </c:pt>
                <c:pt idx="3" formatCode="0.00">
                  <c:v>13.724727566003866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4-4987-9F60-B655BE2197EB}"/>
            </c:ext>
          </c:extLst>
        </c:ser>
        <c:ser>
          <c:idx val="2"/>
          <c:order val="2"/>
          <c:tx>
            <c:strRef>
              <c:f>'Grab (BRSV recovery)'!$B$6</c:f>
              <c:strCache>
                <c:ptCount val="1"/>
                <c:pt idx="0">
                  <c:v>BORD-16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recovery)'!$C$6,'Grab (BRSV recovery)'!$D$6,'Grab (BRSV recovery)'!$E$6,'Grab (BRSV recovery)'!$F$6,'Grab (BRSV recovery)'!$G$6)</c:f>
              <c:numCache>
                <c:formatCode>0.0</c:formatCode>
                <c:ptCount val="5"/>
                <c:pt idx="0">
                  <c:v>32.368893664471848</c:v>
                </c:pt>
                <c:pt idx="1">
                  <c:v>5.7433832517535794</c:v>
                </c:pt>
                <c:pt idx="2" formatCode="0.00">
                  <c:v>13.828613131247872</c:v>
                </c:pt>
                <c:pt idx="3" formatCode="0.00">
                  <c:v>6.6354240664626678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4-4987-9F60-B655BE2197EB}"/>
            </c:ext>
          </c:extLst>
        </c:ser>
        <c:ser>
          <c:idx val="3"/>
          <c:order val="3"/>
          <c:tx>
            <c:strRef>
              <c:f>'Grab (BRSV recovery)'!$B$7</c:f>
              <c:strCache>
                <c:ptCount val="1"/>
                <c:pt idx="0">
                  <c:v>ANJOU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recovery)'!$C$7,'Grab (BRSV recovery)'!$D$7,'Grab (BRSV recovery)'!$E$7,'Grab (BRSV recovery)'!$F$7,'Grab (BRSV recovery)'!$G$7)</c:f>
              <c:numCache>
                <c:formatCode>0.0</c:formatCode>
                <c:ptCount val="5"/>
                <c:pt idx="0">
                  <c:v>28.802164325635378</c:v>
                </c:pt>
                <c:pt idx="1">
                  <c:v>33.771137308441766</c:v>
                </c:pt>
                <c:pt idx="2" formatCode="0.00">
                  <c:v>39.363229030817664</c:v>
                </c:pt>
                <c:pt idx="3" formatCode="0.00">
                  <c:v>27.4814209623651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4-4987-9F60-B655BE21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04799"/>
        <c:axId val="1127394815"/>
      </c:scatterChart>
      <c:val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crossBetween val="midCat"/>
      </c:val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(BRSV recovery)'!$B$4</c:f>
              <c:strCache>
                <c:ptCount val="1"/>
                <c:pt idx="0">
                  <c:v>VSTL-III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recovery)'!$C$4,'Composite (BRSV recovery)'!$D$4,'Composite (BRSV recovery)'!$E$4,'Composite (BRSV recovery)'!$F$4,'Composite (BRSV recovery)'!$G$4)</c:f>
              <c:numCache>
                <c:formatCode>0.0</c:formatCode>
                <c:ptCount val="5"/>
                <c:pt idx="0">
                  <c:v>40.195643977982748</c:v>
                </c:pt>
                <c:pt idx="1">
                  <c:v>29.623869197090752</c:v>
                </c:pt>
                <c:pt idx="2" formatCode="0.00">
                  <c:v>21.603052744118131</c:v>
                </c:pt>
                <c:pt idx="3" formatCode="0.00">
                  <c:v>13.456850367185552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9-41C8-938D-4F5FED67B6EC}"/>
            </c:ext>
          </c:extLst>
        </c:ser>
        <c:ser>
          <c:idx val="1"/>
          <c:order val="1"/>
          <c:tx>
            <c:strRef>
              <c:f>'Composite (BRSV recovery)'!$B$5</c:f>
              <c:strCache>
                <c:ptCount val="1"/>
                <c:pt idx="0">
                  <c:v>CDN-05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recovery)'!$C$5,'Composite (BRSV recovery)'!$D$5,'Composite (BRSV recovery)'!$E$5,'Composite (BRSV recovery)'!$F$5,'Composite (BRSV recovery)'!$G$5)</c:f>
              <c:numCache>
                <c:formatCode>0.0</c:formatCode>
                <c:ptCount val="5"/>
                <c:pt idx="0">
                  <c:v>26.134843860732051</c:v>
                </c:pt>
                <c:pt idx="1">
                  <c:v>28.636998954301969</c:v>
                </c:pt>
                <c:pt idx="2" formatCode="0.00">
                  <c:v>31.846805837045164</c:v>
                </c:pt>
                <c:pt idx="3" formatCode="0.00">
                  <c:v>9.2466510055449938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9-41C8-938D-4F5FED67B6EC}"/>
            </c:ext>
          </c:extLst>
        </c:ser>
        <c:ser>
          <c:idx val="2"/>
          <c:order val="2"/>
          <c:tx>
            <c:strRef>
              <c:f>'Composite (BRSV recovery)'!$B$6</c:f>
              <c:strCache>
                <c:ptCount val="1"/>
                <c:pt idx="0">
                  <c:v>BORD-16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recovery)'!$C$6,'Composite (BRSV recovery)'!$D$6,'Composite (BRSV recovery)'!$E$6,'Composite (BRSV recovery)'!$F$6,'Composite (BRSV recovery)'!$G$6)</c:f>
              <c:numCache>
                <c:formatCode>0.0</c:formatCode>
                <c:ptCount val="5"/>
                <c:pt idx="0">
                  <c:v>18.975777940055508</c:v>
                </c:pt>
                <c:pt idx="1">
                  <c:v>15.929137909105343</c:v>
                </c:pt>
                <c:pt idx="2" formatCode="0.00">
                  <c:v>25.479894801582532</c:v>
                </c:pt>
                <c:pt idx="3" formatCode="0.00">
                  <c:v>24.65799307719568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9-41C8-938D-4F5FED67B6EC}"/>
            </c:ext>
          </c:extLst>
        </c:ser>
        <c:ser>
          <c:idx val="3"/>
          <c:order val="3"/>
          <c:tx>
            <c:strRef>
              <c:f>'Composite (BRSV recovery)'!$B$7</c:f>
              <c:strCache>
                <c:ptCount val="1"/>
                <c:pt idx="0">
                  <c:v>ANJOU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recovery)'!$C$7,'Composite (BRSV recovery)'!$D$7,'Composite (BRSV recovery)'!$E$7,'Composite (BRSV recovery)'!$F$7,'Composite (BRSV recovery)'!$G$7)</c:f>
              <c:numCache>
                <c:formatCode>0.0</c:formatCode>
                <c:ptCount val="5"/>
                <c:pt idx="0">
                  <c:v>36.103794096989091</c:v>
                </c:pt>
                <c:pt idx="1">
                  <c:v>28.016581150259348</c:v>
                </c:pt>
                <c:pt idx="2" formatCode="0.00">
                  <c:v>22.639011410701769</c:v>
                </c:pt>
                <c:pt idx="3" formatCode="0.00">
                  <c:v>36.82022243140824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9-41C8-938D-4F5FED67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04799"/>
        <c:axId val="1127394815"/>
      </c:scatterChart>
      <c:val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crossBetween val="midCat"/>
      </c:val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PMMV</a:t>
            </a:r>
          </a:p>
          <a:p>
            <a:pPr>
              <a:defRPr/>
            </a:pPr>
            <a:r>
              <a:rPr lang="en-CA"/>
              <a:t>4/3/2021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69053791289826"/>
                  <c:y val="-2.5834593471329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Summaries'!$Q$16:$Q$25</c:f>
              <c:numCache>
                <c:formatCode>#,##0.00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'Standard Curve Summaries'!$U$16:$U$25</c:f>
              <c:numCache>
                <c:formatCode>General</c:formatCode>
                <c:ptCount val="10"/>
                <c:pt idx="0">
                  <c:v>4.8149999999999995</c:v>
                </c:pt>
                <c:pt idx="1">
                  <c:v>9.07</c:v>
                </c:pt>
                <c:pt idx="2">
                  <c:v>12.969999999999999</c:v>
                </c:pt>
                <c:pt idx="3">
                  <c:v>16.479999999999997</c:v>
                </c:pt>
                <c:pt idx="4">
                  <c:v>19.975000000000001</c:v>
                </c:pt>
                <c:pt idx="5">
                  <c:v>23.490000000000002</c:v>
                </c:pt>
                <c:pt idx="6">
                  <c:v>26.966666666666669</c:v>
                </c:pt>
                <c:pt idx="7">
                  <c:v>30.143333333333334</c:v>
                </c:pt>
                <c:pt idx="8">
                  <c:v>33.523333333333333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F-4E48-9E20-78670232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VSTL-III'!$C$2</c:f>
              <c:strCache>
                <c:ptCount val="1"/>
                <c:pt idx="0">
                  <c:v>COVID19 new cases (by lab)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VSTL-III'!$B$5:$B$26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VSTL-III'!$C$5:$C$26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VSTL-III'!$D$4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VSTL-III'!$D$5:$D$26</c:f>
              <c:numCache>
                <c:formatCode>0.0E+00</c:formatCode>
                <c:ptCount val="22"/>
                <c:pt idx="11" formatCode="0">
                  <c:v>3.0892588037332804</c:v>
                </c:pt>
                <c:pt idx="14" formatCode="0">
                  <c:v>8.93229218911892</c:v>
                </c:pt>
                <c:pt idx="16" formatCode="0">
                  <c:v>8.89439958459241</c:v>
                </c:pt>
                <c:pt idx="17" formatCode="0">
                  <c:v>3.7857172553192249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B-43A6-B421-F4D94F829A12}"/>
            </c:ext>
          </c:extLst>
        </c:ser>
        <c:ser>
          <c:idx val="2"/>
          <c:order val="2"/>
          <c:tx>
            <c:strRef>
              <c:f>'Graphs Montreal VSTL-III'!$E$4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VSTL-III'!$E$5:$E$26</c:f>
              <c:numCache>
                <c:formatCode>General</c:formatCode>
                <c:ptCount val="22"/>
                <c:pt idx="11" formatCode="0">
                  <c:v>5.5517519075425774</c:v>
                </c:pt>
                <c:pt idx="14" formatCode="0">
                  <c:v>9.8646937649361526</c:v>
                </c:pt>
                <c:pt idx="16" formatCode="0">
                  <c:v>12.23296718573455</c:v>
                </c:pt>
                <c:pt idx="17" formatCode="0">
                  <c:v>19.229459984012177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CDN05'!$C$4</c:f>
              <c:strCache>
                <c:ptCount val="1"/>
                <c:pt idx="0">
                  <c:v>COVID19 new cases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CDN05'!$B$5:$B$26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CDN05'!$C$5:$C$26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CDN05'!$D$4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CDN05'!$D$5:$D$26</c:f>
              <c:numCache>
                <c:formatCode>0.0E+00</c:formatCode>
                <c:ptCount val="22"/>
                <c:pt idx="11" formatCode="0">
                  <c:v>22.073386816205506</c:v>
                </c:pt>
                <c:pt idx="14" formatCode="0">
                  <c:v>25.446966052759468</c:v>
                </c:pt>
                <c:pt idx="16" formatCode="0">
                  <c:v>39.792772684871878</c:v>
                </c:pt>
                <c:pt idx="17" formatCode="0">
                  <c:v>74.461807091558327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9-4D34-8250-B7EBE2DE1E9F}"/>
            </c:ext>
          </c:extLst>
        </c:ser>
        <c:ser>
          <c:idx val="2"/>
          <c:order val="2"/>
          <c:tx>
            <c:strRef>
              <c:f>'Graphs Montreal CDN05'!$E$4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CDN05'!$E$5:$E$26</c:f>
              <c:numCache>
                <c:formatCode>General</c:formatCode>
                <c:ptCount val="22"/>
                <c:pt idx="11" formatCode="0">
                  <c:v>134.01440602747999</c:v>
                </c:pt>
                <c:pt idx="14" formatCode="0">
                  <c:v>126.71498724750623</c:v>
                </c:pt>
                <c:pt idx="16" formatCode="0">
                  <c:v>87.232271698595838</c:v>
                </c:pt>
                <c:pt idx="17" formatCode="0">
                  <c:v>19.004684623124238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Grab!$B$4</c:f>
              <c:strCache>
                <c:ptCount val="1"/>
                <c:pt idx="0">
                  <c:v>Site 11 (VSL Ind.)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Grab!$E$2:$K$2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Grab!$E$4:$K$4</c:f>
              <c:numCache>
                <c:formatCode>0</c:formatCode>
                <c:ptCount val="7"/>
                <c:pt idx="0">
                  <c:v>3.0892588037332804</c:v>
                </c:pt>
                <c:pt idx="1">
                  <c:v>8.93229218911892</c:v>
                </c:pt>
                <c:pt idx="2">
                  <c:v>4</c:v>
                </c:pt>
                <c:pt idx="3">
                  <c:v>8.89439958459241</c:v>
                </c:pt>
                <c:pt idx="4">
                  <c:v>3.7857172553192249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6-4777-A9E6-13D9F6E919C8}"/>
            </c:ext>
          </c:extLst>
        </c:ser>
        <c:ser>
          <c:idx val="1"/>
          <c:order val="1"/>
          <c:tx>
            <c:strRef>
              <c:f>Grab!$B$5</c:f>
              <c:strCache>
                <c:ptCount val="1"/>
                <c:pt idx="0">
                  <c:v>Site 5 (CDN)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Grab!$E$2:$K$2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Grab!$E$5:$K$5</c:f>
              <c:numCache>
                <c:formatCode>0</c:formatCode>
                <c:ptCount val="7"/>
                <c:pt idx="0">
                  <c:v>22.073386816205506</c:v>
                </c:pt>
                <c:pt idx="1">
                  <c:v>25.446966052759468</c:v>
                </c:pt>
                <c:pt idx="2">
                  <c:v>70</c:v>
                </c:pt>
                <c:pt idx="3">
                  <c:v>39.792772684871878</c:v>
                </c:pt>
                <c:pt idx="4">
                  <c:v>74.461807091558327</c:v>
                </c:pt>
                <c:pt idx="5">
                  <c:v>1199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6-4777-A9E6-13D9F6E919C8}"/>
            </c:ext>
          </c:extLst>
        </c:ser>
        <c:ser>
          <c:idx val="2"/>
          <c:order val="2"/>
          <c:tx>
            <c:strRef>
              <c:f>Grab!$B$6</c:f>
              <c:strCache>
                <c:ptCount val="1"/>
                <c:pt idx="0">
                  <c:v>Site 16 (Bordeau)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Grab!$E$2:$K$2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Grab!$E$6:$K$6</c:f>
              <c:numCache>
                <c:formatCode>0</c:formatCode>
                <c:ptCount val="7"/>
                <c:pt idx="0">
                  <c:v>554.64569294868056</c:v>
                </c:pt>
                <c:pt idx="1">
                  <c:v>265.53062727046427</c:v>
                </c:pt>
                <c:pt idx="2">
                  <c:v>6</c:v>
                </c:pt>
                <c:pt idx="3">
                  <c:v>153.53990916144545</c:v>
                </c:pt>
                <c:pt idx="4">
                  <c:v>5.1440266869815519</c:v>
                </c:pt>
                <c:pt idx="5">
                  <c:v>17</c:v>
                </c:pt>
                <c:pt idx="6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6-4777-A9E6-13D9F6E919C8}"/>
            </c:ext>
          </c:extLst>
        </c:ser>
        <c:ser>
          <c:idx val="3"/>
          <c:order val="3"/>
          <c:tx>
            <c:strRef>
              <c:f>Grab!$B$7</c:f>
              <c:strCache>
                <c:ptCount val="1"/>
                <c:pt idx="0">
                  <c:v>Site 12 (Anjou Ind.)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Grab!$E$2:$K$2</c:f>
              <c:numCache>
                <c:formatCode>m/d/yyyy</c:formatCode>
                <c:ptCount val="7"/>
                <c:pt idx="0">
                  <c:v>44253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44260</c:v>
                </c:pt>
                <c:pt idx="6">
                  <c:v>44263</c:v>
                </c:pt>
              </c:numCache>
            </c:numRef>
          </c:cat>
          <c:val>
            <c:numRef>
              <c:f>Grab!$E$7:$K$7</c:f>
              <c:numCache>
                <c:formatCode>0</c:formatCode>
                <c:ptCount val="7"/>
                <c:pt idx="0">
                  <c:v>3.4490450355944695</c:v>
                </c:pt>
                <c:pt idx="1">
                  <c:v>9.543314059983528</c:v>
                </c:pt>
                <c:pt idx="2">
                  <c:v>5</c:v>
                </c:pt>
                <c:pt idx="3">
                  <c:v>24.869415561130392</c:v>
                </c:pt>
                <c:pt idx="4">
                  <c:v>10.070118168812165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6-4777-A9E6-13D9F6E9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date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Offset val="100"/>
        <c:baseTimeUnit val="days"/>
      </c:date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Site 11 (Ind. VSL)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745443277923595"/>
          <c:w val="0.83129396325459315"/>
          <c:h val="0.64697470107903166"/>
        </c:manualLayout>
      </c:layout>
      <c:scatterChart>
        <c:scatterStyle val="lineMarker"/>
        <c:varyColors val="0"/>
        <c:ser>
          <c:idx val="0"/>
          <c:order val="0"/>
          <c:tx>
            <c:v>Grab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Grab!$E$3:$K$3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Grab!$E$4:$K$4</c:f>
              <c:numCache>
                <c:formatCode>0</c:formatCode>
                <c:ptCount val="7"/>
                <c:pt idx="0">
                  <c:v>3.0892588037332804</c:v>
                </c:pt>
                <c:pt idx="1">
                  <c:v>8.93229218911892</c:v>
                </c:pt>
                <c:pt idx="2">
                  <c:v>4</c:v>
                </c:pt>
                <c:pt idx="3">
                  <c:v>8.89439958459241</c:v>
                </c:pt>
                <c:pt idx="4">
                  <c:v>3.7857172553192249</c:v>
                </c:pt>
                <c:pt idx="5">
                  <c:v>13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0-4A34-A4F0-515B22189086}"/>
            </c:ext>
          </c:extLst>
        </c:ser>
        <c:ser>
          <c:idx val="1"/>
          <c:order val="1"/>
          <c:tx>
            <c:v>Composite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Composite!$E$3:$K$3</c:f>
              <c:numCache>
                <c:formatCode>0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</c:numCache>
            </c:numRef>
          </c:xVal>
          <c:yVal>
            <c:numRef>
              <c:f>Composite!$E$4:$K$4</c:f>
              <c:numCache>
                <c:formatCode>0</c:formatCode>
                <c:ptCount val="7"/>
                <c:pt idx="0">
                  <c:v>5.5517519075425774</c:v>
                </c:pt>
                <c:pt idx="1">
                  <c:v>9.8646937649361526</c:v>
                </c:pt>
                <c:pt idx="2">
                  <c:v>4</c:v>
                </c:pt>
                <c:pt idx="3">
                  <c:v>12.23296718573455</c:v>
                </c:pt>
                <c:pt idx="4">
                  <c:v>19.229459984012177</c:v>
                </c:pt>
                <c:pt idx="5">
                  <c:v>12</c:v>
                </c:pt>
                <c:pt idx="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0-4A34-A4F0-515B2218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9936"/>
        <c:axId val="574720264"/>
      </c:scatterChart>
      <c:valAx>
        <c:axId val="574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264"/>
        <c:crosses val="autoZero"/>
        <c:crossBetween val="midCat"/>
      </c:valAx>
      <c:valAx>
        <c:axId val="5747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41644794400701"/>
          <c:y val="0.18055555555555552"/>
          <c:w val="0.3505004374453193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265792</xdr:colOff>
      <xdr:row>42</xdr:row>
      <xdr:rowOff>78691</xdr:rowOff>
    </xdr:from>
    <xdr:to>
      <xdr:col>19</xdr:col>
      <xdr:colOff>283935</xdr:colOff>
      <xdr:row>56</xdr:row>
      <xdr:rowOff>171450</xdr:rowOff>
    </xdr:to>
    <xdr:graphicFrame macro="">
      <xdr:nvGraphicFramePr>
        <xdr:cNvPr id="21" name="Chart 13">
          <a:extLst>
            <a:ext uri="{FF2B5EF4-FFF2-40B4-BE49-F238E27FC236}">
              <a16:creationId xmlns:a16="http://schemas.microsoft.com/office/drawing/2014/main" id="{BC9BF114-4253-4B24-BF7E-958CDE3D2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218167</xdr:colOff>
      <xdr:row>42</xdr:row>
      <xdr:rowOff>69393</xdr:rowOff>
    </xdr:from>
    <xdr:to>
      <xdr:col>29</xdr:col>
      <xdr:colOff>133803</xdr:colOff>
      <xdr:row>56</xdr:row>
      <xdr:rowOff>171450</xdr:rowOff>
    </xdr:to>
    <xdr:graphicFrame macro="">
      <xdr:nvGraphicFramePr>
        <xdr:cNvPr id="22" name="Chart 14">
          <a:extLst>
            <a:ext uri="{FF2B5EF4-FFF2-40B4-BE49-F238E27FC236}">
              <a16:creationId xmlns:a16="http://schemas.microsoft.com/office/drawing/2014/main" id="{DB99EC17-6C3A-4CC9-B8C7-AC2E28AB0217}"/>
            </a:ext>
            <a:ext uri="{147F2762-F138-4A5C-976F-8EAC2B608ADB}">
              <a16:predDERef xmlns:a16="http://schemas.microsoft.com/office/drawing/2014/main" pred="{BC9BF114-4253-4B24-BF7E-958CDE3D2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29028</xdr:colOff>
      <xdr:row>74</xdr:row>
      <xdr:rowOff>78694</xdr:rowOff>
    </xdr:from>
    <xdr:to>
      <xdr:col>20</xdr:col>
      <xdr:colOff>218621</xdr:colOff>
      <xdr:row>89</xdr:row>
      <xdr:rowOff>62367</xdr:rowOff>
    </xdr:to>
    <xdr:graphicFrame macro="">
      <xdr:nvGraphicFramePr>
        <xdr:cNvPr id="27" name="Chart 15">
          <a:extLst>
            <a:ext uri="{FF2B5EF4-FFF2-40B4-BE49-F238E27FC236}">
              <a16:creationId xmlns:a16="http://schemas.microsoft.com/office/drawing/2014/main" id="{96DF80B9-55F9-4759-8F1E-4960DFCAD237}"/>
            </a:ext>
            <a:ext uri="{147F2762-F138-4A5C-976F-8EAC2B608ADB}">
              <a16:predDERef xmlns:a16="http://schemas.microsoft.com/office/drawing/2014/main" pred="{DB99EC17-6C3A-4CC9-B8C7-AC2E28AB0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235858</xdr:colOff>
      <xdr:row>73</xdr:row>
      <xdr:rowOff>171449</xdr:rowOff>
    </xdr:from>
    <xdr:to>
      <xdr:col>30</xdr:col>
      <xdr:colOff>263072</xdr:colOff>
      <xdr:row>88</xdr:row>
      <xdr:rowOff>155122</xdr:rowOff>
    </xdr:to>
    <xdr:graphicFrame macro="">
      <xdr:nvGraphicFramePr>
        <xdr:cNvPr id="23" name="Chart 16">
          <a:extLst>
            <a:ext uri="{FF2B5EF4-FFF2-40B4-BE49-F238E27FC236}">
              <a16:creationId xmlns:a16="http://schemas.microsoft.com/office/drawing/2014/main" id="{D9F6EA3B-1B7F-4587-9DFA-FA6DA90B36B8}"/>
            </a:ext>
            <a:ext uri="{147F2762-F138-4A5C-976F-8EAC2B608ADB}">
              <a16:predDERef xmlns:a16="http://schemas.microsoft.com/office/drawing/2014/main" pred="{96DF80B9-55F9-4759-8F1E-4960DFCAD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480332</xdr:colOff>
      <xdr:row>58</xdr:row>
      <xdr:rowOff>87087</xdr:rowOff>
    </xdr:from>
    <xdr:to>
      <xdr:col>20</xdr:col>
      <xdr:colOff>41275</xdr:colOff>
      <xdr:row>73</xdr:row>
      <xdr:rowOff>70758</xdr:rowOff>
    </xdr:to>
    <xdr:graphicFrame macro="">
      <xdr:nvGraphicFramePr>
        <xdr:cNvPr id="40" name="Chart 15">
          <a:extLst>
            <a:ext uri="{FF2B5EF4-FFF2-40B4-BE49-F238E27FC236}">
              <a16:creationId xmlns:a16="http://schemas.microsoft.com/office/drawing/2014/main" id="{5438F09C-5B8D-42AF-BBEB-C00E24148A7E}"/>
            </a:ext>
            <a:ext uri="{147F2762-F138-4A5C-976F-8EAC2B608ADB}">
              <a16:predDERef xmlns:a16="http://schemas.microsoft.com/office/drawing/2014/main" pred="{D9F6EA3B-1B7F-4587-9DFA-FA6DA90B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27</xdr:row>
      <xdr:rowOff>12700</xdr:rowOff>
    </xdr:from>
    <xdr:to>
      <xdr:col>14</xdr:col>
      <xdr:colOff>317499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21E9-0ACC-435E-8671-0C569866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7142</xdr:colOff>
      <xdr:row>1</xdr:row>
      <xdr:rowOff>0</xdr:rowOff>
    </xdr:from>
    <xdr:to>
      <xdr:col>22</xdr:col>
      <xdr:colOff>45242</xdr:colOff>
      <xdr:row>16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</xdr:colOff>
      <xdr:row>16</xdr:row>
      <xdr:rowOff>57150</xdr:rowOff>
    </xdr:from>
    <xdr:to>
      <xdr:col>22</xdr:col>
      <xdr:colOff>42862</xdr:colOff>
      <xdr:row>31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157162</xdr:colOff>
      <xdr:row>1</xdr:row>
      <xdr:rowOff>0</xdr:rowOff>
    </xdr:from>
    <xdr:to>
      <xdr:col>29</xdr:col>
      <xdr:colOff>195262</xdr:colOff>
      <xdr:row>16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157162</xdr:colOff>
      <xdr:row>16</xdr:row>
      <xdr:rowOff>57150</xdr:rowOff>
    </xdr:from>
    <xdr:to>
      <xdr:col>29</xdr:col>
      <xdr:colOff>195262</xdr:colOff>
      <xdr:row>31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123825</xdr:rowOff>
    </xdr:from>
    <xdr:to>
      <xdr:col>6</xdr:col>
      <xdr:colOff>38100</xdr:colOff>
      <xdr:row>23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2380</xdr:colOff>
      <xdr:row>46</xdr:row>
      <xdr:rowOff>0</xdr:rowOff>
    </xdr:from>
    <xdr:to>
      <xdr:col>7</xdr:col>
      <xdr:colOff>40480</xdr:colOff>
      <xdr:row>61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61</xdr:row>
      <xdr:rowOff>88107</xdr:rowOff>
    </xdr:from>
    <xdr:to>
      <xdr:col>7</xdr:col>
      <xdr:colOff>38100</xdr:colOff>
      <xdr:row>76</xdr:row>
      <xdr:rowOff>116682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326230</xdr:colOff>
      <xdr:row>46</xdr:row>
      <xdr:rowOff>2382</xdr:rowOff>
    </xdr:from>
    <xdr:to>
      <xdr:col>13</xdr:col>
      <xdr:colOff>354805</xdr:colOff>
      <xdr:row>61</xdr:row>
      <xdr:rowOff>30957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323850</xdr:colOff>
      <xdr:row>61</xdr:row>
      <xdr:rowOff>90489</xdr:rowOff>
    </xdr:from>
    <xdr:to>
      <xdr:col>13</xdr:col>
      <xdr:colOff>352425</xdr:colOff>
      <xdr:row>76</xdr:row>
      <xdr:rowOff>119064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38100</xdr:colOff>
      <xdr:row>61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323850</xdr:colOff>
      <xdr:row>46</xdr:row>
      <xdr:rowOff>2382</xdr:rowOff>
    </xdr:from>
    <xdr:to>
      <xdr:col>30</xdr:col>
      <xdr:colOff>361950</xdr:colOff>
      <xdr:row>61</xdr:row>
      <xdr:rowOff>30957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647699</xdr:colOff>
      <xdr:row>63</xdr:row>
      <xdr:rowOff>180974</xdr:rowOff>
    </xdr:from>
    <xdr:to>
      <xdr:col>24</xdr:col>
      <xdr:colOff>409575</xdr:colOff>
      <xdr:row>81</xdr:row>
      <xdr:rowOff>157162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0.59635</cdr:x>
      <cdr:y>0.09201</cdr:y>
    </cdr:from>
    <cdr:to>
      <cdr:x>0.69635</cdr:x>
      <cdr:y>0.18576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6533" y="252413"/>
          <a:ext cx="4572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 b="1"/>
            <a:t>0.15</a:t>
          </a:r>
          <a:endParaRPr lang="en-CA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0.5901</cdr:x>
      <cdr:y>0.09115</cdr:y>
    </cdr:from>
    <cdr:to>
      <cdr:x>0.68594</cdr:x>
      <cdr:y>0.18837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7958" y="250031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 b="1"/>
            <a:t>0.38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0.61566</cdr:x>
      <cdr:y>0.06463</cdr:y>
    </cdr:from>
    <cdr:to>
      <cdr:x>0.7115</cdr:x>
      <cdr:y>0.16185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2287" y="239170"/>
          <a:ext cx="535859" cy="359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 b="1"/>
            <a:t>37.6%</a:t>
          </a:r>
        </a:p>
      </cdr:txBody>
    </cdr:sp>
  </cdr:relSizeAnchor>
  <cdr:relSizeAnchor xmlns:cdr="http://schemas.openxmlformats.org/drawingml/2006/chartDrawing">
    <cdr:from>
      <cdr:x>0.20468</cdr:x>
      <cdr:y>0.78212</cdr:y>
    </cdr:from>
    <cdr:to>
      <cdr:x>0.30052</cdr:x>
      <cdr:y>0.87934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35812" y="2145518"/>
          <a:ext cx="43818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 b="1"/>
            <a:t>0.23%</a:t>
          </a:r>
        </a:p>
      </cdr:txBody>
    </cdr:sp>
  </cdr:relSizeAnchor>
  <cdr:relSizeAnchor xmlns:cdr="http://schemas.openxmlformats.org/drawingml/2006/chartDrawing">
    <cdr:from>
      <cdr:x>0.40715</cdr:x>
      <cdr:y>0.60863</cdr:y>
    </cdr:from>
    <cdr:to>
      <cdr:x>0.50299</cdr:x>
      <cdr:y>0.70585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76427" y="2252220"/>
          <a:ext cx="535859" cy="359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 b="1"/>
            <a:t>1.38%</a:t>
          </a:r>
        </a:p>
      </cdr:txBody>
    </cdr:sp>
  </cdr:relSizeAnchor>
  <cdr:relSizeAnchor xmlns:cdr="http://schemas.openxmlformats.org/drawingml/2006/chartDrawing">
    <cdr:from>
      <cdr:x>0.82153</cdr:x>
      <cdr:y>0.68759</cdr:y>
    </cdr:from>
    <cdr:to>
      <cdr:x>0.91737</cdr:x>
      <cdr:y>0.78481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593344" y="2544419"/>
          <a:ext cx="535859" cy="359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 b="1"/>
            <a:t>0.86%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21</xdr:row>
      <xdr:rowOff>149225</xdr:rowOff>
    </xdr:from>
    <xdr:to>
      <xdr:col>14</xdr:col>
      <xdr:colOff>485775</xdr:colOff>
      <xdr:row>37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45DDC-34F4-40D3-A750-E7B984A11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7</xdr:col>
      <xdr:colOff>38100</xdr:colOff>
      <xdr:row>24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152400</xdr:rowOff>
    </xdr:from>
    <xdr:to>
      <xdr:col>6</xdr:col>
      <xdr:colOff>660400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A5-8EB5-4503-A406-D0F4F4404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63500</xdr:rowOff>
    </xdr:from>
    <xdr:to>
      <xdr:col>7</xdr:col>
      <xdr:colOff>368300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B367E-F001-48D7-AC23-465CFE34F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680357</xdr:colOff>
      <xdr:row>2</xdr:row>
      <xdr:rowOff>8</xdr:rowOff>
    </xdr:from>
    <xdr:to>
      <xdr:col>26</xdr:col>
      <xdr:colOff>99782</xdr:colOff>
      <xdr:row>25</xdr:row>
      <xdr:rowOff>145151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61DAA-6B32-4935-AAE3-8CC75514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27215</xdr:colOff>
      <xdr:row>17</xdr:row>
      <xdr:rowOff>127000</xdr:rowOff>
    </xdr:from>
    <xdr:ext cx="4242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8F05EB-A4AC-41C7-A10A-CD223D39081E}"/>
            </a:ext>
          </a:extLst>
        </xdr:cNvPr>
        <xdr:cNvSpPr txBox="1"/>
      </xdr:nvSpPr>
      <xdr:spPr>
        <a:xfrm>
          <a:off x="8608786" y="3211286"/>
          <a:ext cx="424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rgbClr val="FF0000"/>
              </a:solidFill>
            </a:rPr>
            <a:t>LOD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0.15691</cdr:x>
      <cdr:y>0.70798</cdr:y>
    </cdr:from>
    <cdr:to>
      <cdr:x>0.85313</cdr:x>
      <cdr:y>0.70798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812287-3082-4C3B-B477-FBF746942692}"/>
            </a:ext>
          </a:extLst>
        </cdr:cNvPr>
        <cdr:cNvCxnSpPr/>
      </cdr:nvCxnSpPr>
      <cdr:spPr>
        <a:xfrm xmlns:a="http://schemas.openxmlformats.org/drawingml/2006/main">
          <a:off x="1841913" y="3057064"/>
          <a:ext cx="8172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501646</xdr:colOff>
      <xdr:row>2</xdr:row>
      <xdr:rowOff>27214</xdr:rowOff>
    </xdr:from>
    <xdr:to>
      <xdr:col>25</xdr:col>
      <xdr:colOff>417282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9714-38A5-4ED7-A7A2-8B45B08E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8</xdr:row>
      <xdr:rowOff>0</xdr:rowOff>
    </xdr:from>
    <xdr:to>
      <xdr:col>11</xdr:col>
      <xdr:colOff>88900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52339-0B99-460F-BD08-A3F9B45C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2380</xdr:colOff>
      <xdr:row>1</xdr:row>
      <xdr:rowOff>0</xdr:rowOff>
    </xdr:from>
    <xdr:to>
      <xdr:col>21</xdr:col>
      <xdr:colOff>40480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57150</xdr:rowOff>
    </xdr:from>
    <xdr:to>
      <xdr:col>21</xdr:col>
      <xdr:colOff>38100</xdr:colOff>
      <xdr:row>31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152400</xdr:colOff>
      <xdr:row>1</xdr:row>
      <xdr:rowOff>0</xdr:rowOff>
    </xdr:from>
    <xdr:to>
      <xdr:col>28</xdr:col>
      <xdr:colOff>190500</xdr:colOff>
      <xdr:row>16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152400</xdr:colOff>
      <xdr:row>16</xdr:row>
      <xdr:rowOff>57150</xdr:rowOff>
    </xdr:from>
    <xdr:to>
      <xdr:col>28</xdr:col>
      <xdr:colOff>190500</xdr:colOff>
      <xdr:row>31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7143</xdr:colOff>
      <xdr:row>26</xdr:row>
      <xdr:rowOff>178593</xdr:rowOff>
    </xdr:from>
    <xdr:to>
      <xdr:col>6</xdr:col>
      <xdr:colOff>473868</xdr:colOff>
      <xdr:row>42</xdr:row>
      <xdr:rowOff>26193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4763</xdr:colOff>
      <xdr:row>42</xdr:row>
      <xdr:rowOff>85725</xdr:rowOff>
    </xdr:from>
    <xdr:to>
      <xdr:col>6</xdr:col>
      <xdr:colOff>471488</xdr:colOff>
      <xdr:row>57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2380</xdr:colOff>
      <xdr:row>27</xdr:row>
      <xdr:rowOff>0</xdr:rowOff>
    </xdr:from>
    <xdr:to>
      <xdr:col>13</xdr:col>
      <xdr:colOff>250030</xdr:colOff>
      <xdr:row>42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42</xdr:row>
      <xdr:rowOff>88107</xdr:rowOff>
    </xdr:from>
    <xdr:to>
      <xdr:col>13</xdr:col>
      <xdr:colOff>247650</xdr:colOff>
      <xdr:row>57</xdr:row>
      <xdr:rowOff>116682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0.64271</cdr:x>
      <cdr:y>0.11979</cdr:y>
    </cdr:from>
    <cdr:to>
      <cdr:x>0.75313</cdr:x>
      <cdr:y>0.21354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8463" y="328613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 b="1">
              <a:solidFill>
                <a:srgbClr val="0070C0"/>
              </a:solidFill>
            </a:rPr>
            <a:t>1199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19</xdr:row>
      <xdr:rowOff>114299</xdr:rowOff>
    </xdr:from>
    <xdr:to>
      <xdr:col>11</xdr:col>
      <xdr:colOff>125412</xdr:colOff>
      <xdr:row>36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7E878-3659-4799-9329-E98412B9D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307975</xdr:colOff>
      <xdr:row>18</xdr:row>
      <xdr:rowOff>0</xdr:rowOff>
    </xdr:from>
    <xdr:to>
      <xdr:col>11</xdr:col>
      <xdr:colOff>204787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88C6A-B3B5-4FF8-94BA-0B9EFC86E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50005</xdr:colOff>
      <xdr:row>1</xdr:row>
      <xdr:rowOff>0</xdr:rowOff>
    </xdr:from>
    <xdr:to>
      <xdr:col>21</xdr:col>
      <xdr:colOff>88105</xdr:colOff>
      <xdr:row>16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16</xdr:row>
      <xdr:rowOff>57150</xdr:rowOff>
    </xdr:from>
    <xdr:to>
      <xdr:col>21</xdr:col>
      <xdr:colOff>85725</xdr:colOff>
      <xdr:row>31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200025</xdr:colOff>
      <xdr:row>1</xdr:row>
      <xdr:rowOff>0</xdr:rowOff>
    </xdr:from>
    <xdr:to>
      <xdr:col>28</xdr:col>
      <xdr:colOff>238125</xdr:colOff>
      <xdr:row>16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200025</xdr:colOff>
      <xdr:row>16</xdr:row>
      <xdr:rowOff>57150</xdr:rowOff>
    </xdr:from>
    <xdr:to>
      <xdr:col>28</xdr:col>
      <xdr:colOff>238125</xdr:colOff>
      <xdr:row>31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2380</xdr:colOff>
      <xdr:row>33</xdr:row>
      <xdr:rowOff>0</xdr:rowOff>
    </xdr:from>
    <xdr:to>
      <xdr:col>7</xdr:col>
      <xdr:colOff>359567</xdr:colOff>
      <xdr:row>48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48</xdr:row>
      <xdr:rowOff>88107</xdr:rowOff>
    </xdr:from>
    <xdr:to>
      <xdr:col>7</xdr:col>
      <xdr:colOff>357187</xdr:colOff>
      <xdr:row>63</xdr:row>
      <xdr:rowOff>116682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645317</xdr:colOff>
      <xdr:row>33</xdr:row>
      <xdr:rowOff>2382</xdr:rowOff>
    </xdr:from>
    <xdr:to>
      <xdr:col>14</xdr:col>
      <xdr:colOff>245267</xdr:colOff>
      <xdr:row>48</xdr:row>
      <xdr:rowOff>30957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642937</xdr:colOff>
      <xdr:row>48</xdr:row>
      <xdr:rowOff>90489</xdr:rowOff>
    </xdr:from>
    <xdr:to>
      <xdr:col>14</xdr:col>
      <xdr:colOff>242887</xdr:colOff>
      <xdr:row>63</xdr:row>
      <xdr:rowOff>119064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13</xdr:row>
      <xdr:rowOff>123824</xdr:rowOff>
    </xdr:from>
    <xdr:to>
      <xdr:col>11</xdr:col>
      <xdr:colOff>117475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050D2-6A9A-4A2A-9906-12C8FCF1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telhem Kassa, Mrs" id="{CB37E8BC-FEF0-48DD-91B3-EBB2F099B35B}" userId="S::betelhem.kassa@mcgill.ca::a329aa78-cbdc-41cd-bef0-20cf88cdf2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4" dT="2020-12-21T14:38:22.18" personId="{CB37E8BC-FEF0-48DD-91B3-EBB2F099B35B}" id="{7EBC2AB5-19AA-4021-BC18-B8355319B66D}">
    <text>duplicate Ct value too high</text>
  </threadedComment>
  <threadedComment ref="AF65" dT="2020-12-21T15:13:54.48" personId="{CB37E8BC-FEF0-48DD-91B3-EBB2F099B35B}" id="{5900B887-FA18-4823-832E-B940EC37A829}">
    <text>duplicate had no Ct value</text>
  </threadedComment>
  <threadedComment ref="AM67" dT="2020-12-21T15:41:43.24" personId="{CB37E8BC-FEF0-48DD-91B3-EBB2F099B35B}" id="{821AF568-5D37-465E-8115-CB3C74D428D1}">
    <text>Duplicate Ct lacking</text>
  </threadedComment>
  <threadedComment ref="AM68" dT="2020-12-21T15:41:48.33" personId="{CB37E8BC-FEF0-48DD-91B3-EBB2F099B35B}" id="{D6846407-A013-4429-B954-239E87FDBD3C}">
    <text>Duplicate Ct lacking</text>
  </threadedComment>
  <threadedComment ref="AM72" dT="2020-12-21T15:45:31.99" personId="{CB37E8BC-FEF0-48DD-91B3-EBB2F099B35B}" id="{16C3B1B4-3805-4E69-965D-0970A72E8812}">
    <text>duplicate no Ct value</text>
  </threadedComment>
  <threadedComment ref="AL73" dT="2020-12-21T15:45:43.99" personId="{CB37E8BC-FEF0-48DD-91B3-EBB2F099B35B}" id="{E9B93A0C-DB3B-4B86-AC2C-7EBC59BC5DDC}">
    <text>Duplicate No Ct value</text>
  </threadedComment>
  <threadedComment ref="Z74" dT="2020-12-21T14:41:43.15" personId="{CB37E8BC-FEF0-48DD-91B3-EBB2F099B35B}" id="{8E7B6113-F78B-49F8-9E02-93CF9616B9FE}">
    <text>Duplicate Ct too high</text>
  </threadedComment>
  <threadedComment ref="AG74" dT="2020-12-21T15:37:04.08" personId="{CB37E8BC-FEF0-48DD-91B3-EBB2F099B35B}" id="{1695338B-BAEA-487A-AAA6-648C8CDC65B8}">
    <text>Duplicate Ct lacking</text>
  </threadedComment>
  <threadedComment ref="L88" dT="2021-01-07T14:50:13.20" personId="{CB37E8BC-FEF0-48DD-91B3-EBB2F099B35B}" id="{E05F4FB2-AE2C-4D7A-BC66-4863EBF89C72}">
    <text>Qpcr done by Fernando</text>
  </threadedComment>
  <threadedComment ref="L100" dT="2021-01-07T14:50:32.89" personId="{CB37E8BC-FEF0-48DD-91B3-EBB2F099B35B}" id="{9E0EC5F3-3EE8-4345-9E63-AFFCD1E6C162}">
    <text>RNA extraction done by Fernando</text>
  </threadedComment>
  <threadedComment ref="C110" dT="2021-01-07T14:24:25.39" personId="{CB37E8BC-FEF0-48DD-91B3-EBB2F099B35B}" id="{B5BB6754-A247-4C39-8123-71ACC8ED0956}">
    <text>100 ml of sample 1</text>
  </threadedComment>
  <threadedComment ref="C111" dT="2021-01-07T14:24:36.49" personId="{CB37E8BC-FEF0-48DD-91B3-EBB2F099B35B}" id="{6564652E-8245-4B67-8B6F-E95868B8BB42}">
    <text>100 ml of sample 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64" dT="2020-12-21T14:38:22.18" personId="{CB37E8BC-FEF0-48DD-91B3-EBB2F099B35B}" id="{820B15A7-CDB6-44A5-9518-58E4F0961F4C}">
    <text>duplicate Ct value too high</text>
  </threadedComment>
  <threadedComment ref="AE65" dT="2020-12-21T15:13:54.48" personId="{CB37E8BC-FEF0-48DD-91B3-EBB2F099B35B}" id="{9AE6A539-E6E9-480E-8D59-F62019E4C1F5}">
    <text>duplicate had no Ct value</text>
  </threadedComment>
  <threadedComment ref="AL67" dT="2020-12-21T15:41:43.24" personId="{CB37E8BC-FEF0-48DD-91B3-EBB2F099B35B}" id="{56ACCBA2-743C-488A-B9CD-9F6D729126F9}">
    <text>Duplicate Ct lacking</text>
  </threadedComment>
  <threadedComment ref="AL68" dT="2020-12-21T15:41:48.33" personId="{CB37E8BC-FEF0-48DD-91B3-EBB2F099B35B}" id="{BC881DA6-D277-4734-9FAA-4913EE0B865C}">
    <text>Duplicate Ct lacking</text>
  </threadedComment>
  <threadedComment ref="AL72" dT="2020-12-21T15:45:31.99" personId="{CB37E8BC-FEF0-48DD-91B3-EBB2F099B35B}" id="{5A9C6D9A-4476-4E37-A5BB-CB4EFF8E0034}">
    <text>duplicate no Ct value</text>
  </threadedComment>
  <threadedComment ref="AK73" dT="2020-12-21T15:45:43.99" personId="{CB37E8BC-FEF0-48DD-91B3-EBB2F099B35B}" id="{1ADAE6ED-5164-4A79-8F76-7360882AD135}">
    <text>Duplicate No Ct value</text>
  </threadedComment>
  <threadedComment ref="Y74" dT="2020-12-21T14:41:43.15" personId="{CB37E8BC-FEF0-48DD-91B3-EBB2F099B35B}" id="{E7CF492C-7600-498E-8894-DC565DD68F6F}">
    <text>Duplicate Ct too high</text>
  </threadedComment>
  <threadedComment ref="AF74" dT="2020-12-21T15:37:04.08" personId="{CB37E8BC-FEF0-48DD-91B3-EBB2F099B35B}" id="{4D5907A0-358B-4A38-8A08-4F0CAF2939C9}">
    <text>Duplicate Ct lacking</text>
  </threadedComment>
  <threadedComment ref="K88" dT="2021-01-07T14:50:13.20" personId="{CB37E8BC-FEF0-48DD-91B3-EBB2F099B35B}" id="{5350A3C5-3128-4B42-9E45-F143F66D35E2}">
    <text>Qpcr done by Fernando</text>
  </threadedComment>
  <threadedComment ref="K100" dT="2021-01-07T14:50:32.89" personId="{CB37E8BC-FEF0-48DD-91B3-EBB2F099B35B}" id="{C1E351E2-6586-4E26-8B57-D97D66582B4E}">
    <text>RNA extraction done by Fernando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X177"/>
  <sheetViews>
    <sheetView showGridLines="0" zoomScale="70" zoomScaleNormal="70" workbookViewId="0">
      <pane xSplit="8" ySplit="18" topLeftCell="AM50" activePane="bottomRight" state="frozen"/>
      <selection pane="topRight"/>
      <selection pane="bottomLeft"/>
      <selection pane="bottomRight" activeCell="E17" sqref="E17:E18"/>
    </sheetView>
  </sheetViews>
  <sheetFormatPr defaultColWidth="8.73046875" defaultRowHeight="12.75" x14ac:dyDescent="0.35"/>
  <cols>
    <col min="1" max="1" width="2.265625" style="2" customWidth="1"/>
    <col min="2" max="3" width="8.73046875" style="1"/>
    <col min="4" max="4" width="12.86328125" style="1" customWidth="1"/>
    <col min="5" max="5" width="19.3984375" style="1" customWidth="1"/>
    <col min="6" max="6" width="18.73046875" style="1" customWidth="1"/>
    <col min="7" max="8" width="11.265625" style="1" customWidth="1"/>
    <col min="9" max="9" width="18.1328125" style="1" bestFit="1" customWidth="1"/>
    <col min="10" max="14" width="18.1328125" style="1" customWidth="1"/>
    <col min="15" max="15" width="22.265625" style="1" bestFit="1" customWidth="1"/>
    <col min="16" max="16" width="19.59765625" style="1" bestFit="1" customWidth="1"/>
    <col min="17" max="17" width="8.86328125" style="1" bestFit="1" customWidth="1"/>
    <col min="18" max="20" width="8.73046875" style="1"/>
    <col min="21" max="21" width="10.265625" style="1" customWidth="1"/>
    <col min="22" max="22" width="17.86328125" style="1" customWidth="1"/>
    <col min="23" max="23" width="25.86328125" style="1" customWidth="1"/>
    <col min="24" max="24" width="10.265625" style="1" customWidth="1"/>
    <col min="25" max="26" width="8.86328125" style="1" bestFit="1" customWidth="1"/>
    <col min="27" max="27" width="8.73046875" style="1"/>
    <col min="28" max="28" width="8.86328125" style="1" bestFit="1" customWidth="1"/>
    <col min="29" max="29" width="10.86328125" style="1" bestFit="1" customWidth="1"/>
    <col min="30" max="30" width="11.86328125" style="1" bestFit="1" customWidth="1"/>
    <col min="31" max="31" width="9.86328125" style="1" bestFit="1" customWidth="1"/>
    <col min="32" max="36" width="8.73046875" style="1"/>
    <col min="37" max="37" width="9.1328125" style="1" bestFit="1" customWidth="1"/>
    <col min="38" max="41" width="8.73046875" style="1"/>
    <col min="42" max="42" width="10" style="1" customWidth="1"/>
    <col min="43" max="43" width="8.73046875" style="1"/>
    <col min="44" max="44" width="11.265625" style="1" customWidth="1"/>
    <col min="45" max="45" width="21.1328125" style="1" bestFit="1" customWidth="1"/>
    <col min="46" max="46" width="14.3984375" style="1" bestFit="1" customWidth="1"/>
    <col min="47" max="47" width="11.1328125" style="1" bestFit="1" customWidth="1"/>
    <col min="48" max="48" width="114.86328125" style="1" customWidth="1"/>
    <col min="49" max="16360" width="8.73046875" style="2"/>
    <col min="16361" max="16383" width="8.73046875" style="2" bestFit="1" customWidth="1"/>
    <col min="16384" max="16384" width="8.73046875" style="2"/>
  </cols>
  <sheetData>
    <row r="2" spans="1:48" ht="13.15" x14ac:dyDescent="0.35">
      <c r="G2" s="442" t="s">
        <v>0</v>
      </c>
      <c r="H2" s="442"/>
      <c r="I2" s="442"/>
      <c r="J2" s="442"/>
      <c r="K2" s="442"/>
      <c r="L2" s="442"/>
      <c r="M2" s="442"/>
      <c r="N2" s="442"/>
      <c r="O2" s="442"/>
      <c r="X2" s="441" t="s">
        <v>1</v>
      </c>
      <c r="Y2" s="441"/>
      <c r="Z2" s="441"/>
      <c r="AA2" s="441"/>
      <c r="AB2" s="441"/>
    </row>
    <row r="3" spans="1:48" s="1" customFormat="1" ht="15" customHeight="1" x14ac:dyDescent="0.45">
      <c r="G3" s="410" t="s">
        <v>2</v>
      </c>
      <c r="H3" s="410"/>
      <c r="I3" s="410"/>
      <c r="J3" s="410"/>
      <c r="K3" s="410"/>
      <c r="L3" s="410"/>
      <c r="M3" s="410"/>
      <c r="N3" s="410"/>
      <c r="O3" s="410"/>
      <c r="P3" s="393" t="s">
        <v>3</v>
      </c>
      <c r="Q3" s="393" t="s">
        <v>4</v>
      </c>
      <c r="X3" s="410" t="s">
        <v>2</v>
      </c>
      <c r="Y3" s="410"/>
      <c r="Z3" s="410"/>
      <c r="AA3" s="410"/>
      <c r="AB3" s="410"/>
      <c r="AC3" s="393" t="s">
        <v>3</v>
      </c>
      <c r="AD3" s="393" t="s">
        <v>4</v>
      </c>
    </row>
    <row r="4" spans="1:48" s="1" customFormat="1" ht="13.15" x14ac:dyDescent="0.45">
      <c r="A4" s="13"/>
      <c r="B4" s="7" t="s">
        <v>5</v>
      </c>
      <c r="G4" s="362">
        <v>1</v>
      </c>
      <c r="H4" s="362">
        <v>2</v>
      </c>
      <c r="I4" s="362">
        <v>3</v>
      </c>
      <c r="J4" s="362">
        <v>4</v>
      </c>
      <c r="K4" s="362">
        <v>5</v>
      </c>
      <c r="L4" s="362">
        <v>6</v>
      </c>
      <c r="M4" s="362">
        <v>7</v>
      </c>
      <c r="N4" s="362">
        <v>8</v>
      </c>
      <c r="O4" s="362">
        <v>9</v>
      </c>
      <c r="P4" s="394"/>
      <c r="Q4" s="394"/>
      <c r="X4" s="363">
        <v>1</v>
      </c>
      <c r="Y4" s="363">
        <v>2</v>
      </c>
      <c r="Z4" s="363">
        <v>3</v>
      </c>
      <c r="AA4" s="363">
        <v>4</v>
      </c>
      <c r="AB4" s="363">
        <v>5</v>
      </c>
      <c r="AC4" s="394"/>
      <c r="AD4" s="394"/>
    </row>
    <row r="5" spans="1:48" s="1" customFormat="1" ht="13.5" x14ac:dyDescent="0.45">
      <c r="A5" s="13"/>
      <c r="B5" s="6"/>
      <c r="F5" s="40" t="s">
        <v>6</v>
      </c>
      <c r="G5" s="41">
        <v>50</v>
      </c>
      <c r="H5" s="41">
        <v>5</v>
      </c>
      <c r="I5" s="42">
        <v>0.5</v>
      </c>
      <c r="J5" s="42">
        <v>0.05</v>
      </c>
      <c r="K5" s="42">
        <v>5.0000000000000001E-3</v>
      </c>
      <c r="L5" s="42">
        <v>5.0000000000000001E-4</v>
      </c>
      <c r="M5" s="42">
        <v>5.0000000000000002E-5</v>
      </c>
      <c r="N5" s="42"/>
      <c r="O5" s="43"/>
      <c r="P5" s="44"/>
      <c r="Q5" s="362"/>
      <c r="W5" s="15" t="s">
        <v>6</v>
      </c>
      <c r="X5" s="362">
        <v>100</v>
      </c>
      <c r="Y5" s="362">
        <v>10</v>
      </c>
      <c r="Z5" s="44">
        <v>1</v>
      </c>
      <c r="AA5" s="44">
        <v>0.1</v>
      </c>
      <c r="AB5" s="44">
        <v>0.01</v>
      </c>
      <c r="AC5" s="362"/>
      <c r="AD5" s="362"/>
    </row>
    <row r="6" spans="1:48" s="1" customFormat="1" ht="13.5" x14ac:dyDescent="0.45">
      <c r="A6" s="13"/>
      <c r="B6" s="6" t="s">
        <v>7</v>
      </c>
      <c r="E6" s="33">
        <v>1</v>
      </c>
      <c r="F6" s="11" t="s">
        <v>8</v>
      </c>
      <c r="G6" s="14">
        <f>AVERAGE(15.15, 15.4)</f>
        <v>15.275</v>
      </c>
      <c r="H6" s="18">
        <f>AVERAGE(19.15, 18.75)</f>
        <v>18.95</v>
      </c>
      <c r="I6" s="18">
        <f>AVERAGE(22.43,22.01)</f>
        <v>22.22</v>
      </c>
      <c r="J6" s="18">
        <f>AVERAGE(25.74,25.91)</f>
        <v>25.824999999999999</v>
      </c>
      <c r="K6" s="18">
        <f>AVERAGE(29.37,28.64)</f>
        <v>29.005000000000003</v>
      </c>
      <c r="L6" s="18">
        <f>AVERAGE(32.35,30.96)</f>
        <v>31.655000000000001</v>
      </c>
      <c r="M6" s="18">
        <f>AVERAGE(36.85,36.47)</f>
        <v>36.659999999999997</v>
      </c>
      <c r="N6" s="8"/>
      <c r="O6" s="11"/>
      <c r="P6" s="46">
        <v>-1.494</v>
      </c>
      <c r="Q6" s="8">
        <v>21.178999999999998</v>
      </c>
      <c r="W6" s="11" t="s">
        <v>8</v>
      </c>
      <c r="X6" s="14">
        <f>AVERAGE(14.14,13.82,13.94)</f>
        <v>13.966666666666667</v>
      </c>
      <c r="Y6" s="18">
        <f>AVERAGE(17.4, 16.72,17.16)</f>
        <v>17.093333333333334</v>
      </c>
      <c r="Z6" s="18">
        <f>AVERAGE(20.91,20.74,20.58)</f>
        <v>20.743333333333332</v>
      </c>
      <c r="AA6" s="18">
        <f>AVERAGE(22.68,23.85,22.52)</f>
        <v>23.016666666666666</v>
      </c>
      <c r="AB6" s="18">
        <f>AVERAGE(26.22,25.93,27.28)</f>
        <v>26.47666666666667</v>
      </c>
      <c r="AC6" s="8"/>
      <c r="AD6" s="8"/>
    </row>
    <row r="7" spans="1:48" ht="13.5" x14ac:dyDescent="0.35">
      <c r="B7" s="6"/>
      <c r="E7" s="2"/>
      <c r="F7" s="4"/>
      <c r="G7" s="16"/>
      <c r="H7" s="4"/>
      <c r="I7" s="4"/>
      <c r="J7" s="4"/>
      <c r="K7" s="4"/>
      <c r="L7" s="4"/>
      <c r="M7" s="4"/>
      <c r="N7" s="4"/>
      <c r="O7" s="4"/>
      <c r="P7" s="4"/>
      <c r="Q7" s="32"/>
      <c r="R7" s="4"/>
      <c r="S7" s="4"/>
      <c r="T7" s="4"/>
      <c r="U7" s="4"/>
    </row>
    <row r="8" spans="1:48" ht="13.5" x14ac:dyDescent="0.35">
      <c r="B8" s="6" t="s">
        <v>9</v>
      </c>
      <c r="E8" s="2"/>
      <c r="F8" s="362" t="s">
        <v>10</v>
      </c>
      <c r="G8" s="362">
        <v>10000</v>
      </c>
      <c r="H8" s="362">
        <v>1000</v>
      </c>
      <c r="I8" s="362">
        <v>100</v>
      </c>
      <c r="J8" s="362">
        <v>10</v>
      </c>
      <c r="K8" s="44">
        <v>1</v>
      </c>
      <c r="L8" s="12"/>
      <c r="M8" s="8"/>
      <c r="N8" s="11"/>
      <c r="O8" s="8"/>
      <c r="P8" s="4"/>
      <c r="Q8" s="32"/>
    </row>
    <row r="9" spans="1:48" ht="13.5" x14ac:dyDescent="0.35">
      <c r="B9" s="6"/>
      <c r="E9" s="2">
        <v>1</v>
      </c>
      <c r="F9" s="8" t="s">
        <v>8</v>
      </c>
      <c r="G9" s="12">
        <f>AVERAGE(19.62,19.14)</f>
        <v>19.380000000000003</v>
      </c>
      <c r="H9" s="12">
        <f>AVERAGE(21.69, 22.13)</f>
        <v>21.91</v>
      </c>
      <c r="I9" s="12">
        <f>AVERAGE(25.32,25.86)</f>
        <v>25.59</v>
      </c>
      <c r="J9" s="12">
        <f>AVERAGE(27.99,28.77)</f>
        <v>28.38</v>
      </c>
      <c r="K9" s="12">
        <f>AVERAGE(31.99,32.01)</f>
        <v>32</v>
      </c>
      <c r="L9" s="8"/>
      <c r="M9" s="8"/>
      <c r="N9" s="11"/>
      <c r="O9" s="8"/>
      <c r="P9" s="39">
        <v>-1.377</v>
      </c>
      <c r="Q9" s="36">
        <v>31.794</v>
      </c>
    </row>
    <row r="10" spans="1:48" ht="13.5" x14ac:dyDescent="0.35">
      <c r="B10" s="6"/>
      <c r="E10" s="2"/>
      <c r="G10" s="16"/>
      <c r="Q10" s="32"/>
    </row>
    <row r="11" spans="1:48" ht="13.5" x14ac:dyDescent="0.35">
      <c r="B11" s="6" t="s">
        <v>11</v>
      </c>
      <c r="E11" s="2"/>
      <c r="F11" s="362" t="s">
        <v>6</v>
      </c>
      <c r="G11" s="44">
        <v>100</v>
      </c>
      <c r="H11" s="44">
        <v>10</v>
      </c>
      <c r="I11" s="362">
        <v>1</v>
      </c>
      <c r="J11" s="44">
        <v>0.1</v>
      </c>
      <c r="K11" s="362">
        <v>0.01</v>
      </c>
      <c r="L11" s="44">
        <v>1E-3</v>
      </c>
      <c r="M11" s="44">
        <v>1E-4</v>
      </c>
      <c r="N11" s="45">
        <v>1.0000000000000001E-5</v>
      </c>
      <c r="O11" s="362">
        <v>9.9999999999999995E-7</v>
      </c>
      <c r="P11" s="4"/>
      <c r="Q11" s="4"/>
    </row>
    <row r="12" spans="1:48" ht="13.5" x14ac:dyDescent="0.35">
      <c r="B12" s="6"/>
      <c r="E12" s="2">
        <v>1</v>
      </c>
      <c r="F12" s="8" t="s">
        <v>8</v>
      </c>
      <c r="G12" s="14">
        <f>AVERAGE(9.29, 8.63)</f>
        <v>8.9600000000000009</v>
      </c>
      <c r="H12" s="14">
        <f>AVERAGE(13, 12.9)</f>
        <v>12.95</v>
      </c>
      <c r="I12" s="14">
        <f>AVERAGE(16.31,16.15
)</f>
        <v>16.229999999999997</v>
      </c>
      <c r="J12" s="14">
        <f>AVERAGE(19.45,19.38)</f>
        <v>19.414999999999999</v>
      </c>
      <c r="K12" s="14">
        <f>AVERAGE(22.78,22.7)</f>
        <v>22.740000000000002</v>
      </c>
      <c r="L12" s="12"/>
      <c r="M12" s="8"/>
      <c r="N12" s="8"/>
      <c r="O12" s="35"/>
      <c r="P12" s="8">
        <v>-1.478</v>
      </c>
      <c r="Q12" s="8">
        <v>16.059000000000001</v>
      </c>
    </row>
    <row r="13" spans="1:48" ht="13.5" x14ac:dyDescent="0.35">
      <c r="B13" s="6"/>
      <c r="E13" s="2">
        <v>2</v>
      </c>
      <c r="F13" s="8" t="s">
        <v>8</v>
      </c>
      <c r="G13" s="14"/>
      <c r="H13" s="14">
        <f>AVERAGE(12.6, 12.59)</f>
        <v>12.594999999999999</v>
      </c>
      <c r="I13" s="14">
        <f>AVERAGE(15.86, 16.02)</f>
        <v>15.94</v>
      </c>
      <c r="J13" s="14">
        <f>AVERAGE(19.21,18.98)</f>
        <v>19.094999999999999</v>
      </c>
      <c r="K13" s="14">
        <f>AVERAGE(22.42,22.48)</f>
        <v>22.450000000000003</v>
      </c>
      <c r="L13" s="14">
        <f>AVERAGE(25.85,26.04)</f>
        <v>25.945</v>
      </c>
      <c r="M13" s="14">
        <f>AVERAGE(29.46,29.29)</f>
        <v>29.375</v>
      </c>
      <c r="N13" s="14">
        <f>AVERAGE(32.79,32.67)</f>
        <v>32.730000000000004</v>
      </c>
      <c r="O13" s="37">
        <f>AVERAGE(35.7,39.26)</f>
        <v>37.480000000000004</v>
      </c>
      <c r="P13" s="10">
        <v>-1.512</v>
      </c>
      <c r="Q13" s="10">
        <v>15.746</v>
      </c>
    </row>
    <row r="15" spans="1:48" ht="14.45" customHeight="1" thickBot="1" x14ac:dyDescent="0.4">
      <c r="B15" s="411" t="s">
        <v>12</v>
      </c>
      <c r="C15" s="412"/>
      <c r="D15" s="412"/>
      <c r="E15" s="412"/>
      <c r="F15" s="412"/>
      <c r="G15" s="412"/>
      <c r="H15" s="413"/>
      <c r="I15" s="403" t="s">
        <v>13</v>
      </c>
      <c r="J15" s="404"/>
      <c r="K15" s="404"/>
      <c r="L15" s="404"/>
      <c r="M15" s="404"/>
      <c r="N15" s="404"/>
      <c r="O15" s="404"/>
      <c r="P15" s="404"/>
      <c r="Q15" s="404"/>
      <c r="R15" s="404"/>
      <c r="S15" s="404"/>
      <c r="T15" s="404"/>
      <c r="U15" s="405"/>
      <c r="V15" s="434" t="s">
        <v>14</v>
      </c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5"/>
      <c r="AT15" s="436"/>
      <c r="AU15" s="429" t="s">
        <v>15</v>
      </c>
      <c r="AV15" s="430"/>
    </row>
    <row r="16" spans="1:48" s="3" customFormat="1" ht="14.45" customHeight="1" x14ac:dyDescent="0.45">
      <c r="B16" s="417" t="s">
        <v>16</v>
      </c>
      <c r="C16" s="396"/>
      <c r="D16" s="396"/>
      <c r="E16" s="396"/>
      <c r="F16" s="396"/>
      <c r="G16" s="396"/>
      <c r="H16" s="418"/>
      <c r="I16" s="419" t="s">
        <v>16</v>
      </c>
      <c r="J16" s="420"/>
      <c r="K16" s="420"/>
      <c r="L16" s="420"/>
      <c r="M16" s="420"/>
      <c r="N16" s="420"/>
      <c r="O16" s="420"/>
      <c r="P16" s="395"/>
      <c r="Q16" s="396" t="s">
        <v>17</v>
      </c>
      <c r="R16" s="396"/>
      <c r="S16" s="396"/>
      <c r="T16" s="396"/>
      <c r="U16" s="418"/>
      <c r="V16" s="444" t="s">
        <v>18</v>
      </c>
      <c r="W16" s="400" t="s">
        <v>19</v>
      </c>
      <c r="X16" s="400" t="s">
        <v>20</v>
      </c>
      <c r="Y16" s="395" t="s">
        <v>21</v>
      </c>
      <c r="Z16" s="396"/>
      <c r="AA16" s="396"/>
      <c r="AB16" s="396"/>
      <c r="AC16" s="396"/>
      <c r="AD16" s="396"/>
      <c r="AE16" s="397"/>
      <c r="AF16" s="395" t="s">
        <v>22</v>
      </c>
      <c r="AG16" s="396"/>
      <c r="AH16" s="396"/>
      <c r="AI16" s="396"/>
      <c r="AJ16" s="396"/>
      <c r="AK16" s="397"/>
      <c r="AL16" s="395" t="s">
        <v>23</v>
      </c>
      <c r="AM16" s="396"/>
      <c r="AN16" s="396"/>
      <c r="AO16" s="396"/>
      <c r="AP16" s="396"/>
      <c r="AQ16" s="396"/>
      <c r="AR16" s="396"/>
      <c r="AS16" s="396"/>
      <c r="AT16" s="418"/>
      <c r="AU16" s="437" t="s">
        <v>24</v>
      </c>
      <c r="AV16" s="400"/>
    </row>
    <row r="17" spans="2:48" s="3" customFormat="1" ht="15" customHeight="1" x14ac:dyDescent="0.45">
      <c r="B17" s="425" t="s">
        <v>25</v>
      </c>
      <c r="C17" s="443" t="s">
        <v>26</v>
      </c>
      <c r="D17" s="443" t="s">
        <v>27</v>
      </c>
      <c r="E17" s="443" t="s">
        <v>28</v>
      </c>
      <c r="F17" s="443" t="s">
        <v>29</v>
      </c>
      <c r="G17" s="401" t="s">
        <v>30</v>
      </c>
      <c r="H17" s="414" t="s">
        <v>31</v>
      </c>
      <c r="I17" s="427" t="s">
        <v>32</v>
      </c>
      <c r="J17" s="423" t="s">
        <v>33</v>
      </c>
      <c r="K17" s="423" t="s">
        <v>34</v>
      </c>
      <c r="L17" s="423" t="s">
        <v>35</v>
      </c>
      <c r="M17" s="421" t="s">
        <v>36</v>
      </c>
      <c r="N17" s="416" t="s">
        <v>37</v>
      </c>
      <c r="O17" s="431" t="s">
        <v>38</v>
      </c>
      <c r="P17" s="431" t="s">
        <v>39</v>
      </c>
      <c r="Q17" s="408" t="s">
        <v>40</v>
      </c>
      <c r="R17" s="433"/>
      <c r="S17" s="406" t="s">
        <v>41</v>
      </c>
      <c r="T17" s="408" t="s">
        <v>42</v>
      </c>
      <c r="U17" s="409"/>
      <c r="V17" s="445"/>
      <c r="W17" s="401"/>
      <c r="X17" s="401"/>
      <c r="Y17" s="408" t="s">
        <v>8</v>
      </c>
      <c r="Z17" s="433"/>
      <c r="AA17" s="433"/>
      <c r="AB17" s="433"/>
      <c r="AC17" s="398" t="s">
        <v>6</v>
      </c>
      <c r="AD17" s="398" t="s">
        <v>10</v>
      </c>
      <c r="AE17" s="406" t="s">
        <v>43</v>
      </c>
      <c r="AF17" s="408" t="s">
        <v>8</v>
      </c>
      <c r="AG17" s="433"/>
      <c r="AH17" s="433"/>
      <c r="AI17" s="433"/>
      <c r="AJ17" s="398" t="s">
        <v>44</v>
      </c>
      <c r="AK17" s="406" t="s">
        <v>45</v>
      </c>
      <c r="AL17" s="408" t="s">
        <v>8</v>
      </c>
      <c r="AM17" s="433"/>
      <c r="AN17" s="433"/>
      <c r="AO17" s="433"/>
      <c r="AP17" s="406" t="s">
        <v>6</v>
      </c>
      <c r="AQ17" s="431" t="s">
        <v>44</v>
      </c>
      <c r="AR17" s="431" t="s">
        <v>45</v>
      </c>
      <c r="AS17" s="431" t="s">
        <v>46</v>
      </c>
      <c r="AT17" s="431" t="s">
        <v>47</v>
      </c>
      <c r="AU17" s="438"/>
      <c r="AV17" s="401"/>
    </row>
    <row r="18" spans="2:48" s="26" customFormat="1" ht="28.5" customHeight="1" thickBot="1" x14ac:dyDescent="0.5">
      <c r="B18" s="426"/>
      <c r="C18" s="432"/>
      <c r="D18" s="432"/>
      <c r="E18" s="432"/>
      <c r="F18" s="432"/>
      <c r="G18" s="402"/>
      <c r="H18" s="415"/>
      <c r="I18" s="428"/>
      <c r="J18" s="424"/>
      <c r="K18" s="424"/>
      <c r="L18" s="424"/>
      <c r="M18" s="422"/>
      <c r="N18" s="402"/>
      <c r="O18" s="432"/>
      <c r="P18" s="432"/>
      <c r="Q18" s="29" t="s">
        <v>48</v>
      </c>
      <c r="R18" s="27" t="s">
        <v>49</v>
      </c>
      <c r="S18" s="407"/>
      <c r="T18" s="29" t="s">
        <v>50</v>
      </c>
      <c r="U18" s="28" t="s">
        <v>51</v>
      </c>
      <c r="V18" s="422"/>
      <c r="W18" s="402"/>
      <c r="X18" s="402"/>
      <c r="Y18" s="29">
        <v>1</v>
      </c>
      <c r="Z18" s="27">
        <v>2</v>
      </c>
      <c r="AA18" s="27">
        <v>3</v>
      </c>
      <c r="AB18" s="27" t="s">
        <v>52</v>
      </c>
      <c r="AC18" s="399"/>
      <c r="AD18" s="399"/>
      <c r="AE18" s="407"/>
      <c r="AF18" s="29">
        <v>1</v>
      </c>
      <c r="AG18" s="27">
        <v>2</v>
      </c>
      <c r="AH18" s="27">
        <v>3</v>
      </c>
      <c r="AI18" s="27" t="s">
        <v>53</v>
      </c>
      <c r="AJ18" s="399"/>
      <c r="AK18" s="440"/>
      <c r="AL18" s="30">
        <v>1</v>
      </c>
      <c r="AM18" s="27">
        <v>2</v>
      </c>
      <c r="AN18" s="27">
        <v>3</v>
      </c>
      <c r="AO18" s="27" t="s">
        <v>53</v>
      </c>
      <c r="AP18" s="407"/>
      <c r="AQ18" s="432"/>
      <c r="AR18" s="432"/>
      <c r="AS18" s="432"/>
      <c r="AT18" s="432"/>
      <c r="AU18" s="439"/>
      <c r="AV18" s="402"/>
    </row>
    <row r="19" spans="2:48" s="103" customFormat="1" x14ac:dyDescent="0.35">
      <c r="B19" s="104" t="s">
        <v>54</v>
      </c>
      <c r="C19" s="104" t="s">
        <v>55</v>
      </c>
      <c r="D19" s="105" t="s">
        <v>56</v>
      </c>
      <c r="E19" s="104" t="s">
        <v>57</v>
      </c>
      <c r="F19" s="106" t="s">
        <v>58</v>
      </c>
      <c r="G19" s="104" t="s">
        <v>59</v>
      </c>
      <c r="H19" s="107">
        <v>-20</v>
      </c>
      <c r="I19" s="104" t="s">
        <v>60</v>
      </c>
      <c r="J19" s="104" t="s">
        <v>61</v>
      </c>
      <c r="K19" s="104" t="s">
        <v>62</v>
      </c>
      <c r="L19" s="104" t="s">
        <v>63</v>
      </c>
      <c r="M19" s="104" t="s">
        <v>60</v>
      </c>
      <c r="N19" s="104">
        <v>200</v>
      </c>
      <c r="O19" s="104" t="s">
        <v>64</v>
      </c>
      <c r="P19" s="104" t="s">
        <v>65</v>
      </c>
      <c r="Q19" s="104">
        <v>7.65</v>
      </c>
      <c r="R19" s="104">
        <v>4</v>
      </c>
      <c r="S19" s="104">
        <v>700</v>
      </c>
      <c r="T19" s="104">
        <v>204600</v>
      </c>
      <c r="U19" s="104">
        <f t="shared" ref="U19:U84" si="0">T19*1000000</f>
        <v>204600000000</v>
      </c>
      <c r="V19" s="104" t="s">
        <v>60</v>
      </c>
      <c r="W19" s="107" t="s">
        <v>66</v>
      </c>
      <c r="X19" s="104" t="s">
        <v>60</v>
      </c>
      <c r="Y19" s="108">
        <v>18.03</v>
      </c>
      <c r="Z19" s="108">
        <v>18.350000000000001</v>
      </c>
      <c r="AA19" s="104"/>
      <c r="AB19" s="109">
        <f>AVERAGE(Y19:AA19)</f>
        <v>18.190000000000001</v>
      </c>
      <c r="AC19" s="109">
        <f>EXP((AB19-21.179)/-1.494)</f>
        <v>7.3940035752098252</v>
      </c>
      <c r="AD19" s="110">
        <f>(AC19*(6.0221*10^23))/(15123*340*10^9)</f>
        <v>865985758.54991186</v>
      </c>
      <c r="AE19" s="111">
        <f>AD19*100/AD$28</f>
        <v>92.281981046037515</v>
      </c>
      <c r="AF19" s="104">
        <v>20.47</v>
      </c>
      <c r="AG19" s="104">
        <v>20.239999999999998</v>
      </c>
      <c r="AH19" s="104"/>
      <c r="AI19" s="111">
        <f>AVERAGE(AF19:AH19)</f>
        <v>20.354999999999997</v>
      </c>
      <c r="AJ19" s="107">
        <f>EXP((AI19-31.794)/-1.377)</f>
        <v>4052.9064410416186</v>
      </c>
      <c r="AK19" s="112">
        <f>(AJ19/5)*(50/200)</f>
        <v>202.64532205208093</v>
      </c>
      <c r="AL19" s="104">
        <v>35.03</v>
      </c>
      <c r="AM19" s="104">
        <v>35.450000000000003</v>
      </c>
      <c r="AN19" s="104"/>
      <c r="AO19" s="113">
        <f>AVERAGE(AL19:AN19)</f>
        <v>35.24</v>
      </c>
      <c r="AP19" s="107">
        <f>EXP((AO19-15.746)/-1.512)</f>
        <v>2.5159574202529523E-6</v>
      </c>
      <c r="AQ19" s="107">
        <f>(AP19*(6.0221*10^23))/(29903*340*10^9)</f>
        <v>149.02446518749156</v>
      </c>
      <c r="AR19" s="112">
        <f>(AQ19/5)*(50/200)</f>
        <v>7.4512232593745775</v>
      </c>
      <c r="AS19" s="112">
        <f>AR19/AK19</f>
        <v>3.6769776789910669E-2</v>
      </c>
      <c r="AT19" s="112">
        <f>AS19*U19</f>
        <v>7523096331.215723</v>
      </c>
      <c r="AU19" s="104"/>
      <c r="AV19" s="104" t="s">
        <v>67</v>
      </c>
    </row>
    <row r="20" spans="2:48" s="103" customFormat="1" x14ac:dyDescent="0.35">
      <c r="B20" s="107" t="s">
        <v>54</v>
      </c>
      <c r="C20" s="107" t="s">
        <v>55</v>
      </c>
      <c r="D20" s="114" t="s">
        <v>68</v>
      </c>
      <c r="E20" s="104" t="s">
        <v>57</v>
      </c>
      <c r="F20" s="106" t="s">
        <v>58</v>
      </c>
      <c r="G20" s="107" t="s">
        <v>59</v>
      </c>
      <c r="H20" s="107">
        <v>-20</v>
      </c>
      <c r="I20" s="107" t="s">
        <v>60</v>
      </c>
      <c r="J20" s="107" t="s">
        <v>61</v>
      </c>
      <c r="K20" s="107" t="s">
        <v>62</v>
      </c>
      <c r="L20" s="107" t="s">
        <v>63</v>
      </c>
      <c r="M20" s="107" t="s">
        <v>60</v>
      </c>
      <c r="N20" s="107">
        <v>200</v>
      </c>
      <c r="O20" s="107" t="s">
        <v>64</v>
      </c>
      <c r="P20" s="107" t="s">
        <v>65</v>
      </c>
      <c r="Q20" s="115">
        <v>7.74</v>
      </c>
      <c r="R20" s="107">
        <v>4</v>
      </c>
      <c r="S20" s="107">
        <v>380</v>
      </c>
      <c r="T20" s="107">
        <v>211656</v>
      </c>
      <c r="U20" s="116">
        <f t="shared" si="0"/>
        <v>211656000000</v>
      </c>
      <c r="V20" s="107" t="s">
        <v>60</v>
      </c>
      <c r="W20" s="107" t="s">
        <v>66</v>
      </c>
      <c r="X20" s="107" t="s">
        <v>60</v>
      </c>
      <c r="Y20" s="117">
        <v>19.100000000000001</v>
      </c>
      <c r="Z20" s="117">
        <v>19.22</v>
      </c>
      <c r="AA20" s="107"/>
      <c r="AB20" s="111">
        <f t="shared" ref="AB20:AB27" si="1">AVERAGE(Y20:AA20)</f>
        <v>19.16</v>
      </c>
      <c r="AC20" s="111">
        <f t="shared" ref="AC20:AC27" si="2">EXP((AB20-21.179)/-1.494)</f>
        <v>3.862851427264022</v>
      </c>
      <c r="AD20" s="112">
        <f t="shared" ref="AD20:AD27" si="3">(AC20*(6.0221*10^23))/(15123*340*10^9)</f>
        <v>452417190.41364074</v>
      </c>
      <c r="AE20" s="111">
        <f t="shared" ref="AE20:AE28" si="4">AD20*100/AD$28</f>
        <v>48.210902059825102</v>
      </c>
      <c r="AF20" s="107">
        <v>19.23</v>
      </c>
      <c r="AG20" s="107">
        <v>19.25</v>
      </c>
      <c r="AH20" s="107"/>
      <c r="AI20" s="111">
        <f t="shared" ref="AI20:AI27" si="5">AVERAGE(AF20:AH20)</f>
        <v>19.240000000000002</v>
      </c>
      <c r="AJ20" s="107">
        <f t="shared" ref="AJ20:AJ27" si="6">EXP((AI20-31.794)/-1.377)</f>
        <v>9108.1130785931709</v>
      </c>
      <c r="AK20" s="112">
        <f t="shared" ref="AK20:AK27" si="7">(AJ20/5)*(50/200)</f>
        <v>455.40565392965857</v>
      </c>
      <c r="AL20" s="107"/>
      <c r="AM20" s="107">
        <v>34.99</v>
      </c>
      <c r="AN20" s="107"/>
      <c r="AO20" s="113">
        <f t="shared" ref="AO20:AO27" si="8">AVERAGE(AL20:AN20)</f>
        <v>34.99</v>
      </c>
      <c r="AP20" s="107">
        <f t="shared" ref="AP20:AP27" si="9">EXP((AO20-15.746)/-1.512)</f>
        <v>2.968323544906777E-6</v>
      </c>
      <c r="AQ20" s="107">
        <f t="shared" ref="AQ20:AQ27" si="10">(AP20*(6.0221*10^23))/(29903*340*10^9)</f>
        <v>175.81888517759481</v>
      </c>
      <c r="AR20" s="112">
        <f t="shared" ref="AR20:AR27" si="11">(AQ20/5)*(50/200)</f>
        <v>8.7909442588797404</v>
      </c>
      <c r="AS20" s="112">
        <f t="shared" ref="AS20:AS27" si="12">AR20/AK20</f>
        <v>1.9303546591974415E-2</v>
      </c>
      <c r="AT20" s="112">
        <f t="shared" ref="AT20:AT27" si="13">AS20*U20</f>
        <v>4085711457.4709368</v>
      </c>
      <c r="AU20" s="107"/>
      <c r="AV20" s="107" t="s">
        <v>67</v>
      </c>
    </row>
    <row r="21" spans="2:48" s="103" customFormat="1" x14ac:dyDescent="0.35">
      <c r="B21" s="107" t="s">
        <v>54</v>
      </c>
      <c r="C21" s="107" t="s">
        <v>55</v>
      </c>
      <c r="D21" s="114" t="s">
        <v>69</v>
      </c>
      <c r="E21" s="104" t="s">
        <v>57</v>
      </c>
      <c r="F21" s="106" t="s">
        <v>58</v>
      </c>
      <c r="G21" s="107" t="s">
        <v>59</v>
      </c>
      <c r="H21" s="107">
        <v>-20</v>
      </c>
      <c r="I21" s="107" t="s">
        <v>60</v>
      </c>
      <c r="J21" s="107" t="s">
        <v>61</v>
      </c>
      <c r="K21" s="107" t="s">
        <v>62</v>
      </c>
      <c r="L21" s="107" t="s">
        <v>63</v>
      </c>
      <c r="M21" s="107" t="s">
        <v>60</v>
      </c>
      <c r="N21" s="107">
        <v>200</v>
      </c>
      <c r="O21" s="107" t="s">
        <v>64</v>
      </c>
      <c r="P21" s="107" t="s">
        <v>65</v>
      </c>
      <c r="Q21" s="115">
        <v>7.77</v>
      </c>
      <c r="R21" s="107">
        <v>4</v>
      </c>
      <c r="S21" s="107">
        <v>260</v>
      </c>
      <c r="T21" s="118">
        <v>192432</v>
      </c>
      <c r="U21" s="116">
        <f t="shared" si="0"/>
        <v>192432000000</v>
      </c>
      <c r="V21" s="107" t="s">
        <v>60</v>
      </c>
      <c r="W21" s="107" t="s">
        <v>66</v>
      </c>
      <c r="X21" s="107" t="s">
        <v>60</v>
      </c>
      <c r="Y21" s="117">
        <v>18.95</v>
      </c>
      <c r="Z21" s="117">
        <v>18.63</v>
      </c>
      <c r="AA21" s="107"/>
      <c r="AB21" s="111">
        <f t="shared" si="1"/>
        <v>18.79</v>
      </c>
      <c r="AC21" s="111">
        <f t="shared" si="2"/>
        <v>4.9483932025532953</v>
      </c>
      <c r="AD21" s="112">
        <f t="shared" si="3"/>
        <v>579555851.91811848</v>
      </c>
      <c r="AE21" s="111">
        <f t="shared" si="4"/>
        <v>61.759170533455631</v>
      </c>
      <c r="AF21" s="107">
        <v>19.440000000000001</v>
      </c>
      <c r="AG21" s="107">
        <v>19.760000000000002</v>
      </c>
      <c r="AH21" s="107"/>
      <c r="AI21" s="111">
        <f t="shared" si="5"/>
        <v>19.600000000000001</v>
      </c>
      <c r="AJ21" s="107">
        <f t="shared" si="6"/>
        <v>7012.7341097922717</v>
      </c>
      <c r="AK21" s="112">
        <f t="shared" si="7"/>
        <v>350.63670548961358</v>
      </c>
      <c r="AL21" s="107">
        <v>34.01</v>
      </c>
      <c r="AM21" s="107">
        <v>34.65</v>
      </c>
      <c r="AN21" s="107"/>
      <c r="AO21" s="113">
        <f t="shared" si="8"/>
        <v>34.33</v>
      </c>
      <c r="AP21" s="107">
        <f t="shared" si="9"/>
        <v>4.5928707622174911E-6</v>
      </c>
      <c r="AQ21" s="107">
        <f t="shared" si="10"/>
        <v>272.04359799774124</v>
      </c>
      <c r="AR21" s="112">
        <f t="shared" si="11"/>
        <v>13.602179899887062</v>
      </c>
      <c r="AS21" s="112">
        <f t="shared" si="12"/>
        <v>3.8792800887441546E-2</v>
      </c>
      <c r="AT21" s="112">
        <f t="shared" si="13"/>
        <v>7464976260.3721514</v>
      </c>
      <c r="AU21" s="107"/>
      <c r="AV21" s="107" t="s">
        <v>67</v>
      </c>
    </row>
    <row r="22" spans="2:48" s="103" customFormat="1" x14ac:dyDescent="0.35">
      <c r="B22" s="107" t="s">
        <v>54</v>
      </c>
      <c r="C22" s="107" t="s">
        <v>55</v>
      </c>
      <c r="D22" s="114" t="s">
        <v>70</v>
      </c>
      <c r="E22" s="104" t="s">
        <v>57</v>
      </c>
      <c r="F22" s="106" t="s">
        <v>58</v>
      </c>
      <c r="G22" s="107" t="s">
        <v>59</v>
      </c>
      <c r="H22" s="107">
        <v>-20</v>
      </c>
      <c r="I22" s="107" t="s">
        <v>60</v>
      </c>
      <c r="J22" s="107" t="s">
        <v>61</v>
      </c>
      <c r="K22" s="107" t="s">
        <v>62</v>
      </c>
      <c r="L22" s="107" t="s">
        <v>63</v>
      </c>
      <c r="M22" s="107" t="s">
        <v>60</v>
      </c>
      <c r="N22" s="107">
        <v>200</v>
      </c>
      <c r="O22" s="107" t="s">
        <v>64</v>
      </c>
      <c r="P22" s="107" t="s">
        <v>65</v>
      </c>
      <c r="Q22" s="115">
        <v>7.68</v>
      </c>
      <c r="R22" s="107">
        <v>4</v>
      </c>
      <c r="S22" s="107">
        <v>340</v>
      </c>
      <c r="T22" s="107">
        <v>215280</v>
      </c>
      <c r="U22" s="116">
        <f t="shared" si="0"/>
        <v>215280000000</v>
      </c>
      <c r="V22" s="107" t="s">
        <v>60</v>
      </c>
      <c r="W22" s="107" t="s">
        <v>66</v>
      </c>
      <c r="X22" s="107" t="s">
        <v>60</v>
      </c>
      <c r="Y22" s="117">
        <v>19.25</v>
      </c>
      <c r="Z22" s="117">
        <v>19.100000000000001</v>
      </c>
      <c r="AA22" s="107"/>
      <c r="AB22" s="111">
        <f t="shared" si="1"/>
        <v>19.175000000000001</v>
      </c>
      <c r="AC22" s="111">
        <f t="shared" si="2"/>
        <v>3.8242618254641387</v>
      </c>
      <c r="AD22" s="112">
        <f t="shared" si="3"/>
        <v>447897575.93862849</v>
      </c>
      <c r="AE22" s="111">
        <f t="shared" si="4"/>
        <v>47.729278692234303</v>
      </c>
      <c r="AF22" s="107">
        <v>21.52</v>
      </c>
      <c r="AG22" s="107">
        <v>21.46</v>
      </c>
      <c r="AH22" s="107"/>
      <c r="AI22" s="111">
        <f t="shared" si="5"/>
        <v>21.490000000000002</v>
      </c>
      <c r="AJ22" s="107">
        <f t="shared" si="6"/>
        <v>1777.4480135584031</v>
      </c>
      <c r="AK22" s="112">
        <f t="shared" si="7"/>
        <v>88.872400677920155</v>
      </c>
      <c r="AL22" s="107">
        <v>35.33</v>
      </c>
      <c r="AM22" s="107">
        <v>34.590000000000003</v>
      </c>
      <c r="AN22" s="107"/>
      <c r="AO22" s="113">
        <f t="shared" si="8"/>
        <v>34.96</v>
      </c>
      <c r="AP22" s="107">
        <f t="shared" si="9"/>
        <v>3.0278070157134421E-6</v>
      </c>
      <c r="AQ22" s="107">
        <f t="shared" si="10"/>
        <v>179.34219298602656</v>
      </c>
      <c r="AR22" s="112">
        <f t="shared" si="11"/>
        <v>8.967109649301328</v>
      </c>
      <c r="AS22" s="112">
        <f t="shared" si="12"/>
        <v>0.10089869949388186</v>
      </c>
      <c r="AT22" s="112">
        <f t="shared" si="13"/>
        <v>21721472027.042889</v>
      </c>
      <c r="AU22" s="107"/>
      <c r="AV22" s="107" t="s">
        <v>67</v>
      </c>
    </row>
    <row r="23" spans="2:48" s="103" customFormat="1" x14ac:dyDescent="0.35">
      <c r="B23" s="107" t="s">
        <v>54</v>
      </c>
      <c r="C23" s="107" t="s">
        <v>55</v>
      </c>
      <c r="D23" s="114" t="s">
        <v>71</v>
      </c>
      <c r="E23" s="104" t="s">
        <v>57</v>
      </c>
      <c r="F23" s="106" t="s">
        <v>58</v>
      </c>
      <c r="G23" s="107" t="s">
        <v>59</v>
      </c>
      <c r="H23" s="107">
        <v>-20</v>
      </c>
      <c r="I23" s="107" t="s">
        <v>60</v>
      </c>
      <c r="J23" s="107" t="s">
        <v>61</v>
      </c>
      <c r="K23" s="107" t="s">
        <v>62</v>
      </c>
      <c r="L23" s="107" t="s">
        <v>63</v>
      </c>
      <c r="M23" s="107" t="s">
        <v>60</v>
      </c>
      <c r="N23" s="107">
        <v>200</v>
      </c>
      <c r="O23" s="107" t="s">
        <v>64</v>
      </c>
      <c r="P23" s="107" t="s">
        <v>65</v>
      </c>
      <c r="Q23" s="115">
        <v>7.61</v>
      </c>
      <c r="R23" s="107">
        <v>4</v>
      </c>
      <c r="S23" s="107">
        <v>270</v>
      </c>
      <c r="T23" s="107">
        <v>269808</v>
      </c>
      <c r="U23" s="116">
        <f t="shared" si="0"/>
        <v>269808000000</v>
      </c>
      <c r="V23" s="107" t="s">
        <v>60</v>
      </c>
      <c r="W23" s="107" t="s">
        <v>66</v>
      </c>
      <c r="X23" s="107" t="s">
        <v>60</v>
      </c>
      <c r="Y23" s="117">
        <v>17.98</v>
      </c>
      <c r="Z23" s="117">
        <v>17.87</v>
      </c>
      <c r="AA23" s="107"/>
      <c r="AB23" s="111">
        <f t="shared" si="1"/>
        <v>17.925000000000001</v>
      </c>
      <c r="AC23" s="111">
        <f t="shared" si="2"/>
        <v>8.8290331748132189</v>
      </c>
      <c r="AD23" s="112">
        <f t="shared" si="3"/>
        <v>1034056436.8655978</v>
      </c>
      <c r="AE23" s="111">
        <f t="shared" si="4"/>
        <v>110.19208522222402</v>
      </c>
      <c r="AF23" s="107">
        <v>21.85</v>
      </c>
      <c r="AG23" s="107">
        <v>21.94</v>
      </c>
      <c r="AH23" s="107"/>
      <c r="AI23" s="111">
        <f t="shared" si="5"/>
        <v>21.895000000000003</v>
      </c>
      <c r="AJ23" s="107">
        <f t="shared" si="6"/>
        <v>1324.5343825265452</v>
      </c>
      <c r="AK23" s="112">
        <f t="shared" si="7"/>
        <v>66.226719126327254</v>
      </c>
      <c r="AL23" s="107">
        <v>35.61</v>
      </c>
      <c r="AM23" s="107">
        <v>34.28</v>
      </c>
      <c r="AN23" s="107"/>
      <c r="AO23" s="113">
        <f t="shared" si="8"/>
        <v>34.945</v>
      </c>
      <c r="AP23" s="107">
        <f t="shared" si="9"/>
        <v>3.0579942745305602E-6</v>
      </c>
      <c r="AQ23" s="107">
        <f t="shared" si="10"/>
        <v>181.13023600475347</v>
      </c>
      <c r="AR23" s="112">
        <f t="shared" si="11"/>
        <v>9.0565118002376739</v>
      </c>
      <c r="AS23" s="112">
        <f t="shared" si="12"/>
        <v>0.13675012018883809</v>
      </c>
      <c r="AT23" s="112">
        <f t="shared" si="13"/>
        <v>36896276427.910027</v>
      </c>
      <c r="AU23" s="107"/>
      <c r="AV23" s="107" t="s">
        <v>67</v>
      </c>
    </row>
    <row r="24" spans="2:48" s="103" customFormat="1" x14ac:dyDescent="0.35">
      <c r="B24" s="107" t="s">
        <v>54</v>
      </c>
      <c r="C24" s="107" t="s">
        <v>55</v>
      </c>
      <c r="D24" s="114" t="s">
        <v>72</v>
      </c>
      <c r="E24" s="104" t="s">
        <v>57</v>
      </c>
      <c r="F24" s="106" t="s">
        <v>58</v>
      </c>
      <c r="G24" s="107" t="s">
        <v>59</v>
      </c>
      <c r="H24" s="107">
        <v>-20</v>
      </c>
      <c r="I24" s="107" t="s">
        <v>60</v>
      </c>
      <c r="J24" s="107" t="s">
        <v>61</v>
      </c>
      <c r="K24" s="107" t="s">
        <v>62</v>
      </c>
      <c r="L24" s="107" t="s">
        <v>63</v>
      </c>
      <c r="M24" s="107" t="s">
        <v>60</v>
      </c>
      <c r="N24" s="107">
        <v>200</v>
      </c>
      <c r="O24" s="107" t="s">
        <v>64</v>
      </c>
      <c r="P24" s="107" t="s">
        <v>65</v>
      </c>
      <c r="Q24" s="115">
        <v>7.68</v>
      </c>
      <c r="R24" s="107">
        <v>4</v>
      </c>
      <c r="S24" s="107">
        <v>290</v>
      </c>
      <c r="T24" s="107">
        <v>184512</v>
      </c>
      <c r="U24" s="116">
        <f t="shared" si="0"/>
        <v>184512000000</v>
      </c>
      <c r="V24" s="107" t="s">
        <v>60</v>
      </c>
      <c r="W24" s="107" t="s">
        <v>66</v>
      </c>
      <c r="X24" s="107" t="s">
        <v>60</v>
      </c>
      <c r="Y24" s="111">
        <v>19.57</v>
      </c>
      <c r="Z24" s="111">
        <v>18.05</v>
      </c>
      <c r="AA24" s="107"/>
      <c r="AB24" s="111">
        <f t="shared" si="1"/>
        <v>18.810000000000002</v>
      </c>
      <c r="AC24" s="111">
        <f t="shared" si="2"/>
        <v>4.8825910776108383</v>
      </c>
      <c r="AD24" s="112">
        <f t="shared" si="3"/>
        <v>571849106.51248443</v>
      </c>
      <c r="AE24" s="111">
        <f t="shared" si="4"/>
        <v>60.937917150905498</v>
      </c>
      <c r="AF24" s="107">
        <v>20.239999999999998</v>
      </c>
      <c r="AG24" s="107">
        <v>19.66</v>
      </c>
      <c r="AH24" s="107"/>
      <c r="AI24" s="111">
        <f t="shared" si="5"/>
        <v>19.95</v>
      </c>
      <c r="AJ24" s="107">
        <f t="shared" si="6"/>
        <v>5438.7644426611096</v>
      </c>
      <c r="AK24" s="112">
        <f t="shared" si="7"/>
        <v>271.93822213305549</v>
      </c>
      <c r="AL24" s="107">
        <v>34.270000000000003</v>
      </c>
      <c r="AM24" s="107">
        <v>35.159999999999997</v>
      </c>
      <c r="AN24" s="107"/>
      <c r="AO24" s="113">
        <f t="shared" si="8"/>
        <v>34.715000000000003</v>
      </c>
      <c r="AP24" s="107">
        <f t="shared" si="9"/>
        <v>3.5604097527561493E-6</v>
      </c>
      <c r="AQ24" s="107">
        <f t="shared" si="10"/>
        <v>210.88916488875603</v>
      </c>
      <c r="AR24" s="112">
        <f t="shared" si="11"/>
        <v>10.544458244437802</v>
      </c>
      <c r="AS24" s="112">
        <f t="shared" si="12"/>
        <v>3.8775197402292898E-2</v>
      </c>
      <c r="AT24" s="112">
        <f t="shared" si="13"/>
        <v>7154489223.0918674</v>
      </c>
      <c r="AU24" s="107"/>
      <c r="AV24" s="107" t="s">
        <v>67</v>
      </c>
    </row>
    <row r="25" spans="2:48" s="103" customFormat="1" x14ac:dyDescent="0.35">
      <c r="B25" s="107" t="s">
        <v>54</v>
      </c>
      <c r="C25" s="107" t="s">
        <v>55</v>
      </c>
      <c r="D25" s="114" t="s">
        <v>73</v>
      </c>
      <c r="E25" s="104" t="s">
        <v>57</v>
      </c>
      <c r="F25" s="106" t="s">
        <v>58</v>
      </c>
      <c r="G25" s="107" t="s">
        <v>59</v>
      </c>
      <c r="H25" s="107">
        <v>-20</v>
      </c>
      <c r="I25" s="107" t="s">
        <v>60</v>
      </c>
      <c r="J25" s="107" t="s">
        <v>61</v>
      </c>
      <c r="K25" s="107" t="s">
        <v>62</v>
      </c>
      <c r="L25" s="107" t="s">
        <v>63</v>
      </c>
      <c r="M25" s="107" t="s">
        <v>60</v>
      </c>
      <c r="N25" s="107">
        <v>200</v>
      </c>
      <c r="O25" s="107" t="s">
        <v>64</v>
      </c>
      <c r="P25" s="107" t="s">
        <v>65</v>
      </c>
      <c r="Q25" s="119">
        <v>7.28</v>
      </c>
      <c r="R25" s="107">
        <v>4</v>
      </c>
      <c r="S25" s="107">
        <v>290</v>
      </c>
      <c r="T25" s="107">
        <v>315744</v>
      </c>
      <c r="U25" s="116">
        <f t="shared" si="0"/>
        <v>315744000000</v>
      </c>
      <c r="V25" s="107" t="s">
        <v>60</v>
      </c>
      <c r="W25" s="107" t="s">
        <v>66</v>
      </c>
      <c r="X25" s="107" t="s">
        <v>60</v>
      </c>
      <c r="Y25" s="111">
        <v>18.920000000000002</v>
      </c>
      <c r="Z25" s="111">
        <v>19.149999999999999</v>
      </c>
      <c r="AA25" s="107"/>
      <c r="AB25" s="111">
        <f t="shared" si="1"/>
        <v>19.035</v>
      </c>
      <c r="AC25" s="111">
        <f t="shared" si="2"/>
        <v>4.1999542309820148</v>
      </c>
      <c r="AD25" s="112">
        <f t="shared" si="3"/>
        <v>491898673.51242924</v>
      </c>
      <c r="AE25" s="111">
        <f t="shared" si="4"/>
        <v>52.418164637783363</v>
      </c>
      <c r="AF25" s="107">
        <v>20.97</v>
      </c>
      <c r="AG25" s="107">
        <v>21.42</v>
      </c>
      <c r="AH25" s="107"/>
      <c r="AI25" s="111">
        <f t="shared" si="5"/>
        <v>21.195</v>
      </c>
      <c r="AJ25" s="107">
        <f t="shared" si="6"/>
        <v>2202.102260410873</v>
      </c>
      <c r="AK25" s="112">
        <f t="shared" si="7"/>
        <v>110.10511302054366</v>
      </c>
      <c r="AL25" s="107">
        <v>37.796133247864802</v>
      </c>
      <c r="AM25" s="107">
        <v>38.001542997309897</v>
      </c>
      <c r="AN25" s="107"/>
      <c r="AO25" s="113">
        <f t="shared" si="8"/>
        <v>37.89883812258735</v>
      </c>
      <c r="AP25" s="107">
        <f t="shared" si="9"/>
        <v>4.3351130411577017E-7</v>
      </c>
      <c r="AQ25" s="107">
        <f t="shared" si="10"/>
        <v>25.677616691179708</v>
      </c>
      <c r="AR25" s="112">
        <f t="shared" si="11"/>
        <v>1.2838808345589854</v>
      </c>
      <c r="AS25" s="112">
        <f t="shared" si="12"/>
        <v>1.1660501491147246E-2</v>
      </c>
      <c r="AT25" s="112">
        <f t="shared" si="13"/>
        <v>3681733382.820796</v>
      </c>
      <c r="AU25" s="107"/>
      <c r="AV25" s="107" t="s">
        <v>67</v>
      </c>
    </row>
    <row r="26" spans="2:48" s="103" customFormat="1" x14ac:dyDescent="0.35">
      <c r="B26" s="107" t="s">
        <v>54</v>
      </c>
      <c r="C26" s="107" t="s">
        <v>55</v>
      </c>
      <c r="D26" s="114" t="s">
        <v>74</v>
      </c>
      <c r="E26" s="104" t="s">
        <v>57</v>
      </c>
      <c r="F26" s="106" t="s">
        <v>58</v>
      </c>
      <c r="G26" s="107" t="s">
        <v>59</v>
      </c>
      <c r="H26" s="107">
        <v>-20</v>
      </c>
      <c r="I26" s="107" t="s">
        <v>60</v>
      </c>
      <c r="J26" s="107" t="s">
        <v>61</v>
      </c>
      <c r="K26" s="107" t="s">
        <v>62</v>
      </c>
      <c r="L26" s="107" t="s">
        <v>63</v>
      </c>
      <c r="M26" s="107" t="s">
        <v>60</v>
      </c>
      <c r="N26" s="107">
        <v>200</v>
      </c>
      <c r="O26" s="107" t="s">
        <v>64</v>
      </c>
      <c r="P26" s="107" t="s">
        <v>65</v>
      </c>
      <c r="Q26" s="119">
        <v>7.89</v>
      </c>
      <c r="R26" s="107">
        <v>4</v>
      </c>
      <c r="S26" s="107">
        <v>160</v>
      </c>
      <c r="T26" s="107">
        <v>251688</v>
      </c>
      <c r="U26" s="116">
        <f t="shared" si="0"/>
        <v>251688000000</v>
      </c>
      <c r="V26" s="107" t="s">
        <v>60</v>
      </c>
      <c r="W26" s="107" t="s">
        <v>66</v>
      </c>
      <c r="X26" s="107" t="s">
        <v>60</v>
      </c>
      <c r="Y26" s="111">
        <v>19.190000000000001</v>
      </c>
      <c r="Z26" s="111">
        <v>19.059999999999999</v>
      </c>
      <c r="AA26" s="107"/>
      <c r="AB26" s="111">
        <f t="shared" si="1"/>
        <v>19.125</v>
      </c>
      <c r="AC26" s="111">
        <f t="shared" si="2"/>
        <v>3.9544149515303455</v>
      </c>
      <c r="AD26" s="112">
        <f t="shared" si="3"/>
        <v>463141111.11650914</v>
      </c>
      <c r="AE26" s="111">
        <f t="shared" si="4"/>
        <v>49.353674486820239</v>
      </c>
      <c r="AF26" s="107">
        <v>21.48</v>
      </c>
      <c r="AG26" s="107">
        <v>21.59</v>
      </c>
      <c r="AH26" s="107"/>
      <c r="AI26" s="111">
        <f t="shared" si="5"/>
        <v>21.535</v>
      </c>
      <c r="AJ26" s="107">
        <f t="shared" si="6"/>
        <v>1720.3003484319688</v>
      </c>
      <c r="AK26" s="112">
        <f t="shared" si="7"/>
        <v>86.015017421598444</v>
      </c>
      <c r="AL26" s="107">
        <v>38.214794656121398</v>
      </c>
      <c r="AM26" s="107">
        <v>35.951272566562402</v>
      </c>
      <c r="AN26" s="107"/>
      <c r="AO26" s="113">
        <f t="shared" si="8"/>
        <v>37.083033611341904</v>
      </c>
      <c r="AP26" s="107">
        <f t="shared" si="9"/>
        <v>7.4357610450285444E-7</v>
      </c>
      <c r="AQ26" s="107">
        <f t="shared" si="10"/>
        <v>44.043285632630202</v>
      </c>
      <c r="AR26" s="112">
        <f t="shared" si="11"/>
        <v>2.2021642816315099</v>
      </c>
      <c r="AS26" s="112">
        <f t="shared" si="12"/>
        <v>2.5602090746987917E-2</v>
      </c>
      <c r="AT26" s="112">
        <f t="shared" si="13"/>
        <v>6443739015.9278946</v>
      </c>
      <c r="AU26" s="107"/>
      <c r="AV26" s="107" t="s">
        <v>67</v>
      </c>
    </row>
    <row r="27" spans="2:48" s="103" customFormat="1" x14ac:dyDescent="0.35">
      <c r="B27" s="107" t="s">
        <v>54</v>
      </c>
      <c r="C27" s="107" t="s">
        <v>55</v>
      </c>
      <c r="D27" s="114">
        <v>43839</v>
      </c>
      <c r="E27" s="104" t="s">
        <v>57</v>
      </c>
      <c r="F27" s="106" t="s">
        <v>58</v>
      </c>
      <c r="G27" s="107" t="s">
        <v>59</v>
      </c>
      <c r="H27" s="107">
        <v>-20</v>
      </c>
      <c r="I27" s="107" t="s">
        <v>60</v>
      </c>
      <c r="J27" s="107" t="s">
        <v>61</v>
      </c>
      <c r="K27" s="107" t="s">
        <v>62</v>
      </c>
      <c r="L27" s="107" t="s">
        <v>63</v>
      </c>
      <c r="M27" s="107" t="s">
        <v>60</v>
      </c>
      <c r="N27" s="107">
        <v>200</v>
      </c>
      <c r="O27" s="107" t="s">
        <v>64</v>
      </c>
      <c r="P27" s="107" t="s">
        <v>65</v>
      </c>
      <c r="Q27" s="119">
        <v>7.93</v>
      </c>
      <c r="R27" s="107">
        <v>4</v>
      </c>
      <c r="S27" s="107">
        <v>230</v>
      </c>
      <c r="T27" s="107">
        <v>201024</v>
      </c>
      <c r="U27" s="116">
        <f t="shared" si="0"/>
        <v>201024000000</v>
      </c>
      <c r="V27" s="107" t="s">
        <v>60</v>
      </c>
      <c r="W27" s="107" t="s">
        <v>66</v>
      </c>
      <c r="X27" s="107" t="s">
        <v>60</v>
      </c>
      <c r="Y27" s="111">
        <v>19.100000000000001</v>
      </c>
      <c r="Z27" s="111">
        <v>19.07</v>
      </c>
      <c r="AA27" s="107"/>
      <c r="AB27" s="111">
        <f t="shared" si="1"/>
        <v>19.085000000000001</v>
      </c>
      <c r="AC27" s="111">
        <f t="shared" si="2"/>
        <v>4.0617195795361019</v>
      </c>
      <c r="AD27" s="112">
        <f t="shared" si="3"/>
        <v>475708630.01669359</v>
      </c>
      <c r="AE27" s="111">
        <f t="shared" si="4"/>
        <v>50.692906142182032</v>
      </c>
      <c r="AF27" s="107">
        <v>21.85</v>
      </c>
      <c r="AG27" s="107">
        <v>21.6</v>
      </c>
      <c r="AH27" s="107"/>
      <c r="AI27" s="111">
        <f t="shared" si="5"/>
        <v>21.725000000000001</v>
      </c>
      <c r="AJ27" s="107">
        <f t="shared" si="6"/>
        <v>1498.5796782838979</v>
      </c>
      <c r="AK27" s="112">
        <f t="shared" si="7"/>
        <v>74.928983914194902</v>
      </c>
      <c r="AL27" s="107">
        <v>35.397427833068001</v>
      </c>
      <c r="AM27" s="107">
        <v>35.9061916827593</v>
      </c>
      <c r="AN27" s="107"/>
      <c r="AO27" s="113">
        <f t="shared" si="8"/>
        <v>35.651809757913654</v>
      </c>
      <c r="AP27" s="107">
        <f t="shared" si="9"/>
        <v>1.9161011378811582E-6</v>
      </c>
      <c r="AQ27" s="107">
        <f t="shared" si="10"/>
        <v>113.49395066041103</v>
      </c>
      <c r="AR27" s="112">
        <f t="shared" si="11"/>
        <v>5.6746975330205514</v>
      </c>
      <c r="AS27" s="112">
        <f t="shared" si="12"/>
        <v>7.573434519703276E-2</v>
      </c>
      <c r="AT27" s="112">
        <f t="shared" si="13"/>
        <v>15224421008.888313</v>
      </c>
      <c r="AU27" s="107"/>
      <c r="AV27" s="107" t="s">
        <v>67</v>
      </c>
    </row>
    <row r="28" spans="2:48" s="5" customFormat="1" x14ac:dyDescent="0.35">
      <c r="B28" s="8"/>
      <c r="C28" s="8"/>
      <c r="D28" s="38"/>
      <c r="E28" s="10" t="s">
        <v>75</v>
      </c>
      <c r="F28" s="34"/>
      <c r="G28" s="8"/>
      <c r="H28" s="8"/>
      <c r="I28" s="8"/>
      <c r="J28" s="8"/>
      <c r="K28" s="8"/>
      <c r="L28" s="8"/>
      <c r="M28" s="8"/>
      <c r="N28" s="8"/>
      <c r="O28" s="8"/>
      <c r="P28" s="8"/>
      <c r="Q28" s="20"/>
      <c r="R28" s="8"/>
      <c r="S28" s="8"/>
      <c r="T28" s="8"/>
      <c r="U28" s="24"/>
      <c r="V28" s="8"/>
      <c r="W28" s="8"/>
      <c r="X28" s="8"/>
      <c r="Y28" s="18">
        <v>17.96</v>
      </c>
      <c r="Z28" s="18">
        <v>18.18</v>
      </c>
      <c r="AA28" s="8"/>
      <c r="AB28" s="18">
        <f t="shared" ref="AB28" si="14">AVERAGE(Y28:AA28)</f>
        <v>18.07</v>
      </c>
      <c r="AC28" s="18">
        <f t="shared" ref="AC28" si="15">EXP((AB28-21.179)/-1.494)</f>
        <v>8.0124023036752021</v>
      </c>
      <c r="AD28" s="19">
        <f>(AC28*(6.0221*10^23))/(15123*340*10^9)</f>
        <v>938412622.63094449</v>
      </c>
      <c r="AE28" s="92">
        <f t="shared" si="4"/>
        <v>100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2:48" s="5" customFormat="1" x14ac:dyDescent="0.35">
      <c r="B29" s="8"/>
      <c r="C29" s="8"/>
      <c r="D29" s="17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0"/>
      <c r="R29" s="8"/>
      <c r="S29" s="8"/>
      <c r="T29" s="8"/>
      <c r="U29" s="24">
        <f t="shared" si="0"/>
        <v>0</v>
      </c>
      <c r="V29" s="8"/>
      <c r="W29" s="8"/>
      <c r="X29" s="8"/>
      <c r="Y29" s="18"/>
      <c r="Z29" s="18"/>
      <c r="AA29" s="8"/>
      <c r="AB29" s="18"/>
      <c r="AC29" s="18"/>
      <c r="AD29" s="19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2:48" s="103" customFormat="1" x14ac:dyDescent="0.35">
      <c r="B30" s="107" t="s">
        <v>54</v>
      </c>
      <c r="C30" s="107" t="s">
        <v>55</v>
      </c>
      <c r="D30" s="114">
        <v>44053</v>
      </c>
      <c r="E30" s="104" t="s">
        <v>57</v>
      </c>
      <c r="F30" s="106" t="s">
        <v>58</v>
      </c>
      <c r="G30" s="107" t="s">
        <v>59</v>
      </c>
      <c r="H30" s="107">
        <v>-20</v>
      </c>
      <c r="I30" s="107" t="s">
        <v>60</v>
      </c>
      <c r="J30" s="107" t="s">
        <v>61</v>
      </c>
      <c r="K30" s="107" t="s">
        <v>62</v>
      </c>
      <c r="L30" s="107" t="s">
        <v>63</v>
      </c>
      <c r="M30" s="107" t="s">
        <v>60</v>
      </c>
      <c r="N30" s="107">
        <v>200</v>
      </c>
      <c r="O30" s="107" t="s">
        <v>64</v>
      </c>
      <c r="P30" s="107" t="s">
        <v>65</v>
      </c>
      <c r="Q30" s="115" t="s">
        <v>76</v>
      </c>
      <c r="R30" s="107">
        <v>4</v>
      </c>
      <c r="S30" s="107" t="s">
        <v>60</v>
      </c>
      <c r="T30" s="107">
        <v>192744</v>
      </c>
      <c r="U30" s="116">
        <f>T30*1000000</f>
        <v>192744000000</v>
      </c>
      <c r="V30" s="107" t="s">
        <v>60</v>
      </c>
      <c r="W30" s="107" t="s">
        <v>66</v>
      </c>
      <c r="X30" s="107" t="s">
        <v>60</v>
      </c>
      <c r="Y30" s="117">
        <v>22.256965639885699</v>
      </c>
      <c r="Z30" s="117">
        <v>22.251730791014499</v>
      </c>
      <c r="AA30" s="107"/>
      <c r="AB30" s="111">
        <f t="shared" ref="AB30:AB40" si="16">AVERAGE(Y30:AA30)</f>
        <v>22.254348215450101</v>
      </c>
      <c r="AC30" s="111">
        <f t="shared" ref="AC30:AC40" si="17">EXP((AB30-21.179)/-1.494)</f>
        <v>0.486860364937171</v>
      </c>
      <c r="AD30" s="112">
        <f t="shared" ref="AD30:AD40" si="18">(AC30*(6.0221*10^23))/(15123*340*10^9)</f>
        <v>57021089.880395211</v>
      </c>
      <c r="AE30" s="120">
        <f t="shared" ref="AE30:AE40" si="19">AD30*100/AD$62</f>
        <v>8.7326055539243548</v>
      </c>
      <c r="AF30" s="107">
        <v>25.253650203929901</v>
      </c>
      <c r="AG30" s="107">
        <v>25.241444816144799</v>
      </c>
      <c r="AH30" s="107"/>
      <c r="AI30" s="111">
        <f t="shared" ref="AI30:AI39" si="20">AVERAGE(AF30:AH30)</f>
        <v>25.24754751003735</v>
      </c>
      <c r="AJ30" s="107">
        <f>EXP((AI30-31.794)/-1.377)</f>
        <v>116.06393949613692</v>
      </c>
      <c r="AK30" s="112">
        <f>(AJ30/5)*(50/200)</f>
        <v>5.8031969748068466</v>
      </c>
      <c r="AL30" s="107">
        <v>37.238504373887501</v>
      </c>
      <c r="AM30" s="107">
        <v>37.832624948582797</v>
      </c>
      <c r="AN30" s="107"/>
      <c r="AO30" s="113">
        <f>AVERAGE(AL30:AN30)</f>
        <v>37.535564661235149</v>
      </c>
      <c r="AP30" s="107">
        <f>EXP((AO30-15.746)/-1.512)</f>
        <v>5.5124430631876794E-7</v>
      </c>
      <c r="AQ30" s="107">
        <f>(AP30*(6.0221*10^23))/(29903*340*10^9)</f>
        <v>32.651143964330281</v>
      </c>
      <c r="AR30" s="112">
        <f>(AQ30/5)*(50/200)</f>
        <v>1.6325571982165141</v>
      </c>
      <c r="AS30" s="112">
        <f>AR30/AK30</f>
        <v>0.28132031452729589</v>
      </c>
      <c r="AT30" s="112">
        <f>AS30*U30</f>
        <v>54222802703.249123</v>
      </c>
      <c r="AU30" s="107"/>
      <c r="AV30" s="107" t="s">
        <v>67</v>
      </c>
    </row>
    <row r="31" spans="2:48" s="103" customFormat="1" x14ac:dyDescent="0.35">
      <c r="B31" s="107" t="s">
        <v>54</v>
      </c>
      <c r="C31" s="107" t="s">
        <v>55</v>
      </c>
      <c r="D31" s="114">
        <v>44081</v>
      </c>
      <c r="E31" s="104" t="s">
        <v>57</v>
      </c>
      <c r="F31" s="106" t="s">
        <v>58</v>
      </c>
      <c r="G31" s="107" t="s">
        <v>59</v>
      </c>
      <c r="H31" s="107">
        <v>-20</v>
      </c>
      <c r="I31" s="107" t="s">
        <v>60</v>
      </c>
      <c r="J31" s="107" t="s">
        <v>61</v>
      </c>
      <c r="K31" s="107" t="s">
        <v>62</v>
      </c>
      <c r="L31" s="107" t="s">
        <v>63</v>
      </c>
      <c r="M31" s="107" t="s">
        <v>60</v>
      </c>
      <c r="N31" s="107">
        <v>200</v>
      </c>
      <c r="O31" s="107" t="s">
        <v>64</v>
      </c>
      <c r="P31" s="107" t="s">
        <v>65</v>
      </c>
      <c r="Q31" s="115" t="s">
        <v>77</v>
      </c>
      <c r="R31" s="107">
        <v>4</v>
      </c>
      <c r="S31" s="107" t="s">
        <v>60</v>
      </c>
      <c r="T31" s="107">
        <v>196440</v>
      </c>
      <c r="U31" s="116">
        <f t="shared" si="0"/>
        <v>196440000000</v>
      </c>
      <c r="V31" s="107" t="s">
        <v>60</v>
      </c>
      <c r="W31" s="107" t="s">
        <v>66</v>
      </c>
      <c r="X31" s="107" t="s">
        <v>60</v>
      </c>
      <c r="Y31" s="117">
        <v>21.152493297365201</v>
      </c>
      <c r="Z31" s="117">
        <v>21.381691363377499</v>
      </c>
      <c r="AA31" s="107"/>
      <c r="AB31" s="111">
        <f t="shared" si="16"/>
        <v>21.267092330371348</v>
      </c>
      <c r="AC31" s="111">
        <f t="shared" si="17"/>
        <v>0.94274063504130745</v>
      </c>
      <c r="AD31" s="112">
        <f t="shared" si="18"/>
        <v>110413790.80330032</v>
      </c>
      <c r="AE31" s="120">
        <f t="shared" si="19"/>
        <v>16.909534434034907</v>
      </c>
      <c r="AF31" s="107">
        <v>23.049266014950199</v>
      </c>
      <c r="AG31" s="107">
        <v>23.501225303326301</v>
      </c>
      <c r="AH31" s="107"/>
      <c r="AI31" s="111">
        <f t="shared" si="20"/>
        <v>23.27524565913825</v>
      </c>
      <c r="AJ31" s="107">
        <f t="shared" ref="AJ31:AJ39" si="21">EXP((AI31-31.794)/-1.377)</f>
        <v>486.12180317287471</v>
      </c>
      <c r="AK31" s="112">
        <f t="shared" ref="AK31:AK39" si="22">(AJ31/5)*(50/200)</f>
        <v>24.306090158643734</v>
      </c>
      <c r="AL31" s="107">
        <v>32.386545612621397</v>
      </c>
      <c r="AM31" s="107">
        <v>32.835001406367702</v>
      </c>
      <c r="AN31" s="107"/>
      <c r="AO31" s="113">
        <f t="shared" ref="AO31:AO39" si="23">AVERAGE(AL31:AN31)</f>
        <v>32.61077350949455</v>
      </c>
      <c r="AP31" s="107">
        <f t="shared" ref="AP31:AP39" si="24">EXP((AO31-15.746)/-1.512)</f>
        <v>1.4318606196827343E-5</v>
      </c>
      <c r="AQ31" s="107">
        <f t="shared" ref="AQ31:AQ39" si="25">(AP31*(6.0221*10^23))/(29903*340*10^9)</f>
        <v>848.11555773386829</v>
      </c>
      <c r="AR31" s="112">
        <f t="shared" ref="AR31:AR39" si="26">(AQ31/5)*(50/200)</f>
        <v>42.405777886693414</v>
      </c>
      <c r="AS31" s="112">
        <f t="shared" ref="AS31:AS39" si="27">AR31/AK31</f>
        <v>1.7446564877326873</v>
      </c>
      <c r="AT31" s="112">
        <f t="shared" ref="AT31:AT39" si="28">AS31*U31</f>
        <v>342720320450.20911</v>
      </c>
      <c r="AU31" s="107"/>
      <c r="AV31" s="107" t="s">
        <v>67</v>
      </c>
    </row>
    <row r="32" spans="2:48" s="103" customFormat="1" x14ac:dyDescent="0.35">
      <c r="B32" s="107" t="s">
        <v>54</v>
      </c>
      <c r="C32" s="107" t="s">
        <v>55</v>
      </c>
      <c r="D32" s="114">
        <v>44084</v>
      </c>
      <c r="E32" s="104" t="s">
        <v>57</v>
      </c>
      <c r="F32" s="106" t="s">
        <v>58</v>
      </c>
      <c r="G32" s="107" t="s">
        <v>59</v>
      </c>
      <c r="H32" s="107">
        <v>-20</v>
      </c>
      <c r="I32" s="107" t="s">
        <v>60</v>
      </c>
      <c r="J32" s="107" t="s">
        <v>61</v>
      </c>
      <c r="K32" s="107" t="s">
        <v>62</v>
      </c>
      <c r="L32" s="107" t="s">
        <v>63</v>
      </c>
      <c r="M32" s="107" t="s">
        <v>60</v>
      </c>
      <c r="N32" s="107">
        <v>200</v>
      </c>
      <c r="O32" s="107" t="s">
        <v>64</v>
      </c>
      <c r="P32" s="107" t="s">
        <v>65</v>
      </c>
      <c r="Q32" s="115" t="s">
        <v>78</v>
      </c>
      <c r="R32" s="107">
        <v>4</v>
      </c>
      <c r="S32" s="107" t="s">
        <v>60</v>
      </c>
      <c r="T32" s="107">
        <v>352152</v>
      </c>
      <c r="U32" s="116">
        <f t="shared" si="0"/>
        <v>352152000000</v>
      </c>
      <c r="V32" s="107" t="s">
        <v>60</v>
      </c>
      <c r="W32" s="107" t="s">
        <v>66</v>
      </c>
      <c r="X32" s="107" t="s">
        <v>60</v>
      </c>
      <c r="Y32" s="117">
        <v>28.583557554657201</v>
      </c>
      <c r="Z32" s="117">
        <v>28.4929627797911</v>
      </c>
      <c r="AA32" s="107"/>
      <c r="AB32" s="111">
        <f t="shared" si="16"/>
        <v>28.538260167224152</v>
      </c>
      <c r="AC32" s="111">
        <f t="shared" si="17"/>
        <v>7.2563600047962648E-3</v>
      </c>
      <c r="AD32" s="112">
        <f t="shared" si="18"/>
        <v>849864.94246946764</v>
      </c>
      <c r="AE32" s="120">
        <f t="shared" si="19"/>
        <v>0.13015421718984227</v>
      </c>
      <c r="AF32" s="107">
        <v>31.084241792171099</v>
      </c>
      <c r="AG32" s="107">
        <v>31.139026854673201</v>
      </c>
      <c r="AH32" s="107"/>
      <c r="AI32" s="111">
        <f t="shared" si="20"/>
        <v>31.111634323422152</v>
      </c>
      <c r="AJ32" s="107">
        <f t="shared" si="21"/>
        <v>1.6413928064782206</v>
      </c>
      <c r="AK32" s="112">
        <f t="shared" si="22"/>
        <v>8.2069640323911036E-2</v>
      </c>
      <c r="AL32" s="107">
        <v>37.1826824413248</v>
      </c>
      <c r="AM32" s="107">
        <v>38.489713129602798</v>
      </c>
      <c r="AN32" s="107"/>
      <c r="AO32" s="113">
        <f t="shared" si="23"/>
        <v>37.836197785463796</v>
      </c>
      <c r="AP32" s="107">
        <f t="shared" si="24"/>
        <v>4.5184837348668765E-7</v>
      </c>
      <c r="AQ32" s="107">
        <f t="shared" si="25"/>
        <v>26.763752702111155</v>
      </c>
      <c r="AR32" s="112">
        <f t="shared" si="26"/>
        <v>1.3381876351055577</v>
      </c>
      <c r="AS32" s="112">
        <f t="shared" si="27"/>
        <v>16.305513583634848</v>
      </c>
      <c r="AT32" s="112">
        <f t="shared" si="28"/>
        <v>5742019219504.1787</v>
      </c>
      <c r="AU32" s="107"/>
      <c r="AV32" s="107" t="s">
        <v>67</v>
      </c>
    </row>
    <row r="33" spans="2:48" s="103" customFormat="1" x14ac:dyDescent="0.35">
      <c r="B33" s="107" t="s">
        <v>54</v>
      </c>
      <c r="C33" s="107" t="s">
        <v>55</v>
      </c>
      <c r="D33" s="114">
        <v>44091</v>
      </c>
      <c r="E33" s="104" t="s">
        <v>57</v>
      </c>
      <c r="F33" s="106" t="s">
        <v>58</v>
      </c>
      <c r="G33" s="107" t="s">
        <v>59</v>
      </c>
      <c r="H33" s="107">
        <v>-20</v>
      </c>
      <c r="I33" s="107" t="s">
        <v>60</v>
      </c>
      <c r="J33" s="107" t="s">
        <v>61</v>
      </c>
      <c r="K33" s="107" t="s">
        <v>62</v>
      </c>
      <c r="L33" s="107" t="s">
        <v>63</v>
      </c>
      <c r="M33" s="107" t="s">
        <v>60</v>
      </c>
      <c r="N33" s="107">
        <v>200</v>
      </c>
      <c r="O33" s="107" t="s">
        <v>64</v>
      </c>
      <c r="P33" s="107" t="s">
        <v>65</v>
      </c>
      <c r="Q33" s="115" t="s">
        <v>79</v>
      </c>
      <c r="R33" s="107">
        <v>4</v>
      </c>
      <c r="S33" s="107" t="s">
        <v>60</v>
      </c>
      <c r="T33" s="107">
        <v>202920</v>
      </c>
      <c r="U33" s="116">
        <f t="shared" si="0"/>
        <v>202920000000</v>
      </c>
      <c r="V33" s="107" t="s">
        <v>60</v>
      </c>
      <c r="W33" s="107" t="s">
        <v>66</v>
      </c>
      <c r="X33" s="107" t="s">
        <v>60</v>
      </c>
      <c r="Y33" s="117">
        <v>19.797647944433798</v>
      </c>
      <c r="Z33" s="117">
        <v>23.879007464660901</v>
      </c>
      <c r="AA33" s="107"/>
      <c r="AB33" s="111">
        <f t="shared" si="16"/>
        <v>21.83832770454735</v>
      </c>
      <c r="AC33" s="111">
        <f t="shared" si="17"/>
        <v>0.64318873753831518</v>
      </c>
      <c r="AD33" s="112">
        <f t="shared" si="18"/>
        <v>75330270.144219115</v>
      </c>
      <c r="AE33" s="120">
        <f t="shared" si="19"/>
        <v>11.536600524820948</v>
      </c>
      <c r="AF33" s="107">
        <v>21.555558467025602</v>
      </c>
      <c r="AG33" s="107">
        <v>19.619996524754502</v>
      </c>
      <c r="AH33" s="107"/>
      <c r="AI33" s="111">
        <f t="shared" si="20"/>
        <v>20.587777495890052</v>
      </c>
      <c r="AJ33" s="107">
        <f t="shared" si="21"/>
        <v>3422.5552647418513</v>
      </c>
      <c r="AK33" s="112">
        <f t="shared" si="22"/>
        <v>171.12776323709255</v>
      </c>
      <c r="AL33" s="107">
        <v>33.223136115075597</v>
      </c>
      <c r="AM33" s="107">
        <v>33.018477120039002</v>
      </c>
      <c r="AN33" s="107"/>
      <c r="AO33" s="113">
        <f t="shared" si="23"/>
        <v>33.120806617557299</v>
      </c>
      <c r="AP33" s="107">
        <f t="shared" si="24"/>
        <v>1.0218873360529663E-5</v>
      </c>
      <c r="AQ33" s="107">
        <f t="shared" si="25"/>
        <v>605.28136331437997</v>
      </c>
      <c r="AR33" s="112">
        <f t="shared" si="26"/>
        <v>30.264068165718999</v>
      </c>
      <c r="AS33" s="112">
        <f t="shared" si="27"/>
        <v>0.17685072014754855</v>
      </c>
      <c r="AT33" s="112">
        <f t="shared" si="28"/>
        <v>35886548132.340553</v>
      </c>
      <c r="AU33" s="107"/>
      <c r="AV33" s="107" t="s">
        <v>67</v>
      </c>
    </row>
    <row r="34" spans="2:48" s="103" customFormat="1" x14ac:dyDescent="0.35">
      <c r="B34" s="107" t="s">
        <v>54</v>
      </c>
      <c r="C34" s="107" t="s">
        <v>55</v>
      </c>
      <c r="D34" s="114">
        <v>44095</v>
      </c>
      <c r="E34" s="104" t="s">
        <v>57</v>
      </c>
      <c r="F34" s="106" t="s">
        <v>58</v>
      </c>
      <c r="G34" s="107" t="s">
        <v>59</v>
      </c>
      <c r="H34" s="107">
        <v>-20</v>
      </c>
      <c r="I34" s="107" t="s">
        <v>60</v>
      </c>
      <c r="J34" s="107" t="s">
        <v>61</v>
      </c>
      <c r="K34" s="107" t="s">
        <v>62</v>
      </c>
      <c r="L34" s="107" t="s">
        <v>63</v>
      </c>
      <c r="M34" s="107" t="s">
        <v>60</v>
      </c>
      <c r="N34" s="107">
        <v>200</v>
      </c>
      <c r="O34" s="107" t="s">
        <v>64</v>
      </c>
      <c r="P34" s="107" t="s">
        <v>65</v>
      </c>
      <c r="Q34" s="115" t="s">
        <v>80</v>
      </c>
      <c r="R34" s="107">
        <v>4</v>
      </c>
      <c r="S34" s="107" t="s">
        <v>60</v>
      </c>
      <c r="T34" s="107">
        <v>184560</v>
      </c>
      <c r="U34" s="116">
        <f t="shared" si="0"/>
        <v>184560000000</v>
      </c>
      <c r="V34" s="107" t="s">
        <v>60</v>
      </c>
      <c r="W34" s="107" t="s">
        <v>66</v>
      </c>
      <c r="X34" s="107" t="s">
        <v>60</v>
      </c>
      <c r="Y34" s="111">
        <v>31.621395944206199</v>
      </c>
      <c r="Z34" s="111">
        <v>31.713536923192201</v>
      </c>
      <c r="AA34" s="107"/>
      <c r="AB34" s="111">
        <f t="shared" si="16"/>
        <v>31.6674664336992</v>
      </c>
      <c r="AC34" s="111">
        <f t="shared" si="17"/>
        <v>8.9347471203989721E-4</v>
      </c>
      <c r="AD34" s="112">
        <f t="shared" si="18"/>
        <v>104643.7655027882</v>
      </c>
      <c r="AE34" s="120">
        <f t="shared" si="19"/>
        <v>1.6025872703064378E-2</v>
      </c>
      <c r="AF34" s="107">
        <v>32.847940077451902</v>
      </c>
      <c r="AG34" s="107">
        <v>32.818997153326897</v>
      </c>
      <c r="AH34" s="107"/>
      <c r="AI34" s="111">
        <f t="shared" si="20"/>
        <v>32.8334686153894</v>
      </c>
      <c r="AJ34" s="107">
        <f t="shared" si="21"/>
        <v>0.47006741012484066</v>
      </c>
      <c r="AK34" s="112">
        <f t="shared" si="22"/>
        <v>2.3503370506242034E-2</v>
      </c>
      <c r="AL34" s="107">
        <v>37.7306419168819</v>
      </c>
      <c r="AM34" s="107"/>
      <c r="AN34" s="107"/>
      <c r="AO34" s="113">
        <f t="shared" si="23"/>
        <v>37.7306419168819</v>
      </c>
      <c r="AP34" s="107">
        <f t="shared" si="24"/>
        <v>4.8452001885410574E-7</v>
      </c>
      <c r="AQ34" s="107">
        <f t="shared" si="25"/>
        <v>28.698950189350569</v>
      </c>
      <c r="AR34" s="112">
        <f t="shared" si="26"/>
        <v>1.4349475094675284</v>
      </c>
      <c r="AS34" s="112">
        <f t="shared" si="27"/>
        <v>61.052839595343762</v>
      </c>
      <c r="AT34" s="112">
        <f t="shared" si="28"/>
        <v>11267912075716.645</v>
      </c>
      <c r="AU34" s="107"/>
      <c r="AV34" s="107" t="s">
        <v>67</v>
      </c>
    </row>
    <row r="35" spans="2:48" s="103" customFormat="1" x14ac:dyDescent="0.35">
      <c r="B35" s="107" t="s">
        <v>54</v>
      </c>
      <c r="C35" s="107" t="s">
        <v>55</v>
      </c>
      <c r="D35" s="114">
        <v>44095</v>
      </c>
      <c r="E35" s="104" t="s">
        <v>57</v>
      </c>
      <c r="F35" s="106" t="s">
        <v>58</v>
      </c>
      <c r="G35" s="107" t="s">
        <v>59</v>
      </c>
      <c r="H35" s="107">
        <v>-20</v>
      </c>
      <c r="I35" s="107" t="s">
        <v>60</v>
      </c>
      <c r="J35" s="107" t="s">
        <v>61</v>
      </c>
      <c r="K35" s="107" t="s">
        <v>62</v>
      </c>
      <c r="L35" s="107" t="s">
        <v>63</v>
      </c>
      <c r="M35" s="107" t="s">
        <v>60</v>
      </c>
      <c r="N35" s="107">
        <v>200</v>
      </c>
      <c r="O35" s="107" t="s">
        <v>64</v>
      </c>
      <c r="P35" s="107" t="s">
        <v>65</v>
      </c>
      <c r="Q35" s="119" t="s">
        <v>79</v>
      </c>
      <c r="R35" s="107">
        <v>4</v>
      </c>
      <c r="S35" s="107" t="s">
        <v>60</v>
      </c>
      <c r="T35" s="107">
        <v>184560</v>
      </c>
      <c r="U35" s="116">
        <f t="shared" si="0"/>
        <v>184560000000</v>
      </c>
      <c r="V35" s="107" t="s">
        <v>60</v>
      </c>
      <c r="W35" s="107" t="s">
        <v>66</v>
      </c>
      <c r="X35" s="107" t="s">
        <v>60</v>
      </c>
      <c r="Y35" s="111">
        <v>20.2348708712234</v>
      </c>
      <c r="Z35" s="111">
        <v>20.235866024488001</v>
      </c>
      <c r="AA35" s="107"/>
      <c r="AB35" s="111">
        <f t="shared" si="16"/>
        <v>20.235368447855699</v>
      </c>
      <c r="AC35" s="111">
        <f t="shared" si="17"/>
        <v>1.8806437868974373</v>
      </c>
      <c r="AD35" s="112">
        <f t="shared" si="18"/>
        <v>220261015.5368149</v>
      </c>
      <c r="AE35" s="120">
        <f t="shared" si="19"/>
        <v>33.732301006949413</v>
      </c>
      <c r="AF35" s="107">
        <v>21.6271245702602</v>
      </c>
      <c r="AG35" s="107">
        <v>21.697014618844801</v>
      </c>
      <c r="AH35" s="107"/>
      <c r="AI35" s="111">
        <f t="shared" si="20"/>
        <v>21.662069594552499</v>
      </c>
      <c r="AJ35" s="107">
        <f t="shared" si="21"/>
        <v>1568.6554821643167</v>
      </c>
      <c r="AK35" s="112">
        <f t="shared" si="22"/>
        <v>78.432774108215838</v>
      </c>
      <c r="AL35" s="107">
        <v>33.266644688322003</v>
      </c>
      <c r="AM35" s="107">
        <v>33.610874788475599</v>
      </c>
      <c r="AN35" s="107"/>
      <c r="AO35" s="113">
        <f t="shared" si="23"/>
        <v>33.438759738398801</v>
      </c>
      <c r="AP35" s="107">
        <f t="shared" si="24"/>
        <v>8.2808853119960069E-6</v>
      </c>
      <c r="AQ35" s="107">
        <f t="shared" si="25"/>
        <v>490.49101346678913</v>
      </c>
      <c r="AR35" s="112">
        <f t="shared" si="26"/>
        <v>24.524550673339455</v>
      </c>
      <c r="AS35" s="112">
        <f t="shared" si="27"/>
        <v>0.31268243348759106</v>
      </c>
      <c r="AT35" s="112">
        <f t="shared" si="28"/>
        <v>57708669924.469803</v>
      </c>
      <c r="AU35" s="107"/>
      <c r="AV35" s="107" t="s">
        <v>67</v>
      </c>
    </row>
    <row r="36" spans="2:48" s="103" customFormat="1" x14ac:dyDescent="0.35">
      <c r="B36" s="107" t="s">
        <v>54</v>
      </c>
      <c r="C36" s="107" t="s">
        <v>55</v>
      </c>
      <c r="D36" s="114">
        <v>44102</v>
      </c>
      <c r="E36" s="104" t="s">
        <v>57</v>
      </c>
      <c r="F36" s="106" t="s">
        <v>58</v>
      </c>
      <c r="G36" s="107" t="s">
        <v>59</v>
      </c>
      <c r="H36" s="107">
        <v>-20</v>
      </c>
      <c r="I36" s="107" t="s">
        <v>60</v>
      </c>
      <c r="J36" s="107" t="s">
        <v>61</v>
      </c>
      <c r="K36" s="107" t="s">
        <v>62</v>
      </c>
      <c r="L36" s="107" t="s">
        <v>63</v>
      </c>
      <c r="M36" s="107" t="s">
        <v>60</v>
      </c>
      <c r="N36" s="107">
        <v>200</v>
      </c>
      <c r="O36" s="107" t="s">
        <v>64</v>
      </c>
      <c r="P36" s="107" t="s">
        <v>65</v>
      </c>
      <c r="Q36" s="119" t="s">
        <v>81</v>
      </c>
      <c r="R36" s="107">
        <v>4</v>
      </c>
      <c r="S36" s="107" t="s">
        <v>60</v>
      </c>
      <c r="T36" s="107">
        <v>179496</v>
      </c>
      <c r="U36" s="116">
        <f t="shared" si="0"/>
        <v>179496000000</v>
      </c>
      <c r="V36" s="107" t="s">
        <v>60</v>
      </c>
      <c r="W36" s="107" t="s">
        <v>66</v>
      </c>
      <c r="X36" s="107" t="s">
        <v>60</v>
      </c>
      <c r="Y36" s="111">
        <v>20.2227484610852</v>
      </c>
      <c r="Z36" s="111">
        <v>20.222341193848099</v>
      </c>
      <c r="AA36" s="107"/>
      <c r="AB36" s="111">
        <f t="shared" si="16"/>
        <v>20.222544827466649</v>
      </c>
      <c r="AC36" s="111">
        <f t="shared" si="17"/>
        <v>1.8968556077979577</v>
      </c>
      <c r="AD36" s="112">
        <f t="shared" si="18"/>
        <v>222159744.13184592</v>
      </c>
      <c r="AE36" s="120">
        <f t="shared" si="19"/>
        <v>34.023085485273874</v>
      </c>
      <c r="AF36" s="107">
        <v>21.652128109185998</v>
      </c>
      <c r="AG36" s="107">
        <v>21.8353666667747</v>
      </c>
      <c r="AH36" s="107"/>
      <c r="AI36" s="111">
        <f t="shared" si="20"/>
        <v>21.743747387980349</v>
      </c>
      <c r="AJ36" s="107">
        <f t="shared" si="21"/>
        <v>1478.3152836630034</v>
      </c>
      <c r="AK36" s="112">
        <f t="shared" si="22"/>
        <v>73.915764183150173</v>
      </c>
      <c r="AL36" s="107">
        <v>32.3111938232448</v>
      </c>
      <c r="AM36" s="107">
        <v>32.248771369762501</v>
      </c>
      <c r="AN36" s="107"/>
      <c r="AO36" s="113">
        <f t="shared" si="23"/>
        <v>32.27998259650365</v>
      </c>
      <c r="AP36" s="107">
        <f t="shared" si="24"/>
        <v>1.7820275516888566E-5</v>
      </c>
      <c r="AQ36" s="107">
        <f t="shared" si="25"/>
        <v>1055.5254262335927</v>
      </c>
      <c r="AR36" s="112">
        <f t="shared" si="26"/>
        <v>52.776271311679636</v>
      </c>
      <c r="AS36" s="112">
        <f t="shared" si="27"/>
        <v>0.71400562376530918</v>
      </c>
      <c r="AT36" s="112">
        <f t="shared" si="28"/>
        <v>128161153443.37793</v>
      </c>
      <c r="AU36" s="107"/>
      <c r="AV36" s="107" t="s">
        <v>67</v>
      </c>
    </row>
    <row r="37" spans="2:48" s="103" customFormat="1" x14ac:dyDescent="0.35">
      <c r="B37" s="107" t="s">
        <v>54</v>
      </c>
      <c r="C37" s="107" t="s">
        <v>82</v>
      </c>
      <c r="D37" s="114">
        <v>44053</v>
      </c>
      <c r="E37" s="104" t="s">
        <v>57</v>
      </c>
      <c r="F37" s="106" t="s">
        <v>58</v>
      </c>
      <c r="G37" s="107" t="s">
        <v>59</v>
      </c>
      <c r="H37" s="107">
        <v>-20</v>
      </c>
      <c r="I37" s="107" t="s">
        <v>60</v>
      </c>
      <c r="J37" s="107" t="s">
        <v>61</v>
      </c>
      <c r="K37" s="107" t="s">
        <v>62</v>
      </c>
      <c r="L37" s="107" t="s">
        <v>63</v>
      </c>
      <c r="M37" s="107" t="s">
        <v>60</v>
      </c>
      <c r="N37" s="107">
        <v>200</v>
      </c>
      <c r="O37" s="107" t="s">
        <v>64</v>
      </c>
      <c r="P37" s="107" t="s">
        <v>65</v>
      </c>
      <c r="Q37" s="119" t="s">
        <v>83</v>
      </c>
      <c r="R37" s="107">
        <v>4</v>
      </c>
      <c r="S37" s="107" t="s">
        <v>60</v>
      </c>
      <c r="T37" s="107">
        <v>201024</v>
      </c>
      <c r="U37" s="116">
        <f t="shared" si="0"/>
        <v>201024000000</v>
      </c>
      <c r="V37" s="107" t="s">
        <v>60</v>
      </c>
      <c r="W37" s="107" t="s">
        <v>66</v>
      </c>
      <c r="X37" s="107" t="s">
        <v>60</v>
      </c>
      <c r="Y37" s="111" t="s">
        <v>84</v>
      </c>
      <c r="Z37" s="111" t="s">
        <v>84</v>
      </c>
      <c r="AA37" s="107"/>
      <c r="AB37" s="111" t="e">
        <f t="shared" si="16"/>
        <v>#DIV/0!</v>
      </c>
      <c r="AC37" s="111" t="e">
        <f t="shared" si="17"/>
        <v>#DIV/0!</v>
      </c>
      <c r="AD37" s="112" t="e">
        <f t="shared" si="18"/>
        <v>#DIV/0!</v>
      </c>
      <c r="AE37" s="120" t="e">
        <f t="shared" si="19"/>
        <v>#DIV/0!</v>
      </c>
      <c r="AF37" s="107">
        <v>28.206717069425899</v>
      </c>
      <c r="AG37" s="107">
        <v>26.7651027474671</v>
      </c>
      <c r="AH37" s="107"/>
      <c r="AI37" s="111">
        <f t="shared" si="20"/>
        <v>27.485909908446502</v>
      </c>
      <c r="AJ37" s="107">
        <f t="shared" si="21"/>
        <v>22.842109284321442</v>
      </c>
      <c r="AK37" s="112">
        <f t="shared" si="22"/>
        <v>1.1421054642160722</v>
      </c>
      <c r="AL37" s="107">
        <v>37.301401279044001</v>
      </c>
      <c r="AM37" s="107">
        <v>38.313264051044499</v>
      </c>
      <c r="AN37" s="107"/>
      <c r="AO37" s="113">
        <f t="shared" si="23"/>
        <v>37.80733266504425</v>
      </c>
      <c r="AP37" s="107">
        <f t="shared" si="24"/>
        <v>4.6055733539487449E-7</v>
      </c>
      <c r="AQ37" s="107">
        <f t="shared" si="25"/>
        <v>27.279599425214794</v>
      </c>
      <c r="AR37" s="112">
        <f t="shared" si="26"/>
        <v>1.3639799712607397</v>
      </c>
      <c r="AS37" s="112">
        <f t="shared" si="27"/>
        <v>1.1942679673605796</v>
      </c>
      <c r="AT37" s="112">
        <f t="shared" si="28"/>
        <v>240076523870.69315</v>
      </c>
      <c r="AU37" s="107"/>
      <c r="AV37" s="107" t="s">
        <v>67</v>
      </c>
    </row>
    <row r="38" spans="2:48" s="103" customFormat="1" x14ac:dyDescent="0.35">
      <c r="B38" s="107" t="s">
        <v>54</v>
      </c>
      <c r="C38" s="107" t="s">
        <v>82</v>
      </c>
      <c r="D38" s="114">
        <v>44084</v>
      </c>
      <c r="E38" s="104" t="s">
        <v>57</v>
      </c>
      <c r="F38" s="106" t="s">
        <v>58</v>
      </c>
      <c r="G38" s="107" t="s">
        <v>59</v>
      </c>
      <c r="H38" s="107">
        <v>-20</v>
      </c>
      <c r="I38" s="107" t="s">
        <v>60</v>
      </c>
      <c r="J38" s="107" t="s">
        <v>61</v>
      </c>
      <c r="K38" s="107" t="s">
        <v>62</v>
      </c>
      <c r="L38" s="107" t="s">
        <v>63</v>
      </c>
      <c r="M38" s="107" t="s">
        <v>60</v>
      </c>
      <c r="N38" s="107">
        <v>200</v>
      </c>
      <c r="O38" s="107" t="s">
        <v>64</v>
      </c>
      <c r="P38" s="107" t="s">
        <v>65</v>
      </c>
      <c r="Q38" s="119" t="s">
        <v>85</v>
      </c>
      <c r="R38" s="107">
        <v>4</v>
      </c>
      <c r="S38" s="107" t="s">
        <v>60</v>
      </c>
      <c r="T38" s="107">
        <v>251688</v>
      </c>
      <c r="U38" s="116">
        <f t="shared" si="0"/>
        <v>251688000000</v>
      </c>
      <c r="V38" s="107" t="s">
        <v>60</v>
      </c>
      <c r="W38" s="107" t="s">
        <v>66</v>
      </c>
      <c r="X38" s="107" t="s">
        <v>60</v>
      </c>
      <c r="Y38" s="111">
        <v>19.081700979230199</v>
      </c>
      <c r="Z38" s="111">
        <v>19.433835441249901</v>
      </c>
      <c r="AA38" s="107"/>
      <c r="AB38" s="111">
        <f t="shared" si="16"/>
        <v>19.257768210240052</v>
      </c>
      <c r="AC38" s="111">
        <f t="shared" si="17"/>
        <v>3.61815798853429</v>
      </c>
      <c r="AD38" s="112">
        <f t="shared" si="18"/>
        <v>423758692.88991731</v>
      </c>
      <c r="AE38" s="120">
        <f t="shared" si="19"/>
        <v>64.897348030636564</v>
      </c>
      <c r="AF38" s="107">
        <v>21.512334050183899</v>
      </c>
      <c r="AG38" s="107">
        <v>21.5634080879023</v>
      </c>
      <c r="AH38" s="107"/>
      <c r="AI38" s="111">
        <f t="shared" si="20"/>
        <v>21.537871069043099</v>
      </c>
      <c r="AJ38" s="107">
        <f t="shared" si="21"/>
        <v>1716.7172288996628</v>
      </c>
      <c r="AK38" s="112">
        <f t="shared" si="22"/>
        <v>85.835861444983138</v>
      </c>
      <c r="AL38" s="107">
        <v>35.176435616932601</v>
      </c>
      <c r="AM38" s="107">
        <v>34.490389976610302</v>
      </c>
      <c r="AN38" s="107"/>
      <c r="AO38" s="113">
        <f t="shared" si="23"/>
        <v>34.833412796771455</v>
      </c>
      <c r="AP38" s="107">
        <f t="shared" si="24"/>
        <v>3.2922140288791E-6</v>
      </c>
      <c r="AQ38" s="107">
        <f t="shared" si="25"/>
        <v>195.00347302663738</v>
      </c>
      <c r="AR38" s="112">
        <f t="shared" si="26"/>
        <v>9.7501736513318686</v>
      </c>
      <c r="AS38" s="112">
        <f t="shared" si="27"/>
        <v>0.11359091045624659</v>
      </c>
      <c r="AT38" s="112">
        <f t="shared" si="28"/>
        <v>28589469070.911789</v>
      </c>
      <c r="AU38" s="107"/>
      <c r="AV38" s="107" t="s">
        <v>67</v>
      </c>
    </row>
    <row r="39" spans="2:48" s="103" customFormat="1" ht="13.15" thickBot="1" x14ac:dyDescent="0.4">
      <c r="B39" s="107" t="s">
        <v>54</v>
      </c>
      <c r="C39" s="107" t="s">
        <v>82</v>
      </c>
      <c r="D39" s="114">
        <v>44095</v>
      </c>
      <c r="E39" s="104" t="s">
        <v>57</v>
      </c>
      <c r="F39" s="106" t="s">
        <v>58</v>
      </c>
      <c r="G39" s="107" t="s">
        <v>59</v>
      </c>
      <c r="H39" s="107">
        <v>-20</v>
      </c>
      <c r="I39" s="107" t="s">
        <v>60</v>
      </c>
      <c r="J39" s="107" t="s">
        <v>61</v>
      </c>
      <c r="K39" s="107" t="s">
        <v>62</v>
      </c>
      <c r="L39" s="107" t="s">
        <v>63</v>
      </c>
      <c r="M39" s="107" t="s">
        <v>60</v>
      </c>
      <c r="N39" s="107">
        <v>200</v>
      </c>
      <c r="O39" s="107" t="s">
        <v>64</v>
      </c>
      <c r="P39" s="107" t="s">
        <v>65</v>
      </c>
      <c r="Q39" s="119" t="s">
        <v>86</v>
      </c>
      <c r="R39" s="107">
        <v>4</v>
      </c>
      <c r="S39" s="107" t="s">
        <v>60</v>
      </c>
      <c r="T39" s="107">
        <v>201024</v>
      </c>
      <c r="U39" s="116">
        <f t="shared" si="0"/>
        <v>201024000000</v>
      </c>
      <c r="V39" s="107" t="s">
        <v>60</v>
      </c>
      <c r="W39" s="107" t="s">
        <v>66</v>
      </c>
      <c r="X39" s="107" t="s">
        <v>60</v>
      </c>
      <c r="Y39" s="111">
        <v>30.166667760503501</v>
      </c>
      <c r="Z39" s="111">
        <v>30.4768235254815</v>
      </c>
      <c r="AA39" s="107"/>
      <c r="AB39" s="111">
        <f t="shared" si="16"/>
        <v>30.3217456429925</v>
      </c>
      <c r="AC39" s="111">
        <f t="shared" si="17"/>
        <v>2.1992424225218284E-3</v>
      </c>
      <c r="AD39" s="112">
        <f t="shared" si="18"/>
        <v>257575.29031877237</v>
      </c>
      <c r="AE39" s="120">
        <f t="shared" si="19"/>
        <v>3.9446868088797042E-2</v>
      </c>
      <c r="AF39" s="107">
        <v>33.061341562899202</v>
      </c>
      <c r="AG39" s="107">
        <v>32.678566665668797</v>
      </c>
      <c r="AH39" s="107"/>
      <c r="AI39" s="111">
        <f t="shared" si="20"/>
        <v>32.869954114283999</v>
      </c>
      <c r="AJ39" s="107">
        <f t="shared" si="21"/>
        <v>0.45777589040720157</v>
      </c>
      <c r="AK39" s="112">
        <f t="shared" si="22"/>
        <v>2.2888794520360078E-2</v>
      </c>
      <c r="AL39" s="107" t="s">
        <v>84</v>
      </c>
      <c r="AM39" s="107" t="s">
        <v>84</v>
      </c>
      <c r="AN39" s="107"/>
      <c r="AO39" s="113" t="e">
        <f t="shared" si="23"/>
        <v>#DIV/0!</v>
      </c>
      <c r="AP39" s="107" t="e">
        <f t="shared" si="24"/>
        <v>#DIV/0!</v>
      </c>
      <c r="AQ39" s="107" t="e">
        <f t="shared" si="25"/>
        <v>#DIV/0!</v>
      </c>
      <c r="AR39" s="112" t="e">
        <f t="shared" si="26"/>
        <v>#DIV/0!</v>
      </c>
      <c r="AS39" s="112" t="e">
        <f t="shared" si="27"/>
        <v>#DIV/0!</v>
      </c>
      <c r="AT39" s="112" t="e">
        <f t="shared" si="28"/>
        <v>#DIV/0!</v>
      </c>
      <c r="AU39" s="107"/>
      <c r="AV39" s="107" t="s">
        <v>67</v>
      </c>
    </row>
    <row r="40" spans="2:48" s="5" customFormat="1" ht="13.9" thickBot="1" x14ac:dyDescent="0.4">
      <c r="B40" s="8"/>
      <c r="C40" s="8"/>
      <c r="D40" s="17"/>
      <c r="E40" s="10" t="s">
        <v>75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0"/>
      <c r="R40" s="8"/>
      <c r="S40" s="8"/>
      <c r="T40" s="8"/>
      <c r="U40" s="24">
        <f t="shared" si="0"/>
        <v>0</v>
      </c>
      <c r="V40" s="8"/>
      <c r="W40" s="8"/>
      <c r="X40" s="8"/>
      <c r="Y40" s="89">
        <v>18.420000000000002</v>
      </c>
      <c r="Z40" s="90">
        <v>18.18</v>
      </c>
      <c r="AA40" s="8"/>
      <c r="AB40" s="18">
        <f t="shared" si="16"/>
        <v>18.3</v>
      </c>
      <c r="AC40" s="18">
        <f t="shared" si="17"/>
        <v>6.8691577422066086</v>
      </c>
      <c r="AD40" s="19">
        <f t="shared" si="18"/>
        <v>804515810.34229922</v>
      </c>
      <c r="AE40" s="91">
        <f t="shared" si="19"/>
        <v>123.20913627486809</v>
      </c>
      <c r="AF40" s="8"/>
      <c r="AG40" s="8"/>
      <c r="AH40" s="8"/>
      <c r="AI40" s="8"/>
      <c r="AJ40" s="8"/>
      <c r="AK40" s="60">
        <f t="shared" ref="AK40" si="29">(AJ40/5)*(50/50)</f>
        <v>0</v>
      </c>
      <c r="AL40" s="8"/>
      <c r="AM40" s="8"/>
      <c r="AN40" s="8"/>
      <c r="AO40" s="8"/>
      <c r="AP40" s="8"/>
      <c r="AQ40" s="8"/>
      <c r="AR40" s="60">
        <f t="shared" ref="AR40" si="30">(AQ40/5)*(50/50)</f>
        <v>0</v>
      </c>
      <c r="AS40" s="8"/>
      <c r="AT40" s="8"/>
      <c r="AU40" s="8"/>
      <c r="AV40" s="8"/>
    </row>
    <row r="41" spans="2:48" s="5" customFormat="1" x14ac:dyDescent="0.35">
      <c r="B41" s="8"/>
      <c r="C41" s="8"/>
      <c r="D41" s="17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20"/>
      <c r="R41" s="8"/>
      <c r="S41" s="8"/>
      <c r="T41" s="8"/>
      <c r="U41" s="24"/>
      <c r="V41" s="8"/>
      <c r="W41" s="8"/>
      <c r="X41" s="8"/>
      <c r="Y41" s="18"/>
      <c r="Z41" s="18"/>
      <c r="AA41" s="8"/>
      <c r="AB41" s="18"/>
      <c r="AC41" s="18"/>
      <c r="AD41" s="19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2:48" s="66" customFormat="1" x14ac:dyDescent="0.35">
      <c r="B42" s="52" t="s">
        <v>54</v>
      </c>
      <c r="C42" s="52" t="s">
        <v>55</v>
      </c>
      <c r="D42" s="62">
        <v>44077</v>
      </c>
      <c r="E42" s="63" t="s">
        <v>57</v>
      </c>
      <c r="F42" s="64" t="s">
        <v>58</v>
      </c>
      <c r="G42" s="52" t="s">
        <v>59</v>
      </c>
      <c r="H42" s="52">
        <v>-20</v>
      </c>
      <c r="I42" s="52" t="s">
        <v>60</v>
      </c>
      <c r="J42" s="52" t="s">
        <v>61</v>
      </c>
      <c r="K42" s="52" t="s">
        <v>62</v>
      </c>
      <c r="L42" s="52" t="s">
        <v>63</v>
      </c>
      <c r="M42" s="52" t="s">
        <v>60</v>
      </c>
      <c r="N42" s="52">
        <v>50</v>
      </c>
      <c r="O42" s="52" t="s">
        <v>64</v>
      </c>
      <c r="P42" s="52" t="s">
        <v>65</v>
      </c>
      <c r="Q42" s="87" t="s">
        <v>76</v>
      </c>
      <c r="R42" s="52">
        <v>4</v>
      </c>
      <c r="S42" s="52">
        <v>190</v>
      </c>
      <c r="T42" s="52">
        <v>239568</v>
      </c>
      <c r="U42" s="55">
        <f>T42*1000000</f>
        <v>239568000000</v>
      </c>
      <c r="V42" s="52" t="s">
        <v>60</v>
      </c>
      <c r="W42" s="52" t="s">
        <v>66</v>
      </c>
      <c r="X42" s="52" t="s">
        <v>60</v>
      </c>
      <c r="Y42" s="88">
        <v>16.61</v>
      </c>
      <c r="Z42" s="88">
        <v>16.43</v>
      </c>
      <c r="AA42" s="52"/>
      <c r="AB42" s="58">
        <f t="shared" ref="AB42:AB49" si="31">AVERAGE(Y42:AA42)</f>
        <v>16.52</v>
      </c>
      <c r="AC42" s="58">
        <f t="shared" ref="AC42:AC49" si="32">EXP((AB42-21.179)/-1.494)</f>
        <v>22.61184526139651</v>
      </c>
      <c r="AD42" s="60">
        <f t="shared" ref="AD42:AD49" si="33">(AC42*(6.0221*10^23))/(15123*340*10^9)</f>
        <v>2648299499.956356</v>
      </c>
      <c r="AE42" s="58">
        <f>AD42*100/AD$50</f>
        <v>28.602577206490182</v>
      </c>
      <c r="AF42" s="52">
        <v>20.239999999999998</v>
      </c>
      <c r="AG42" s="52">
        <v>20.399999999999999</v>
      </c>
      <c r="AH42" s="52"/>
      <c r="AI42" s="58">
        <f t="shared" ref="AI42:AI49" si="34">AVERAGE(AF42:AH42)</f>
        <v>20.32</v>
      </c>
      <c r="AJ42" s="52">
        <f>EXP((AI42-31.794)/-1.377)</f>
        <v>4157.2418516018406</v>
      </c>
      <c r="AK42" s="60">
        <f>(AJ42/5)*(50/50)</f>
        <v>831.4483703203681</v>
      </c>
      <c r="AL42" s="52">
        <v>33.46</v>
      </c>
      <c r="AM42" s="52">
        <v>33.33</v>
      </c>
      <c r="AN42" s="52"/>
      <c r="AO42" s="57">
        <f>AVERAGE(AL42:AN42)</f>
        <v>33.394999999999996</v>
      </c>
      <c r="AP42" s="52">
        <f>EXP((AO42-15.746)/-1.512)</f>
        <v>8.5240494061750994E-6</v>
      </c>
      <c r="AQ42" s="52">
        <f>(AP42*(6.0221*10^23))/(29903*340*10^9)</f>
        <v>504.89403904907294</v>
      </c>
      <c r="AR42" s="60">
        <f>(AQ42/5)*(50/50)</f>
        <v>100.97880780981458</v>
      </c>
      <c r="AS42" s="60">
        <f>AR42/AK42</f>
        <v>0.12144928225778602</v>
      </c>
      <c r="AT42" s="60">
        <f>AS42*U42</f>
        <v>29095361651.933281</v>
      </c>
      <c r="AU42" s="52"/>
      <c r="AV42" s="52"/>
    </row>
    <row r="43" spans="2:48" s="66" customFormat="1" x14ac:dyDescent="0.35">
      <c r="B43" s="52" t="s">
        <v>54</v>
      </c>
      <c r="C43" s="52" t="s">
        <v>55</v>
      </c>
      <c r="D43" s="62">
        <v>44080</v>
      </c>
      <c r="E43" s="63" t="s">
        <v>57</v>
      </c>
      <c r="F43" s="64" t="s">
        <v>58</v>
      </c>
      <c r="G43" s="52" t="s">
        <v>59</v>
      </c>
      <c r="H43" s="52">
        <v>-20</v>
      </c>
      <c r="I43" s="52" t="s">
        <v>60</v>
      </c>
      <c r="J43" s="52" t="s">
        <v>61</v>
      </c>
      <c r="K43" s="52" t="s">
        <v>62</v>
      </c>
      <c r="L43" s="52" t="s">
        <v>63</v>
      </c>
      <c r="M43" s="52" t="s">
        <v>60</v>
      </c>
      <c r="N43" s="52">
        <v>50</v>
      </c>
      <c r="O43" s="52" t="s">
        <v>64</v>
      </c>
      <c r="P43" s="52" t="s">
        <v>65</v>
      </c>
      <c r="Q43" s="87" t="s">
        <v>77</v>
      </c>
      <c r="R43" s="52">
        <v>4</v>
      </c>
      <c r="S43" s="52">
        <v>260</v>
      </c>
      <c r="T43" s="52">
        <v>188880</v>
      </c>
      <c r="U43" s="55">
        <f t="shared" si="0"/>
        <v>188880000000</v>
      </c>
      <c r="V43" s="52" t="s">
        <v>60</v>
      </c>
      <c r="W43" s="52" t="s">
        <v>66</v>
      </c>
      <c r="X43" s="52" t="s">
        <v>60</v>
      </c>
      <c r="Y43" s="88">
        <v>16.66</v>
      </c>
      <c r="Z43" s="88">
        <v>16.649999999999999</v>
      </c>
      <c r="AA43" s="52"/>
      <c r="AB43" s="58">
        <f t="shared" si="31"/>
        <v>16.655000000000001</v>
      </c>
      <c r="AC43" s="58">
        <f t="shared" si="32"/>
        <v>20.658202371195607</v>
      </c>
      <c r="AD43" s="60">
        <f t="shared" si="33"/>
        <v>2419488828.8500385</v>
      </c>
      <c r="AE43" s="58">
        <f t="shared" ref="AE43:AE50" si="35">AD43*100/AD$50</f>
        <v>26.131340518156726</v>
      </c>
      <c r="AF43" s="52">
        <v>18.559999999999999</v>
      </c>
      <c r="AG43" s="52">
        <v>18.940000000000001</v>
      </c>
      <c r="AH43" s="52"/>
      <c r="AI43" s="58">
        <f t="shared" si="34"/>
        <v>18.75</v>
      </c>
      <c r="AJ43" s="52">
        <f t="shared" ref="AJ43:AJ49" si="36">EXP((AI43-31.794)/-1.377)</f>
        <v>13000.809250329807</v>
      </c>
      <c r="AK43" s="60">
        <f t="shared" ref="AK43:AK106" si="37">(AJ43/5)*(50/50)</f>
        <v>2600.1618500659615</v>
      </c>
      <c r="AL43" s="52">
        <v>31.12</v>
      </c>
      <c r="AM43" s="52">
        <v>31.21</v>
      </c>
      <c r="AN43" s="52"/>
      <c r="AO43" s="57">
        <f t="shared" ref="AO43:AO49" si="38">AVERAGE(AL43:AN43)</f>
        <v>31.164999999999999</v>
      </c>
      <c r="AP43" s="52">
        <f t="shared" ref="AP43:AP49" si="39">EXP((AO43-15.746)/-1.512)</f>
        <v>3.725399678133435E-5</v>
      </c>
      <c r="AQ43" s="52">
        <f t="shared" ref="AQ43:AQ49" si="40">(AP43*(6.0221*10^23))/(29903*340*10^9)</f>
        <v>2206.6180062287035</v>
      </c>
      <c r="AR43" s="60">
        <f t="shared" ref="AR43:AR106" si="41">(AQ43/5)*(50/50)</f>
        <v>441.32360124574069</v>
      </c>
      <c r="AS43" s="60">
        <f t="shared" ref="AS43:AS49" si="42">AR43/AK43</f>
        <v>0.16972928098093013</v>
      </c>
      <c r="AT43" s="60">
        <f>AS43*U43</f>
        <v>32058466591.678082</v>
      </c>
      <c r="AU43" s="52"/>
      <c r="AV43" s="52"/>
    </row>
    <row r="44" spans="2:48" s="66" customFormat="1" x14ac:dyDescent="0.35">
      <c r="B44" s="52" t="s">
        <v>54</v>
      </c>
      <c r="C44" s="52" t="s">
        <v>55</v>
      </c>
      <c r="D44" s="62">
        <v>44087</v>
      </c>
      <c r="E44" s="63" t="s">
        <v>57</v>
      </c>
      <c r="F44" s="64" t="s">
        <v>58</v>
      </c>
      <c r="G44" s="52" t="s">
        <v>59</v>
      </c>
      <c r="H44" s="52">
        <v>-20</v>
      </c>
      <c r="I44" s="52" t="s">
        <v>60</v>
      </c>
      <c r="J44" s="52" t="s">
        <v>61</v>
      </c>
      <c r="K44" s="52" t="s">
        <v>62</v>
      </c>
      <c r="L44" s="52" t="s">
        <v>63</v>
      </c>
      <c r="M44" s="52" t="s">
        <v>60</v>
      </c>
      <c r="N44" s="52">
        <v>50</v>
      </c>
      <c r="O44" s="52" t="s">
        <v>64</v>
      </c>
      <c r="P44" s="52" t="s">
        <v>65</v>
      </c>
      <c r="Q44" s="87" t="s">
        <v>78</v>
      </c>
      <c r="R44" s="52">
        <v>4</v>
      </c>
      <c r="S44" s="52">
        <v>330</v>
      </c>
      <c r="T44" s="52">
        <v>303552</v>
      </c>
      <c r="U44" s="55">
        <f t="shared" si="0"/>
        <v>303552000000</v>
      </c>
      <c r="V44" s="52" t="s">
        <v>60</v>
      </c>
      <c r="W44" s="52" t="s">
        <v>66</v>
      </c>
      <c r="X44" s="52" t="s">
        <v>60</v>
      </c>
      <c r="Y44" s="88">
        <v>17.600000000000001</v>
      </c>
      <c r="Z44" s="88">
        <v>17.829999999999998</v>
      </c>
      <c r="AA44" s="52"/>
      <c r="AB44" s="58">
        <f t="shared" si="31"/>
        <v>17.715</v>
      </c>
      <c r="AC44" s="58">
        <f t="shared" si="32"/>
        <v>10.161517227239157</v>
      </c>
      <c r="AD44" s="60">
        <f t="shared" si="33"/>
        <v>1190116979.8662131</v>
      </c>
      <c r="AE44" s="58">
        <f t="shared" si="35"/>
        <v>12.853686979867369</v>
      </c>
      <c r="AF44" s="52">
        <v>20.149999999999999</v>
      </c>
      <c r="AG44" s="52">
        <v>20.170000000000002</v>
      </c>
      <c r="AH44" s="52"/>
      <c r="AI44" s="58">
        <f t="shared" si="34"/>
        <v>20.16</v>
      </c>
      <c r="AJ44" s="52">
        <f t="shared" si="36"/>
        <v>4669.4741514454709</v>
      </c>
      <c r="AK44" s="60">
        <f t="shared" si="37"/>
        <v>933.89483028909422</v>
      </c>
      <c r="AL44" s="52">
        <v>32.21</v>
      </c>
      <c r="AM44" s="52">
        <v>33.08</v>
      </c>
      <c r="AN44" s="52"/>
      <c r="AO44" s="57">
        <f t="shared" si="38"/>
        <v>32.644999999999996</v>
      </c>
      <c r="AP44" s="52">
        <f t="shared" si="39"/>
        <v>1.3998123100487869E-5</v>
      </c>
      <c r="AQ44" s="52">
        <f t="shared" si="40"/>
        <v>829.13279528758653</v>
      </c>
      <c r="AR44" s="60">
        <f t="shared" si="41"/>
        <v>165.8265590575173</v>
      </c>
      <c r="AS44" s="60">
        <f t="shared" si="42"/>
        <v>0.17756448978969552</v>
      </c>
      <c r="AT44" s="60">
        <f t="shared" ref="AT44:AT49" si="43">AS44*U44</f>
        <v>53900056004.641655</v>
      </c>
      <c r="AU44" s="52"/>
      <c r="AV44" s="52"/>
    </row>
    <row r="45" spans="2:48" s="66" customFormat="1" x14ac:dyDescent="0.35">
      <c r="B45" s="52" t="s">
        <v>54</v>
      </c>
      <c r="C45" s="52" t="s">
        <v>55</v>
      </c>
      <c r="D45" s="62">
        <v>44090</v>
      </c>
      <c r="E45" s="63" t="s">
        <v>57</v>
      </c>
      <c r="F45" s="64" t="s">
        <v>58</v>
      </c>
      <c r="G45" s="52" t="s">
        <v>59</v>
      </c>
      <c r="H45" s="52">
        <v>-20</v>
      </c>
      <c r="I45" s="52" t="s">
        <v>60</v>
      </c>
      <c r="J45" s="52" t="s">
        <v>61</v>
      </c>
      <c r="K45" s="52" t="s">
        <v>62</v>
      </c>
      <c r="L45" s="52" t="s">
        <v>63</v>
      </c>
      <c r="M45" s="52" t="s">
        <v>60</v>
      </c>
      <c r="N45" s="52">
        <v>50</v>
      </c>
      <c r="O45" s="52" t="s">
        <v>64</v>
      </c>
      <c r="P45" s="52" t="s">
        <v>65</v>
      </c>
      <c r="Q45" s="87" t="s">
        <v>79</v>
      </c>
      <c r="R45" s="52">
        <v>4</v>
      </c>
      <c r="S45" s="52">
        <v>250</v>
      </c>
      <c r="T45" s="52">
        <v>188736</v>
      </c>
      <c r="U45" s="55">
        <f t="shared" si="0"/>
        <v>188736000000</v>
      </c>
      <c r="V45" s="52" t="s">
        <v>60</v>
      </c>
      <c r="W45" s="52" t="s">
        <v>66</v>
      </c>
      <c r="X45" s="52" t="s">
        <v>60</v>
      </c>
      <c r="Y45" s="88">
        <v>17.190000000000001</v>
      </c>
      <c r="Z45" s="88">
        <v>17.45</v>
      </c>
      <c r="AA45" s="52"/>
      <c r="AB45" s="58">
        <f t="shared" si="31"/>
        <v>17.32</v>
      </c>
      <c r="AC45" s="58">
        <f t="shared" si="32"/>
        <v>13.23677130077083</v>
      </c>
      <c r="AD45" s="60">
        <f t="shared" si="33"/>
        <v>1550290761.8386486</v>
      </c>
      <c r="AE45" s="58">
        <f t="shared" si="35"/>
        <v>16.743692021513876</v>
      </c>
      <c r="AF45" s="52">
        <v>19.95</v>
      </c>
      <c r="AG45" s="52">
        <v>20.079999999999998</v>
      </c>
      <c r="AH45" s="52"/>
      <c r="AI45" s="58">
        <f t="shared" si="34"/>
        <v>20.015000000000001</v>
      </c>
      <c r="AJ45" s="52">
        <f t="shared" si="36"/>
        <v>5187.9978070029765</v>
      </c>
      <c r="AK45" s="60">
        <f t="shared" si="37"/>
        <v>1037.5995614005953</v>
      </c>
      <c r="AL45" s="52">
        <v>32.14</v>
      </c>
      <c r="AM45" s="52">
        <v>32.04</v>
      </c>
      <c r="AN45" s="52"/>
      <c r="AO45" s="57">
        <f t="shared" si="38"/>
        <v>32.090000000000003</v>
      </c>
      <c r="AP45" s="52">
        <f t="shared" si="39"/>
        <v>2.0206144643853772E-5</v>
      </c>
      <c r="AQ45" s="52">
        <f t="shared" si="40"/>
        <v>1196.8445391053799</v>
      </c>
      <c r="AR45" s="60">
        <f t="shared" si="41"/>
        <v>239.36890782107599</v>
      </c>
      <c r="AS45" s="60">
        <f t="shared" si="42"/>
        <v>0.23069488146078804</v>
      </c>
      <c r="AT45" s="60">
        <f t="shared" si="43"/>
        <v>43540429147.383293</v>
      </c>
      <c r="AU45" s="52"/>
      <c r="AV45" s="52"/>
    </row>
    <row r="46" spans="2:48" s="66" customFormat="1" x14ac:dyDescent="0.35">
      <c r="B46" s="52" t="s">
        <v>54</v>
      </c>
      <c r="C46" s="52" t="s">
        <v>55</v>
      </c>
      <c r="D46" s="62">
        <v>44098</v>
      </c>
      <c r="E46" s="63" t="s">
        <v>57</v>
      </c>
      <c r="F46" s="64" t="s">
        <v>58</v>
      </c>
      <c r="G46" s="52" t="s">
        <v>59</v>
      </c>
      <c r="H46" s="52">
        <v>-20</v>
      </c>
      <c r="I46" s="52" t="s">
        <v>60</v>
      </c>
      <c r="J46" s="52" t="s">
        <v>61</v>
      </c>
      <c r="K46" s="52" t="s">
        <v>62</v>
      </c>
      <c r="L46" s="52" t="s">
        <v>63</v>
      </c>
      <c r="M46" s="52" t="s">
        <v>60</v>
      </c>
      <c r="N46" s="52">
        <v>50</v>
      </c>
      <c r="O46" s="52" t="s">
        <v>64</v>
      </c>
      <c r="P46" s="52" t="s">
        <v>65</v>
      </c>
      <c r="Q46" s="87" t="s">
        <v>80</v>
      </c>
      <c r="R46" s="52">
        <v>4</v>
      </c>
      <c r="S46" s="52">
        <v>260</v>
      </c>
      <c r="T46" s="52">
        <v>185736</v>
      </c>
      <c r="U46" s="55">
        <f t="shared" si="0"/>
        <v>185736000000</v>
      </c>
      <c r="V46" s="52" t="s">
        <v>60</v>
      </c>
      <c r="W46" s="52" t="s">
        <v>66</v>
      </c>
      <c r="X46" s="52" t="s">
        <v>60</v>
      </c>
      <c r="Y46" s="58">
        <v>17.53</v>
      </c>
      <c r="Z46" s="58">
        <v>17.399999999999999</v>
      </c>
      <c r="AA46" s="52"/>
      <c r="AB46" s="58">
        <f t="shared" si="31"/>
        <v>17.465</v>
      </c>
      <c r="AC46" s="58">
        <f t="shared" si="32"/>
        <v>12.012451959753987</v>
      </c>
      <c r="AD46" s="60">
        <f t="shared" si="33"/>
        <v>1406898470.7133753</v>
      </c>
      <c r="AE46" s="58">
        <f t="shared" si="35"/>
        <v>15.195004239866165</v>
      </c>
      <c r="AF46" s="52">
        <v>19.68</v>
      </c>
      <c r="AG46" s="52">
        <v>19.690000000000001</v>
      </c>
      <c r="AH46" s="52"/>
      <c r="AI46" s="58">
        <f t="shared" si="34"/>
        <v>19.685000000000002</v>
      </c>
      <c r="AJ46" s="52">
        <f t="shared" si="36"/>
        <v>6592.9392111012985</v>
      </c>
      <c r="AK46" s="60">
        <f t="shared" si="37"/>
        <v>1318.5878422202597</v>
      </c>
      <c r="AL46" s="52">
        <v>31.89</v>
      </c>
      <c r="AM46" s="52">
        <v>32.24</v>
      </c>
      <c r="AN46" s="52"/>
      <c r="AO46" s="57">
        <f t="shared" si="38"/>
        <v>32.064999999999998</v>
      </c>
      <c r="AP46" s="52">
        <f t="shared" si="39"/>
        <v>2.0543018276385664E-5</v>
      </c>
      <c r="AQ46" s="52">
        <f t="shared" si="40"/>
        <v>1216.7981410700688</v>
      </c>
      <c r="AR46" s="60">
        <f t="shared" si="41"/>
        <v>243.35962821401375</v>
      </c>
      <c r="AS46" s="60">
        <f t="shared" si="42"/>
        <v>0.18456080089760332</v>
      </c>
      <c r="AT46" s="60">
        <f t="shared" si="43"/>
        <v>34279584915.51725</v>
      </c>
      <c r="AU46" s="52"/>
      <c r="AV46" s="52"/>
    </row>
    <row r="47" spans="2:48" s="77" customFormat="1" x14ac:dyDescent="0.35">
      <c r="B47" s="68" t="s">
        <v>54</v>
      </c>
      <c r="C47" s="68" t="s">
        <v>82</v>
      </c>
      <c r="D47" s="69">
        <v>44077</v>
      </c>
      <c r="E47" s="70" t="s">
        <v>57</v>
      </c>
      <c r="F47" s="71" t="s">
        <v>58</v>
      </c>
      <c r="G47" s="68" t="s">
        <v>59</v>
      </c>
      <c r="H47" s="68">
        <v>-20</v>
      </c>
      <c r="I47" s="68" t="s">
        <v>60</v>
      </c>
      <c r="J47" s="68" t="s">
        <v>61</v>
      </c>
      <c r="K47" s="68" t="s">
        <v>62</v>
      </c>
      <c r="L47" s="68" t="s">
        <v>63</v>
      </c>
      <c r="M47" s="68" t="s">
        <v>60</v>
      </c>
      <c r="N47" s="68">
        <v>50</v>
      </c>
      <c r="O47" s="68" t="s">
        <v>64</v>
      </c>
      <c r="P47" s="68" t="s">
        <v>65</v>
      </c>
      <c r="Q47" s="72" t="s">
        <v>79</v>
      </c>
      <c r="R47" s="68">
        <v>4</v>
      </c>
      <c r="S47" s="68" t="s">
        <v>60</v>
      </c>
      <c r="T47" s="68">
        <v>185304</v>
      </c>
      <c r="U47" s="73">
        <f t="shared" si="0"/>
        <v>185304000000</v>
      </c>
      <c r="V47" s="68" t="s">
        <v>60</v>
      </c>
      <c r="W47" s="68" t="s">
        <v>66</v>
      </c>
      <c r="X47" s="68" t="s">
        <v>60</v>
      </c>
      <c r="Y47" s="74">
        <v>17.72</v>
      </c>
      <c r="Z47" s="74">
        <v>17.690000000000001</v>
      </c>
      <c r="AA47" s="68"/>
      <c r="AB47" s="74">
        <f t="shared" si="31"/>
        <v>17.704999999999998</v>
      </c>
      <c r="AC47" s="74">
        <f t="shared" si="32"/>
        <v>10.229760875069042</v>
      </c>
      <c r="AD47" s="75">
        <f t="shared" si="33"/>
        <v>1198109676.4521759</v>
      </c>
      <c r="AE47" s="74">
        <f t="shared" si="35"/>
        <v>12.940010947829384</v>
      </c>
      <c r="AF47" s="68">
        <v>20.52</v>
      </c>
      <c r="AG47" s="68">
        <v>20.66</v>
      </c>
      <c r="AH47" s="68"/>
      <c r="AI47" s="74">
        <f t="shared" si="34"/>
        <v>20.59</v>
      </c>
      <c r="AJ47" s="68">
        <f t="shared" si="36"/>
        <v>3417.0356512265503</v>
      </c>
      <c r="AK47" s="75">
        <f t="shared" si="37"/>
        <v>683.4071302453101</v>
      </c>
      <c r="AL47" s="68">
        <v>34.020000000000003</v>
      </c>
      <c r="AM47" s="68">
        <v>34.090000000000003</v>
      </c>
      <c r="AN47" s="68"/>
      <c r="AO47" s="76">
        <f t="shared" si="38"/>
        <v>34.055000000000007</v>
      </c>
      <c r="AP47" s="68">
        <f t="shared" si="39"/>
        <v>5.509002508505579E-6</v>
      </c>
      <c r="AQ47" s="68">
        <f t="shared" si="40"/>
        <v>326.30764969943448</v>
      </c>
      <c r="AR47" s="75">
        <f t="shared" si="41"/>
        <v>65.261529939886898</v>
      </c>
      <c r="AS47" s="75">
        <f t="shared" si="42"/>
        <v>9.5494365000934611E-2</v>
      </c>
      <c r="AT47" s="75">
        <f t="shared" si="43"/>
        <v>17695487812.133186</v>
      </c>
      <c r="AU47" s="68"/>
      <c r="AV47" s="68"/>
    </row>
    <row r="48" spans="2:48" s="77" customFormat="1" x14ac:dyDescent="0.35">
      <c r="B48" s="68" t="s">
        <v>54</v>
      </c>
      <c r="C48" s="68" t="s">
        <v>82</v>
      </c>
      <c r="D48" s="69">
        <v>44087</v>
      </c>
      <c r="E48" s="70" t="s">
        <v>57</v>
      </c>
      <c r="F48" s="71" t="s">
        <v>58</v>
      </c>
      <c r="G48" s="68" t="s">
        <v>59</v>
      </c>
      <c r="H48" s="68">
        <v>-20</v>
      </c>
      <c r="I48" s="68" t="s">
        <v>60</v>
      </c>
      <c r="J48" s="68" t="s">
        <v>61</v>
      </c>
      <c r="K48" s="68" t="s">
        <v>62</v>
      </c>
      <c r="L48" s="68" t="s">
        <v>63</v>
      </c>
      <c r="M48" s="68" t="s">
        <v>60</v>
      </c>
      <c r="N48" s="68">
        <v>50</v>
      </c>
      <c r="O48" s="68" t="s">
        <v>64</v>
      </c>
      <c r="P48" s="68" t="s">
        <v>65</v>
      </c>
      <c r="Q48" s="72" t="s">
        <v>81</v>
      </c>
      <c r="R48" s="68">
        <v>4</v>
      </c>
      <c r="S48" s="68">
        <v>230</v>
      </c>
      <c r="T48" s="68">
        <v>220776</v>
      </c>
      <c r="U48" s="73">
        <f t="shared" si="0"/>
        <v>220776000000</v>
      </c>
      <c r="V48" s="68" t="s">
        <v>60</v>
      </c>
      <c r="W48" s="68" t="s">
        <v>66</v>
      </c>
      <c r="X48" s="68" t="s">
        <v>60</v>
      </c>
      <c r="Y48" s="74">
        <v>18.190000000000001</v>
      </c>
      <c r="Z48" s="74">
        <v>18.079999999999998</v>
      </c>
      <c r="AA48" s="68"/>
      <c r="AB48" s="74">
        <f t="shared" si="31"/>
        <v>18.134999999999998</v>
      </c>
      <c r="AC48" s="74">
        <f t="shared" si="32"/>
        <v>7.671278319835289</v>
      </c>
      <c r="AD48" s="75">
        <f t="shared" si="33"/>
        <v>898460178.88374329</v>
      </c>
      <c r="AE48" s="74">
        <f t="shared" si="35"/>
        <v>9.7036897201025614</v>
      </c>
      <c r="AF48" s="68">
        <v>20.45</v>
      </c>
      <c r="AG48" s="68">
        <v>20.25</v>
      </c>
      <c r="AH48" s="68"/>
      <c r="AI48" s="74">
        <f t="shared" si="34"/>
        <v>20.350000000000001</v>
      </c>
      <c r="AJ48" s="68">
        <f t="shared" si="36"/>
        <v>4067.649627581799</v>
      </c>
      <c r="AK48" s="75">
        <f t="shared" si="37"/>
        <v>813.52992551635975</v>
      </c>
      <c r="AL48" s="68">
        <v>33.74</v>
      </c>
      <c r="AM48" s="68">
        <v>34.61</v>
      </c>
      <c r="AN48" s="68"/>
      <c r="AO48" s="76">
        <f t="shared" si="38"/>
        <v>34.174999999999997</v>
      </c>
      <c r="AP48" s="68">
        <f t="shared" si="39"/>
        <v>5.0886801504505041E-6</v>
      </c>
      <c r="AQ48" s="68">
        <f t="shared" si="40"/>
        <v>301.41123686220715</v>
      </c>
      <c r="AR48" s="75">
        <f t="shared" si="41"/>
        <v>60.282247372441432</v>
      </c>
      <c r="AS48" s="75">
        <f t="shared" si="42"/>
        <v>7.4099606519304598E-2</v>
      </c>
      <c r="AT48" s="75">
        <f t="shared" si="43"/>
        <v>16359414728.905993</v>
      </c>
      <c r="AU48" s="68"/>
      <c r="AV48" s="68"/>
    </row>
    <row r="49" spans="2:48" s="77" customFormat="1" x14ac:dyDescent="0.35">
      <c r="B49" s="68" t="s">
        <v>54</v>
      </c>
      <c r="C49" s="68" t="s">
        <v>82</v>
      </c>
      <c r="D49" s="69">
        <v>44098</v>
      </c>
      <c r="E49" s="70" t="s">
        <v>57</v>
      </c>
      <c r="F49" s="71" t="s">
        <v>58</v>
      </c>
      <c r="G49" s="68" t="s">
        <v>59</v>
      </c>
      <c r="H49" s="68">
        <v>-20</v>
      </c>
      <c r="I49" s="68" t="s">
        <v>60</v>
      </c>
      <c r="J49" s="68" t="s">
        <v>61</v>
      </c>
      <c r="K49" s="68" t="s">
        <v>62</v>
      </c>
      <c r="L49" s="68" t="s">
        <v>63</v>
      </c>
      <c r="M49" s="68" t="s">
        <v>60</v>
      </c>
      <c r="N49" s="68">
        <v>50</v>
      </c>
      <c r="O49" s="68" t="s">
        <v>64</v>
      </c>
      <c r="P49" s="68" t="s">
        <v>65</v>
      </c>
      <c r="Q49" s="72" t="s">
        <v>83</v>
      </c>
      <c r="R49" s="68">
        <v>4</v>
      </c>
      <c r="S49" s="68">
        <v>290</v>
      </c>
      <c r="T49" s="68">
        <v>135072</v>
      </c>
      <c r="U49" s="73">
        <f t="shared" si="0"/>
        <v>135072000000</v>
      </c>
      <c r="V49" s="68" t="s">
        <v>60</v>
      </c>
      <c r="W49" s="68" t="s">
        <v>66</v>
      </c>
      <c r="X49" s="68" t="s">
        <v>60</v>
      </c>
      <c r="Y49" s="74">
        <v>17.91</v>
      </c>
      <c r="Z49" s="74">
        <v>17.760000000000002</v>
      </c>
      <c r="AA49" s="68"/>
      <c r="AB49" s="74">
        <f t="shared" si="31"/>
        <v>17.835000000000001</v>
      </c>
      <c r="AC49" s="74">
        <f t="shared" si="32"/>
        <v>9.377249401630678</v>
      </c>
      <c r="AD49" s="75">
        <f t="shared" si="33"/>
        <v>1098263525.7858133</v>
      </c>
      <c r="AE49" s="74">
        <f t="shared" si="35"/>
        <v>11.861636982478203</v>
      </c>
      <c r="AF49" s="68">
        <v>20.54</v>
      </c>
      <c r="AG49" s="68">
        <v>20.11</v>
      </c>
      <c r="AH49" s="68"/>
      <c r="AI49" s="74">
        <f t="shared" si="34"/>
        <v>20.324999999999999</v>
      </c>
      <c r="AJ49" s="68">
        <f t="shared" si="36"/>
        <v>4142.1739382557043</v>
      </c>
      <c r="AK49" s="75">
        <f t="shared" si="37"/>
        <v>828.43478765114082</v>
      </c>
      <c r="AL49" s="68">
        <v>32.29</v>
      </c>
      <c r="AM49" s="68">
        <v>33.11</v>
      </c>
      <c r="AN49" s="68"/>
      <c r="AO49" s="76">
        <f t="shared" si="38"/>
        <v>32.700000000000003</v>
      </c>
      <c r="AP49" s="68">
        <f t="shared" si="39"/>
        <v>1.349808191529249E-5</v>
      </c>
      <c r="AQ49" s="68">
        <f t="shared" si="40"/>
        <v>799.51449984442741</v>
      </c>
      <c r="AR49" s="75">
        <f t="shared" si="41"/>
        <v>159.90289996888549</v>
      </c>
      <c r="AS49" s="75">
        <f t="shared" si="42"/>
        <v>0.19301808947721499</v>
      </c>
      <c r="AT49" s="75">
        <f t="shared" si="43"/>
        <v>26071339381.866383</v>
      </c>
      <c r="AU49" s="68"/>
      <c r="AV49" s="68"/>
    </row>
    <row r="50" spans="2:48" s="5" customFormat="1" x14ac:dyDescent="0.35">
      <c r="B50" s="8"/>
      <c r="C50" s="8"/>
      <c r="D50" s="17"/>
      <c r="E50" s="10" t="s">
        <v>75</v>
      </c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20"/>
      <c r="R50" s="8"/>
      <c r="S50" s="8"/>
      <c r="T50" s="8"/>
      <c r="U50" s="24"/>
      <c r="V50" s="8"/>
      <c r="W50" s="8"/>
      <c r="X50" s="8"/>
      <c r="Y50" s="18">
        <v>14.7</v>
      </c>
      <c r="Z50" s="18">
        <v>14.6</v>
      </c>
      <c r="AA50" s="8"/>
      <c r="AB50" s="18">
        <f t="shared" ref="AB50" si="44">AVERAGE(Y50:AA50)</f>
        <v>14.649999999999999</v>
      </c>
      <c r="AC50" s="18">
        <f t="shared" ref="AC50" si="45">EXP((AB50-21.179)/-1.494)</f>
        <v>79.055272181087517</v>
      </c>
      <c r="AD50" s="19">
        <f t="shared" ref="AD50" si="46">(AC50*(6.0221*10^23))/(15123*340*10^9)</f>
        <v>9258954117.4472675</v>
      </c>
      <c r="AE50" s="58">
        <f t="shared" si="35"/>
        <v>100</v>
      </c>
      <c r="AF50" s="8"/>
      <c r="AG50" s="8"/>
      <c r="AH50" s="8"/>
      <c r="AI50" s="8"/>
      <c r="AJ50" s="8"/>
      <c r="AK50" s="60">
        <f t="shared" si="37"/>
        <v>0</v>
      </c>
      <c r="AL50" s="8"/>
      <c r="AM50" s="8"/>
      <c r="AN50" s="8"/>
      <c r="AO50" s="8"/>
      <c r="AP50" s="8"/>
      <c r="AQ50" s="8"/>
      <c r="AR50" s="60">
        <f t="shared" si="41"/>
        <v>0</v>
      </c>
      <c r="AS50" s="8"/>
      <c r="AT50" s="8"/>
      <c r="AU50" s="8"/>
      <c r="AV50" s="8"/>
    </row>
    <row r="51" spans="2:48" s="5" customFormat="1" x14ac:dyDescent="0.35">
      <c r="B51" s="8"/>
      <c r="C51" s="8"/>
      <c r="D51" s="17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20"/>
      <c r="R51" s="8"/>
      <c r="S51" s="8"/>
      <c r="T51" s="8"/>
      <c r="U51" s="24"/>
      <c r="V51" s="8"/>
      <c r="W51" s="8"/>
      <c r="X51" s="8"/>
      <c r="Y51" s="18"/>
      <c r="Z51" s="18"/>
      <c r="AA51" s="8"/>
      <c r="AB51" s="18"/>
      <c r="AC51" s="18"/>
      <c r="AD51" s="19"/>
      <c r="AE51" s="8"/>
      <c r="AF51" s="8"/>
      <c r="AG51" s="8"/>
      <c r="AH51" s="8"/>
      <c r="AI51" s="8"/>
      <c r="AJ51" s="8"/>
      <c r="AK51" s="60">
        <f t="shared" si="37"/>
        <v>0</v>
      </c>
      <c r="AL51" s="8"/>
      <c r="AM51" s="8"/>
      <c r="AN51" s="8"/>
      <c r="AO51" s="8"/>
      <c r="AP51" s="8"/>
      <c r="AQ51" s="8"/>
      <c r="AR51" s="60">
        <f t="shared" si="41"/>
        <v>0</v>
      </c>
      <c r="AS51" s="8"/>
      <c r="AT51" s="8"/>
      <c r="AU51" s="8"/>
      <c r="AV51" s="8"/>
    </row>
    <row r="52" spans="2:48" s="66" customFormat="1" x14ac:dyDescent="0.35">
      <c r="B52" s="52" t="s">
        <v>54</v>
      </c>
      <c r="C52" s="52" t="s">
        <v>55</v>
      </c>
      <c r="D52" s="62">
        <v>44063</v>
      </c>
      <c r="E52" s="63" t="s">
        <v>57</v>
      </c>
      <c r="F52" s="64" t="s">
        <v>58</v>
      </c>
      <c r="G52" s="52" t="s">
        <v>59</v>
      </c>
      <c r="H52" s="52">
        <v>-20</v>
      </c>
      <c r="I52" s="52" t="s">
        <v>60</v>
      </c>
      <c r="J52" s="52" t="s">
        <v>61</v>
      </c>
      <c r="K52" s="52" t="s">
        <v>62</v>
      </c>
      <c r="L52" s="52" t="s">
        <v>63</v>
      </c>
      <c r="M52" s="52" t="s">
        <v>60</v>
      </c>
      <c r="N52" s="52">
        <v>50</v>
      </c>
      <c r="O52" s="52" t="s">
        <v>64</v>
      </c>
      <c r="P52" s="52" t="s">
        <v>65</v>
      </c>
      <c r="Q52" s="87" t="s">
        <v>76</v>
      </c>
      <c r="R52" s="52">
        <v>4</v>
      </c>
      <c r="S52" s="52">
        <v>660</v>
      </c>
      <c r="T52" s="52">
        <v>197664</v>
      </c>
      <c r="U52" s="55">
        <f>T52*1000000</f>
        <v>197664000000</v>
      </c>
      <c r="V52" s="52" t="s">
        <v>60</v>
      </c>
      <c r="W52" s="52" t="s">
        <v>66</v>
      </c>
      <c r="X52" s="52" t="s">
        <v>60</v>
      </c>
      <c r="Y52" s="88">
        <v>20.8211017191352</v>
      </c>
      <c r="Z52" s="88">
        <v>20.781973539147501</v>
      </c>
      <c r="AA52" s="52"/>
      <c r="AB52" s="58">
        <f t="shared" ref="AB52:AB59" si="47">AVERAGE(Y52:AA52)</f>
        <v>20.80153762914135</v>
      </c>
      <c r="AC52" s="58">
        <f t="shared" ref="AC52:AC59" si="48">EXP((AB52-21.179)/-1.494)</f>
        <v>1.2874354151789584</v>
      </c>
      <c r="AD52" s="60">
        <f t="shared" ref="AD52:AD59" si="49">(AC52*(6.0221*10^23))/(15123*340*10^9)</f>
        <v>150784446.24178219</v>
      </c>
      <c r="AE52" s="91">
        <f>AD52*100/AD$62</f>
        <v>23.092176867512187</v>
      </c>
      <c r="AF52" s="52">
        <v>20.8220016328169</v>
      </c>
      <c r="AG52" s="52">
        <v>20.466638310152302</v>
      </c>
      <c r="AH52" s="52"/>
      <c r="AI52" s="58">
        <f t="shared" ref="AI52" si="50">AVERAGE(AF52:AH52)</f>
        <v>20.644319971484599</v>
      </c>
      <c r="AJ52" s="52">
        <f>EXP((AI52-31.794)/-1.377)</f>
        <v>3284.8643316821222</v>
      </c>
      <c r="AK52" s="60">
        <f t="shared" si="37"/>
        <v>656.97286633642443</v>
      </c>
      <c r="AL52" s="52">
        <v>38.793462639891402</v>
      </c>
      <c r="AM52" s="52">
        <v>36.524770427854598</v>
      </c>
      <c r="AN52" s="52"/>
      <c r="AO52" s="57">
        <f>AVERAGE(AL52:AN52)</f>
        <v>37.659116533873004</v>
      </c>
      <c r="AP52" s="52">
        <f>EXP((AO52-15.746)/-1.512)</f>
        <v>5.0799108415791373E-7</v>
      </c>
      <c r="AQ52" s="52">
        <f>(AP52*(6.0221*10^23))/(29903*340*10^9)</f>
        <v>30.089181568516363</v>
      </c>
      <c r="AR52" s="60">
        <f t="shared" si="41"/>
        <v>6.0178363137032722</v>
      </c>
      <c r="AS52" s="60">
        <f>AR52/AK52</f>
        <v>9.159946509300191E-3</v>
      </c>
      <c r="AT52" s="60">
        <f>AS52*U52</f>
        <v>1810591666.8143129</v>
      </c>
      <c r="AU52" s="52"/>
      <c r="AV52" s="52"/>
    </row>
    <row r="53" spans="2:48" s="103" customFormat="1" x14ac:dyDescent="0.35">
      <c r="B53" s="107" t="s">
        <v>54</v>
      </c>
      <c r="C53" s="107" t="s">
        <v>55</v>
      </c>
      <c r="D53" s="114">
        <v>44071</v>
      </c>
      <c r="E53" s="104" t="s">
        <v>57</v>
      </c>
      <c r="F53" s="106" t="s">
        <v>58</v>
      </c>
      <c r="G53" s="107" t="s">
        <v>59</v>
      </c>
      <c r="H53" s="107">
        <v>-20</v>
      </c>
      <c r="I53" s="107" t="s">
        <v>60</v>
      </c>
      <c r="J53" s="107" t="s">
        <v>61</v>
      </c>
      <c r="K53" s="107" t="s">
        <v>62</v>
      </c>
      <c r="L53" s="107" t="s">
        <v>63</v>
      </c>
      <c r="M53" s="107" t="s">
        <v>60</v>
      </c>
      <c r="N53" s="107">
        <v>50</v>
      </c>
      <c r="O53" s="107" t="s">
        <v>64</v>
      </c>
      <c r="P53" s="107" t="s">
        <v>65</v>
      </c>
      <c r="Q53" s="115" t="s">
        <v>77</v>
      </c>
      <c r="R53" s="107">
        <v>4</v>
      </c>
      <c r="S53" s="107">
        <v>300</v>
      </c>
      <c r="T53" s="107">
        <v>183600</v>
      </c>
      <c r="U53" s="116">
        <f t="shared" si="0"/>
        <v>183600000000</v>
      </c>
      <c r="V53" s="107" t="s">
        <v>60</v>
      </c>
      <c r="W53" s="107" t="s">
        <v>66</v>
      </c>
      <c r="X53" s="107" t="s">
        <v>60</v>
      </c>
      <c r="Y53" s="117">
        <v>22.1221366938661</v>
      </c>
      <c r="Z53" s="117">
        <v>21.999623980589298</v>
      </c>
      <c r="AA53" s="107"/>
      <c r="AB53" s="111">
        <f t="shared" si="47"/>
        <v>22.060880337227701</v>
      </c>
      <c r="AC53" s="111">
        <f t="shared" si="48"/>
        <v>0.55417134656900491</v>
      </c>
      <c r="AD53" s="112">
        <f t="shared" si="49"/>
        <v>64904552.593696482</v>
      </c>
      <c r="AE53" s="120">
        <f t="shared" ref="AE53:AE62" si="51">AD53*100/AD$62</f>
        <v>9.9399337621142099</v>
      </c>
      <c r="AF53" s="107">
        <v>22.696866216238298</v>
      </c>
      <c r="AG53" s="107">
        <v>22.5520130933951</v>
      </c>
      <c r="AH53" s="107"/>
      <c r="AI53" s="111">
        <f t="shared" ref="AI53:AI61" si="52">AVERAGE(AF53:AH53)</f>
        <v>22.624439654816697</v>
      </c>
      <c r="AJ53" s="107">
        <f t="shared" ref="AJ53:AJ61" si="53">EXP((AI53-31.794)/-1.377)</f>
        <v>779.83722967104666</v>
      </c>
      <c r="AK53" s="112">
        <f t="shared" si="37"/>
        <v>155.96744593420934</v>
      </c>
      <c r="AL53" s="107"/>
      <c r="AM53" s="107"/>
      <c r="AN53" s="107"/>
      <c r="AO53" s="113" t="e">
        <f t="shared" ref="AO53:AO61" si="54">AVERAGE(AL53:AN53)</f>
        <v>#DIV/0!</v>
      </c>
      <c r="AP53" s="107" t="e">
        <f t="shared" ref="AP53:AP61" si="55">EXP((AO53-15.746)/-1.512)</f>
        <v>#DIV/0!</v>
      </c>
      <c r="AQ53" s="107" t="e">
        <f t="shared" ref="AQ53:AQ61" si="56">(AP53*(6.0221*10^23))/(29903*340*10^9)</f>
        <v>#DIV/0!</v>
      </c>
      <c r="AR53" s="112" t="e">
        <f t="shared" si="41"/>
        <v>#DIV/0!</v>
      </c>
      <c r="AS53" s="112" t="e">
        <f t="shared" ref="AS53:AS61" si="57">AR53/AK53</f>
        <v>#DIV/0!</v>
      </c>
      <c r="AT53" s="112" t="e">
        <f t="shared" ref="AT53:AT61" si="58">AS53*U53</f>
        <v>#DIV/0!</v>
      </c>
      <c r="AU53" s="107"/>
      <c r="AV53" s="107" t="s">
        <v>87</v>
      </c>
    </row>
    <row r="54" spans="2:48" s="66" customFormat="1" x14ac:dyDescent="0.35">
      <c r="B54" s="52" t="s">
        <v>54</v>
      </c>
      <c r="C54" s="52" t="s">
        <v>55</v>
      </c>
      <c r="D54" s="62">
        <v>44083</v>
      </c>
      <c r="E54" s="63" t="s">
        <v>57</v>
      </c>
      <c r="F54" s="64" t="s">
        <v>58</v>
      </c>
      <c r="G54" s="52" t="s">
        <v>59</v>
      </c>
      <c r="H54" s="52">
        <v>-20</v>
      </c>
      <c r="I54" s="52" t="s">
        <v>60</v>
      </c>
      <c r="J54" s="52" t="s">
        <v>61</v>
      </c>
      <c r="K54" s="52" t="s">
        <v>62</v>
      </c>
      <c r="L54" s="52" t="s">
        <v>63</v>
      </c>
      <c r="M54" s="52" t="s">
        <v>60</v>
      </c>
      <c r="N54" s="52">
        <v>50</v>
      </c>
      <c r="O54" s="52" t="s">
        <v>64</v>
      </c>
      <c r="P54" s="52" t="s">
        <v>65</v>
      </c>
      <c r="Q54" s="87" t="s">
        <v>78</v>
      </c>
      <c r="R54" s="52">
        <v>4</v>
      </c>
      <c r="S54" s="52">
        <v>270</v>
      </c>
      <c r="T54" s="52">
        <v>238944</v>
      </c>
      <c r="U54" s="55">
        <f t="shared" si="0"/>
        <v>238944000000</v>
      </c>
      <c r="V54" s="52" t="s">
        <v>60</v>
      </c>
      <c r="W54" s="52" t="s">
        <v>66</v>
      </c>
      <c r="X54" s="52" t="s">
        <v>60</v>
      </c>
      <c r="Y54" s="88">
        <v>19.0636005386724</v>
      </c>
      <c r="Z54" s="88">
        <v>19.470080303242401</v>
      </c>
      <c r="AA54" s="52"/>
      <c r="AB54" s="58">
        <f t="shared" si="47"/>
        <v>19.266840420957401</v>
      </c>
      <c r="AC54" s="58">
        <f t="shared" si="48"/>
        <v>3.5962535505944673</v>
      </c>
      <c r="AD54" s="60">
        <f t="shared" si="49"/>
        <v>421193244.9411869</v>
      </c>
      <c r="AE54" s="91">
        <f t="shared" si="51"/>
        <v>64.504457522012856</v>
      </c>
      <c r="AF54" s="52">
        <v>21.247341052030599</v>
      </c>
      <c r="AG54" s="52">
        <v>21.397974806630099</v>
      </c>
      <c r="AH54" s="52"/>
      <c r="AI54" s="58">
        <f t="shared" si="52"/>
        <v>21.322657929330347</v>
      </c>
      <c r="AJ54" s="52">
        <f t="shared" si="53"/>
        <v>2007.1287004537339</v>
      </c>
      <c r="AK54" s="60">
        <f t="shared" si="37"/>
        <v>401.42574009074679</v>
      </c>
      <c r="AL54" s="52">
        <v>35.220483397130501</v>
      </c>
      <c r="AM54" s="52">
        <v>35.126743051674602</v>
      </c>
      <c r="AN54" s="52"/>
      <c r="AO54" s="57">
        <f t="shared" si="54"/>
        <v>35.173613224402551</v>
      </c>
      <c r="AP54" s="52">
        <f t="shared" si="55"/>
        <v>2.6288855541729779E-6</v>
      </c>
      <c r="AQ54" s="52">
        <f t="shared" si="56"/>
        <v>155.71339188656154</v>
      </c>
      <c r="AR54" s="60">
        <f t="shared" si="41"/>
        <v>31.142678377312308</v>
      </c>
      <c r="AS54" s="60">
        <f t="shared" si="57"/>
        <v>7.7580173035919811E-2</v>
      </c>
      <c r="AT54" s="60">
        <f t="shared" si="58"/>
        <v>18537316865.894825</v>
      </c>
      <c r="AU54" s="52"/>
      <c r="AV54" s="52"/>
    </row>
    <row r="55" spans="2:48" s="66" customFormat="1" x14ac:dyDescent="0.35">
      <c r="B55" s="52" t="s">
        <v>54</v>
      </c>
      <c r="C55" s="52" t="s">
        <v>55</v>
      </c>
      <c r="D55" s="62">
        <v>44116</v>
      </c>
      <c r="E55" s="63" t="s">
        <v>57</v>
      </c>
      <c r="F55" s="64" t="s">
        <v>58</v>
      </c>
      <c r="G55" s="52" t="s">
        <v>59</v>
      </c>
      <c r="H55" s="52">
        <v>-20</v>
      </c>
      <c r="I55" s="52" t="s">
        <v>60</v>
      </c>
      <c r="J55" s="52" t="s">
        <v>61</v>
      </c>
      <c r="K55" s="52" t="s">
        <v>62</v>
      </c>
      <c r="L55" s="52" t="s">
        <v>63</v>
      </c>
      <c r="M55" s="52" t="s">
        <v>60</v>
      </c>
      <c r="N55" s="52">
        <v>50</v>
      </c>
      <c r="O55" s="52" t="s">
        <v>64</v>
      </c>
      <c r="P55" s="52" t="s">
        <v>65</v>
      </c>
      <c r="Q55" s="87" t="s">
        <v>79</v>
      </c>
      <c r="R55" s="52">
        <v>4</v>
      </c>
      <c r="S55" s="52">
        <v>210</v>
      </c>
      <c r="T55" s="52">
        <v>221040</v>
      </c>
      <c r="U55" s="55">
        <f t="shared" si="0"/>
        <v>221040000000</v>
      </c>
      <c r="V55" s="52" t="s">
        <v>60</v>
      </c>
      <c r="W55" s="52" t="s">
        <v>66</v>
      </c>
      <c r="X55" s="52" t="s">
        <v>60</v>
      </c>
      <c r="Y55" s="88">
        <v>20.786342255565099</v>
      </c>
      <c r="Z55" s="88">
        <v>20.715641519411001</v>
      </c>
      <c r="AA55" s="52"/>
      <c r="AB55" s="58">
        <f t="shared" si="47"/>
        <v>20.750991887488048</v>
      </c>
      <c r="AC55" s="58">
        <f t="shared" si="48"/>
        <v>1.3317377660430187</v>
      </c>
      <c r="AD55" s="60">
        <f t="shared" si="49"/>
        <v>155973137.93341002</v>
      </c>
      <c r="AE55" s="91">
        <f t="shared" si="51"/>
        <v>23.886809133906112</v>
      </c>
      <c r="AF55" s="52">
        <v>23.778807387312899</v>
      </c>
      <c r="AG55" s="52">
        <v>23.775519380017801</v>
      </c>
      <c r="AH55" s="52"/>
      <c r="AI55" s="58">
        <f t="shared" si="52"/>
        <v>23.77716338366535</v>
      </c>
      <c r="AJ55" s="52">
        <f t="shared" si="53"/>
        <v>337.63260168801821</v>
      </c>
      <c r="AK55" s="60">
        <f t="shared" si="37"/>
        <v>67.526520337603642</v>
      </c>
      <c r="AL55" s="52">
        <v>37.454365200729903</v>
      </c>
      <c r="AM55" s="52">
        <v>35.2470188764675</v>
      </c>
      <c r="AN55" s="52"/>
      <c r="AO55" s="57">
        <f t="shared" si="54"/>
        <v>36.350692038598702</v>
      </c>
      <c r="AP55" s="52">
        <f t="shared" si="55"/>
        <v>1.2069164680848573E-6</v>
      </c>
      <c r="AQ55" s="52">
        <f t="shared" si="56"/>
        <v>71.487728581765538</v>
      </c>
      <c r="AR55" s="60">
        <f t="shared" si="41"/>
        <v>14.297545716353108</v>
      </c>
      <c r="AS55" s="60">
        <f t="shared" si="57"/>
        <v>0.21173230376556515</v>
      </c>
      <c r="AT55" s="60">
        <f t="shared" si="58"/>
        <v>46801308424.340523</v>
      </c>
      <c r="AU55" s="52"/>
      <c r="AV55" s="52"/>
    </row>
    <row r="56" spans="2:48" s="66" customFormat="1" x14ac:dyDescent="0.35">
      <c r="B56" s="52" t="s">
        <v>54</v>
      </c>
      <c r="C56" s="52" t="s">
        <v>55</v>
      </c>
      <c r="D56" s="62">
        <v>44130</v>
      </c>
      <c r="E56" s="63" t="s">
        <v>57</v>
      </c>
      <c r="F56" s="64" t="s">
        <v>58</v>
      </c>
      <c r="G56" s="52" t="s">
        <v>59</v>
      </c>
      <c r="H56" s="52">
        <v>-20</v>
      </c>
      <c r="I56" s="52" t="s">
        <v>60</v>
      </c>
      <c r="J56" s="52" t="s">
        <v>61</v>
      </c>
      <c r="K56" s="52" t="s">
        <v>62</v>
      </c>
      <c r="L56" s="52" t="s">
        <v>63</v>
      </c>
      <c r="M56" s="52" t="s">
        <v>60</v>
      </c>
      <c r="N56" s="52">
        <v>50</v>
      </c>
      <c r="O56" s="52" t="s">
        <v>64</v>
      </c>
      <c r="P56" s="52" t="s">
        <v>65</v>
      </c>
      <c r="Q56" s="87" t="s">
        <v>80</v>
      </c>
      <c r="R56" s="52">
        <v>4</v>
      </c>
      <c r="S56" s="52">
        <v>210</v>
      </c>
      <c r="T56" s="52">
        <v>294528</v>
      </c>
      <c r="U56" s="55">
        <f t="shared" si="0"/>
        <v>294528000000</v>
      </c>
      <c r="V56" s="52" t="s">
        <v>60</v>
      </c>
      <c r="W56" s="52" t="s">
        <v>66</v>
      </c>
      <c r="X56" s="52" t="s">
        <v>60</v>
      </c>
      <c r="Y56" s="58">
        <v>19.698250415872899</v>
      </c>
      <c r="Z56" s="58">
        <v>19.482391329685701</v>
      </c>
      <c r="AA56" s="52"/>
      <c r="AB56" s="58">
        <f t="shared" si="47"/>
        <v>19.590320872779301</v>
      </c>
      <c r="AC56" s="58">
        <f t="shared" si="48"/>
        <v>2.8961228951286131</v>
      </c>
      <c r="AD56" s="60">
        <f t="shared" si="49"/>
        <v>339193936.90860474</v>
      </c>
      <c r="AE56" s="91">
        <f t="shared" si="51"/>
        <v>51.946514237426904</v>
      </c>
      <c r="AF56" s="52">
        <v>23.1039134727929</v>
      </c>
      <c r="AG56" s="52">
        <v>23.000637049194602</v>
      </c>
      <c r="AH56" s="52"/>
      <c r="AI56" s="58">
        <f t="shared" si="52"/>
        <v>23.052275260993753</v>
      </c>
      <c r="AJ56" s="52">
        <f t="shared" si="53"/>
        <v>571.56829587837046</v>
      </c>
      <c r="AK56" s="60">
        <f t="shared" si="37"/>
        <v>114.31365917567409</v>
      </c>
      <c r="AL56" s="52">
        <v>35.065238818214098</v>
      </c>
      <c r="AM56" s="52">
        <v>36.045551751208897</v>
      </c>
      <c r="AN56" s="52"/>
      <c r="AO56" s="57">
        <f t="shared" si="54"/>
        <v>35.555395284711494</v>
      </c>
      <c r="AP56" s="52">
        <f t="shared" si="55"/>
        <v>2.0422632927349461E-6</v>
      </c>
      <c r="AQ56" s="52">
        <f t="shared" si="56"/>
        <v>120.966751075331</v>
      </c>
      <c r="AR56" s="60">
        <f t="shared" si="41"/>
        <v>24.1933502150662</v>
      </c>
      <c r="AS56" s="60">
        <f t="shared" si="57"/>
        <v>0.21164006462155607</v>
      </c>
      <c r="AT56" s="60">
        <f t="shared" si="58"/>
        <v>62333924952.857666</v>
      </c>
      <c r="AU56" s="52"/>
      <c r="AV56" s="52"/>
    </row>
    <row r="57" spans="2:48" s="77" customFormat="1" x14ac:dyDescent="0.35">
      <c r="B57" s="68" t="s">
        <v>54</v>
      </c>
      <c r="C57" s="68" t="s">
        <v>82</v>
      </c>
      <c r="D57" s="69">
        <v>44063</v>
      </c>
      <c r="E57" s="70" t="s">
        <v>57</v>
      </c>
      <c r="F57" s="71" t="s">
        <v>58</v>
      </c>
      <c r="G57" s="68" t="s">
        <v>59</v>
      </c>
      <c r="H57" s="68">
        <v>-20</v>
      </c>
      <c r="I57" s="68" t="s">
        <v>60</v>
      </c>
      <c r="J57" s="68" t="s">
        <v>61</v>
      </c>
      <c r="K57" s="68" t="s">
        <v>62</v>
      </c>
      <c r="L57" s="68" t="s">
        <v>63</v>
      </c>
      <c r="M57" s="68" t="s">
        <v>60</v>
      </c>
      <c r="N57" s="68">
        <v>50</v>
      </c>
      <c r="O57" s="68" t="s">
        <v>64</v>
      </c>
      <c r="P57" s="68" t="s">
        <v>65</v>
      </c>
      <c r="Q57" s="72" t="s">
        <v>79</v>
      </c>
      <c r="R57" s="68">
        <v>4</v>
      </c>
      <c r="S57" s="68">
        <v>240</v>
      </c>
      <c r="T57" s="68">
        <v>145800</v>
      </c>
      <c r="U57" s="73">
        <f t="shared" si="0"/>
        <v>145800000000</v>
      </c>
      <c r="V57" s="68" t="s">
        <v>60</v>
      </c>
      <c r="W57" s="68" t="s">
        <v>66</v>
      </c>
      <c r="X57" s="68" t="s">
        <v>60</v>
      </c>
      <c r="Y57" s="74">
        <v>18.194613318007001</v>
      </c>
      <c r="Z57" s="74">
        <v>17.349823177147702</v>
      </c>
      <c r="AA57" s="68"/>
      <c r="AB57" s="74">
        <f t="shared" si="47"/>
        <v>17.772218247577349</v>
      </c>
      <c r="AC57" s="74">
        <f t="shared" si="48"/>
        <v>9.7797025672082487</v>
      </c>
      <c r="AD57" s="75">
        <f t="shared" si="49"/>
        <v>1145398843.7943139</v>
      </c>
      <c r="AE57" s="121">
        <f t="shared" si="51"/>
        <v>175.41433048293456</v>
      </c>
      <c r="AF57" s="68">
        <v>22.945237971670601</v>
      </c>
      <c r="AG57" s="68">
        <v>22.130624808078299</v>
      </c>
      <c r="AH57" s="68"/>
      <c r="AI57" s="74">
        <f t="shared" si="52"/>
        <v>22.537931389874451</v>
      </c>
      <c r="AJ57" s="68">
        <f t="shared" si="53"/>
        <v>830.40118531678627</v>
      </c>
      <c r="AK57" s="75">
        <f t="shared" si="37"/>
        <v>166.08023706335726</v>
      </c>
      <c r="AL57" s="68"/>
      <c r="AM57" s="68">
        <v>36.6033125738428</v>
      </c>
      <c r="AN57" s="68"/>
      <c r="AO57" s="76">
        <f t="shared" si="54"/>
        <v>36.6033125738428</v>
      </c>
      <c r="AP57" s="68">
        <f t="shared" si="55"/>
        <v>1.021213534599535E-6</v>
      </c>
      <c r="AQ57" s="68">
        <f t="shared" si="56"/>
        <v>60.488225917838847</v>
      </c>
      <c r="AR57" s="75">
        <f t="shared" si="41"/>
        <v>12.097645183567769</v>
      </c>
      <c r="AS57" s="75">
        <f t="shared" si="57"/>
        <v>7.2842171937367167E-2</v>
      </c>
      <c r="AT57" s="75">
        <f t="shared" si="58"/>
        <v>10620388668.468134</v>
      </c>
      <c r="AU57" s="68"/>
      <c r="AV57" s="68"/>
    </row>
    <row r="58" spans="2:48" s="77" customFormat="1" x14ac:dyDescent="0.35">
      <c r="B58" s="68" t="s">
        <v>54</v>
      </c>
      <c r="C58" s="68" t="s">
        <v>82</v>
      </c>
      <c r="D58" s="69">
        <v>44071</v>
      </c>
      <c r="E58" s="70" t="s">
        <v>57</v>
      </c>
      <c r="F58" s="71" t="s">
        <v>58</v>
      </c>
      <c r="G58" s="68" t="s">
        <v>59</v>
      </c>
      <c r="H58" s="68">
        <v>-20</v>
      </c>
      <c r="I58" s="68" t="s">
        <v>60</v>
      </c>
      <c r="J58" s="68" t="s">
        <v>61</v>
      </c>
      <c r="K58" s="68" t="s">
        <v>62</v>
      </c>
      <c r="L58" s="68" t="s">
        <v>63</v>
      </c>
      <c r="M58" s="68" t="s">
        <v>60</v>
      </c>
      <c r="N58" s="68">
        <v>50</v>
      </c>
      <c r="O58" s="68" t="s">
        <v>64</v>
      </c>
      <c r="P58" s="68" t="s">
        <v>65</v>
      </c>
      <c r="Q58" s="72" t="s">
        <v>81</v>
      </c>
      <c r="R58" s="68">
        <v>4</v>
      </c>
      <c r="S58" s="68">
        <v>290</v>
      </c>
      <c r="T58" s="68">
        <v>134832</v>
      </c>
      <c r="U58" s="73">
        <f t="shared" si="0"/>
        <v>134832000000</v>
      </c>
      <c r="V58" s="68" t="s">
        <v>60</v>
      </c>
      <c r="W58" s="68" t="s">
        <v>66</v>
      </c>
      <c r="X58" s="68" t="s">
        <v>60</v>
      </c>
      <c r="Y58" s="74">
        <v>19.354380013949399</v>
      </c>
      <c r="Z58" s="74">
        <v>19.301238269387401</v>
      </c>
      <c r="AA58" s="68"/>
      <c r="AB58" s="74">
        <f t="shared" si="47"/>
        <v>19.3278091416684</v>
      </c>
      <c r="AC58" s="74">
        <f t="shared" si="48"/>
        <v>3.4524480985403661</v>
      </c>
      <c r="AD58" s="75">
        <f t="shared" si="49"/>
        <v>404350749.23314965</v>
      </c>
      <c r="AE58" s="121">
        <f t="shared" si="51"/>
        <v>61.925080805951147</v>
      </c>
      <c r="AF58" s="68">
        <v>23.4536888332571</v>
      </c>
      <c r="AG58" s="68">
        <v>23.323107344154401</v>
      </c>
      <c r="AH58" s="68"/>
      <c r="AI58" s="74">
        <f t="shared" si="52"/>
        <v>23.388398088705749</v>
      </c>
      <c r="AJ58" s="68">
        <f t="shared" si="53"/>
        <v>447.77284653682449</v>
      </c>
      <c r="AK58" s="75">
        <f t="shared" si="37"/>
        <v>89.554569307364901</v>
      </c>
      <c r="AL58" s="68">
        <v>36.301421753410402</v>
      </c>
      <c r="AM58" s="68">
        <v>37.630993283399398</v>
      </c>
      <c r="AN58" s="68"/>
      <c r="AO58" s="76">
        <f t="shared" si="54"/>
        <v>36.9662075184049</v>
      </c>
      <c r="AP58" s="68">
        <f t="shared" si="55"/>
        <v>8.033070785122302E-7</v>
      </c>
      <c r="AQ58" s="68">
        <f t="shared" si="56"/>
        <v>47.581253479470888</v>
      </c>
      <c r="AR58" s="75">
        <f t="shared" si="41"/>
        <v>9.5162506958941773</v>
      </c>
      <c r="AS58" s="75">
        <f t="shared" si="57"/>
        <v>0.10626203408151021</v>
      </c>
      <c r="AT58" s="75">
        <f t="shared" si="58"/>
        <v>14327522579.278185</v>
      </c>
      <c r="AU58" s="68"/>
      <c r="AV58" s="68"/>
    </row>
    <row r="59" spans="2:48" s="77" customFormat="1" x14ac:dyDescent="0.35">
      <c r="B59" s="68" t="s">
        <v>54</v>
      </c>
      <c r="C59" s="68" t="s">
        <v>82</v>
      </c>
      <c r="D59" s="69">
        <v>44083</v>
      </c>
      <c r="E59" s="70" t="s">
        <v>57</v>
      </c>
      <c r="F59" s="71" t="s">
        <v>58</v>
      </c>
      <c r="G59" s="68" t="s">
        <v>59</v>
      </c>
      <c r="H59" s="68">
        <v>-20</v>
      </c>
      <c r="I59" s="68" t="s">
        <v>60</v>
      </c>
      <c r="J59" s="68" t="s">
        <v>61</v>
      </c>
      <c r="K59" s="68" t="s">
        <v>62</v>
      </c>
      <c r="L59" s="68" t="s">
        <v>63</v>
      </c>
      <c r="M59" s="68" t="s">
        <v>60</v>
      </c>
      <c r="N59" s="68">
        <v>50</v>
      </c>
      <c r="O59" s="68" t="s">
        <v>64</v>
      </c>
      <c r="P59" s="68" t="s">
        <v>65</v>
      </c>
      <c r="Q59" s="72" t="s">
        <v>83</v>
      </c>
      <c r="R59" s="68">
        <v>4</v>
      </c>
      <c r="S59" s="68">
        <v>250</v>
      </c>
      <c r="T59" s="68">
        <v>166176</v>
      </c>
      <c r="U59" s="73">
        <f t="shared" si="0"/>
        <v>166176000000</v>
      </c>
      <c r="V59" s="68" t="s">
        <v>60</v>
      </c>
      <c r="W59" s="68" t="s">
        <v>66</v>
      </c>
      <c r="X59" s="68" t="s">
        <v>60</v>
      </c>
      <c r="Y59" s="74">
        <v>20.3840841159553</v>
      </c>
      <c r="Z59" s="74">
        <v>20.262895330152698</v>
      </c>
      <c r="AA59" s="68"/>
      <c r="AB59" s="74">
        <f t="shared" si="47"/>
        <v>20.323489723053999</v>
      </c>
      <c r="AC59" s="74">
        <f t="shared" si="48"/>
        <v>1.7729249688808952</v>
      </c>
      <c r="AD59" s="75">
        <f t="shared" si="49"/>
        <v>207644986.69921619</v>
      </c>
      <c r="AE59" s="121">
        <f t="shared" si="51"/>
        <v>31.800194768244165</v>
      </c>
      <c r="AF59" s="68">
        <v>23.218645210192399</v>
      </c>
      <c r="AG59" s="68">
        <v>22.7760796863172</v>
      </c>
      <c r="AH59" s="68"/>
      <c r="AI59" s="74">
        <f t="shared" si="52"/>
        <v>22.997362448254798</v>
      </c>
      <c r="AJ59" s="68">
        <f t="shared" si="53"/>
        <v>594.82221632891685</v>
      </c>
      <c r="AK59" s="75">
        <f t="shared" si="37"/>
        <v>118.96444326578337</v>
      </c>
      <c r="AL59" s="68">
        <v>36.978470245328602</v>
      </c>
      <c r="AM59" s="68">
        <v>35.861971679876902</v>
      </c>
      <c r="AN59" s="68"/>
      <c r="AO59" s="76">
        <f t="shared" si="54"/>
        <v>36.420220962602755</v>
      </c>
      <c r="AP59" s="68">
        <f t="shared" si="55"/>
        <v>1.1526734637353425E-6</v>
      </c>
      <c r="AQ59" s="68">
        <f t="shared" si="56"/>
        <v>68.274822572991937</v>
      </c>
      <c r="AR59" s="75">
        <f t="shared" si="41"/>
        <v>13.654964514598387</v>
      </c>
      <c r="AS59" s="75">
        <f t="shared" si="57"/>
        <v>0.11478189734466514</v>
      </c>
      <c r="AT59" s="75">
        <f t="shared" si="58"/>
        <v>19073996573.147076</v>
      </c>
      <c r="AU59" s="68"/>
      <c r="AV59" s="68"/>
    </row>
    <row r="60" spans="2:48" s="77" customFormat="1" x14ac:dyDescent="0.35">
      <c r="B60" s="68" t="s">
        <v>54</v>
      </c>
      <c r="C60" s="68" t="s">
        <v>82</v>
      </c>
      <c r="D60" s="69">
        <v>44116</v>
      </c>
      <c r="E60" s="70" t="s">
        <v>57</v>
      </c>
      <c r="F60" s="71" t="s">
        <v>58</v>
      </c>
      <c r="G60" s="68" t="s">
        <v>59</v>
      </c>
      <c r="H60" s="68">
        <v>-20</v>
      </c>
      <c r="I60" s="68" t="s">
        <v>60</v>
      </c>
      <c r="J60" s="68" t="s">
        <v>61</v>
      </c>
      <c r="K60" s="68" t="s">
        <v>62</v>
      </c>
      <c r="L60" s="68" t="s">
        <v>63</v>
      </c>
      <c r="M60" s="68" t="s">
        <v>60</v>
      </c>
      <c r="N60" s="68">
        <v>50</v>
      </c>
      <c r="O60" s="68" t="s">
        <v>64</v>
      </c>
      <c r="P60" s="68" t="s">
        <v>65</v>
      </c>
      <c r="Q60" s="72" t="s">
        <v>85</v>
      </c>
      <c r="R60" s="68">
        <v>4</v>
      </c>
      <c r="S60" s="68">
        <v>140</v>
      </c>
      <c r="T60" s="68">
        <v>193176</v>
      </c>
      <c r="U60" s="73">
        <f t="shared" si="0"/>
        <v>193176000000</v>
      </c>
      <c r="V60" s="68" t="s">
        <v>60</v>
      </c>
      <c r="W60" s="68" t="s">
        <v>66</v>
      </c>
      <c r="X60" s="68" t="s">
        <v>60</v>
      </c>
      <c r="Y60" s="74">
        <v>21.1374470093761</v>
      </c>
      <c r="Z60" s="74">
        <v>21.1433901740705</v>
      </c>
      <c r="AA60" s="68"/>
      <c r="AB60" s="74">
        <f t="shared" ref="AB60:AB61" si="59">AVERAGE(Y60:AA60)</f>
        <v>21.1404185917233</v>
      </c>
      <c r="AC60" s="74">
        <f t="shared" ref="AC60:AC61" si="60">EXP((AB60-21.179)/-1.494)</f>
        <v>1.0261605703243415</v>
      </c>
      <c r="AD60" s="75">
        <f t="shared" ref="AD60:AD61" si="61">(AC60*(6.0221*10^23))/(15123*340*10^9)</f>
        <v>120183934.29855996</v>
      </c>
      <c r="AE60" s="121">
        <f t="shared" si="51"/>
        <v>18.405802034817409</v>
      </c>
      <c r="AF60" s="68">
        <v>24.4365517630564</v>
      </c>
      <c r="AG60" s="68">
        <v>24.491224684792702</v>
      </c>
      <c r="AH60" s="68"/>
      <c r="AI60" s="74">
        <f t="shared" si="52"/>
        <v>24.463888223924549</v>
      </c>
      <c r="AJ60" s="68">
        <f t="shared" si="53"/>
        <v>205.04869288031966</v>
      </c>
      <c r="AK60" s="75">
        <f t="shared" si="37"/>
        <v>41.009738576063931</v>
      </c>
      <c r="AL60" s="68">
        <v>35.613636972755302</v>
      </c>
      <c r="AM60" s="68">
        <v>36.8141044067537</v>
      </c>
      <c r="AN60" s="68"/>
      <c r="AO60" s="76">
        <f t="shared" si="54"/>
        <v>36.213870689754501</v>
      </c>
      <c r="AP60" s="68">
        <f t="shared" si="55"/>
        <v>1.3212246129193893E-6</v>
      </c>
      <c r="AQ60" s="68">
        <f t="shared" si="56"/>
        <v>78.258395689807372</v>
      </c>
      <c r="AR60" s="75">
        <f t="shared" si="41"/>
        <v>15.651679137961475</v>
      </c>
      <c r="AS60" s="75">
        <f t="shared" si="57"/>
        <v>0.38165761795655184</v>
      </c>
      <c r="AT60" s="75">
        <f t="shared" si="58"/>
        <v>73727092006.374863</v>
      </c>
      <c r="AU60" s="68"/>
      <c r="AV60" s="68"/>
    </row>
    <row r="61" spans="2:48" s="77" customFormat="1" ht="13.15" thickBot="1" x14ac:dyDescent="0.4">
      <c r="B61" s="68" t="s">
        <v>54</v>
      </c>
      <c r="C61" s="68" t="s">
        <v>82</v>
      </c>
      <c r="D61" s="69">
        <v>44130</v>
      </c>
      <c r="E61" s="70" t="s">
        <v>57</v>
      </c>
      <c r="F61" s="71" t="s">
        <v>58</v>
      </c>
      <c r="G61" s="68" t="s">
        <v>59</v>
      </c>
      <c r="H61" s="68">
        <v>-20</v>
      </c>
      <c r="I61" s="68" t="s">
        <v>60</v>
      </c>
      <c r="J61" s="68" t="s">
        <v>61</v>
      </c>
      <c r="K61" s="68" t="s">
        <v>62</v>
      </c>
      <c r="L61" s="68" t="s">
        <v>63</v>
      </c>
      <c r="M61" s="68" t="s">
        <v>60</v>
      </c>
      <c r="N61" s="68">
        <v>50</v>
      </c>
      <c r="O61" s="68" t="s">
        <v>64</v>
      </c>
      <c r="P61" s="68" t="s">
        <v>65</v>
      </c>
      <c r="Q61" s="72" t="s">
        <v>86</v>
      </c>
      <c r="R61" s="68">
        <v>4</v>
      </c>
      <c r="S61" s="68">
        <v>220</v>
      </c>
      <c r="T61" s="68">
        <v>234768</v>
      </c>
      <c r="U61" s="73">
        <f t="shared" si="0"/>
        <v>234768000000</v>
      </c>
      <c r="V61" s="68" t="s">
        <v>60</v>
      </c>
      <c r="W61" s="68" t="s">
        <v>66</v>
      </c>
      <c r="X61" s="68" t="s">
        <v>60</v>
      </c>
      <c r="Y61" s="74">
        <v>20.261556657577</v>
      </c>
      <c r="Z61" s="74">
        <v>20.362451594866499</v>
      </c>
      <c r="AA61" s="68"/>
      <c r="AB61" s="74">
        <f t="shared" si="59"/>
        <v>20.312004126221751</v>
      </c>
      <c r="AC61" s="74">
        <f t="shared" si="60"/>
        <v>1.7866074161795058</v>
      </c>
      <c r="AD61" s="75">
        <f t="shared" si="61"/>
        <v>209247475.03752756</v>
      </c>
      <c r="AE61" s="121">
        <f t="shared" si="51"/>
        <v>32.045610957106739</v>
      </c>
      <c r="AF61" s="68">
        <v>24.6302912575687</v>
      </c>
      <c r="AG61" s="68">
        <v>24.528478141007302</v>
      </c>
      <c r="AH61" s="68"/>
      <c r="AI61" s="74">
        <f t="shared" si="52"/>
        <v>24.579384699287999</v>
      </c>
      <c r="AJ61" s="68">
        <f t="shared" si="53"/>
        <v>188.55166254333835</v>
      </c>
      <c r="AK61" s="75">
        <f t="shared" si="37"/>
        <v>37.710332508667669</v>
      </c>
      <c r="AL61" s="68">
        <v>35.1834536697312</v>
      </c>
      <c r="AM61" s="68">
        <v>36.193315558464803</v>
      </c>
      <c r="AN61" s="68"/>
      <c r="AO61" s="76">
        <f t="shared" si="54"/>
        <v>35.688384614097998</v>
      </c>
      <c r="AP61" s="68">
        <f t="shared" si="55"/>
        <v>1.8703072915668793E-6</v>
      </c>
      <c r="AQ61" s="68">
        <f t="shared" si="56"/>
        <v>110.78150274657571</v>
      </c>
      <c r="AR61" s="75">
        <f t="shared" si="41"/>
        <v>22.156300549315141</v>
      </c>
      <c r="AS61" s="75">
        <f t="shared" si="57"/>
        <v>0.58753925185418465</v>
      </c>
      <c r="AT61" s="75">
        <f t="shared" si="58"/>
        <v>137935415079.30322</v>
      </c>
      <c r="AU61" s="68"/>
      <c r="AV61" s="68"/>
    </row>
    <row r="62" spans="2:48" s="5" customFormat="1" ht="13.9" thickBot="1" x14ac:dyDescent="0.4">
      <c r="B62" s="8"/>
      <c r="C62" s="8"/>
      <c r="D62" s="17"/>
      <c r="E62" s="10" t="s">
        <v>75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20"/>
      <c r="R62" s="8"/>
      <c r="S62" s="8"/>
      <c r="T62" s="8"/>
      <c r="U62" s="24">
        <f t="shared" si="0"/>
        <v>0</v>
      </c>
      <c r="V62" s="8"/>
      <c r="W62" s="8"/>
      <c r="X62" s="8"/>
      <c r="Y62" s="89">
        <v>18.767959729731299</v>
      </c>
      <c r="Z62" s="90">
        <v>18.455674775334401</v>
      </c>
      <c r="AA62" s="8"/>
      <c r="AB62" s="18">
        <f t="shared" ref="AB62" si="62">AVERAGE(Y62:AA62)</f>
        <v>18.611817252532852</v>
      </c>
      <c r="AC62" s="18">
        <f t="shared" ref="AC62" si="63">EXP((AB62-21.179)/-1.494)</f>
        <v>5.5752016042723964</v>
      </c>
      <c r="AD62" s="19">
        <f t="shared" ref="AD62" si="64">(AC62*(6.0221*10^23))/(15123*340*10^9)</f>
        <v>652967656.99866569</v>
      </c>
      <c r="AE62" s="91">
        <f t="shared" si="51"/>
        <v>100</v>
      </c>
      <c r="AF62" s="8"/>
      <c r="AG62" s="8"/>
      <c r="AH62" s="8"/>
      <c r="AI62" s="8"/>
      <c r="AJ62" s="8"/>
      <c r="AK62" s="60">
        <f t="shared" si="37"/>
        <v>0</v>
      </c>
      <c r="AL62" s="8"/>
      <c r="AM62" s="8"/>
      <c r="AN62" s="8"/>
      <c r="AO62" s="8"/>
      <c r="AP62" s="8"/>
      <c r="AQ62" s="8"/>
      <c r="AR62" s="60">
        <f t="shared" si="41"/>
        <v>0</v>
      </c>
      <c r="AS62" s="8"/>
      <c r="AT62" s="8"/>
      <c r="AU62" s="8"/>
      <c r="AV62" s="8"/>
    </row>
    <row r="63" spans="2:48" s="5" customFormat="1" x14ac:dyDescent="0.35">
      <c r="B63" s="8"/>
      <c r="C63" s="8"/>
      <c r="D63" s="17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20"/>
      <c r="R63" s="8"/>
      <c r="S63" s="8"/>
      <c r="T63" s="8"/>
      <c r="U63" s="24">
        <f t="shared" si="0"/>
        <v>0</v>
      </c>
      <c r="V63" s="8"/>
      <c r="W63" s="8"/>
      <c r="X63" s="8"/>
      <c r="Y63" s="18"/>
      <c r="Z63" s="18"/>
      <c r="AA63" s="8"/>
      <c r="AB63" s="18"/>
      <c r="AC63" s="18"/>
      <c r="AD63" s="19"/>
      <c r="AE63" s="8"/>
      <c r="AF63" s="8"/>
      <c r="AG63" s="8"/>
      <c r="AH63" s="8"/>
      <c r="AI63" s="8"/>
      <c r="AJ63" s="8"/>
      <c r="AK63" s="60">
        <f t="shared" si="37"/>
        <v>0</v>
      </c>
      <c r="AL63" s="8"/>
      <c r="AM63" s="8"/>
      <c r="AN63" s="8"/>
      <c r="AO63" s="8"/>
      <c r="AP63" s="8"/>
      <c r="AQ63" s="8"/>
      <c r="AR63" s="60">
        <f t="shared" si="41"/>
        <v>0</v>
      </c>
      <c r="AS63" s="8"/>
      <c r="AT63" s="8"/>
      <c r="AU63" s="8"/>
      <c r="AV63" s="8"/>
    </row>
    <row r="64" spans="2:48" s="168" customFormat="1" ht="13.5" x14ac:dyDescent="0.35">
      <c r="B64" s="123" t="s">
        <v>54</v>
      </c>
      <c r="C64" s="123" t="s">
        <v>82</v>
      </c>
      <c r="D64" s="126" t="s">
        <v>88</v>
      </c>
      <c r="E64" s="135" t="s">
        <v>57</v>
      </c>
      <c r="F64" s="125" t="s">
        <v>58</v>
      </c>
      <c r="G64" s="123" t="s">
        <v>59</v>
      </c>
      <c r="H64" s="123">
        <v>-20</v>
      </c>
      <c r="I64" s="126">
        <v>43933</v>
      </c>
      <c r="J64" s="123" t="s">
        <v>61</v>
      </c>
      <c r="K64" s="123" t="s">
        <v>62</v>
      </c>
      <c r="L64" s="123" t="s">
        <v>89</v>
      </c>
      <c r="M64" s="126" t="s">
        <v>90</v>
      </c>
      <c r="N64" s="123" t="s">
        <v>91</v>
      </c>
      <c r="O64" s="123" t="s">
        <v>92</v>
      </c>
      <c r="P64" s="123" t="s">
        <v>65</v>
      </c>
      <c r="Q64" s="166">
        <v>8.42</v>
      </c>
      <c r="R64" s="123">
        <v>3.52</v>
      </c>
      <c r="S64" s="167">
        <v>210</v>
      </c>
      <c r="T64" s="123">
        <v>163008</v>
      </c>
      <c r="U64" s="127">
        <f t="shared" si="0"/>
        <v>163008000000</v>
      </c>
      <c r="V64" s="123" t="s">
        <v>93</v>
      </c>
      <c r="W64" s="123" t="s">
        <v>66</v>
      </c>
      <c r="X64" s="123" t="s">
        <v>94</v>
      </c>
      <c r="Y64" s="130" t="s">
        <v>95</v>
      </c>
      <c r="Z64" s="130">
        <v>17.649999999999999</v>
      </c>
      <c r="AA64" s="123"/>
      <c r="AB64" s="130">
        <f>AVERAGE(Y64:AA64)</f>
        <v>17.649999999999999</v>
      </c>
      <c r="AC64" s="130">
        <f>EXP((AB64-21.179)/-1.494)</f>
        <v>10.613376369078816</v>
      </c>
      <c r="AD64" s="132">
        <f>(AC64*(6.0221*10^23))/(15123*340*10^9)</f>
        <v>1243038726.2142498</v>
      </c>
      <c r="AE64" s="130">
        <f t="shared" ref="AE64:AE74" si="65">AD64*100/AD$74</f>
        <v>157.64160522336832</v>
      </c>
      <c r="AF64" s="123"/>
      <c r="AG64" s="123">
        <v>24.42</v>
      </c>
      <c r="AH64" s="123"/>
      <c r="AI64" s="130">
        <f t="shared" ref="AI64:AI74" si="66">AVERAGE(AF64:AH64)</f>
        <v>24.42</v>
      </c>
      <c r="AJ64" s="123">
        <f>EXP((AI64-31.794)/-1.377)</f>
        <v>211.68934065834904</v>
      </c>
      <c r="AK64" s="132">
        <f t="shared" si="37"/>
        <v>42.337868131669808</v>
      </c>
      <c r="AL64" s="123">
        <v>36.130000000000003</v>
      </c>
      <c r="AM64" s="130">
        <v>35</v>
      </c>
      <c r="AN64" s="123"/>
      <c r="AO64" s="129">
        <f>AVERAGE(AL64:AN64)</f>
        <v>35.564999999999998</v>
      </c>
      <c r="AP64" s="123">
        <f>EXP((AO64-15.746)/-1.512)</f>
        <v>2.0293312903411192E-6</v>
      </c>
      <c r="AQ64" s="123">
        <f>(AP64*(6.0221*10^23))/(29903*340*10^9)</f>
        <v>120.20076643464117</v>
      </c>
      <c r="AR64" s="132">
        <f t="shared" si="41"/>
        <v>24.040153286928234</v>
      </c>
      <c r="AS64" s="132">
        <f>AR64/AK64</f>
        <v>0.56781681146920071</v>
      </c>
      <c r="AT64" s="132">
        <f>AS64*U64</f>
        <v>92558682803.971466</v>
      </c>
      <c r="AU64" s="123"/>
      <c r="AV64" s="123"/>
    </row>
    <row r="65" spans="2:48" s="103" customFormat="1" x14ac:dyDescent="0.35">
      <c r="B65" s="107" t="s">
        <v>54</v>
      </c>
      <c r="C65" s="107" t="s">
        <v>82</v>
      </c>
      <c r="D65" s="114" t="s">
        <v>96</v>
      </c>
      <c r="E65" s="104" t="s">
        <v>57</v>
      </c>
      <c r="F65" s="106" t="s">
        <v>58</v>
      </c>
      <c r="G65" s="107" t="s">
        <v>59</v>
      </c>
      <c r="H65" s="107">
        <v>-20</v>
      </c>
      <c r="I65" s="114">
        <v>43933</v>
      </c>
      <c r="J65" s="107" t="s">
        <v>61</v>
      </c>
      <c r="K65" s="107" t="s">
        <v>62</v>
      </c>
      <c r="L65" s="107" t="s">
        <v>89</v>
      </c>
      <c r="M65" s="114" t="s">
        <v>90</v>
      </c>
      <c r="N65" s="107" t="s">
        <v>91</v>
      </c>
      <c r="O65" s="107" t="s">
        <v>92</v>
      </c>
      <c r="P65" s="107" t="s">
        <v>65</v>
      </c>
      <c r="Q65" s="119">
        <v>8.6</v>
      </c>
      <c r="R65" s="107">
        <v>4.0199999999999996</v>
      </c>
      <c r="S65" s="107">
        <v>240</v>
      </c>
      <c r="T65" s="107">
        <v>132408</v>
      </c>
      <c r="U65" s="116">
        <f t="shared" si="0"/>
        <v>132408000000</v>
      </c>
      <c r="V65" s="107" t="s">
        <v>93</v>
      </c>
      <c r="W65" s="107" t="s">
        <v>66</v>
      </c>
      <c r="X65" s="107" t="s">
        <v>94</v>
      </c>
      <c r="Y65" s="111">
        <v>22.93</v>
      </c>
      <c r="Z65" s="111">
        <v>21.09</v>
      </c>
      <c r="AA65" s="107"/>
      <c r="AB65" s="111">
        <f t="shared" ref="AB65:AB73" si="67">AVERAGE(Y65:AA65)</f>
        <v>22.009999999999998</v>
      </c>
      <c r="AC65" s="111">
        <f t="shared" ref="AC65:AC74" si="68">EXP((AB65-21.179)/-1.494)</f>
        <v>0.57336951080145204</v>
      </c>
      <c r="AD65" s="112">
        <f t="shared" ref="AD65:AD74" si="69">(AC65*(6.0221*10^23))/(15123*340*10^9)</f>
        <v>67153041.743923813</v>
      </c>
      <c r="AE65" s="113">
        <f t="shared" si="65"/>
        <v>8.5163181748847556</v>
      </c>
      <c r="AF65" s="157">
        <v>27.8</v>
      </c>
      <c r="AG65" s="107">
        <v>27.68</v>
      </c>
      <c r="AH65" s="107"/>
      <c r="AI65" s="113">
        <f t="shared" si="66"/>
        <v>27.740000000000002</v>
      </c>
      <c r="AJ65" s="107">
        <f t="shared" ref="AJ65:AJ100" si="70">EXP((AI65-31.794)/-1.377)</f>
        <v>18.993205999348952</v>
      </c>
      <c r="AK65" s="112">
        <f t="shared" si="37"/>
        <v>3.7986411998697904</v>
      </c>
      <c r="AL65" s="107">
        <v>33.74</v>
      </c>
      <c r="AM65" s="107">
        <v>34.61</v>
      </c>
      <c r="AN65" s="107"/>
      <c r="AO65" s="113">
        <v>6</v>
      </c>
      <c r="AP65" s="107">
        <f t="shared" ref="AP65:AP74" si="71">EXP((AO65-15.746)/-1.512)</f>
        <v>630.02984782745466</v>
      </c>
      <c r="AQ65" s="107">
        <f t="shared" ref="AQ65:AQ73" si="72">(AP65*(6.0221*10^23))/(29903*340*10^9)</f>
        <v>37317746464.565956</v>
      </c>
      <c r="AR65" s="112">
        <f t="shared" si="41"/>
        <v>7463549292.9131908</v>
      </c>
      <c r="AS65" s="112">
        <f>AR65/AK65</f>
        <v>1964794488.3999641</v>
      </c>
      <c r="AT65" s="112">
        <f t="shared" ref="AT65:AT74" si="73">AS65*U65</f>
        <v>2.6015450862006246E+20</v>
      </c>
      <c r="AU65" s="107"/>
      <c r="AV65" s="107" t="s">
        <v>97</v>
      </c>
    </row>
    <row r="66" spans="2:48" s="168" customFormat="1" x14ac:dyDescent="0.35">
      <c r="B66" s="123" t="s">
        <v>54</v>
      </c>
      <c r="C66" s="123" t="s">
        <v>82</v>
      </c>
      <c r="D66" s="126" t="s">
        <v>98</v>
      </c>
      <c r="E66" s="135" t="s">
        <v>57</v>
      </c>
      <c r="F66" s="125" t="s">
        <v>58</v>
      </c>
      <c r="G66" s="123" t="s">
        <v>59</v>
      </c>
      <c r="H66" s="123">
        <v>-20</v>
      </c>
      <c r="I66" s="126">
        <v>43933</v>
      </c>
      <c r="J66" s="123" t="s">
        <v>61</v>
      </c>
      <c r="K66" s="123" t="s">
        <v>62</v>
      </c>
      <c r="L66" s="123" t="s">
        <v>89</v>
      </c>
      <c r="M66" s="126" t="s">
        <v>90</v>
      </c>
      <c r="N66" s="123" t="s">
        <v>91</v>
      </c>
      <c r="O66" s="123" t="s">
        <v>92</v>
      </c>
      <c r="P66" s="123" t="s">
        <v>65</v>
      </c>
      <c r="Q66" s="166">
        <v>8.2200000000000006</v>
      </c>
      <c r="R66" s="123">
        <v>4.09</v>
      </c>
      <c r="S66" s="123">
        <v>190</v>
      </c>
      <c r="T66" s="123">
        <v>163680</v>
      </c>
      <c r="U66" s="127">
        <f t="shared" si="0"/>
        <v>163680000000</v>
      </c>
      <c r="V66" s="123" t="s">
        <v>93</v>
      </c>
      <c r="W66" s="123" t="s">
        <v>66</v>
      </c>
      <c r="X66" s="123" t="s">
        <v>94</v>
      </c>
      <c r="Y66" s="130">
        <v>18.010000000000002</v>
      </c>
      <c r="Z66" s="130">
        <v>17.97</v>
      </c>
      <c r="AA66" s="123"/>
      <c r="AB66" s="130">
        <f t="shared" si="67"/>
        <v>17.990000000000002</v>
      </c>
      <c r="AC66" s="130">
        <f t="shared" si="68"/>
        <v>8.453141543826872</v>
      </c>
      <c r="AD66" s="132">
        <f t="shared" si="69"/>
        <v>990032006.00331783</v>
      </c>
      <c r="AE66" s="129">
        <f t="shared" si="65"/>
        <v>125.55540817637745</v>
      </c>
      <c r="AF66" s="130">
        <v>24.5</v>
      </c>
      <c r="AG66" s="123">
        <v>24.36</v>
      </c>
      <c r="AH66" s="123"/>
      <c r="AI66" s="130">
        <f t="shared" si="66"/>
        <v>24.43</v>
      </c>
      <c r="AJ66" s="123">
        <f t="shared" si="70"/>
        <v>210.1575865796828</v>
      </c>
      <c r="AK66" s="132">
        <f t="shared" si="37"/>
        <v>42.031517315936561</v>
      </c>
      <c r="AL66" s="123">
        <v>34.86</v>
      </c>
      <c r="AM66" s="130">
        <v>36.4</v>
      </c>
      <c r="AN66" s="123"/>
      <c r="AO66" s="129">
        <f>AVERAGE(AL66:AN66)</f>
        <v>35.629999999999995</v>
      </c>
      <c r="AP66" s="123">
        <f>EXP((AO66-15.746)/-1.512)</f>
        <v>1.9439401279233478E-6</v>
      </c>
      <c r="AQ66" s="123">
        <f t="shared" si="72"/>
        <v>115.14290169948708</v>
      </c>
      <c r="AR66" s="132">
        <f t="shared" si="41"/>
        <v>23.028580339897417</v>
      </c>
      <c r="AS66" s="132">
        <f t="shared" ref="AS66:AS112" si="74">AR66/AK66</f>
        <v>0.54788838972429765</v>
      </c>
      <c r="AT66" s="132">
        <f t="shared" si="73"/>
        <v>89678371630.073044</v>
      </c>
      <c r="AU66" s="123"/>
      <c r="AV66" s="123"/>
    </row>
    <row r="67" spans="2:48" s="103" customFormat="1" ht="14.25" x14ac:dyDescent="0.45">
      <c r="B67" s="107" t="s">
        <v>54</v>
      </c>
      <c r="C67" s="107" t="s">
        <v>82</v>
      </c>
      <c r="D67" s="114" t="s">
        <v>99</v>
      </c>
      <c r="E67" s="104" t="s">
        <v>57</v>
      </c>
      <c r="F67" s="106" t="s">
        <v>58</v>
      </c>
      <c r="G67" s="107" t="s">
        <v>59</v>
      </c>
      <c r="H67" s="107">
        <v>-20</v>
      </c>
      <c r="I67" s="114">
        <v>43933</v>
      </c>
      <c r="J67" s="107" t="s">
        <v>61</v>
      </c>
      <c r="K67" s="107" t="s">
        <v>62</v>
      </c>
      <c r="L67" s="107" t="s">
        <v>89</v>
      </c>
      <c r="M67" s="114" t="s">
        <v>90</v>
      </c>
      <c r="N67" s="107" t="s">
        <v>91</v>
      </c>
      <c r="O67" s="107" t="s">
        <v>92</v>
      </c>
      <c r="P67" s="107" t="s">
        <v>65</v>
      </c>
      <c r="Q67" s="119">
        <v>7.78</v>
      </c>
      <c r="R67" s="107">
        <v>3.99</v>
      </c>
      <c r="S67" s="107">
        <v>170</v>
      </c>
      <c r="T67" s="107">
        <v>245784</v>
      </c>
      <c r="U67" s="116">
        <f t="shared" si="0"/>
        <v>245784000000</v>
      </c>
      <c r="V67" s="107" t="s">
        <v>93</v>
      </c>
      <c r="W67" s="107" t="s">
        <v>66</v>
      </c>
      <c r="X67" s="107" t="s">
        <v>94</v>
      </c>
      <c r="Y67" s="111">
        <v>17.97</v>
      </c>
      <c r="Z67" s="111">
        <v>18.47</v>
      </c>
      <c r="AA67" s="107"/>
      <c r="AB67" s="111">
        <f t="shared" si="67"/>
        <v>18.22</v>
      </c>
      <c r="AC67" s="111">
        <f t="shared" si="68"/>
        <v>7.2470103822810534</v>
      </c>
      <c r="AD67" s="112">
        <f t="shared" si="69"/>
        <v>848769914.60484278</v>
      </c>
      <c r="AE67" s="113">
        <f t="shared" si="65"/>
        <v>107.64061407089797</v>
      </c>
      <c r="AF67" s="111">
        <v>25.2</v>
      </c>
      <c r="AG67" s="157">
        <v>25.2</v>
      </c>
      <c r="AH67" s="107"/>
      <c r="AI67" s="111">
        <f t="shared" si="66"/>
        <v>25.2</v>
      </c>
      <c r="AJ67" s="107">
        <f t="shared" si="70"/>
        <v>120.14159721702842</v>
      </c>
      <c r="AK67" s="112">
        <f t="shared" si="37"/>
        <v>24.028319443405685</v>
      </c>
      <c r="AL67" s="107" t="s">
        <v>100</v>
      </c>
      <c r="AM67" s="107" t="s">
        <v>100</v>
      </c>
      <c r="AN67" s="107"/>
      <c r="AO67" s="113" t="e">
        <f t="shared" ref="AO67:AO68" si="75">AVERAGE(AL67:AN67)</f>
        <v>#DIV/0!</v>
      </c>
      <c r="AP67" s="107" t="e">
        <f t="shared" si="71"/>
        <v>#DIV/0!</v>
      </c>
      <c r="AQ67" s="107" t="e">
        <f t="shared" si="72"/>
        <v>#DIV/0!</v>
      </c>
      <c r="AR67" s="112" t="e">
        <f t="shared" si="41"/>
        <v>#DIV/0!</v>
      </c>
      <c r="AS67" s="112" t="e">
        <f t="shared" si="74"/>
        <v>#DIV/0!</v>
      </c>
      <c r="AT67" s="112" t="e">
        <f t="shared" si="73"/>
        <v>#DIV/0!</v>
      </c>
      <c r="AU67" s="107"/>
      <c r="AV67" s="165" t="s">
        <v>101</v>
      </c>
    </row>
    <row r="68" spans="2:48" s="103" customFormat="1" x14ac:dyDescent="0.35">
      <c r="B68" s="107" t="s">
        <v>54</v>
      </c>
      <c r="C68" s="107" t="s">
        <v>55</v>
      </c>
      <c r="D68" s="114" t="s">
        <v>102</v>
      </c>
      <c r="E68" s="104" t="s">
        <v>57</v>
      </c>
      <c r="F68" s="106" t="s">
        <v>58</v>
      </c>
      <c r="G68" s="107" t="s">
        <v>59</v>
      </c>
      <c r="H68" s="107">
        <v>-20</v>
      </c>
      <c r="I68" s="114">
        <v>43933</v>
      </c>
      <c r="J68" s="107" t="s">
        <v>61</v>
      </c>
      <c r="K68" s="107" t="s">
        <v>62</v>
      </c>
      <c r="L68" s="107" t="s">
        <v>89</v>
      </c>
      <c r="M68" s="114" t="s">
        <v>90</v>
      </c>
      <c r="N68" s="107" t="s">
        <v>91</v>
      </c>
      <c r="O68" s="107" t="s">
        <v>92</v>
      </c>
      <c r="P68" s="107" t="s">
        <v>65</v>
      </c>
      <c r="Q68" s="119">
        <v>8.59</v>
      </c>
      <c r="R68" s="107">
        <v>4.6100000000000003</v>
      </c>
      <c r="S68" s="107">
        <v>330</v>
      </c>
      <c r="T68" s="107">
        <v>233736</v>
      </c>
      <c r="U68" s="116">
        <f t="shared" si="0"/>
        <v>233736000000</v>
      </c>
      <c r="V68" s="107" t="s">
        <v>93</v>
      </c>
      <c r="W68" s="107" t="s">
        <v>66</v>
      </c>
      <c r="X68" s="107" t="s">
        <v>94</v>
      </c>
      <c r="Y68" s="111">
        <v>22.02</v>
      </c>
      <c r="Z68" s="111">
        <v>19.41</v>
      </c>
      <c r="AA68" s="107"/>
      <c r="AB68" s="111">
        <f t="shared" si="67"/>
        <v>20.715</v>
      </c>
      <c r="AC68" s="111">
        <f t="shared" si="68"/>
        <v>1.3642101764766041</v>
      </c>
      <c r="AD68" s="112">
        <f t="shared" si="69"/>
        <v>159776306.90611023</v>
      </c>
      <c r="AE68" s="113">
        <f t="shared" si="65"/>
        <v>20.262758485450011</v>
      </c>
      <c r="AF68" s="111">
        <v>22.99</v>
      </c>
      <c r="AG68" s="113">
        <v>22.58</v>
      </c>
      <c r="AH68" s="107"/>
      <c r="AI68" s="111">
        <f t="shared" si="66"/>
        <v>22.784999999999997</v>
      </c>
      <c r="AJ68" s="107">
        <f t="shared" si="70"/>
        <v>694.00811958649638</v>
      </c>
      <c r="AK68" s="112">
        <f t="shared" si="37"/>
        <v>138.80162391729928</v>
      </c>
      <c r="AL68" s="107" t="s">
        <v>100</v>
      </c>
      <c r="AM68" s="107" t="s">
        <v>100</v>
      </c>
      <c r="AN68" s="107"/>
      <c r="AO68" s="113" t="e">
        <f t="shared" si="75"/>
        <v>#DIV/0!</v>
      </c>
      <c r="AP68" s="107" t="e">
        <f>EXP((AO68-15.746)/-1.512)</f>
        <v>#DIV/0!</v>
      </c>
      <c r="AQ68" s="107" t="e">
        <f t="shared" si="72"/>
        <v>#DIV/0!</v>
      </c>
      <c r="AR68" s="112" t="e">
        <f t="shared" si="41"/>
        <v>#DIV/0!</v>
      </c>
      <c r="AS68" s="112" t="e">
        <f t="shared" si="74"/>
        <v>#DIV/0!</v>
      </c>
      <c r="AT68" s="112" t="e">
        <f t="shared" si="73"/>
        <v>#DIV/0!</v>
      </c>
      <c r="AU68" s="107"/>
      <c r="AV68" s="107" t="s">
        <v>103</v>
      </c>
    </row>
    <row r="69" spans="2:48" s="66" customFormat="1" x14ac:dyDescent="0.35">
      <c r="B69" s="52" t="s">
        <v>54</v>
      </c>
      <c r="C69" s="52" t="s">
        <v>55</v>
      </c>
      <c r="D69" s="62" t="s">
        <v>104</v>
      </c>
      <c r="E69" s="63" t="s">
        <v>57</v>
      </c>
      <c r="F69" s="64" t="s">
        <v>58</v>
      </c>
      <c r="G69" s="52" t="s">
        <v>59</v>
      </c>
      <c r="H69" s="52">
        <v>-20</v>
      </c>
      <c r="I69" s="62">
        <v>43933</v>
      </c>
      <c r="J69" s="52" t="s">
        <v>61</v>
      </c>
      <c r="K69" s="52" t="s">
        <v>62</v>
      </c>
      <c r="L69" s="52" t="s">
        <v>89</v>
      </c>
      <c r="M69" s="62" t="s">
        <v>90</v>
      </c>
      <c r="N69" s="52" t="s">
        <v>91</v>
      </c>
      <c r="O69" s="52" t="s">
        <v>92</v>
      </c>
      <c r="P69" s="52" t="s">
        <v>65</v>
      </c>
      <c r="Q69" s="65">
        <v>7.42</v>
      </c>
      <c r="R69" s="52">
        <v>4.37</v>
      </c>
      <c r="S69" s="52">
        <v>210</v>
      </c>
      <c r="T69" s="52">
        <v>426168</v>
      </c>
      <c r="U69" s="55">
        <f t="shared" si="0"/>
        <v>426168000000</v>
      </c>
      <c r="V69" s="52" t="s">
        <v>93</v>
      </c>
      <c r="W69" s="52" t="s">
        <v>66</v>
      </c>
      <c r="X69" s="52" t="s">
        <v>94</v>
      </c>
      <c r="Y69" s="58">
        <v>19.12</v>
      </c>
      <c r="Z69" s="58">
        <v>21.07</v>
      </c>
      <c r="AA69" s="52"/>
      <c r="AB69" s="58">
        <f t="shared" si="67"/>
        <v>20.094999999999999</v>
      </c>
      <c r="AC69" s="58">
        <f t="shared" si="68"/>
        <v>2.0659061473445002</v>
      </c>
      <c r="AD69" s="60">
        <f t="shared" si="69"/>
        <v>241958944.69124383</v>
      </c>
      <c r="AE69" s="57">
        <f t="shared" si="65"/>
        <v>30.685123186343581</v>
      </c>
      <c r="AF69" s="58">
        <v>24.5</v>
      </c>
      <c r="AG69" s="52">
        <v>25.55</v>
      </c>
      <c r="AH69" s="52"/>
      <c r="AI69" s="58">
        <f t="shared" si="66"/>
        <v>25.024999999999999</v>
      </c>
      <c r="AJ69" s="52">
        <f t="shared" si="70"/>
        <v>136.42280126673808</v>
      </c>
      <c r="AK69" s="60">
        <f t="shared" si="37"/>
        <v>27.284560253347614</v>
      </c>
      <c r="AL69" s="52">
        <v>35.71</v>
      </c>
      <c r="AM69" s="52">
        <v>36.15</v>
      </c>
      <c r="AN69" s="52"/>
      <c r="AO69" s="57">
        <f>AVERAGE(AL69:AN69)</f>
        <v>35.93</v>
      </c>
      <c r="AP69" s="52">
        <f t="shared" si="71"/>
        <v>1.5940918623004178E-6</v>
      </c>
      <c r="AQ69" s="52">
        <f t="shared" si="72"/>
        <v>94.420790004931092</v>
      </c>
      <c r="AR69" s="60">
        <f t="shared" si="41"/>
        <v>18.884158000986218</v>
      </c>
      <c r="AS69" s="60">
        <f t="shared" si="74"/>
        <v>0.69211883298244736</v>
      </c>
      <c r="AT69" s="60">
        <f t="shared" si="73"/>
        <v>294958898814.46362</v>
      </c>
      <c r="AU69" s="52"/>
      <c r="AV69" s="52"/>
    </row>
    <row r="70" spans="2:48" s="66" customFormat="1" x14ac:dyDescent="0.35">
      <c r="B70" s="52" t="s">
        <v>54</v>
      </c>
      <c r="C70" s="52" t="s">
        <v>55</v>
      </c>
      <c r="D70" s="62">
        <v>43840</v>
      </c>
      <c r="E70" s="63" t="s">
        <v>57</v>
      </c>
      <c r="F70" s="64" t="s">
        <v>58</v>
      </c>
      <c r="G70" s="52" t="s">
        <v>59</v>
      </c>
      <c r="H70" s="52">
        <v>-20</v>
      </c>
      <c r="I70" s="62">
        <v>43933</v>
      </c>
      <c r="J70" s="52" t="s">
        <v>61</v>
      </c>
      <c r="K70" s="52" t="s">
        <v>62</v>
      </c>
      <c r="L70" s="52" t="s">
        <v>89</v>
      </c>
      <c r="M70" s="62" t="s">
        <v>90</v>
      </c>
      <c r="N70" s="52" t="s">
        <v>91</v>
      </c>
      <c r="O70" s="52" t="s">
        <v>92</v>
      </c>
      <c r="P70" s="52" t="s">
        <v>65</v>
      </c>
      <c r="Q70" s="65">
        <v>7.56</v>
      </c>
      <c r="R70" s="52">
        <v>4.58</v>
      </c>
      <c r="S70" s="52">
        <v>190</v>
      </c>
      <c r="T70" s="52">
        <v>295056</v>
      </c>
      <c r="U70" s="55">
        <f t="shared" si="0"/>
        <v>295056000000</v>
      </c>
      <c r="V70" s="52" t="s">
        <v>93</v>
      </c>
      <c r="W70" s="52" t="s">
        <v>66</v>
      </c>
      <c r="X70" s="52" t="s">
        <v>94</v>
      </c>
      <c r="Y70" s="58">
        <v>18.190000000000001</v>
      </c>
      <c r="Z70" s="58">
        <v>18.62</v>
      </c>
      <c r="AA70" s="52"/>
      <c r="AB70" s="58">
        <f t="shared" si="67"/>
        <v>18.405000000000001</v>
      </c>
      <c r="AC70" s="58">
        <f t="shared" si="68"/>
        <v>6.4029599448525563</v>
      </c>
      <c r="AD70" s="60">
        <f t="shared" si="69"/>
        <v>749914720.54440987</v>
      </c>
      <c r="AE70" s="57">
        <f t="shared" si="65"/>
        <v>95.103843375253348</v>
      </c>
      <c r="AF70" s="57">
        <v>24.49</v>
      </c>
      <c r="AG70" s="52">
        <v>24.9</v>
      </c>
      <c r="AH70" s="52"/>
      <c r="AI70" s="58">
        <f t="shared" si="66"/>
        <v>24.695</v>
      </c>
      <c r="AJ70" s="52">
        <f t="shared" si="70"/>
        <v>173.36692674497155</v>
      </c>
      <c r="AK70" s="60">
        <f t="shared" si="37"/>
        <v>34.673385348994309</v>
      </c>
      <c r="AL70" s="52">
        <v>33.08</v>
      </c>
      <c r="AM70" s="52">
        <v>34.119999999999997</v>
      </c>
      <c r="AN70" s="52"/>
      <c r="AO70" s="57">
        <f>AVERAGE(AL70:AN70)</f>
        <v>33.599999999999994</v>
      </c>
      <c r="AP70" s="52">
        <f t="shared" si="71"/>
        <v>7.4432642787186471E-6</v>
      </c>
      <c r="AQ70" s="52">
        <f t="shared" si="72"/>
        <v>440.87728570290562</v>
      </c>
      <c r="AR70" s="60">
        <f t="shared" si="41"/>
        <v>88.17545714058113</v>
      </c>
      <c r="AS70" s="60">
        <f t="shared" si="74"/>
        <v>2.543029942218741</v>
      </c>
      <c r="AT70" s="60">
        <f t="shared" si="73"/>
        <v>750336242631.29285</v>
      </c>
      <c r="AU70" s="52"/>
      <c r="AV70" s="52"/>
    </row>
    <row r="71" spans="2:48" s="66" customFormat="1" x14ac:dyDescent="0.35">
      <c r="B71" s="52" t="s">
        <v>54</v>
      </c>
      <c r="C71" s="52" t="s">
        <v>55</v>
      </c>
      <c r="D71" s="62">
        <v>43871</v>
      </c>
      <c r="E71" s="63" t="s">
        <v>57</v>
      </c>
      <c r="F71" s="64" t="s">
        <v>58</v>
      </c>
      <c r="G71" s="52" t="s">
        <v>59</v>
      </c>
      <c r="H71" s="52">
        <v>-20</v>
      </c>
      <c r="I71" s="62">
        <v>43933</v>
      </c>
      <c r="J71" s="52" t="s">
        <v>61</v>
      </c>
      <c r="K71" s="52" t="s">
        <v>62</v>
      </c>
      <c r="L71" s="52" t="s">
        <v>89</v>
      </c>
      <c r="M71" s="62" t="s">
        <v>90</v>
      </c>
      <c r="N71" s="52" t="s">
        <v>91</v>
      </c>
      <c r="O71" s="52" t="s">
        <v>92</v>
      </c>
      <c r="P71" s="52" t="s">
        <v>65</v>
      </c>
      <c r="Q71" s="65">
        <v>7.65</v>
      </c>
      <c r="R71" s="52">
        <v>3.73</v>
      </c>
      <c r="S71" s="52">
        <v>200</v>
      </c>
      <c r="T71" s="52">
        <v>321072</v>
      </c>
      <c r="U71" s="55">
        <f t="shared" si="0"/>
        <v>321072000000</v>
      </c>
      <c r="V71" s="52" t="s">
        <v>93</v>
      </c>
      <c r="W71" s="52" t="s">
        <v>66</v>
      </c>
      <c r="X71" s="52" t="s">
        <v>94</v>
      </c>
      <c r="Y71" s="58">
        <v>18.52</v>
      </c>
      <c r="Z71" s="58">
        <v>19.27</v>
      </c>
      <c r="AA71" s="52"/>
      <c r="AB71" s="58">
        <f t="shared" si="67"/>
        <v>18.895</v>
      </c>
      <c r="AC71" s="58">
        <f t="shared" si="68"/>
        <v>4.6125543562130087</v>
      </c>
      <c r="AD71" s="60">
        <f t="shared" si="69"/>
        <v>540222403.51763296</v>
      </c>
      <c r="AE71" s="57">
        <f t="shared" si="65"/>
        <v>68.510759216255877</v>
      </c>
      <c r="AF71" s="52">
        <v>23.34</v>
      </c>
      <c r="AG71" s="52">
        <v>26.79</v>
      </c>
      <c r="AH71" s="52"/>
      <c r="AI71" s="58">
        <f t="shared" si="66"/>
        <v>25.064999999999998</v>
      </c>
      <c r="AJ71" s="52">
        <f t="shared" si="70"/>
        <v>132.51690731344601</v>
      </c>
      <c r="AK71" s="60">
        <f t="shared" si="37"/>
        <v>26.503381462689202</v>
      </c>
      <c r="AL71" s="52">
        <v>34.130000000000003</v>
      </c>
      <c r="AM71" s="52">
        <v>33.29</v>
      </c>
      <c r="AN71" s="52"/>
      <c r="AO71" s="57">
        <f>AVERAGE(AL71:AN71)</f>
        <v>33.71</v>
      </c>
      <c r="AP71" s="52">
        <f t="shared" si="71"/>
        <v>6.9209855292572844E-6</v>
      </c>
      <c r="AQ71" s="52">
        <f t="shared" si="72"/>
        <v>409.94182125873942</v>
      </c>
      <c r="AR71" s="60">
        <f t="shared" si="41"/>
        <v>81.988364251747882</v>
      </c>
      <c r="AS71" s="60">
        <f t="shared" si="74"/>
        <v>3.0935057991437453</v>
      </c>
      <c r="AT71" s="60">
        <f t="shared" si="73"/>
        <v>993238093942.68066</v>
      </c>
      <c r="AU71" s="52"/>
      <c r="AV71" s="52"/>
    </row>
    <row r="72" spans="2:48" s="103" customFormat="1" x14ac:dyDescent="0.35">
      <c r="B72" s="107" t="s">
        <v>54</v>
      </c>
      <c r="C72" s="107" t="s">
        <v>55</v>
      </c>
      <c r="D72" s="114">
        <v>43961</v>
      </c>
      <c r="E72" s="104" t="s">
        <v>57</v>
      </c>
      <c r="F72" s="106" t="s">
        <v>58</v>
      </c>
      <c r="G72" s="107" t="s">
        <v>59</v>
      </c>
      <c r="H72" s="107">
        <v>-20</v>
      </c>
      <c r="I72" s="114">
        <v>43933</v>
      </c>
      <c r="J72" s="107" t="s">
        <v>61</v>
      </c>
      <c r="K72" s="107" t="s">
        <v>62</v>
      </c>
      <c r="L72" s="107" t="s">
        <v>89</v>
      </c>
      <c r="M72" s="114" t="s">
        <v>90</v>
      </c>
      <c r="N72" s="107" t="s">
        <v>91</v>
      </c>
      <c r="O72" s="107" t="s">
        <v>92</v>
      </c>
      <c r="P72" s="107" t="s">
        <v>65</v>
      </c>
      <c r="Q72" s="119">
        <v>7.8</v>
      </c>
      <c r="R72" s="107">
        <v>4.5599999999999996</v>
      </c>
      <c r="S72" s="107">
        <v>250</v>
      </c>
      <c r="T72" s="107">
        <v>200664</v>
      </c>
      <c r="U72" s="116">
        <f t="shared" si="0"/>
        <v>200664000000</v>
      </c>
      <c r="V72" s="107" t="s">
        <v>93</v>
      </c>
      <c r="W72" s="107" t="s">
        <v>66</v>
      </c>
      <c r="X72" s="107" t="s">
        <v>94</v>
      </c>
      <c r="Y72" s="111">
        <v>18.920000000000002</v>
      </c>
      <c r="Z72" s="111">
        <v>19.829999999999998</v>
      </c>
      <c r="AA72" s="107"/>
      <c r="AB72" s="111">
        <f t="shared" si="67"/>
        <v>19.375</v>
      </c>
      <c r="AC72" s="111">
        <f t="shared" si="68"/>
        <v>3.3451002166963621</v>
      </c>
      <c r="AD72" s="112">
        <f t="shared" si="69"/>
        <v>391778164.44307971</v>
      </c>
      <c r="AE72" s="113">
        <f t="shared" si="65"/>
        <v>49.685128412987844</v>
      </c>
      <c r="AF72" s="107">
        <v>23.13</v>
      </c>
      <c r="AG72" s="107">
        <v>23.65</v>
      </c>
      <c r="AH72" s="107"/>
      <c r="AI72" s="111">
        <f t="shared" si="66"/>
        <v>23.39</v>
      </c>
      <c r="AJ72" s="107">
        <f t="shared" si="70"/>
        <v>447.25223991629753</v>
      </c>
      <c r="AK72" s="112">
        <f t="shared" si="37"/>
        <v>89.450447983259508</v>
      </c>
      <c r="AL72" s="107" t="s">
        <v>100</v>
      </c>
      <c r="AM72" s="107" t="s">
        <v>100</v>
      </c>
      <c r="AN72" s="107"/>
      <c r="AO72" s="113" t="e">
        <f t="shared" ref="AO72:AO74" si="76">AVERAGE(AL72:AN72)</f>
        <v>#DIV/0!</v>
      </c>
      <c r="AP72" s="107" t="e">
        <f t="shared" si="71"/>
        <v>#DIV/0!</v>
      </c>
      <c r="AQ72" s="107" t="e">
        <f t="shared" si="72"/>
        <v>#DIV/0!</v>
      </c>
      <c r="AR72" s="112" t="e">
        <f t="shared" si="41"/>
        <v>#DIV/0!</v>
      </c>
      <c r="AS72" s="112" t="e">
        <f t="shared" si="74"/>
        <v>#DIV/0!</v>
      </c>
      <c r="AT72" s="112" t="e">
        <f t="shared" si="73"/>
        <v>#DIV/0!</v>
      </c>
      <c r="AU72" s="107"/>
      <c r="AV72" s="107" t="s">
        <v>103</v>
      </c>
    </row>
    <row r="73" spans="2:48" s="103" customFormat="1" x14ac:dyDescent="0.35">
      <c r="B73" s="107" t="s">
        <v>54</v>
      </c>
      <c r="C73" s="107" t="s">
        <v>55</v>
      </c>
      <c r="D73" s="114" t="s">
        <v>99</v>
      </c>
      <c r="E73" s="104" t="s">
        <v>57</v>
      </c>
      <c r="F73" s="106" t="s">
        <v>58</v>
      </c>
      <c r="G73" s="107" t="s">
        <v>59</v>
      </c>
      <c r="H73" s="107">
        <v>-20</v>
      </c>
      <c r="I73" s="114">
        <v>43933</v>
      </c>
      <c r="J73" s="107" t="s">
        <v>61</v>
      </c>
      <c r="K73" s="107" t="s">
        <v>62</v>
      </c>
      <c r="L73" s="107" t="s">
        <v>89</v>
      </c>
      <c r="M73" s="114" t="s">
        <v>90</v>
      </c>
      <c r="N73" s="107" t="s">
        <v>91</v>
      </c>
      <c r="O73" s="107" t="s">
        <v>92</v>
      </c>
      <c r="P73" s="107" t="s">
        <v>65</v>
      </c>
      <c r="Q73" s="119">
        <v>7.84</v>
      </c>
      <c r="R73" s="107">
        <v>4.2699999999999996</v>
      </c>
      <c r="S73" s="107">
        <v>300</v>
      </c>
      <c r="T73" s="107">
        <v>319488</v>
      </c>
      <c r="U73" s="116">
        <f t="shared" si="0"/>
        <v>319488000000</v>
      </c>
      <c r="V73" s="107" t="s">
        <v>93</v>
      </c>
      <c r="W73" s="107" t="s">
        <v>66</v>
      </c>
      <c r="X73" s="107" t="s">
        <v>94</v>
      </c>
      <c r="Y73" s="111">
        <v>20.149999999999999</v>
      </c>
      <c r="Z73" s="111">
        <v>20.75</v>
      </c>
      <c r="AA73" s="107"/>
      <c r="AB73" s="111">
        <f t="shared" si="67"/>
        <v>20.45</v>
      </c>
      <c r="AC73" s="111">
        <f t="shared" si="68"/>
        <v>1.6289763431968496</v>
      </c>
      <c r="AD73" s="112">
        <f t="shared" si="69"/>
        <v>190785722.49448147</v>
      </c>
      <c r="AE73" s="113">
        <f t="shared" si="65"/>
        <v>24.195358449794828</v>
      </c>
      <c r="AF73" s="107">
        <v>24.83</v>
      </c>
      <c r="AG73" s="107">
        <v>25.18</v>
      </c>
      <c r="AH73" s="107"/>
      <c r="AI73" s="111">
        <f t="shared" si="66"/>
        <v>25.004999999999999</v>
      </c>
      <c r="AJ73" s="107">
        <f t="shared" si="70"/>
        <v>138.41871034508986</v>
      </c>
      <c r="AK73" s="112">
        <f t="shared" si="37"/>
        <v>27.683742069017974</v>
      </c>
      <c r="AL73" s="107" t="s">
        <v>100</v>
      </c>
      <c r="AM73" s="107" t="s">
        <v>100</v>
      </c>
      <c r="AN73" s="107"/>
      <c r="AO73" s="113" t="e">
        <f t="shared" si="76"/>
        <v>#DIV/0!</v>
      </c>
      <c r="AP73" s="107" t="e">
        <f t="shared" si="71"/>
        <v>#DIV/0!</v>
      </c>
      <c r="AQ73" s="107" t="e">
        <f t="shared" si="72"/>
        <v>#DIV/0!</v>
      </c>
      <c r="AR73" s="112" t="e">
        <f t="shared" si="41"/>
        <v>#DIV/0!</v>
      </c>
      <c r="AS73" s="112" t="e">
        <f t="shared" si="74"/>
        <v>#DIV/0!</v>
      </c>
      <c r="AT73" s="112" t="e">
        <f t="shared" si="73"/>
        <v>#DIV/0!</v>
      </c>
      <c r="AU73" s="107"/>
      <c r="AV73" s="107" t="s">
        <v>103</v>
      </c>
    </row>
    <row r="74" spans="2:48" s="5" customFormat="1" x14ac:dyDescent="0.35">
      <c r="B74" s="8"/>
      <c r="C74" s="8"/>
      <c r="D74" s="17"/>
      <c r="E74" s="10" t="s">
        <v>105</v>
      </c>
      <c r="F74" s="8"/>
      <c r="G74" s="8" t="s">
        <v>106</v>
      </c>
      <c r="H74" s="8">
        <v>-80</v>
      </c>
      <c r="I74" s="8"/>
      <c r="J74" s="8"/>
      <c r="K74" s="8"/>
      <c r="L74" s="8"/>
      <c r="M74" s="8"/>
      <c r="N74" s="24" t="s">
        <v>107</v>
      </c>
      <c r="O74" s="8" t="s">
        <v>108</v>
      </c>
      <c r="P74" s="8" t="s">
        <v>108</v>
      </c>
      <c r="Q74" s="20" t="s">
        <v>108</v>
      </c>
      <c r="R74" s="8" t="s">
        <v>108</v>
      </c>
      <c r="S74" s="8" t="s">
        <v>108</v>
      </c>
      <c r="T74" s="8" t="s">
        <v>108</v>
      </c>
      <c r="U74" s="24" t="e">
        <f t="shared" si="0"/>
        <v>#VALUE!</v>
      </c>
      <c r="V74" s="8" t="s">
        <v>93</v>
      </c>
      <c r="W74" s="8" t="s">
        <v>66</v>
      </c>
      <c r="X74" s="8" t="s">
        <v>94</v>
      </c>
      <c r="Y74" s="21">
        <v>18.04</v>
      </c>
      <c r="Z74" s="21">
        <v>18.62</v>
      </c>
      <c r="AA74" s="8"/>
      <c r="AB74" s="18">
        <f t="shared" ref="AB74" si="77">AVERAGE(Y74:AA74)</f>
        <v>18.329999999999998</v>
      </c>
      <c r="AC74" s="18">
        <f t="shared" si="68"/>
        <v>6.7325985129625687</v>
      </c>
      <c r="AD74" s="19">
        <f t="shared" si="69"/>
        <v>788521992.30840206</v>
      </c>
      <c r="AE74" s="21">
        <f t="shared" si="65"/>
        <v>100</v>
      </c>
      <c r="AF74" s="8" t="s">
        <v>95</v>
      </c>
      <c r="AG74" s="8" t="s">
        <v>95</v>
      </c>
      <c r="AH74" s="8" t="s">
        <v>109</v>
      </c>
      <c r="AI74" s="21" t="e">
        <f t="shared" si="66"/>
        <v>#DIV/0!</v>
      </c>
      <c r="AJ74" s="8" t="e">
        <f t="shared" si="70"/>
        <v>#DIV/0!</v>
      </c>
      <c r="AK74" s="60" t="e">
        <f t="shared" si="37"/>
        <v>#DIV/0!</v>
      </c>
      <c r="AL74" s="8" t="s">
        <v>100</v>
      </c>
      <c r="AM74" s="8" t="s">
        <v>100</v>
      </c>
      <c r="AN74" s="8"/>
      <c r="AO74" s="21" t="e">
        <f t="shared" si="76"/>
        <v>#DIV/0!</v>
      </c>
      <c r="AP74" s="8" t="e">
        <f t="shared" si="71"/>
        <v>#DIV/0!</v>
      </c>
      <c r="AQ74" s="8" t="e">
        <f>(AP74*(6.0221*10^23))/(B11*340*10^9)</f>
        <v>#DIV/0!</v>
      </c>
      <c r="AR74" s="60" t="e">
        <f t="shared" si="41"/>
        <v>#DIV/0!</v>
      </c>
      <c r="AS74" s="19" t="e">
        <f t="shared" si="74"/>
        <v>#DIV/0!</v>
      </c>
      <c r="AT74" s="19" t="e">
        <f t="shared" si="73"/>
        <v>#DIV/0!</v>
      </c>
      <c r="AU74" s="8"/>
      <c r="AV74" s="8"/>
    </row>
    <row r="75" spans="2:48" s="5" customFormat="1" x14ac:dyDescent="0.35">
      <c r="B75" s="8"/>
      <c r="C75" s="8"/>
      <c r="D75" s="17"/>
      <c r="E75" s="8" t="s">
        <v>109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24">
        <f t="shared" si="0"/>
        <v>0</v>
      </c>
      <c r="V75" s="8"/>
      <c r="W75" s="8"/>
      <c r="X75" s="8"/>
      <c r="Y75" s="8"/>
      <c r="Z75" s="8"/>
      <c r="AA75" s="8"/>
      <c r="AB75" s="8"/>
      <c r="AC75" s="18"/>
      <c r="AD75" s="51"/>
      <c r="AE75" s="21"/>
      <c r="AF75" s="8"/>
      <c r="AG75" s="8"/>
      <c r="AH75" s="8"/>
      <c r="AI75" s="8"/>
      <c r="AJ75" s="8"/>
      <c r="AK75" s="60">
        <f t="shared" si="37"/>
        <v>0</v>
      </c>
      <c r="AL75" s="8"/>
      <c r="AM75" s="8"/>
      <c r="AN75" s="8"/>
      <c r="AO75" s="8"/>
      <c r="AP75" s="8"/>
      <c r="AQ75" s="8"/>
      <c r="AR75" s="60"/>
      <c r="AS75" s="19"/>
      <c r="AT75" s="8"/>
      <c r="AU75" s="8"/>
      <c r="AV75" s="8"/>
    </row>
    <row r="76" spans="2:48" s="66" customFormat="1" x14ac:dyDescent="0.35">
      <c r="B76" s="52" t="s">
        <v>54</v>
      </c>
      <c r="C76" s="52" t="s">
        <v>55</v>
      </c>
      <c r="D76" s="78" t="s">
        <v>110</v>
      </c>
      <c r="E76" s="52" t="s">
        <v>57</v>
      </c>
      <c r="F76" s="64" t="s">
        <v>58</v>
      </c>
      <c r="G76" s="52" t="s">
        <v>59</v>
      </c>
      <c r="H76" s="52">
        <v>-20</v>
      </c>
      <c r="I76" s="62" t="s">
        <v>111</v>
      </c>
      <c r="J76" s="52" t="s">
        <v>61</v>
      </c>
      <c r="K76" s="52" t="s">
        <v>62</v>
      </c>
      <c r="L76" s="52" t="s">
        <v>89</v>
      </c>
      <c r="M76" s="52" t="s">
        <v>112</v>
      </c>
      <c r="N76" s="52" t="s">
        <v>91</v>
      </c>
      <c r="O76" s="52" t="s">
        <v>92</v>
      </c>
      <c r="P76" s="52" t="s">
        <v>65</v>
      </c>
      <c r="Q76" s="52">
        <v>8.65</v>
      </c>
      <c r="R76" s="52">
        <v>4.1900000000000004</v>
      </c>
      <c r="S76" s="52">
        <v>210</v>
      </c>
      <c r="T76" s="52">
        <v>209112</v>
      </c>
      <c r="U76" s="55">
        <f t="shared" si="0"/>
        <v>209112000000</v>
      </c>
      <c r="V76" s="52" t="s">
        <v>113</v>
      </c>
      <c r="W76" s="52" t="s">
        <v>66</v>
      </c>
      <c r="X76" s="52" t="s">
        <v>114</v>
      </c>
      <c r="Y76" s="67">
        <v>21.13</v>
      </c>
      <c r="Z76" s="67">
        <v>21.09</v>
      </c>
      <c r="AA76" s="52"/>
      <c r="AB76" s="57">
        <f t="shared" ref="AB76:AB86" si="78">AVERAGE(Y76:AA76)</f>
        <v>21.11</v>
      </c>
      <c r="AC76" s="58">
        <f t="shared" ref="AC76:AC86" si="79">EXP((AB76-21.179)/-1.494)</f>
        <v>1.0472678642589164</v>
      </c>
      <c r="AD76" s="59">
        <f t="shared" ref="AD76:AD86" si="80">(AC76*(6.0221*10^23))/(15123*340*10^9)</f>
        <v>122656020.73494637</v>
      </c>
      <c r="AE76" s="57">
        <f t="shared" ref="AE76:AE86" si="81">AD76*100/AD$86</f>
        <v>19.99331090702189</v>
      </c>
      <c r="AF76" s="57">
        <v>24.1</v>
      </c>
      <c r="AG76" s="67">
        <v>23.84</v>
      </c>
      <c r="AH76" s="52"/>
      <c r="AI76" s="57">
        <f t="shared" ref="AI76:AI86" si="82">AVERAGE(AF76:AH76)</f>
        <v>23.97</v>
      </c>
      <c r="AJ76" s="52">
        <f t="shared" si="70"/>
        <v>293.51161462965825</v>
      </c>
      <c r="AK76" s="60">
        <f t="shared" si="37"/>
        <v>58.702322925931654</v>
      </c>
      <c r="AL76" s="52">
        <v>35.93</v>
      </c>
      <c r="AM76" s="52">
        <v>34.69</v>
      </c>
      <c r="AN76" s="52"/>
      <c r="AO76" s="57">
        <f t="shared" ref="AO76:AO82" si="83">AVERAGE(AL76:AN76)</f>
        <v>35.31</v>
      </c>
      <c r="AP76" s="52">
        <f>EXP((AO76-15.746)/-1.512)</f>
        <v>2.4021330628430918E-6</v>
      </c>
      <c r="AQ76" s="52">
        <f>(AP76*(6.0221*10^23))/(29903*340*10^9)</f>
        <v>142.28245363683146</v>
      </c>
      <c r="AR76" s="60">
        <f t="shared" si="41"/>
        <v>28.456490727366294</v>
      </c>
      <c r="AS76" s="60">
        <f t="shared" si="74"/>
        <v>0.48475919365698023</v>
      </c>
      <c r="AT76" s="60">
        <f>AS76*U76</f>
        <v>101368964503.99844</v>
      </c>
      <c r="AU76" s="52"/>
      <c r="AV76" s="52"/>
    </row>
    <row r="77" spans="2:48" s="66" customFormat="1" ht="14.25" x14ac:dyDescent="0.45">
      <c r="B77" s="52" t="s">
        <v>54</v>
      </c>
      <c r="C77" s="52" t="s">
        <v>55</v>
      </c>
      <c r="D77" s="62" t="s">
        <v>115</v>
      </c>
      <c r="E77" s="52" t="s">
        <v>57</v>
      </c>
      <c r="F77" s="64" t="s">
        <v>58</v>
      </c>
      <c r="G77" s="52" t="s">
        <v>59</v>
      </c>
      <c r="H77" s="52">
        <v>-20</v>
      </c>
      <c r="I77" s="62" t="s">
        <v>111</v>
      </c>
      <c r="J77" s="52" t="s">
        <v>61</v>
      </c>
      <c r="K77" s="52" t="s">
        <v>62</v>
      </c>
      <c r="L77" s="52" t="s">
        <v>89</v>
      </c>
      <c r="M77" s="52" t="s">
        <v>112</v>
      </c>
      <c r="N77" s="52" t="s">
        <v>91</v>
      </c>
      <c r="O77" s="52" t="s">
        <v>92</v>
      </c>
      <c r="P77" s="52" t="s">
        <v>65</v>
      </c>
      <c r="Q77" s="52">
        <v>7.88</v>
      </c>
      <c r="R77" s="52">
        <v>4.2699999999999996</v>
      </c>
      <c r="S77" s="52">
        <v>280</v>
      </c>
      <c r="T77" s="79">
        <v>188232</v>
      </c>
      <c r="U77" s="55">
        <f t="shared" si="0"/>
        <v>188232000000</v>
      </c>
      <c r="V77" s="52" t="s">
        <v>113</v>
      </c>
      <c r="W77" s="52" t="s">
        <v>66</v>
      </c>
      <c r="X77" s="52" t="s">
        <v>114</v>
      </c>
      <c r="Y77" s="57">
        <v>21.7</v>
      </c>
      <c r="Z77" s="67">
        <v>21.75</v>
      </c>
      <c r="AA77" s="52"/>
      <c r="AB77" s="57">
        <f t="shared" si="78"/>
        <v>21.725000000000001</v>
      </c>
      <c r="AC77" s="58">
        <f t="shared" si="79"/>
        <v>0.69387611199265076</v>
      </c>
      <c r="AD77" s="59">
        <f t="shared" si="80"/>
        <v>81266775.850398138</v>
      </c>
      <c r="AE77" s="57">
        <f t="shared" si="81"/>
        <v>13.246735922563181</v>
      </c>
      <c r="AF77" s="52">
        <v>22.39</v>
      </c>
      <c r="AG77" s="52">
        <v>22.66</v>
      </c>
      <c r="AH77" s="52"/>
      <c r="AI77" s="57">
        <f t="shared" si="82"/>
        <v>22.524999999999999</v>
      </c>
      <c r="AJ77" s="52">
        <f t="shared" si="70"/>
        <v>838.23620422186787</v>
      </c>
      <c r="AK77" s="60">
        <f t="shared" si="37"/>
        <v>167.64724084437358</v>
      </c>
      <c r="AL77" s="52">
        <v>35.729999999999997</v>
      </c>
      <c r="AM77" s="52">
        <v>38.15</v>
      </c>
      <c r="AN77" s="52"/>
      <c r="AO77" s="57">
        <f t="shared" si="83"/>
        <v>36.94</v>
      </c>
      <c r="AP77" s="52">
        <f t="shared" ref="AP77:AP112" si="84">EXP((AO77-15.746)/-1.512)</f>
        <v>8.1735218237108468E-7</v>
      </c>
      <c r="AQ77" s="52">
        <f t="shared" ref="AQ77:AQ112" si="85">(AP77*(6.0221*10^23))/(29903*340*10^9)</f>
        <v>48.413169025505098</v>
      </c>
      <c r="AR77" s="60">
        <f t="shared" si="41"/>
        <v>9.6826338051010197</v>
      </c>
      <c r="AS77" s="60">
        <f t="shared" si="74"/>
        <v>5.775599858568134E-2</v>
      </c>
      <c r="AT77" s="60">
        <f t="shared" ref="AT77:AT112" si="86">AS77*U77</f>
        <v>10871527125.77997</v>
      </c>
      <c r="AU77" s="52"/>
      <c r="AV77" s="52"/>
    </row>
    <row r="78" spans="2:48" s="61" customFormat="1" x14ac:dyDescent="0.35">
      <c r="B78" s="52" t="s">
        <v>54</v>
      </c>
      <c r="C78" s="52" t="s">
        <v>55</v>
      </c>
      <c r="D78" s="62" t="s">
        <v>116</v>
      </c>
      <c r="E78" s="52" t="s">
        <v>57</v>
      </c>
      <c r="F78" s="64" t="s">
        <v>58</v>
      </c>
      <c r="G78" s="52" t="s">
        <v>59</v>
      </c>
      <c r="H78" s="52">
        <v>-20</v>
      </c>
      <c r="I78" s="62" t="s">
        <v>111</v>
      </c>
      <c r="J78" s="52" t="s">
        <v>61</v>
      </c>
      <c r="K78" s="52" t="s">
        <v>62</v>
      </c>
      <c r="L78" s="52" t="s">
        <v>89</v>
      </c>
      <c r="M78" s="52" t="s">
        <v>112</v>
      </c>
      <c r="N78" s="52" t="s">
        <v>91</v>
      </c>
      <c r="O78" s="52" t="s">
        <v>92</v>
      </c>
      <c r="P78" s="52" t="s">
        <v>65</v>
      </c>
      <c r="Q78" s="52">
        <v>7.92</v>
      </c>
      <c r="R78" s="52">
        <v>4.62</v>
      </c>
      <c r="S78" s="52">
        <v>300</v>
      </c>
      <c r="T78" s="52">
        <v>182904</v>
      </c>
      <c r="U78" s="55">
        <f t="shared" si="0"/>
        <v>182904000000</v>
      </c>
      <c r="V78" s="67" t="s">
        <v>113</v>
      </c>
      <c r="W78" s="52" t="s">
        <v>66</v>
      </c>
      <c r="X78" s="67" t="s">
        <v>114</v>
      </c>
      <c r="Y78" s="52">
        <v>21.82</v>
      </c>
      <c r="Z78" s="52">
        <v>21.38</v>
      </c>
      <c r="AA78" s="52"/>
      <c r="AB78" s="57">
        <f t="shared" si="78"/>
        <v>21.6</v>
      </c>
      <c r="AC78" s="58">
        <f t="shared" si="79"/>
        <v>0.75442920009092496</v>
      </c>
      <c r="AD78" s="59">
        <f t="shared" si="80"/>
        <v>88358754.018374011</v>
      </c>
      <c r="AE78" s="57">
        <f t="shared" si="81"/>
        <v>14.402750308229244</v>
      </c>
      <c r="AF78" s="58">
        <v>22.8</v>
      </c>
      <c r="AG78" s="52">
        <v>22.69</v>
      </c>
      <c r="AH78" s="52"/>
      <c r="AI78" s="57">
        <f t="shared" si="82"/>
        <v>22.745000000000001</v>
      </c>
      <c r="AJ78" s="52">
        <f t="shared" si="70"/>
        <v>714.46378952917394</v>
      </c>
      <c r="AK78" s="60">
        <f t="shared" si="37"/>
        <v>142.8927579058348</v>
      </c>
      <c r="AL78" s="52">
        <v>35.58</v>
      </c>
      <c r="AM78" s="52">
        <v>37.11</v>
      </c>
      <c r="AN78" s="52"/>
      <c r="AO78" s="57">
        <f t="shared" si="83"/>
        <v>36.344999999999999</v>
      </c>
      <c r="AP78" s="52">
        <f t="shared" si="84"/>
        <v>1.2114685595752181E-6</v>
      </c>
      <c r="AQ78" s="52">
        <f t="shared" si="85"/>
        <v>71.757356753679247</v>
      </c>
      <c r="AR78" s="60">
        <f t="shared" si="41"/>
        <v>14.351471350735849</v>
      </c>
      <c r="AS78" s="60">
        <f t="shared" si="74"/>
        <v>0.10043526040832214</v>
      </c>
      <c r="AT78" s="60">
        <f t="shared" si="86"/>
        <v>18370010869.723751</v>
      </c>
      <c r="AU78" s="52"/>
      <c r="AV78" s="52"/>
    </row>
    <row r="79" spans="2:48" s="61" customFormat="1" x14ac:dyDescent="0.35">
      <c r="B79" s="52" t="s">
        <v>54</v>
      </c>
      <c r="C79" s="52" t="s">
        <v>55</v>
      </c>
      <c r="D79" s="78" t="s">
        <v>117</v>
      </c>
      <c r="E79" s="52" t="s">
        <v>57</v>
      </c>
      <c r="F79" s="64" t="s">
        <v>58</v>
      </c>
      <c r="G79" s="52" t="s">
        <v>59</v>
      </c>
      <c r="H79" s="52">
        <v>-20</v>
      </c>
      <c r="I79" s="62" t="s">
        <v>111</v>
      </c>
      <c r="J79" s="52" t="s">
        <v>61</v>
      </c>
      <c r="K79" s="52" t="s">
        <v>62</v>
      </c>
      <c r="L79" s="52" t="s">
        <v>89</v>
      </c>
      <c r="M79" s="52" t="s">
        <v>112</v>
      </c>
      <c r="N79" s="52" t="s">
        <v>91</v>
      </c>
      <c r="O79" s="52" t="s">
        <v>92</v>
      </c>
      <c r="P79" s="52" t="s">
        <v>65</v>
      </c>
      <c r="Q79" s="52">
        <v>8.49</v>
      </c>
      <c r="R79" s="52">
        <v>4.66</v>
      </c>
      <c r="S79" s="52">
        <v>260</v>
      </c>
      <c r="T79" s="52">
        <v>205512</v>
      </c>
      <c r="U79" s="55">
        <f t="shared" si="0"/>
        <v>205512000000</v>
      </c>
      <c r="V79" s="67" t="s">
        <v>113</v>
      </c>
      <c r="W79" s="52" t="s">
        <v>66</v>
      </c>
      <c r="X79" s="67" t="s">
        <v>114</v>
      </c>
      <c r="Y79" s="52">
        <v>21.39</v>
      </c>
      <c r="Z79" s="52">
        <v>21.32</v>
      </c>
      <c r="AA79" s="52"/>
      <c r="AB79" s="57">
        <f t="shared" si="78"/>
        <v>21.355</v>
      </c>
      <c r="AC79" s="58">
        <f t="shared" si="79"/>
        <v>0.88886976386520522</v>
      </c>
      <c r="AD79" s="59">
        <f t="shared" si="80"/>
        <v>104104433.93531184</v>
      </c>
      <c r="AE79" s="57">
        <f t="shared" si="81"/>
        <v>16.969344855610444</v>
      </c>
      <c r="AF79" s="52">
        <v>22.67</v>
      </c>
      <c r="AG79" s="52">
        <v>22.46</v>
      </c>
      <c r="AH79" s="52"/>
      <c r="AI79" s="57">
        <f t="shared" si="82"/>
        <v>22.565000000000001</v>
      </c>
      <c r="AJ79" s="52">
        <f t="shared" si="70"/>
        <v>814.23683101518998</v>
      </c>
      <c r="AK79" s="60">
        <f t="shared" si="37"/>
        <v>162.84736620303801</v>
      </c>
      <c r="AL79" s="52">
        <v>35.86</v>
      </c>
      <c r="AM79" s="52">
        <v>38.01</v>
      </c>
      <c r="AN79" s="52"/>
      <c r="AO79" s="57">
        <f t="shared" si="83"/>
        <v>36.935000000000002</v>
      </c>
      <c r="AP79" s="52">
        <f t="shared" si="84"/>
        <v>8.2005954055689121E-7</v>
      </c>
      <c r="AQ79" s="52">
        <f t="shared" si="85"/>
        <v>48.573530485704303</v>
      </c>
      <c r="AR79" s="60">
        <f t="shared" si="41"/>
        <v>9.7147060971408603</v>
      </c>
      <c r="AS79" s="60">
        <f t="shared" si="74"/>
        <v>5.9655285336506887E-2</v>
      </c>
      <c r="AT79" s="60">
        <f t="shared" si="86"/>
        <v>12259877000.076204</v>
      </c>
      <c r="AU79" s="52"/>
      <c r="AV79" s="52"/>
    </row>
    <row r="80" spans="2:48" s="61" customFormat="1" x14ac:dyDescent="0.35">
      <c r="B80" s="52" t="s">
        <v>54</v>
      </c>
      <c r="C80" s="52" t="s">
        <v>55</v>
      </c>
      <c r="D80" s="78" t="s">
        <v>118</v>
      </c>
      <c r="E80" s="52" t="s">
        <v>57</v>
      </c>
      <c r="F80" s="64" t="s">
        <v>58</v>
      </c>
      <c r="G80" s="52" t="s">
        <v>59</v>
      </c>
      <c r="H80" s="52">
        <v>-20</v>
      </c>
      <c r="I80" s="62" t="s">
        <v>111</v>
      </c>
      <c r="J80" s="52" t="s">
        <v>61</v>
      </c>
      <c r="K80" s="52" t="s">
        <v>62</v>
      </c>
      <c r="L80" s="52" t="s">
        <v>89</v>
      </c>
      <c r="M80" s="52" t="s">
        <v>112</v>
      </c>
      <c r="N80" s="52" t="s">
        <v>91</v>
      </c>
      <c r="O80" s="52" t="s">
        <v>92</v>
      </c>
      <c r="P80" s="52" t="s">
        <v>65</v>
      </c>
      <c r="Q80" s="52">
        <v>7.86</v>
      </c>
      <c r="R80" s="58">
        <v>4.5999999999999996</v>
      </c>
      <c r="S80" s="52">
        <v>350</v>
      </c>
      <c r="T80" s="52">
        <v>183168</v>
      </c>
      <c r="U80" s="55">
        <f t="shared" si="0"/>
        <v>183168000000</v>
      </c>
      <c r="V80" s="67" t="s">
        <v>113</v>
      </c>
      <c r="W80" s="52" t="s">
        <v>66</v>
      </c>
      <c r="X80" s="67" t="s">
        <v>114</v>
      </c>
      <c r="Y80" s="58">
        <v>20</v>
      </c>
      <c r="Z80" s="52">
        <v>19.95</v>
      </c>
      <c r="AA80" s="52"/>
      <c r="AB80" s="57">
        <f t="shared" si="78"/>
        <v>19.975000000000001</v>
      </c>
      <c r="AC80" s="58">
        <f t="shared" si="79"/>
        <v>2.2386885542843498</v>
      </c>
      <c r="AD80" s="59">
        <f t="shared" si="80"/>
        <v>262195221.58993861</v>
      </c>
      <c r="AE80" s="57">
        <f t="shared" si="81"/>
        <v>42.738632414230779</v>
      </c>
      <c r="AF80" s="52">
        <v>20.82</v>
      </c>
      <c r="AG80" s="52">
        <v>20.96</v>
      </c>
      <c r="AH80" s="52"/>
      <c r="AI80" s="57">
        <f t="shared" si="82"/>
        <v>20.89</v>
      </c>
      <c r="AJ80" s="52">
        <f t="shared" si="70"/>
        <v>2748.0964797383353</v>
      </c>
      <c r="AK80" s="60">
        <f t="shared" si="37"/>
        <v>549.61929594766707</v>
      </c>
      <c r="AL80" s="52">
        <v>34.65</v>
      </c>
      <c r="AM80" s="52">
        <v>33.909999999999997</v>
      </c>
      <c r="AN80" s="52"/>
      <c r="AO80" s="57">
        <f t="shared" si="83"/>
        <v>34.28</v>
      </c>
      <c r="AP80" s="52">
        <f t="shared" si="84"/>
        <v>4.7472905749399255E-6</v>
      </c>
      <c r="AQ80" s="52">
        <f t="shared" si="85"/>
        <v>281.19014786383542</v>
      </c>
      <c r="AR80" s="60">
        <f t="shared" si="41"/>
        <v>56.238029572767083</v>
      </c>
      <c r="AS80" s="60">
        <f t="shared" si="74"/>
        <v>0.10232178889534818</v>
      </c>
      <c r="AT80" s="60">
        <f t="shared" si="86"/>
        <v>18742077428.383137</v>
      </c>
      <c r="AU80" s="52"/>
      <c r="AV80" s="52"/>
    </row>
    <row r="81" spans="2:48" s="122" customFormat="1" x14ac:dyDescent="0.35">
      <c r="B81" s="123" t="s">
        <v>54</v>
      </c>
      <c r="C81" s="123" t="s">
        <v>82</v>
      </c>
      <c r="D81" s="124" t="s">
        <v>110</v>
      </c>
      <c r="E81" s="123" t="s">
        <v>57</v>
      </c>
      <c r="F81" s="125" t="s">
        <v>58</v>
      </c>
      <c r="G81" s="123" t="s">
        <v>59</v>
      </c>
      <c r="H81" s="123">
        <v>-20</v>
      </c>
      <c r="I81" s="126" t="s">
        <v>111</v>
      </c>
      <c r="J81" s="123" t="s">
        <v>61</v>
      </c>
      <c r="K81" s="123" t="s">
        <v>62</v>
      </c>
      <c r="L81" s="123" t="s">
        <v>89</v>
      </c>
      <c r="M81" s="123" t="s">
        <v>112</v>
      </c>
      <c r="N81" s="123" t="s">
        <v>91</v>
      </c>
      <c r="O81" s="123" t="s">
        <v>92</v>
      </c>
      <c r="P81" s="123" t="s">
        <v>65</v>
      </c>
      <c r="Q81" s="123">
        <v>12.41</v>
      </c>
      <c r="R81" s="123">
        <v>4.05</v>
      </c>
      <c r="S81" s="123">
        <v>200</v>
      </c>
      <c r="T81" s="123">
        <v>224136</v>
      </c>
      <c r="U81" s="127">
        <f t="shared" si="0"/>
        <v>224136000000</v>
      </c>
      <c r="V81" s="128" t="s">
        <v>113</v>
      </c>
      <c r="W81" s="123" t="s">
        <v>66</v>
      </c>
      <c r="X81" s="128" t="s">
        <v>114</v>
      </c>
      <c r="Y81" s="123">
        <v>21.02</v>
      </c>
      <c r="Z81" s="123">
        <v>21.01</v>
      </c>
      <c r="AA81" s="123"/>
      <c r="AB81" s="129">
        <f t="shared" si="78"/>
        <v>21.015000000000001</v>
      </c>
      <c r="AC81" s="130">
        <f t="shared" si="79"/>
        <v>1.1160240601773634</v>
      </c>
      <c r="AD81" s="131">
        <f t="shared" si="80"/>
        <v>130708746.95718831</v>
      </c>
      <c r="AE81" s="129">
        <f t="shared" si="81"/>
        <v>21.305930198318855</v>
      </c>
      <c r="AF81" s="123">
        <v>23.22</v>
      </c>
      <c r="AG81" s="123">
        <v>23.11</v>
      </c>
      <c r="AH81" s="123"/>
      <c r="AI81" s="129">
        <f t="shared" si="82"/>
        <v>23.164999999999999</v>
      </c>
      <c r="AJ81" s="123">
        <f t="shared" si="70"/>
        <v>526.6422225437459</v>
      </c>
      <c r="AK81" s="132">
        <f t="shared" si="37"/>
        <v>105.32844450874919</v>
      </c>
      <c r="AL81" s="123">
        <v>35.25</v>
      </c>
      <c r="AM81" s="123">
        <v>36.15</v>
      </c>
      <c r="AN81" s="123"/>
      <c r="AO81" s="129">
        <f t="shared" si="83"/>
        <v>35.700000000000003</v>
      </c>
      <c r="AP81" s="123">
        <f t="shared" si="84"/>
        <v>1.8559943884116325E-6</v>
      </c>
      <c r="AQ81" s="123">
        <f t="shared" si="85"/>
        <v>109.93372498975798</v>
      </c>
      <c r="AR81" s="132">
        <f t="shared" si="41"/>
        <v>21.986744997951597</v>
      </c>
      <c r="AS81" s="132">
        <f t="shared" si="74"/>
        <v>0.20874460930755748</v>
      </c>
      <c r="AT81" s="132">
        <f t="shared" si="86"/>
        <v>46787181751.758705</v>
      </c>
      <c r="AU81" s="123"/>
      <c r="AV81" s="123"/>
    </row>
    <row r="82" spans="2:48" s="122" customFormat="1" x14ac:dyDescent="0.35">
      <c r="B82" s="123" t="s">
        <v>54</v>
      </c>
      <c r="C82" s="123" t="s">
        <v>82</v>
      </c>
      <c r="D82" s="124" t="s">
        <v>115</v>
      </c>
      <c r="E82" s="123" t="s">
        <v>57</v>
      </c>
      <c r="F82" s="125" t="s">
        <v>58</v>
      </c>
      <c r="G82" s="123" t="s">
        <v>59</v>
      </c>
      <c r="H82" s="123">
        <v>-20</v>
      </c>
      <c r="I82" s="126" t="s">
        <v>111</v>
      </c>
      <c r="J82" s="123" t="s">
        <v>61</v>
      </c>
      <c r="K82" s="123" t="s">
        <v>62</v>
      </c>
      <c r="L82" s="123" t="s">
        <v>89</v>
      </c>
      <c r="M82" s="123" t="s">
        <v>112</v>
      </c>
      <c r="N82" s="123" t="s">
        <v>91</v>
      </c>
      <c r="O82" s="123" t="s">
        <v>92</v>
      </c>
      <c r="P82" s="123" t="s">
        <v>65</v>
      </c>
      <c r="Q82" s="123">
        <v>11.43</v>
      </c>
      <c r="R82" s="123">
        <v>4.21</v>
      </c>
      <c r="S82" s="123">
        <v>250</v>
      </c>
      <c r="T82" s="123">
        <v>185760</v>
      </c>
      <c r="U82" s="127">
        <f t="shared" si="0"/>
        <v>185760000000</v>
      </c>
      <c r="V82" s="128" t="s">
        <v>113</v>
      </c>
      <c r="W82" s="123" t="s">
        <v>66</v>
      </c>
      <c r="X82" s="128" t="s">
        <v>114</v>
      </c>
      <c r="Y82" s="123">
        <v>21.11</v>
      </c>
      <c r="Z82" s="123">
        <v>21.2</v>
      </c>
      <c r="AA82" s="123"/>
      <c r="AB82" s="129">
        <f t="shared" si="78"/>
        <v>21.155000000000001</v>
      </c>
      <c r="AC82" s="130">
        <f t="shared" si="79"/>
        <v>1.0161939809134222</v>
      </c>
      <c r="AD82" s="131">
        <f t="shared" si="80"/>
        <v>119016647.26611821</v>
      </c>
      <c r="AE82" s="129">
        <f t="shared" si="81"/>
        <v>19.400081770506159</v>
      </c>
      <c r="AF82" s="123">
        <v>24.02</v>
      </c>
      <c r="AG82" s="123">
        <v>23.75</v>
      </c>
      <c r="AH82" s="123"/>
      <c r="AI82" s="129">
        <f t="shared" si="82"/>
        <v>23.884999999999998</v>
      </c>
      <c r="AJ82" s="123">
        <f t="shared" si="70"/>
        <v>312.20049899258555</v>
      </c>
      <c r="AK82" s="132">
        <f t="shared" si="37"/>
        <v>62.44009979851711</v>
      </c>
      <c r="AL82" s="123">
        <v>36.42</v>
      </c>
      <c r="AM82" s="123">
        <v>36.04</v>
      </c>
      <c r="AN82" s="123"/>
      <c r="AO82" s="129">
        <f t="shared" si="83"/>
        <v>36.230000000000004</v>
      </c>
      <c r="AP82" s="123">
        <f t="shared" si="84"/>
        <v>1.3072053140685076E-6</v>
      </c>
      <c r="AQ82" s="123">
        <f t="shared" si="85"/>
        <v>77.428008618572193</v>
      </c>
      <c r="AR82" s="132">
        <f t="shared" si="41"/>
        <v>15.485601723714439</v>
      </c>
      <c r="AS82" s="132">
        <f t="shared" si="74"/>
        <v>0.24800731859307831</v>
      </c>
      <c r="AT82" s="132">
        <f t="shared" si="86"/>
        <v>46069839501.850227</v>
      </c>
      <c r="AU82" s="123"/>
      <c r="AV82" s="123"/>
    </row>
    <row r="83" spans="2:48" s="141" customFormat="1" x14ac:dyDescent="0.35">
      <c r="B83" s="158" t="s">
        <v>54</v>
      </c>
      <c r="C83" s="158" t="s">
        <v>82</v>
      </c>
      <c r="D83" s="159" t="s">
        <v>116</v>
      </c>
      <c r="E83" s="158" t="s">
        <v>57</v>
      </c>
      <c r="F83" s="106" t="s">
        <v>58</v>
      </c>
      <c r="G83" s="158" t="s">
        <v>59</v>
      </c>
      <c r="H83" s="107">
        <v>-20</v>
      </c>
      <c r="I83" s="114" t="s">
        <v>111</v>
      </c>
      <c r="J83" s="158" t="s">
        <v>61</v>
      </c>
      <c r="K83" s="158" t="s">
        <v>62</v>
      </c>
      <c r="L83" s="158" t="s">
        <v>89</v>
      </c>
      <c r="M83" s="107" t="s">
        <v>112</v>
      </c>
      <c r="N83" s="158" t="s">
        <v>91</v>
      </c>
      <c r="O83" s="158" t="s">
        <v>92</v>
      </c>
      <c r="P83" s="158" t="s">
        <v>65</v>
      </c>
      <c r="Q83" s="158">
        <v>7.88</v>
      </c>
      <c r="R83" s="158">
        <v>4.4000000000000004</v>
      </c>
      <c r="S83" s="158">
        <v>210</v>
      </c>
      <c r="T83" s="158">
        <v>148032</v>
      </c>
      <c r="U83" s="116">
        <f t="shared" si="0"/>
        <v>148032000000</v>
      </c>
      <c r="V83" s="160" t="s">
        <v>113</v>
      </c>
      <c r="W83" s="158" t="s">
        <v>66</v>
      </c>
      <c r="X83" s="160" t="s">
        <v>114</v>
      </c>
      <c r="Y83" s="161">
        <v>23.3</v>
      </c>
      <c r="Z83" s="158">
        <v>23.14</v>
      </c>
      <c r="AA83" s="158"/>
      <c r="AB83" s="162">
        <f t="shared" si="78"/>
        <v>23.22</v>
      </c>
      <c r="AC83" s="113">
        <f t="shared" si="79"/>
        <v>0.25509195488560621</v>
      </c>
      <c r="AD83" s="144">
        <f t="shared" si="80"/>
        <v>29876371.820028879</v>
      </c>
      <c r="AE83" s="113">
        <f t="shared" si="81"/>
        <v>4.8699410513440702</v>
      </c>
      <c r="AF83" s="158">
        <v>23.91</v>
      </c>
      <c r="AG83" s="158">
        <v>24.26</v>
      </c>
      <c r="AH83" s="158"/>
      <c r="AI83" s="162">
        <f t="shared" si="82"/>
        <v>24.085000000000001</v>
      </c>
      <c r="AJ83" s="107">
        <f t="shared" si="70"/>
        <v>269.99469857346645</v>
      </c>
      <c r="AK83" s="112">
        <f t="shared" si="37"/>
        <v>53.998939714693293</v>
      </c>
      <c r="AL83" s="158" t="s">
        <v>100</v>
      </c>
      <c r="AM83" s="158" t="s">
        <v>100</v>
      </c>
      <c r="AN83" s="158"/>
      <c r="AO83" s="113" t="e">
        <f t="shared" ref="AO83:AO86" si="87">AVERAGE(AL83:AN83)</f>
        <v>#DIV/0!</v>
      </c>
      <c r="AP83" s="107" t="e">
        <f t="shared" si="84"/>
        <v>#DIV/0!</v>
      </c>
      <c r="AQ83" s="107" t="e">
        <f t="shared" si="85"/>
        <v>#DIV/0!</v>
      </c>
      <c r="AR83" s="112" t="e">
        <f t="shared" si="41"/>
        <v>#DIV/0!</v>
      </c>
      <c r="AS83" s="112" t="e">
        <f t="shared" si="74"/>
        <v>#DIV/0!</v>
      </c>
      <c r="AT83" s="112" t="e">
        <f t="shared" si="86"/>
        <v>#DIV/0!</v>
      </c>
      <c r="AU83" s="158"/>
      <c r="AV83" s="158" t="s">
        <v>119</v>
      </c>
    </row>
    <row r="84" spans="2:48" s="164" customFormat="1" x14ac:dyDescent="0.35">
      <c r="B84" s="107" t="s">
        <v>54</v>
      </c>
      <c r="C84" s="107" t="s">
        <v>82</v>
      </c>
      <c r="D84" s="163" t="s">
        <v>117</v>
      </c>
      <c r="E84" s="107" t="s">
        <v>57</v>
      </c>
      <c r="F84" s="106" t="s">
        <v>58</v>
      </c>
      <c r="G84" s="107" t="s">
        <v>59</v>
      </c>
      <c r="H84" s="107">
        <v>-20</v>
      </c>
      <c r="I84" s="114" t="s">
        <v>111</v>
      </c>
      <c r="J84" s="107" t="s">
        <v>61</v>
      </c>
      <c r="K84" s="107" t="s">
        <v>62</v>
      </c>
      <c r="L84" s="107" t="s">
        <v>89</v>
      </c>
      <c r="M84" s="107" t="s">
        <v>112</v>
      </c>
      <c r="N84" s="107" t="s">
        <v>91</v>
      </c>
      <c r="O84" s="107" t="s">
        <v>92</v>
      </c>
      <c r="P84" s="107" t="s">
        <v>65</v>
      </c>
      <c r="Q84" s="107">
        <v>8.66</v>
      </c>
      <c r="R84" s="107">
        <v>4.28</v>
      </c>
      <c r="S84" s="107">
        <v>230</v>
      </c>
      <c r="T84" s="107">
        <v>144336</v>
      </c>
      <c r="U84" s="116">
        <f t="shared" si="0"/>
        <v>144336000000</v>
      </c>
      <c r="V84" s="157" t="s">
        <v>113</v>
      </c>
      <c r="W84" s="107" t="s">
        <v>66</v>
      </c>
      <c r="X84" s="157" t="s">
        <v>114</v>
      </c>
      <c r="Y84" s="107">
        <v>22.53</v>
      </c>
      <c r="Z84" s="107">
        <v>22.52</v>
      </c>
      <c r="AA84" s="107"/>
      <c r="AB84" s="113">
        <f t="shared" si="78"/>
        <v>22.524999999999999</v>
      </c>
      <c r="AC84" s="111">
        <f t="shared" si="79"/>
        <v>0.40618884922209753</v>
      </c>
      <c r="AD84" s="144">
        <f t="shared" si="80"/>
        <v>47572841.307171255</v>
      </c>
      <c r="AE84" s="113">
        <f t="shared" si="81"/>
        <v>7.7545203348806861</v>
      </c>
      <c r="AF84" s="107">
        <v>23.21</v>
      </c>
      <c r="AG84" s="107">
        <v>23.64</v>
      </c>
      <c r="AH84" s="107"/>
      <c r="AI84" s="113">
        <f t="shared" si="82"/>
        <v>23.425000000000001</v>
      </c>
      <c r="AJ84" s="107">
        <f t="shared" si="70"/>
        <v>436.02743083821366</v>
      </c>
      <c r="AK84" s="112">
        <f t="shared" si="37"/>
        <v>87.205486167642732</v>
      </c>
      <c r="AL84" s="107" t="s">
        <v>100</v>
      </c>
      <c r="AM84" s="107" t="s">
        <v>100</v>
      </c>
      <c r="AN84" s="107"/>
      <c r="AO84" s="113" t="e">
        <f t="shared" si="87"/>
        <v>#DIV/0!</v>
      </c>
      <c r="AP84" s="107" t="e">
        <f t="shared" si="84"/>
        <v>#DIV/0!</v>
      </c>
      <c r="AQ84" s="107" t="e">
        <f t="shared" si="85"/>
        <v>#DIV/0!</v>
      </c>
      <c r="AR84" s="112" t="e">
        <f t="shared" si="41"/>
        <v>#DIV/0!</v>
      </c>
      <c r="AS84" s="112" t="e">
        <f t="shared" si="74"/>
        <v>#DIV/0!</v>
      </c>
      <c r="AT84" s="112" t="e">
        <f t="shared" si="86"/>
        <v>#DIV/0!</v>
      </c>
      <c r="AU84" s="107"/>
      <c r="AV84" s="107" t="s">
        <v>119</v>
      </c>
    </row>
    <row r="85" spans="2:48" s="134" customFormat="1" x14ac:dyDescent="0.35">
      <c r="B85" s="135" t="s">
        <v>54</v>
      </c>
      <c r="C85" s="135" t="s">
        <v>82</v>
      </c>
      <c r="D85" s="136" t="s">
        <v>118</v>
      </c>
      <c r="E85" s="135" t="s">
        <v>57</v>
      </c>
      <c r="F85" s="125" t="s">
        <v>58</v>
      </c>
      <c r="G85" s="135" t="s">
        <v>59</v>
      </c>
      <c r="H85" s="123">
        <v>-20</v>
      </c>
      <c r="I85" s="126" t="s">
        <v>111</v>
      </c>
      <c r="J85" s="135" t="s">
        <v>61</v>
      </c>
      <c r="K85" s="135" t="s">
        <v>62</v>
      </c>
      <c r="L85" s="135" t="s">
        <v>89</v>
      </c>
      <c r="M85" s="123" t="s">
        <v>112</v>
      </c>
      <c r="N85" s="135" t="s">
        <v>91</v>
      </c>
      <c r="O85" s="135" t="s">
        <v>92</v>
      </c>
      <c r="P85" s="135" t="s">
        <v>65</v>
      </c>
      <c r="Q85" s="135">
        <v>7.89</v>
      </c>
      <c r="R85" s="137">
        <v>4.5999999999999996</v>
      </c>
      <c r="S85" s="135">
        <v>230</v>
      </c>
      <c r="T85" s="135">
        <v>143280</v>
      </c>
      <c r="U85" s="135">
        <f t="shared" ref="U85:U112" si="88">T85*1000000</f>
        <v>143280000000</v>
      </c>
      <c r="V85" s="127" t="s">
        <v>113</v>
      </c>
      <c r="W85" s="135" t="s">
        <v>66</v>
      </c>
      <c r="X85" s="127" t="s">
        <v>114</v>
      </c>
      <c r="Y85" s="135">
        <v>20.61</v>
      </c>
      <c r="Z85" s="135">
        <v>21.21</v>
      </c>
      <c r="AA85" s="135"/>
      <c r="AB85" s="138">
        <f t="shared" si="78"/>
        <v>20.91</v>
      </c>
      <c r="AC85" s="129">
        <f t="shared" si="79"/>
        <v>1.1972814728630514</v>
      </c>
      <c r="AD85" s="131">
        <f t="shared" si="80"/>
        <v>140225615.78835085</v>
      </c>
      <c r="AE85" s="129">
        <f t="shared" si="81"/>
        <v>22.85720926527922</v>
      </c>
      <c r="AF85" s="135">
        <v>22.82</v>
      </c>
      <c r="AG85" s="135">
        <v>22.84</v>
      </c>
      <c r="AH85" s="135"/>
      <c r="AI85" s="138">
        <f t="shared" si="82"/>
        <v>22.83</v>
      </c>
      <c r="AJ85" s="123">
        <f t="shared" si="70"/>
        <v>671.69469983490683</v>
      </c>
      <c r="AK85" s="132">
        <f t="shared" si="37"/>
        <v>134.33893996698137</v>
      </c>
      <c r="AL85" s="135">
        <v>33.78</v>
      </c>
      <c r="AM85" s="135">
        <v>34.83</v>
      </c>
      <c r="AN85" s="135"/>
      <c r="AO85" s="129">
        <f t="shared" si="87"/>
        <v>34.305</v>
      </c>
      <c r="AP85" s="123">
        <f t="shared" si="84"/>
        <v>4.6694423737093367E-6</v>
      </c>
      <c r="AQ85" s="123">
        <f t="shared" si="85"/>
        <v>276.57906563294841</v>
      </c>
      <c r="AR85" s="132">
        <f t="shared" si="41"/>
        <v>55.315813126589681</v>
      </c>
      <c r="AS85" s="132">
        <f t="shared" si="74"/>
        <v>0.41176306095749698</v>
      </c>
      <c r="AT85" s="132">
        <f t="shared" si="86"/>
        <v>58997411373.990166</v>
      </c>
      <c r="AU85" s="135"/>
      <c r="AV85" s="135"/>
    </row>
    <row r="86" spans="2:48" s="22" customFormat="1" x14ac:dyDescent="0.35">
      <c r="B86" s="10"/>
      <c r="C86" s="10"/>
      <c r="D86" s="23"/>
      <c r="E86" s="10" t="s">
        <v>105</v>
      </c>
      <c r="F86" s="10"/>
      <c r="G86" s="10" t="s">
        <v>106</v>
      </c>
      <c r="H86" s="10">
        <v>-80</v>
      </c>
      <c r="I86" s="38" t="s">
        <v>108</v>
      </c>
      <c r="J86" s="10" t="s">
        <v>61</v>
      </c>
      <c r="K86" s="10" t="s">
        <v>62</v>
      </c>
      <c r="L86" s="10" t="s">
        <v>89</v>
      </c>
      <c r="M86" s="8" t="s">
        <v>112</v>
      </c>
      <c r="N86" s="10" t="s">
        <v>107</v>
      </c>
      <c r="O86" s="10" t="s">
        <v>108</v>
      </c>
      <c r="P86" s="10" t="s">
        <v>108</v>
      </c>
      <c r="Q86" s="10" t="s">
        <v>108</v>
      </c>
      <c r="R86" s="10" t="s">
        <v>108</v>
      </c>
      <c r="S86" s="10" t="s">
        <v>108</v>
      </c>
      <c r="T86" s="10" t="s">
        <v>108</v>
      </c>
      <c r="U86" s="10" t="e">
        <f t="shared" si="88"/>
        <v>#VALUE!</v>
      </c>
      <c r="V86" s="24" t="s">
        <v>113</v>
      </c>
      <c r="W86" s="10" t="s">
        <v>66</v>
      </c>
      <c r="X86" s="24" t="s">
        <v>120</v>
      </c>
      <c r="Y86" s="10">
        <v>18.78</v>
      </c>
      <c r="Z86" s="10">
        <v>18.63</v>
      </c>
      <c r="AA86" s="10"/>
      <c r="AB86" s="25">
        <f t="shared" si="78"/>
        <v>18.704999999999998</v>
      </c>
      <c r="AC86" s="21">
        <f t="shared" si="79"/>
        <v>5.2380912252562597</v>
      </c>
      <c r="AD86" s="51">
        <f t="shared" si="80"/>
        <v>613485286.68089736</v>
      </c>
      <c r="AE86" s="21">
        <f t="shared" si="81"/>
        <v>100</v>
      </c>
      <c r="AF86" s="10">
        <v>30.32</v>
      </c>
      <c r="AG86" s="10">
        <v>30.37</v>
      </c>
      <c r="AH86" s="10"/>
      <c r="AI86" s="25">
        <f t="shared" si="82"/>
        <v>30.344999999999999</v>
      </c>
      <c r="AJ86" s="8">
        <f t="shared" si="70"/>
        <v>2.8641957112557694</v>
      </c>
      <c r="AK86" s="60">
        <f t="shared" si="37"/>
        <v>0.57283914225115384</v>
      </c>
      <c r="AL86" s="10" t="s">
        <v>100</v>
      </c>
      <c r="AM86" s="10" t="s">
        <v>100</v>
      </c>
      <c r="AN86" s="10"/>
      <c r="AO86" s="21" t="e">
        <f t="shared" si="87"/>
        <v>#DIV/0!</v>
      </c>
      <c r="AP86" s="8" t="e">
        <f t="shared" si="84"/>
        <v>#DIV/0!</v>
      </c>
      <c r="AQ86" s="8" t="e">
        <f t="shared" si="85"/>
        <v>#DIV/0!</v>
      </c>
      <c r="AR86" s="60" t="e">
        <f t="shared" si="41"/>
        <v>#DIV/0!</v>
      </c>
      <c r="AS86" s="19" t="e">
        <f t="shared" si="74"/>
        <v>#DIV/0!</v>
      </c>
      <c r="AT86" s="19" t="e">
        <f t="shared" si="86"/>
        <v>#DIV/0!</v>
      </c>
      <c r="AU86" s="10"/>
      <c r="AV86" s="10"/>
    </row>
    <row r="87" spans="2:48" s="5" customFormat="1" x14ac:dyDescent="0.35">
      <c r="B87" s="10"/>
      <c r="C87" s="10"/>
      <c r="D87" s="23"/>
      <c r="E87" s="10"/>
      <c r="F87" s="10"/>
      <c r="G87" s="10"/>
      <c r="H87" s="10"/>
      <c r="I87" s="4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>
        <f t="shared" si="88"/>
        <v>0</v>
      </c>
      <c r="V87" s="24"/>
      <c r="W87" s="10"/>
      <c r="X87" s="24"/>
      <c r="Y87" s="10"/>
      <c r="Z87" s="10"/>
      <c r="AA87" s="10"/>
      <c r="AB87" s="25"/>
      <c r="AC87" s="21"/>
      <c r="AD87" s="51"/>
      <c r="AE87" s="21"/>
      <c r="AF87" s="10"/>
      <c r="AG87" s="10"/>
      <c r="AH87" s="10"/>
      <c r="AI87" s="25"/>
      <c r="AJ87" s="10"/>
      <c r="AK87" s="60">
        <f t="shared" si="37"/>
        <v>0</v>
      </c>
      <c r="AL87" s="10"/>
      <c r="AM87" s="10"/>
      <c r="AN87" s="10"/>
      <c r="AO87" s="10"/>
      <c r="AP87" s="10"/>
      <c r="AQ87" s="10"/>
      <c r="AR87" s="60">
        <f t="shared" si="41"/>
        <v>0</v>
      </c>
      <c r="AS87" s="19"/>
      <c r="AT87" s="10"/>
      <c r="AU87" s="10"/>
      <c r="AV87" s="10"/>
    </row>
    <row r="88" spans="2:48" s="122" customFormat="1" x14ac:dyDescent="0.35">
      <c r="B88" s="135" t="s">
        <v>54</v>
      </c>
      <c r="C88" s="135" t="s">
        <v>82</v>
      </c>
      <c r="D88" s="136" t="s">
        <v>121</v>
      </c>
      <c r="E88" s="135" t="s">
        <v>57</v>
      </c>
      <c r="F88" s="125" t="s">
        <v>58</v>
      </c>
      <c r="G88" s="135" t="s">
        <v>59</v>
      </c>
      <c r="H88" s="135">
        <v>-20</v>
      </c>
      <c r="I88" s="135" t="s">
        <v>122</v>
      </c>
      <c r="J88" s="135" t="s">
        <v>61</v>
      </c>
      <c r="K88" s="135" t="s">
        <v>62</v>
      </c>
      <c r="L88" s="135" t="s">
        <v>123</v>
      </c>
      <c r="M88" s="135" t="s">
        <v>124</v>
      </c>
      <c r="N88" s="135" t="s">
        <v>125</v>
      </c>
      <c r="O88" s="135" t="s">
        <v>126</v>
      </c>
      <c r="P88" s="135" t="s">
        <v>65</v>
      </c>
      <c r="Q88" s="135">
        <v>8.1199999999999992</v>
      </c>
      <c r="R88" s="135">
        <v>4.49</v>
      </c>
      <c r="S88" s="135">
        <v>240</v>
      </c>
      <c r="T88" s="135">
        <v>141936</v>
      </c>
      <c r="U88" s="135">
        <f t="shared" si="88"/>
        <v>141936000000</v>
      </c>
      <c r="V88" s="135" t="s">
        <v>127</v>
      </c>
      <c r="W88" s="135" t="s">
        <v>66</v>
      </c>
      <c r="X88" s="135" t="s">
        <v>127</v>
      </c>
      <c r="Y88" s="135">
        <v>17.29</v>
      </c>
      <c r="Z88" s="135">
        <v>16.920000000000002</v>
      </c>
      <c r="AA88" s="135"/>
      <c r="AB88" s="129">
        <f t="shared" ref="AB88:AB98" si="89">AVERAGE(Y88:AA88)</f>
        <v>17.105</v>
      </c>
      <c r="AC88" s="129">
        <f t="shared" ref="AC88:AC98" si="90">EXP((AB88-21.179)/-1.494)</f>
        <v>15.285545304842303</v>
      </c>
      <c r="AD88" s="131">
        <f t="shared" ref="AD88:AD98" si="91">(AC88*(6.0221*10^23))/(15123*340*10^9)</f>
        <v>1790243189.7711477</v>
      </c>
      <c r="AE88" s="129">
        <f t="shared" ref="AE88:AE98" si="92">AD88*100/AD$98</f>
        <v>51.033354202927057</v>
      </c>
      <c r="AF88" s="135">
        <v>24.22</v>
      </c>
      <c r="AG88" s="135">
        <v>24.24</v>
      </c>
      <c r="AH88" s="135"/>
      <c r="AI88" s="129">
        <f t="shared" ref="AI88:AI98" si="93">AVERAGE(AF88:AH88)</f>
        <v>24.229999999999997</v>
      </c>
      <c r="AJ88" s="123">
        <f t="shared" si="70"/>
        <v>243.00959886959197</v>
      </c>
      <c r="AK88" s="132">
        <f t="shared" si="37"/>
        <v>48.601919773918397</v>
      </c>
      <c r="AL88" s="135">
        <v>35.58</v>
      </c>
      <c r="AM88" s="135">
        <v>36.31</v>
      </c>
      <c r="AN88" s="135"/>
      <c r="AO88" s="129">
        <f t="shared" ref="AO88:AO98" si="94">AVERAGE(AL88:AN88)</f>
        <v>35.945</v>
      </c>
      <c r="AP88" s="123">
        <f t="shared" si="84"/>
        <v>1.5783556446016772E-6</v>
      </c>
      <c r="AQ88" s="123">
        <f t="shared" si="85"/>
        <v>93.48870689106306</v>
      </c>
      <c r="AR88" s="132">
        <f t="shared" si="41"/>
        <v>18.697741378212612</v>
      </c>
      <c r="AS88" s="132">
        <f t="shared" si="74"/>
        <v>0.38471199214329221</v>
      </c>
      <c r="AT88" s="132">
        <f t="shared" si="86"/>
        <v>54604481316.850327</v>
      </c>
      <c r="AU88" s="135"/>
      <c r="AV88" s="135"/>
    </row>
    <row r="89" spans="2:48" s="122" customFormat="1" x14ac:dyDescent="0.35">
      <c r="B89" s="123" t="s">
        <v>54</v>
      </c>
      <c r="C89" s="135" t="s">
        <v>82</v>
      </c>
      <c r="D89" s="124" t="s">
        <v>128</v>
      </c>
      <c r="E89" s="135" t="s">
        <v>57</v>
      </c>
      <c r="F89" s="125" t="s">
        <v>58</v>
      </c>
      <c r="G89" s="135" t="s">
        <v>59</v>
      </c>
      <c r="H89" s="135">
        <v>-20</v>
      </c>
      <c r="I89" s="135" t="s">
        <v>122</v>
      </c>
      <c r="J89" s="135" t="s">
        <v>61</v>
      </c>
      <c r="K89" s="135" t="s">
        <v>62</v>
      </c>
      <c r="L89" s="135" t="s">
        <v>123</v>
      </c>
      <c r="M89" s="135" t="s">
        <v>124</v>
      </c>
      <c r="N89" s="135" t="s">
        <v>125</v>
      </c>
      <c r="O89" s="135" t="s">
        <v>126</v>
      </c>
      <c r="P89" s="135" t="s">
        <v>65</v>
      </c>
      <c r="Q89" s="123">
        <v>7.78</v>
      </c>
      <c r="R89" s="130">
        <v>4.4000000000000004</v>
      </c>
      <c r="S89" s="123">
        <v>300</v>
      </c>
      <c r="T89" s="123">
        <v>148656</v>
      </c>
      <c r="U89" s="127">
        <f t="shared" si="88"/>
        <v>148656000000</v>
      </c>
      <c r="V89" s="135" t="s">
        <v>127</v>
      </c>
      <c r="W89" s="135" t="s">
        <v>66</v>
      </c>
      <c r="X89" s="135" t="s">
        <v>127</v>
      </c>
      <c r="Y89" s="123">
        <v>17.47</v>
      </c>
      <c r="Z89" s="123">
        <v>17.04</v>
      </c>
      <c r="AA89" s="123"/>
      <c r="AB89" s="129">
        <f t="shared" si="89"/>
        <v>17.254999999999999</v>
      </c>
      <c r="AC89" s="130">
        <f t="shared" si="90"/>
        <v>13.825379870430185</v>
      </c>
      <c r="AD89" s="131">
        <f t="shared" si="91"/>
        <v>1619228602.2793019</v>
      </c>
      <c r="AE89" s="129">
        <f t="shared" si="92"/>
        <v>46.158347238954477</v>
      </c>
      <c r="AF89" s="123">
        <v>24.01</v>
      </c>
      <c r="AG89" s="123">
        <v>24.07</v>
      </c>
      <c r="AH89" s="123"/>
      <c r="AI89" s="129">
        <f t="shared" si="93"/>
        <v>24.04</v>
      </c>
      <c r="AJ89" s="123">
        <f t="shared" si="70"/>
        <v>278.96381064395672</v>
      </c>
      <c r="AK89" s="132">
        <f t="shared" si="37"/>
        <v>55.792762128791345</v>
      </c>
      <c r="AL89" s="123">
        <v>35.53</v>
      </c>
      <c r="AM89" s="123">
        <v>37.07</v>
      </c>
      <c r="AN89" s="123"/>
      <c r="AO89" s="129">
        <f t="shared" si="94"/>
        <v>36.299999999999997</v>
      </c>
      <c r="AP89" s="123">
        <f t="shared" si="84"/>
        <v>1.2480660759880712E-6</v>
      </c>
      <c r="AQ89" s="123">
        <f t="shared" si="85"/>
        <v>73.925090303823168</v>
      </c>
      <c r="AR89" s="132">
        <f t="shared" si="41"/>
        <v>14.785018060764633</v>
      </c>
      <c r="AS89" s="132">
        <f t="shared" si="74"/>
        <v>0.26499885462983663</v>
      </c>
      <c r="AT89" s="132">
        <f t="shared" si="86"/>
        <v>39393669733.852997</v>
      </c>
      <c r="AU89" s="123"/>
      <c r="AV89" s="123"/>
    </row>
    <row r="90" spans="2:48" s="122" customFormat="1" x14ac:dyDescent="0.35">
      <c r="B90" s="123" t="s">
        <v>54</v>
      </c>
      <c r="C90" s="135" t="s">
        <v>82</v>
      </c>
      <c r="D90" s="124" t="s">
        <v>129</v>
      </c>
      <c r="E90" s="135" t="s">
        <v>57</v>
      </c>
      <c r="F90" s="125" t="s">
        <v>58</v>
      </c>
      <c r="G90" s="135" t="s">
        <v>59</v>
      </c>
      <c r="H90" s="135">
        <v>-20</v>
      </c>
      <c r="I90" s="135" t="s">
        <v>122</v>
      </c>
      <c r="J90" s="135" t="s">
        <v>61</v>
      </c>
      <c r="K90" s="135" t="s">
        <v>62</v>
      </c>
      <c r="L90" s="135" t="s">
        <v>123</v>
      </c>
      <c r="M90" s="135" t="s">
        <v>124</v>
      </c>
      <c r="N90" s="135" t="s">
        <v>125</v>
      </c>
      <c r="O90" s="135" t="s">
        <v>126</v>
      </c>
      <c r="P90" s="135" t="s">
        <v>65</v>
      </c>
      <c r="Q90" s="130">
        <v>8</v>
      </c>
      <c r="R90" s="123">
        <v>4.6100000000000003</v>
      </c>
      <c r="S90" s="123">
        <v>220</v>
      </c>
      <c r="T90" s="123">
        <v>156984</v>
      </c>
      <c r="U90" s="127">
        <f t="shared" si="88"/>
        <v>156984000000</v>
      </c>
      <c r="V90" s="135" t="s">
        <v>127</v>
      </c>
      <c r="W90" s="135" t="s">
        <v>66</v>
      </c>
      <c r="X90" s="135" t="s">
        <v>127</v>
      </c>
      <c r="Y90" s="123">
        <v>17.32</v>
      </c>
      <c r="Z90" s="123">
        <v>17.11</v>
      </c>
      <c r="AA90" s="123"/>
      <c r="AB90" s="129">
        <f t="shared" si="89"/>
        <v>17.215</v>
      </c>
      <c r="AC90" s="130">
        <f t="shared" si="90"/>
        <v>14.20053707123448</v>
      </c>
      <c r="AD90" s="131">
        <f t="shared" si="91"/>
        <v>1663167016.672718</v>
      </c>
      <c r="AE90" s="129">
        <f t="shared" si="92"/>
        <v>47.410872414118437</v>
      </c>
      <c r="AF90" s="123">
        <v>24.41</v>
      </c>
      <c r="AG90" s="123">
        <v>24.5</v>
      </c>
      <c r="AH90" s="123"/>
      <c r="AI90" s="129">
        <f t="shared" si="93"/>
        <v>24.454999999999998</v>
      </c>
      <c r="AJ90" s="123">
        <f t="shared" si="70"/>
        <v>206.37651666176072</v>
      </c>
      <c r="AK90" s="132">
        <f t="shared" si="37"/>
        <v>41.275303332352145</v>
      </c>
      <c r="AL90" s="123">
        <v>36.26</v>
      </c>
      <c r="AM90" s="123">
        <v>35.130000000000003</v>
      </c>
      <c r="AN90" s="123"/>
      <c r="AO90" s="129">
        <f t="shared" si="94"/>
        <v>35.695</v>
      </c>
      <c r="AP90" s="123">
        <f t="shared" si="84"/>
        <v>1.8621420952492264E-6</v>
      </c>
      <c r="AQ90" s="123">
        <f t="shared" si="85"/>
        <v>110.2978641902973</v>
      </c>
      <c r="AR90" s="132">
        <f t="shared" si="41"/>
        <v>22.059572838059459</v>
      </c>
      <c r="AS90" s="132">
        <f t="shared" si="74"/>
        <v>0.53444968436534457</v>
      </c>
      <c r="AT90" s="132">
        <f t="shared" si="86"/>
        <v>83900049250.409256</v>
      </c>
      <c r="AU90" s="123"/>
      <c r="AV90" s="123"/>
    </row>
    <row r="91" spans="2:48" s="122" customFormat="1" x14ac:dyDescent="0.35">
      <c r="B91" s="123" t="s">
        <v>54</v>
      </c>
      <c r="C91" s="135" t="s">
        <v>82</v>
      </c>
      <c r="D91" s="124" t="s">
        <v>130</v>
      </c>
      <c r="E91" s="135" t="s">
        <v>57</v>
      </c>
      <c r="F91" s="125" t="s">
        <v>58</v>
      </c>
      <c r="G91" s="135" t="s">
        <v>59</v>
      </c>
      <c r="H91" s="135">
        <v>-20</v>
      </c>
      <c r="I91" s="135" t="s">
        <v>122</v>
      </c>
      <c r="J91" s="135" t="s">
        <v>61</v>
      </c>
      <c r="K91" s="135" t="s">
        <v>62</v>
      </c>
      <c r="L91" s="135" t="s">
        <v>123</v>
      </c>
      <c r="M91" s="135" t="s">
        <v>124</v>
      </c>
      <c r="N91" s="135" t="s">
        <v>125</v>
      </c>
      <c r="O91" s="135" t="s">
        <v>126</v>
      </c>
      <c r="P91" s="135" t="s">
        <v>65</v>
      </c>
      <c r="Q91" s="123">
        <v>7.94</v>
      </c>
      <c r="R91" s="123">
        <v>3.73</v>
      </c>
      <c r="S91" s="123">
        <v>152</v>
      </c>
      <c r="T91" s="123">
        <v>196632</v>
      </c>
      <c r="U91" s="127">
        <f t="shared" si="88"/>
        <v>196632000000</v>
      </c>
      <c r="V91" s="135" t="s">
        <v>127</v>
      </c>
      <c r="W91" s="135" t="s">
        <v>66</v>
      </c>
      <c r="X91" s="135" t="s">
        <v>127</v>
      </c>
      <c r="Y91" s="123">
        <v>16.62</v>
      </c>
      <c r="Z91" s="123">
        <v>16.7</v>
      </c>
      <c r="AA91" s="123"/>
      <c r="AB91" s="129">
        <f t="shared" si="89"/>
        <v>16.66</v>
      </c>
      <c r="AC91" s="130">
        <f t="shared" si="90"/>
        <v>20.589180710248357</v>
      </c>
      <c r="AD91" s="131">
        <f t="shared" si="91"/>
        <v>2411405011.3614755</v>
      </c>
      <c r="AE91" s="129">
        <f t="shared" si="92"/>
        <v>68.740429666013654</v>
      </c>
      <c r="AF91" s="123">
        <v>23.96</v>
      </c>
      <c r="AG91" s="123">
        <v>24.03</v>
      </c>
      <c r="AH91" s="123"/>
      <c r="AI91" s="129">
        <f t="shared" si="93"/>
        <v>23.995000000000001</v>
      </c>
      <c r="AJ91" s="123">
        <f t="shared" si="70"/>
        <v>288.23087290294302</v>
      </c>
      <c r="AK91" s="132">
        <f t="shared" si="37"/>
        <v>57.646174580588607</v>
      </c>
      <c r="AL91" s="123">
        <v>35.06</v>
      </c>
      <c r="AM91" s="123">
        <v>34.69</v>
      </c>
      <c r="AN91" s="123"/>
      <c r="AO91" s="129">
        <f t="shared" si="94"/>
        <v>34.875</v>
      </c>
      <c r="AP91" s="123">
        <f t="shared" si="84"/>
        <v>3.2028964194806362E-6</v>
      </c>
      <c r="AQ91" s="123">
        <f t="shared" si="85"/>
        <v>189.71303811494752</v>
      </c>
      <c r="AR91" s="132">
        <f t="shared" si="41"/>
        <v>37.942607622989506</v>
      </c>
      <c r="AS91" s="132">
        <f t="shared" si="74"/>
        <v>0.6581981874607522</v>
      </c>
      <c r="AT91" s="132">
        <f t="shared" si="86"/>
        <v>129422825996.78262</v>
      </c>
      <c r="AU91" s="123"/>
      <c r="AV91" s="123"/>
    </row>
    <row r="92" spans="2:48" s="122" customFormat="1" x14ac:dyDescent="0.35">
      <c r="B92" s="123" t="s">
        <v>54</v>
      </c>
      <c r="C92" s="135" t="s">
        <v>82</v>
      </c>
      <c r="D92" s="124" t="s">
        <v>131</v>
      </c>
      <c r="E92" s="135" t="s">
        <v>57</v>
      </c>
      <c r="F92" s="125" t="s">
        <v>58</v>
      </c>
      <c r="G92" s="135" t="s">
        <v>59</v>
      </c>
      <c r="H92" s="135">
        <v>-20</v>
      </c>
      <c r="I92" s="135" t="s">
        <v>122</v>
      </c>
      <c r="J92" s="135" t="s">
        <v>61</v>
      </c>
      <c r="K92" s="135" t="s">
        <v>62</v>
      </c>
      <c r="L92" s="135" t="s">
        <v>123</v>
      </c>
      <c r="M92" s="135" t="s">
        <v>124</v>
      </c>
      <c r="N92" s="135" t="s">
        <v>125</v>
      </c>
      <c r="O92" s="135" t="s">
        <v>126</v>
      </c>
      <c r="P92" s="135" t="s">
        <v>65</v>
      </c>
      <c r="Q92" s="123">
        <v>7.52</v>
      </c>
      <c r="R92" s="123">
        <v>4.1500000000000004</v>
      </c>
      <c r="S92" s="123">
        <v>189</v>
      </c>
      <c r="T92" s="123">
        <v>250704</v>
      </c>
      <c r="U92" s="127">
        <f t="shared" si="88"/>
        <v>250704000000</v>
      </c>
      <c r="V92" s="135" t="s">
        <v>127</v>
      </c>
      <c r="W92" s="135" t="s">
        <v>66</v>
      </c>
      <c r="X92" s="135" t="s">
        <v>127</v>
      </c>
      <c r="Y92" s="123">
        <v>16.59</v>
      </c>
      <c r="Z92" s="123">
        <v>16.559999999999999</v>
      </c>
      <c r="AA92" s="123"/>
      <c r="AB92" s="129">
        <f t="shared" si="89"/>
        <v>16.574999999999999</v>
      </c>
      <c r="AC92" s="130">
        <f t="shared" si="90"/>
        <v>21.79455075597458</v>
      </c>
      <c r="AD92" s="131">
        <f t="shared" si="91"/>
        <v>2552577960.8690014</v>
      </c>
      <c r="AE92" s="129">
        <f t="shared" si="92"/>
        <v>72.764759532064133</v>
      </c>
      <c r="AF92" s="123">
        <v>22.76</v>
      </c>
      <c r="AG92" s="123">
        <v>22.84</v>
      </c>
      <c r="AH92" s="123"/>
      <c r="AI92" s="129">
        <f t="shared" si="93"/>
        <v>22.8</v>
      </c>
      <c r="AJ92" s="123">
        <f t="shared" si="70"/>
        <v>686.48914565261407</v>
      </c>
      <c r="AK92" s="132">
        <f t="shared" si="37"/>
        <v>137.29782913052281</v>
      </c>
      <c r="AL92" s="123">
        <v>35.24</v>
      </c>
      <c r="AM92" s="123">
        <v>35.39</v>
      </c>
      <c r="AN92" s="123"/>
      <c r="AO92" s="129">
        <f t="shared" si="94"/>
        <v>35.314999999999998</v>
      </c>
      <c r="AP92" s="123">
        <f t="shared" si="84"/>
        <v>2.3942026208575405E-6</v>
      </c>
      <c r="AQ92" s="123">
        <f t="shared" si="85"/>
        <v>141.81271998153042</v>
      </c>
      <c r="AR92" s="132">
        <f t="shared" si="41"/>
        <v>28.362543996306083</v>
      </c>
      <c r="AS92" s="132">
        <f t="shared" si="74"/>
        <v>0.20657678403161858</v>
      </c>
      <c r="AT92" s="132">
        <f t="shared" si="86"/>
        <v>51789626063.862907</v>
      </c>
      <c r="AU92" s="123"/>
      <c r="AV92" s="123"/>
    </row>
    <row r="93" spans="2:48" s="61" customFormat="1" ht="12.75" customHeight="1" x14ac:dyDescent="0.45">
      <c r="B93" s="52" t="s">
        <v>54</v>
      </c>
      <c r="C93" s="52" t="s">
        <v>55</v>
      </c>
      <c r="D93" s="78" t="s">
        <v>121</v>
      </c>
      <c r="E93" s="63" t="s">
        <v>57</v>
      </c>
      <c r="F93" s="64" t="s">
        <v>58</v>
      </c>
      <c r="G93" s="63" t="s">
        <v>59</v>
      </c>
      <c r="H93" s="63">
        <v>-20</v>
      </c>
      <c r="I93" s="63" t="s">
        <v>122</v>
      </c>
      <c r="J93" s="63" t="s">
        <v>61</v>
      </c>
      <c r="K93" s="63" t="s">
        <v>62</v>
      </c>
      <c r="L93" s="63" t="s">
        <v>123</v>
      </c>
      <c r="M93" s="63" t="s">
        <v>124</v>
      </c>
      <c r="N93" s="63" t="s">
        <v>125</v>
      </c>
      <c r="O93" s="63" t="s">
        <v>126</v>
      </c>
      <c r="P93" s="63" t="s">
        <v>65</v>
      </c>
      <c r="Q93" s="52">
        <v>7.86</v>
      </c>
      <c r="R93" s="52">
        <v>4.62</v>
      </c>
      <c r="S93" s="52">
        <v>310</v>
      </c>
      <c r="T93" s="52">
        <v>189240</v>
      </c>
      <c r="U93" s="55">
        <f t="shared" si="88"/>
        <v>189240000000</v>
      </c>
      <c r="V93" s="63" t="s">
        <v>127</v>
      </c>
      <c r="W93" s="63" t="s">
        <v>66</v>
      </c>
      <c r="X93" s="63" t="s">
        <v>127</v>
      </c>
      <c r="Y93" s="52">
        <v>17.010000000000002</v>
      </c>
      <c r="Z93" s="52">
        <v>17.079999999999998</v>
      </c>
      <c r="AA93" s="52"/>
      <c r="AB93" s="57">
        <f t="shared" si="89"/>
        <v>17.045000000000002</v>
      </c>
      <c r="AC93" s="58">
        <f t="shared" si="90"/>
        <v>15.911916168496393</v>
      </c>
      <c r="AD93" s="59">
        <f t="shared" si="91"/>
        <v>1863603750.389981</v>
      </c>
      <c r="AE93" s="57">
        <f t="shared" si="92"/>
        <v>53.12459828416543</v>
      </c>
      <c r="AF93" s="52">
        <v>22.32</v>
      </c>
      <c r="AG93" s="52">
        <v>22.59</v>
      </c>
      <c r="AH93" s="52"/>
      <c r="AI93" s="57">
        <f t="shared" si="93"/>
        <v>22.454999999999998</v>
      </c>
      <c r="AJ93" s="52">
        <f t="shared" si="70"/>
        <v>881.94974528867795</v>
      </c>
      <c r="AK93" s="60">
        <f t="shared" si="37"/>
        <v>176.38994905773558</v>
      </c>
      <c r="AL93" s="52">
        <v>34.81</v>
      </c>
      <c r="AM93" s="52">
        <v>35.47</v>
      </c>
      <c r="AN93" s="52"/>
      <c r="AO93" s="57">
        <f t="shared" si="94"/>
        <v>35.14</v>
      </c>
      <c r="AP93" s="52">
        <f t="shared" si="84"/>
        <v>2.6879826855290061E-6</v>
      </c>
      <c r="AQ93" s="52">
        <f t="shared" si="85"/>
        <v>159.21381614793938</v>
      </c>
      <c r="AR93" s="60">
        <f t="shared" si="41"/>
        <v>31.842763229587877</v>
      </c>
      <c r="AS93" s="60">
        <f t="shared" si="74"/>
        <v>0.18052481674658896</v>
      </c>
      <c r="AT93" s="60">
        <f t="shared" si="86"/>
        <v>34162516321.124496</v>
      </c>
      <c r="AU93" s="52"/>
      <c r="AV93" s="80" t="s">
        <v>132</v>
      </c>
    </row>
    <row r="94" spans="2:48" s="61" customFormat="1" x14ac:dyDescent="0.35">
      <c r="B94" s="52" t="s">
        <v>54</v>
      </c>
      <c r="C94" s="52" t="s">
        <v>55</v>
      </c>
      <c r="D94" s="78" t="s">
        <v>128</v>
      </c>
      <c r="E94" s="63" t="s">
        <v>57</v>
      </c>
      <c r="F94" s="64" t="s">
        <v>58</v>
      </c>
      <c r="G94" s="63" t="s">
        <v>59</v>
      </c>
      <c r="H94" s="63">
        <v>-20</v>
      </c>
      <c r="I94" s="63" t="s">
        <v>122</v>
      </c>
      <c r="J94" s="63" t="s">
        <v>61</v>
      </c>
      <c r="K94" s="63" t="s">
        <v>62</v>
      </c>
      <c r="L94" s="63" t="s">
        <v>123</v>
      </c>
      <c r="M94" s="63" t="s">
        <v>124</v>
      </c>
      <c r="N94" s="63" t="s">
        <v>125</v>
      </c>
      <c r="O94" s="63" t="s">
        <v>126</v>
      </c>
      <c r="P94" s="63" t="s">
        <v>65</v>
      </c>
      <c r="Q94" s="52">
        <v>8.3699999999999992</v>
      </c>
      <c r="R94" s="52">
        <v>4.57</v>
      </c>
      <c r="S94" s="52">
        <v>220</v>
      </c>
      <c r="T94" s="52">
        <v>188448</v>
      </c>
      <c r="U94" s="55">
        <f t="shared" si="88"/>
        <v>188448000000</v>
      </c>
      <c r="V94" s="63" t="s">
        <v>127</v>
      </c>
      <c r="W94" s="63" t="s">
        <v>66</v>
      </c>
      <c r="X94" s="63" t="s">
        <v>127</v>
      </c>
      <c r="Y94" s="52">
        <v>16.079999999999998</v>
      </c>
      <c r="Z94" s="52">
        <v>16.48</v>
      </c>
      <c r="AA94" s="52"/>
      <c r="AB94" s="57">
        <f t="shared" si="89"/>
        <v>16.28</v>
      </c>
      <c r="AC94" s="58">
        <f t="shared" si="90"/>
        <v>26.552302467391076</v>
      </c>
      <c r="AD94" s="59">
        <f t="shared" si="91"/>
        <v>3109805879.8027892</v>
      </c>
      <c r="AE94" s="57">
        <f t="shared" si="92"/>
        <v>88.649310816039772</v>
      </c>
      <c r="AF94" s="52">
        <v>23.37</v>
      </c>
      <c r="AG94" s="52">
        <v>23.12</v>
      </c>
      <c r="AH94" s="52"/>
      <c r="AI94" s="57">
        <f t="shared" si="93"/>
        <v>23.245000000000001</v>
      </c>
      <c r="AJ94" s="52">
        <f t="shared" si="70"/>
        <v>496.91754673160335</v>
      </c>
      <c r="AK94" s="60">
        <f t="shared" si="37"/>
        <v>99.383509346320665</v>
      </c>
      <c r="AL94" s="52">
        <v>34.36</v>
      </c>
      <c r="AM94" s="52">
        <v>34.06</v>
      </c>
      <c r="AN94" s="52"/>
      <c r="AO94" s="57">
        <f t="shared" si="94"/>
        <v>34.21</v>
      </c>
      <c r="AP94" s="52">
        <f t="shared" si="84"/>
        <v>4.9722395203122001E-6</v>
      </c>
      <c r="AQ94" s="52">
        <f t="shared" si="85"/>
        <v>294.51425899892098</v>
      </c>
      <c r="AR94" s="60">
        <f t="shared" si="41"/>
        <v>58.902851799784194</v>
      </c>
      <c r="AS94" s="60">
        <f t="shared" si="74"/>
        <v>0.59268234928720465</v>
      </c>
      <c r="AT94" s="60">
        <f t="shared" si="86"/>
        <v>111689803358.47514</v>
      </c>
      <c r="AU94" s="52"/>
      <c r="AV94" s="52"/>
    </row>
    <row r="95" spans="2:48" s="61" customFormat="1" x14ac:dyDescent="0.35">
      <c r="B95" s="52" t="s">
        <v>54</v>
      </c>
      <c r="C95" s="52" t="s">
        <v>55</v>
      </c>
      <c r="D95" s="78" t="s">
        <v>129</v>
      </c>
      <c r="E95" s="63" t="s">
        <v>57</v>
      </c>
      <c r="F95" s="64" t="s">
        <v>58</v>
      </c>
      <c r="G95" s="63" t="s">
        <v>59</v>
      </c>
      <c r="H95" s="63">
        <v>-20</v>
      </c>
      <c r="I95" s="63" t="s">
        <v>122</v>
      </c>
      <c r="J95" s="63" t="s">
        <v>61</v>
      </c>
      <c r="K95" s="63" t="s">
        <v>62</v>
      </c>
      <c r="L95" s="63" t="s">
        <v>123</v>
      </c>
      <c r="M95" s="63" t="s">
        <v>124</v>
      </c>
      <c r="N95" s="63" t="s">
        <v>125</v>
      </c>
      <c r="O95" s="63" t="s">
        <v>126</v>
      </c>
      <c r="P95" s="63" t="s">
        <v>65</v>
      </c>
      <c r="Q95" s="52">
        <v>7.55</v>
      </c>
      <c r="R95" s="52">
        <v>4.08</v>
      </c>
      <c r="S95" s="52">
        <v>310</v>
      </c>
      <c r="T95" s="52">
        <v>195864</v>
      </c>
      <c r="U95" s="55">
        <f t="shared" si="88"/>
        <v>195864000000</v>
      </c>
      <c r="V95" s="63" t="s">
        <v>127</v>
      </c>
      <c r="W95" s="63" t="s">
        <v>66</v>
      </c>
      <c r="X95" s="63" t="s">
        <v>127</v>
      </c>
      <c r="Y95" s="52">
        <v>16.86</v>
      </c>
      <c r="Z95" s="52">
        <v>17.02</v>
      </c>
      <c r="AA95" s="52"/>
      <c r="AB95" s="57">
        <f t="shared" si="89"/>
        <v>16.939999999999998</v>
      </c>
      <c r="AC95" s="58">
        <f t="shared" si="90"/>
        <v>17.070458519741173</v>
      </c>
      <c r="AD95" s="59">
        <f t="shared" si="91"/>
        <v>1999292239.9409802</v>
      </c>
      <c r="AE95" s="57">
        <f t="shared" si="92"/>
        <v>56.992586045873665</v>
      </c>
      <c r="AF95" s="52">
        <v>22.16</v>
      </c>
      <c r="AG95" s="52">
        <v>22.13</v>
      </c>
      <c r="AH95" s="52"/>
      <c r="AI95" s="57">
        <f t="shared" si="93"/>
        <v>22.145</v>
      </c>
      <c r="AJ95" s="52">
        <f t="shared" si="70"/>
        <v>1104.6260762220161</v>
      </c>
      <c r="AK95" s="60">
        <f t="shared" si="37"/>
        <v>220.9252152444032</v>
      </c>
      <c r="AL95" s="52">
        <v>33.51</v>
      </c>
      <c r="AM95" s="52">
        <v>33.76</v>
      </c>
      <c r="AN95" s="52"/>
      <c r="AO95" s="57">
        <f t="shared" si="94"/>
        <v>33.634999999999998</v>
      </c>
      <c r="AP95" s="52">
        <f t="shared" si="84"/>
        <v>7.2729453831945883E-6</v>
      </c>
      <c r="AQ95" s="52">
        <f t="shared" si="85"/>
        <v>430.78900594408316</v>
      </c>
      <c r="AR95" s="60">
        <f t="shared" si="41"/>
        <v>86.157801188816634</v>
      </c>
      <c r="AS95" s="60">
        <f t="shared" si="74"/>
        <v>0.38998627247461426</v>
      </c>
      <c r="AT95" s="60">
        <f t="shared" si="86"/>
        <v>76384271271.96785</v>
      </c>
      <c r="AU95" s="52"/>
      <c r="AV95" s="52"/>
    </row>
    <row r="96" spans="2:48" s="61" customFormat="1" x14ac:dyDescent="0.35">
      <c r="B96" s="52" t="s">
        <v>54</v>
      </c>
      <c r="C96" s="52" t="s">
        <v>55</v>
      </c>
      <c r="D96" s="52" t="s">
        <v>130</v>
      </c>
      <c r="E96" s="63" t="s">
        <v>57</v>
      </c>
      <c r="F96" s="64" t="s">
        <v>58</v>
      </c>
      <c r="G96" s="63" t="s">
        <v>59</v>
      </c>
      <c r="H96" s="63">
        <v>-20</v>
      </c>
      <c r="I96" s="63" t="s">
        <v>122</v>
      </c>
      <c r="J96" s="63" t="s">
        <v>61</v>
      </c>
      <c r="K96" s="63" t="s">
        <v>62</v>
      </c>
      <c r="L96" s="63" t="s">
        <v>123</v>
      </c>
      <c r="M96" s="63" t="s">
        <v>124</v>
      </c>
      <c r="N96" s="63" t="s">
        <v>125</v>
      </c>
      <c r="O96" s="63" t="s">
        <v>126</v>
      </c>
      <c r="P96" s="63" t="s">
        <v>65</v>
      </c>
      <c r="Q96" s="52">
        <v>8.16</v>
      </c>
      <c r="R96" s="52">
        <v>4.57</v>
      </c>
      <c r="S96" s="52">
        <v>180</v>
      </c>
      <c r="T96" s="52">
        <v>222000</v>
      </c>
      <c r="U96" s="55">
        <f t="shared" si="88"/>
        <v>222000000000</v>
      </c>
      <c r="V96" s="63" t="s">
        <v>127</v>
      </c>
      <c r="W96" s="63" t="s">
        <v>66</v>
      </c>
      <c r="X96" s="63" t="s">
        <v>127</v>
      </c>
      <c r="Y96" s="52">
        <v>17.059999999999999</v>
      </c>
      <c r="Z96" s="52">
        <v>17.079999999999998</v>
      </c>
      <c r="AA96" s="52"/>
      <c r="AB96" s="57">
        <f t="shared" si="89"/>
        <v>17.07</v>
      </c>
      <c r="AC96" s="58">
        <f t="shared" si="90"/>
        <v>15.647867911548204</v>
      </c>
      <c r="AD96" s="59">
        <f t="shared" si="91"/>
        <v>1832678416.3999212</v>
      </c>
      <c r="AE96" s="57">
        <f t="shared" si="92"/>
        <v>52.243028935165263</v>
      </c>
      <c r="AF96" s="52">
        <v>21.54</v>
      </c>
      <c r="AG96" s="52">
        <v>21.78</v>
      </c>
      <c r="AH96" s="52"/>
      <c r="AI96" s="57">
        <f t="shared" si="93"/>
        <v>21.66</v>
      </c>
      <c r="AJ96" s="52">
        <f t="shared" si="70"/>
        <v>1571.0149024626051</v>
      </c>
      <c r="AK96" s="60">
        <f t="shared" si="37"/>
        <v>314.20298049252102</v>
      </c>
      <c r="AL96" s="52">
        <v>33.11</v>
      </c>
      <c r="AM96" s="52">
        <v>32.92</v>
      </c>
      <c r="AN96" s="52"/>
      <c r="AO96" s="57">
        <f t="shared" si="94"/>
        <v>33.015000000000001</v>
      </c>
      <c r="AP96" s="52">
        <f t="shared" si="84"/>
        <v>1.0959583310344562E-5</v>
      </c>
      <c r="AQ96" s="52">
        <f t="shared" si="85"/>
        <v>649.1548816981375</v>
      </c>
      <c r="AR96" s="60">
        <f t="shared" si="41"/>
        <v>129.83097633962751</v>
      </c>
      <c r="AS96" s="60">
        <f t="shared" si="74"/>
        <v>0.41320733538591586</v>
      </c>
      <c r="AT96" s="60">
        <f t="shared" si="86"/>
        <v>91732028455.673325</v>
      </c>
      <c r="AU96" s="52"/>
      <c r="AV96" s="52"/>
    </row>
    <row r="97" spans="2:48" s="61" customFormat="1" ht="14.25" x14ac:dyDescent="0.45">
      <c r="B97" s="52" t="s">
        <v>54</v>
      </c>
      <c r="C97" s="52" t="s">
        <v>55</v>
      </c>
      <c r="D97" s="52" t="s">
        <v>131</v>
      </c>
      <c r="E97" s="63" t="s">
        <v>57</v>
      </c>
      <c r="F97" s="64" t="s">
        <v>58</v>
      </c>
      <c r="G97" s="63" t="s">
        <v>59</v>
      </c>
      <c r="H97" s="63">
        <v>-20</v>
      </c>
      <c r="I97" s="63" t="s">
        <v>122</v>
      </c>
      <c r="J97" s="63" t="s">
        <v>61</v>
      </c>
      <c r="K97" s="63" t="s">
        <v>62</v>
      </c>
      <c r="L97" s="63" t="s">
        <v>123</v>
      </c>
      <c r="M97" s="63" t="s">
        <v>124</v>
      </c>
      <c r="N97" s="63" t="s">
        <v>125</v>
      </c>
      <c r="O97" s="63" t="s">
        <v>126</v>
      </c>
      <c r="P97" s="63" t="s">
        <v>65</v>
      </c>
      <c r="Q97" s="52">
        <v>7.17</v>
      </c>
      <c r="R97" s="52">
        <v>4.42</v>
      </c>
      <c r="S97" s="52">
        <v>250</v>
      </c>
      <c r="T97" s="52">
        <v>236352</v>
      </c>
      <c r="U97" s="55">
        <f t="shared" si="88"/>
        <v>236352000000</v>
      </c>
      <c r="V97" s="63" t="s">
        <v>127</v>
      </c>
      <c r="W97" s="63" t="s">
        <v>66</v>
      </c>
      <c r="X97" s="63" t="s">
        <v>127</v>
      </c>
      <c r="Y97" s="52">
        <v>16.579999999999998</v>
      </c>
      <c r="Z97" s="52">
        <v>16.88</v>
      </c>
      <c r="AA97" s="52"/>
      <c r="AB97" s="57">
        <f t="shared" si="89"/>
        <v>16.729999999999997</v>
      </c>
      <c r="AC97" s="58">
        <f t="shared" si="90"/>
        <v>19.646744427244833</v>
      </c>
      <c r="AD97" s="59">
        <f t="shared" si="91"/>
        <v>2301026866.2713027</v>
      </c>
      <c r="AE97" s="57">
        <f t="shared" si="92"/>
        <v>65.593948223250038</v>
      </c>
      <c r="AF97" s="52">
        <v>23.63</v>
      </c>
      <c r="AG97" s="52">
        <v>23.36</v>
      </c>
      <c r="AH97" s="52"/>
      <c r="AI97" s="57">
        <f t="shared" si="93"/>
        <v>23.494999999999997</v>
      </c>
      <c r="AJ97" s="52">
        <f t="shared" si="70"/>
        <v>414.41587858592311</v>
      </c>
      <c r="AK97" s="60">
        <f t="shared" si="37"/>
        <v>82.883175717184628</v>
      </c>
      <c r="AL97" s="52">
        <v>33.11</v>
      </c>
      <c r="AM97" s="58">
        <v>33.6</v>
      </c>
      <c r="AN97" s="52"/>
      <c r="AO97" s="57">
        <f t="shared" si="94"/>
        <v>33.355000000000004</v>
      </c>
      <c r="AP97" s="52">
        <f t="shared" si="84"/>
        <v>8.7525626939756413E-6</v>
      </c>
      <c r="AQ97" s="52">
        <f t="shared" si="85"/>
        <v>518.42927228815029</v>
      </c>
      <c r="AR97" s="60">
        <f t="shared" si="41"/>
        <v>103.68585445763006</v>
      </c>
      <c r="AS97" s="60">
        <f t="shared" si="74"/>
        <v>1.2509879545570102</v>
      </c>
      <c r="AT97" s="60">
        <f t="shared" si="86"/>
        <v>295673505035.4585</v>
      </c>
      <c r="AU97" s="52"/>
      <c r="AV97" s="80" t="s">
        <v>133</v>
      </c>
    </row>
    <row r="98" spans="2:48" x14ac:dyDescent="0.35">
      <c r="B98" s="8"/>
      <c r="C98" s="8"/>
      <c r="D98" s="8"/>
      <c r="E98" s="8" t="s">
        <v>105</v>
      </c>
      <c r="F98" s="8"/>
      <c r="G98" s="8" t="s">
        <v>134</v>
      </c>
      <c r="H98" s="8">
        <v>-80</v>
      </c>
      <c r="I98" s="8" t="s">
        <v>108</v>
      </c>
      <c r="J98" s="10" t="s">
        <v>61</v>
      </c>
      <c r="K98" s="10" t="s">
        <v>62</v>
      </c>
      <c r="L98" s="10" t="s">
        <v>123</v>
      </c>
      <c r="M98" s="10" t="s">
        <v>124</v>
      </c>
      <c r="N98" s="10" t="s">
        <v>107</v>
      </c>
      <c r="O98" s="8" t="s">
        <v>108</v>
      </c>
      <c r="P98" s="8" t="s">
        <v>108</v>
      </c>
      <c r="Q98" s="8" t="s">
        <v>108</v>
      </c>
      <c r="R98" s="8" t="s">
        <v>108</v>
      </c>
      <c r="S98" s="8" t="s">
        <v>108</v>
      </c>
      <c r="T98" s="8" t="s">
        <v>108</v>
      </c>
      <c r="U98" s="24" t="e">
        <f t="shared" si="88"/>
        <v>#VALUE!</v>
      </c>
      <c r="V98" s="10" t="s">
        <v>127</v>
      </c>
      <c r="W98" s="10" t="s">
        <v>66</v>
      </c>
      <c r="X98" s="10" t="s">
        <v>127</v>
      </c>
      <c r="Y98" s="8">
        <v>16.149999999999999</v>
      </c>
      <c r="Z98" s="8">
        <v>16.05</v>
      </c>
      <c r="AA98" s="8"/>
      <c r="AB98" s="21">
        <f t="shared" si="89"/>
        <v>16.100000000000001</v>
      </c>
      <c r="AC98" s="18">
        <f t="shared" si="90"/>
        <v>29.952068688374769</v>
      </c>
      <c r="AD98" s="51">
        <f t="shared" si="91"/>
        <v>3507986527.1102777</v>
      </c>
      <c r="AE98" s="21">
        <f t="shared" si="92"/>
        <v>100</v>
      </c>
      <c r="AF98" s="8">
        <v>29.77</v>
      </c>
      <c r="AG98" s="8">
        <v>30.04</v>
      </c>
      <c r="AH98" s="8"/>
      <c r="AI98" s="21">
        <f t="shared" si="93"/>
        <v>29.905000000000001</v>
      </c>
      <c r="AJ98" s="8">
        <f t="shared" si="70"/>
        <v>3.9425306070879205</v>
      </c>
      <c r="AK98" s="60">
        <f t="shared" si="37"/>
        <v>0.78850612141758414</v>
      </c>
      <c r="AL98" s="8">
        <v>24.1</v>
      </c>
      <c r="AM98" s="8">
        <v>24.85</v>
      </c>
      <c r="AN98" s="8"/>
      <c r="AO98" s="21">
        <f t="shared" si="94"/>
        <v>24.475000000000001</v>
      </c>
      <c r="AP98" s="19">
        <f t="shared" si="84"/>
        <v>3.1099514988174471E-3</v>
      </c>
      <c r="AQ98" s="8">
        <f t="shared" si="85"/>
        <v>184207.75134728313</v>
      </c>
      <c r="AR98" s="60">
        <f t="shared" si="41"/>
        <v>36841.550269456624</v>
      </c>
      <c r="AS98" s="19">
        <f t="shared" si="74"/>
        <v>46723.226705231558</v>
      </c>
      <c r="AT98" s="19" t="e">
        <f t="shared" si="86"/>
        <v>#VALUE!</v>
      </c>
      <c r="AU98" s="8"/>
      <c r="AV98" s="8"/>
    </row>
    <row r="99" spans="2:48" x14ac:dyDescent="0.3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24">
        <f t="shared" si="88"/>
        <v>0</v>
      </c>
      <c r="V99" s="8"/>
      <c r="W99" s="8"/>
      <c r="X99" s="8"/>
      <c r="Y99" s="8"/>
      <c r="Z99" s="8"/>
      <c r="AA99" s="8"/>
      <c r="AB99" s="8"/>
      <c r="AC99" s="18"/>
      <c r="AD99" s="51"/>
      <c r="AE99" s="21"/>
      <c r="AF99" s="8"/>
      <c r="AG99" s="8"/>
      <c r="AH99" s="8"/>
      <c r="AI99" s="8"/>
      <c r="AJ99" s="8"/>
      <c r="AK99" s="60">
        <f t="shared" si="37"/>
        <v>0</v>
      </c>
      <c r="AL99" s="8"/>
      <c r="AM99" s="8"/>
      <c r="AN99" s="8"/>
      <c r="AO99" s="8"/>
      <c r="AP99" s="8"/>
      <c r="AQ99" s="8"/>
      <c r="AR99" s="60">
        <f t="shared" si="41"/>
        <v>0</v>
      </c>
      <c r="AS99" s="19"/>
      <c r="AT99" s="19"/>
      <c r="AU99" s="8"/>
      <c r="AV99" s="8"/>
    </row>
    <row r="100" spans="2:48" s="61" customFormat="1" x14ac:dyDescent="0.35">
      <c r="B100" s="52" t="s">
        <v>54</v>
      </c>
      <c r="C100" s="52" t="s">
        <v>55</v>
      </c>
      <c r="D100" s="81" t="s">
        <v>111</v>
      </c>
      <c r="E100" s="52" t="s">
        <v>57</v>
      </c>
      <c r="F100" s="52" t="s">
        <v>58</v>
      </c>
      <c r="G100" s="52" t="s">
        <v>59</v>
      </c>
      <c r="H100" s="52">
        <v>-20</v>
      </c>
      <c r="I100" s="52" t="s">
        <v>135</v>
      </c>
      <c r="J100" s="52" t="s">
        <v>61</v>
      </c>
      <c r="K100" s="52" t="s">
        <v>62</v>
      </c>
      <c r="L100" s="52" t="s">
        <v>123</v>
      </c>
      <c r="M100" s="82">
        <v>44287</v>
      </c>
      <c r="N100" s="52" t="s">
        <v>91</v>
      </c>
      <c r="O100" s="52" t="s">
        <v>136</v>
      </c>
      <c r="P100" s="52" t="s">
        <v>65</v>
      </c>
      <c r="Q100" s="52">
        <v>6.49</v>
      </c>
      <c r="R100" s="52">
        <v>4.25</v>
      </c>
      <c r="S100" s="52">
        <v>270</v>
      </c>
      <c r="T100" s="52">
        <v>193776</v>
      </c>
      <c r="U100" s="55">
        <f t="shared" si="88"/>
        <v>193776000000</v>
      </c>
      <c r="V100" s="82">
        <v>44317</v>
      </c>
      <c r="W100" s="63" t="s">
        <v>66</v>
      </c>
      <c r="X100" s="82">
        <v>44348</v>
      </c>
      <c r="Y100" s="52">
        <v>18.309999999999999</v>
      </c>
      <c r="Z100" s="52">
        <v>18.350000000000001</v>
      </c>
      <c r="AA100" s="52"/>
      <c r="AB100" s="57">
        <f t="shared" ref="AB100:AB112" si="95">AVERAGE(Y100:AA100)</f>
        <v>18.329999999999998</v>
      </c>
      <c r="AC100" s="58">
        <f t="shared" ref="AC100:AC112" si="96">EXP((AB100-21.179)/-1.494)</f>
        <v>6.7325985129625687</v>
      </c>
      <c r="AD100" s="59">
        <f t="shared" ref="AD100:AD112" si="97">(AC100*(6.0221*10^23))/(15123*340*10^9)</f>
        <v>788521992.30840206</v>
      </c>
      <c r="AE100" s="57">
        <f>AD100*100/AD$112</f>
        <v>6.32257150610452</v>
      </c>
      <c r="AF100" s="52">
        <v>21.07</v>
      </c>
      <c r="AG100" s="52">
        <v>21.32</v>
      </c>
      <c r="AH100" s="52"/>
      <c r="AI100" s="57">
        <f t="shared" ref="AI100:AI111" si="98">AVERAGE(AF100:AH100)</f>
        <v>21.195</v>
      </c>
      <c r="AJ100" s="52">
        <f t="shared" si="70"/>
        <v>2202.102260410873</v>
      </c>
      <c r="AK100" s="60">
        <f t="shared" si="37"/>
        <v>440.42045208217462</v>
      </c>
      <c r="AL100" s="52">
        <v>33.21</v>
      </c>
      <c r="AM100" s="52">
        <v>33.25</v>
      </c>
      <c r="AN100" s="52"/>
      <c r="AO100" s="57">
        <f t="shared" ref="AO100:AO112" si="99">AVERAGE(AL100:AN100)</f>
        <v>33.230000000000004</v>
      </c>
      <c r="AP100" s="52">
        <f t="shared" si="84"/>
        <v>9.5069061197446955E-6</v>
      </c>
      <c r="AQ100" s="52">
        <f t="shared" si="85"/>
        <v>563.1103247924616</v>
      </c>
      <c r="AR100" s="60">
        <f t="shared" si="41"/>
        <v>112.62206495849232</v>
      </c>
      <c r="AS100" s="60">
        <f t="shared" si="74"/>
        <v>0.25571488432485201</v>
      </c>
      <c r="AT100" s="60">
        <f t="shared" si="86"/>
        <v>49551407424.932526</v>
      </c>
      <c r="AU100" s="52"/>
      <c r="AV100" s="52"/>
    </row>
    <row r="101" spans="2:48" s="61" customFormat="1" x14ac:dyDescent="0.35">
      <c r="B101" s="52" t="s">
        <v>54</v>
      </c>
      <c r="C101" s="52" t="s">
        <v>55</v>
      </c>
      <c r="D101" s="81" t="s">
        <v>137</v>
      </c>
      <c r="E101" s="52" t="s">
        <v>57</v>
      </c>
      <c r="F101" s="52" t="s">
        <v>58</v>
      </c>
      <c r="G101" s="52" t="s">
        <v>59</v>
      </c>
      <c r="H101" s="52">
        <v>-20</v>
      </c>
      <c r="I101" s="52" t="s">
        <v>135</v>
      </c>
      <c r="J101" s="52" t="s">
        <v>61</v>
      </c>
      <c r="K101" s="52" t="s">
        <v>62</v>
      </c>
      <c r="L101" s="52" t="s">
        <v>123</v>
      </c>
      <c r="M101" s="82">
        <v>44287</v>
      </c>
      <c r="N101" s="52" t="s">
        <v>91</v>
      </c>
      <c r="O101" s="52" t="s">
        <v>136</v>
      </c>
      <c r="P101" s="52" t="s">
        <v>65</v>
      </c>
      <c r="Q101" s="52">
        <v>6.71</v>
      </c>
      <c r="R101" s="52">
        <v>4.33</v>
      </c>
      <c r="S101" s="52">
        <v>270</v>
      </c>
      <c r="T101" s="52">
        <v>192288</v>
      </c>
      <c r="U101" s="55">
        <f t="shared" si="88"/>
        <v>192288000000</v>
      </c>
      <c r="V101" s="82">
        <v>44317</v>
      </c>
      <c r="W101" s="63" t="s">
        <v>66</v>
      </c>
      <c r="X101" s="82">
        <v>44348</v>
      </c>
      <c r="Y101" s="58">
        <v>17.5</v>
      </c>
      <c r="Z101" s="52">
        <v>17.47</v>
      </c>
      <c r="AA101" s="52"/>
      <c r="AB101" s="57">
        <f t="shared" si="95"/>
        <v>17.484999999999999</v>
      </c>
      <c r="AC101" s="58">
        <f t="shared" si="96"/>
        <v>11.852714276759638</v>
      </c>
      <c r="AD101" s="59">
        <f t="shared" si="97"/>
        <v>1388189991.9887161</v>
      </c>
      <c r="AE101" s="57">
        <f t="shared" ref="AE101:AE112" si="100">AD101*100/AD$112</f>
        <v>11.130863278413846</v>
      </c>
      <c r="AF101" s="52">
        <v>20.89</v>
      </c>
      <c r="AG101" s="52">
        <v>20.76</v>
      </c>
      <c r="AH101" s="52"/>
      <c r="AI101" s="57">
        <f t="shared" si="98"/>
        <v>20.825000000000003</v>
      </c>
      <c r="AJ101" s="52">
        <f t="shared" ref="AJ101" si="101">EXP((AI101-31.794)/-1.377)</f>
        <v>2880.9282453488922</v>
      </c>
      <c r="AK101" s="60">
        <f t="shared" si="37"/>
        <v>576.18564906977849</v>
      </c>
      <c r="AL101" s="52">
        <v>32.880000000000003</v>
      </c>
      <c r="AM101" s="52">
        <v>32.39</v>
      </c>
      <c r="AN101" s="52"/>
      <c r="AO101" s="57">
        <f t="shared" si="99"/>
        <v>32.635000000000005</v>
      </c>
      <c r="AP101" s="52">
        <f t="shared" si="84"/>
        <v>1.4091010107164547E-5</v>
      </c>
      <c r="AQ101" s="52">
        <f t="shared" si="85"/>
        <v>834.63465171068424</v>
      </c>
      <c r="AR101" s="60">
        <f t="shared" si="41"/>
        <v>166.92693034213684</v>
      </c>
      <c r="AS101" s="60">
        <f t="shared" si="74"/>
        <v>0.28971032272607206</v>
      </c>
      <c r="AT101" s="60">
        <f t="shared" si="86"/>
        <v>55707818536.350945</v>
      </c>
      <c r="AU101" s="52"/>
      <c r="AV101" s="52"/>
    </row>
    <row r="102" spans="2:48" s="61" customFormat="1" x14ac:dyDescent="0.35">
      <c r="B102" s="52" t="s">
        <v>54</v>
      </c>
      <c r="C102" s="52" t="s">
        <v>55</v>
      </c>
      <c r="D102" s="81" t="s">
        <v>138</v>
      </c>
      <c r="E102" s="52" t="s">
        <v>57</v>
      </c>
      <c r="F102" s="52" t="s">
        <v>58</v>
      </c>
      <c r="G102" s="52" t="s">
        <v>59</v>
      </c>
      <c r="H102" s="52">
        <v>-20</v>
      </c>
      <c r="I102" s="52" t="s">
        <v>135</v>
      </c>
      <c r="J102" s="52" t="s">
        <v>61</v>
      </c>
      <c r="K102" s="52" t="s">
        <v>62</v>
      </c>
      <c r="L102" s="52" t="s">
        <v>123</v>
      </c>
      <c r="M102" s="82">
        <v>44287</v>
      </c>
      <c r="N102" s="52" t="s">
        <v>91</v>
      </c>
      <c r="O102" s="52" t="s">
        <v>136</v>
      </c>
      <c r="P102" s="52" t="s">
        <v>65</v>
      </c>
      <c r="Q102" s="52">
        <v>6.57</v>
      </c>
      <c r="R102" s="52">
        <v>3.75</v>
      </c>
      <c r="S102" s="52">
        <v>340</v>
      </c>
      <c r="T102" s="52">
        <v>192696</v>
      </c>
      <c r="U102" s="55">
        <f t="shared" si="88"/>
        <v>192696000000</v>
      </c>
      <c r="V102" s="82">
        <v>44317</v>
      </c>
      <c r="W102" s="63" t="s">
        <v>66</v>
      </c>
      <c r="X102" s="82">
        <v>44348</v>
      </c>
      <c r="Y102" s="52">
        <v>18.63</v>
      </c>
      <c r="Z102" s="52">
        <v>18.22</v>
      </c>
      <c r="AA102" s="52"/>
      <c r="AB102" s="57">
        <f t="shared" si="95"/>
        <v>18.424999999999997</v>
      </c>
      <c r="AC102" s="58">
        <f t="shared" si="96"/>
        <v>6.3178154639986124</v>
      </c>
      <c r="AD102" s="59">
        <f t="shared" si="97"/>
        <v>739942598.25793278</v>
      </c>
      <c r="AE102" s="57">
        <f t="shared" si="100"/>
        <v>5.9330494691754705</v>
      </c>
      <c r="AF102" s="52">
        <v>20.61</v>
      </c>
      <c r="AG102" s="52">
        <v>21.03</v>
      </c>
      <c r="AH102" s="52"/>
      <c r="AI102" s="57">
        <f t="shared" si="98"/>
        <v>20.82</v>
      </c>
      <c r="AJ102" s="52">
        <f t="shared" ref="AJ102" si="102">EXP((AI102-31.794)/-1.377)</f>
        <v>2891.4081474014033</v>
      </c>
      <c r="AK102" s="60">
        <f t="shared" si="37"/>
        <v>578.28162948028069</v>
      </c>
      <c r="AL102" s="52">
        <v>32.07</v>
      </c>
      <c r="AM102" s="52">
        <v>31.86</v>
      </c>
      <c r="AN102" s="52"/>
      <c r="AO102" s="57">
        <f t="shared" si="99"/>
        <v>31.965</v>
      </c>
      <c r="AP102" s="52">
        <f t="shared" si="84"/>
        <v>2.1947620015714973E-5</v>
      </c>
      <c r="AQ102" s="52">
        <f t="shared" si="85"/>
        <v>1299.995106694362</v>
      </c>
      <c r="AR102" s="60">
        <f t="shared" si="41"/>
        <v>259.99902133887241</v>
      </c>
      <c r="AS102" s="60">
        <f t="shared" si="74"/>
        <v>0.4496062265933321</v>
      </c>
      <c r="AT102" s="60">
        <f t="shared" si="86"/>
        <v>86637321439.628723</v>
      </c>
      <c r="AU102" s="52"/>
      <c r="AV102" s="52"/>
    </row>
    <row r="103" spans="2:48" s="61" customFormat="1" x14ac:dyDescent="0.35">
      <c r="B103" s="52" t="s">
        <v>54</v>
      </c>
      <c r="C103" s="52" t="s">
        <v>55</v>
      </c>
      <c r="D103" s="81" t="s">
        <v>112</v>
      </c>
      <c r="E103" s="52" t="s">
        <v>57</v>
      </c>
      <c r="F103" s="52" t="s">
        <v>58</v>
      </c>
      <c r="G103" s="52" t="s">
        <v>59</v>
      </c>
      <c r="H103" s="52">
        <v>-20</v>
      </c>
      <c r="I103" s="52" t="s">
        <v>135</v>
      </c>
      <c r="J103" s="52" t="s">
        <v>61</v>
      </c>
      <c r="K103" s="52" t="s">
        <v>62</v>
      </c>
      <c r="L103" s="52" t="s">
        <v>123</v>
      </c>
      <c r="M103" s="82">
        <v>44287</v>
      </c>
      <c r="N103" s="52" t="s">
        <v>91</v>
      </c>
      <c r="O103" s="52" t="s">
        <v>136</v>
      </c>
      <c r="P103" s="52" t="s">
        <v>65</v>
      </c>
      <c r="Q103" s="52">
        <v>6.56</v>
      </c>
      <c r="R103" s="58">
        <v>3.8</v>
      </c>
      <c r="S103" s="52">
        <v>310</v>
      </c>
      <c r="T103" s="52">
        <v>202800</v>
      </c>
      <c r="U103" s="55">
        <f t="shared" si="88"/>
        <v>202800000000</v>
      </c>
      <c r="V103" s="82">
        <v>44317</v>
      </c>
      <c r="W103" s="63" t="s">
        <v>66</v>
      </c>
      <c r="X103" s="82">
        <v>44348</v>
      </c>
      <c r="Y103" s="52">
        <v>18.48</v>
      </c>
      <c r="Z103" s="52">
        <v>18.420000000000002</v>
      </c>
      <c r="AA103" s="52"/>
      <c r="AB103" s="57">
        <f t="shared" si="95"/>
        <v>18.450000000000003</v>
      </c>
      <c r="AC103" s="58">
        <f t="shared" si="96"/>
        <v>6.2129752836379071</v>
      </c>
      <c r="AD103" s="59">
        <f t="shared" si="97"/>
        <v>727663715.48587537</v>
      </c>
      <c r="AE103" s="57">
        <f t="shared" si="100"/>
        <v>5.8345942388855283</v>
      </c>
      <c r="AF103" s="58">
        <v>20.399999999999999</v>
      </c>
      <c r="AG103" s="52">
        <v>20.32</v>
      </c>
      <c r="AH103" s="52"/>
      <c r="AI103" s="57">
        <f t="shared" si="98"/>
        <v>20.36</v>
      </c>
      <c r="AJ103" s="52">
        <f t="shared" ref="AJ103" si="103">EXP((AI103-31.794)/-1.377)</f>
        <v>4038.2166911464715</v>
      </c>
      <c r="AK103" s="60">
        <f t="shared" si="37"/>
        <v>807.64333822929427</v>
      </c>
      <c r="AL103" s="52">
        <v>31.39</v>
      </c>
      <c r="AM103" s="52">
        <v>31.2</v>
      </c>
      <c r="AN103" s="52"/>
      <c r="AO103" s="57">
        <f t="shared" si="99"/>
        <v>31.295000000000002</v>
      </c>
      <c r="AP103" s="52">
        <f t="shared" si="84"/>
        <v>3.4184776016113568E-5</v>
      </c>
      <c r="AQ103" s="52">
        <f t="shared" si="85"/>
        <v>2024.8228059612109</v>
      </c>
      <c r="AR103" s="60">
        <f t="shared" si="41"/>
        <v>404.96456119224217</v>
      </c>
      <c r="AS103" s="60">
        <f t="shared" si="74"/>
        <v>0.50141509503452442</v>
      </c>
      <c r="AT103" s="60">
        <f t="shared" si="86"/>
        <v>101686981273.00156</v>
      </c>
      <c r="AU103" s="52"/>
      <c r="AV103" s="52"/>
    </row>
    <row r="104" spans="2:48" s="61" customFormat="1" x14ac:dyDescent="0.35">
      <c r="B104" s="52" t="s">
        <v>54</v>
      </c>
      <c r="C104" s="52" t="s">
        <v>55</v>
      </c>
      <c r="D104" s="81" t="s">
        <v>139</v>
      </c>
      <c r="E104" s="52" t="s">
        <v>57</v>
      </c>
      <c r="F104" s="52" t="s">
        <v>58</v>
      </c>
      <c r="G104" s="52" t="s">
        <v>59</v>
      </c>
      <c r="H104" s="52">
        <v>-20</v>
      </c>
      <c r="I104" s="52" t="s">
        <v>135</v>
      </c>
      <c r="J104" s="52" t="s">
        <v>61</v>
      </c>
      <c r="K104" s="52" t="s">
        <v>62</v>
      </c>
      <c r="L104" s="52" t="s">
        <v>123</v>
      </c>
      <c r="M104" s="82">
        <v>44287</v>
      </c>
      <c r="N104" s="52" t="s">
        <v>91</v>
      </c>
      <c r="O104" s="52" t="s">
        <v>136</v>
      </c>
      <c r="P104" s="52" t="s">
        <v>65</v>
      </c>
      <c r="Q104" s="52">
        <v>6.62</v>
      </c>
      <c r="R104" s="58">
        <v>3.6</v>
      </c>
      <c r="S104" s="52">
        <v>280</v>
      </c>
      <c r="T104" s="52">
        <v>187296</v>
      </c>
      <c r="U104" s="55">
        <f t="shared" si="88"/>
        <v>187296000000</v>
      </c>
      <c r="V104" s="82">
        <v>44317</v>
      </c>
      <c r="W104" s="63" t="s">
        <v>66</v>
      </c>
      <c r="X104" s="82">
        <v>44348</v>
      </c>
      <c r="Y104" s="52">
        <v>17.86</v>
      </c>
      <c r="Z104" s="52">
        <v>17.940000000000001</v>
      </c>
      <c r="AA104" s="52"/>
      <c r="AB104" s="57">
        <f t="shared" si="95"/>
        <v>17.899999999999999</v>
      </c>
      <c r="AC104" s="58">
        <f t="shared" si="96"/>
        <v>8.9780177414983005</v>
      </c>
      <c r="AD104" s="59">
        <f t="shared" si="97"/>
        <v>1051505510.5211172</v>
      </c>
      <c r="AE104" s="57">
        <f t="shared" si="100"/>
        <v>8.4312407823528268</v>
      </c>
      <c r="AF104" s="52">
        <v>24.72</v>
      </c>
      <c r="AG104" s="52">
        <v>24.27</v>
      </c>
      <c r="AH104" s="52"/>
      <c r="AI104" s="57">
        <f t="shared" si="98"/>
        <v>24.494999999999997</v>
      </c>
      <c r="AJ104" s="52">
        <f t="shared" ref="AJ104" si="104">EXP((AI104-31.794)/-1.377)</f>
        <v>200.46779186615584</v>
      </c>
      <c r="AK104" s="60">
        <f t="shared" si="37"/>
        <v>40.093558373231168</v>
      </c>
      <c r="AL104" s="58">
        <v>33.299999999999997</v>
      </c>
      <c r="AM104" s="52">
        <v>33.31</v>
      </c>
      <c r="AN104" s="52"/>
      <c r="AO104" s="57">
        <f t="shared" si="99"/>
        <v>33.305</v>
      </c>
      <c r="AP104" s="52">
        <f t="shared" si="84"/>
        <v>9.0468381399916392E-6</v>
      </c>
      <c r="AQ104" s="52">
        <f t="shared" si="85"/>
        <v>535.85971073966266</v>
      </c>
      <c r="AR104" s="60">
        <f t="shared" si="41"/>
        <v>107.17194214793253</v>
      </c>
      <c r="AS104" s="60">
        <f t="shared" si="74"/>
        <v>2.6730464068633744</v>
      </c>
      <c r="AT104" s="60">
        <f t="shared" si="86"/>
        <v>500650899819.88257</v>
      </c>
      <c r="AU104" s="52"/>
      <c r="AV104" s="52"/>
    </row>
    <row r="105" spans="2:48" s="122" customFormat="1" x14ac:dyDescent="0.35">
      <c r="B105" s="123" t="s">
        <v>54</v>
      </c>
      <c r="C105" s="123" t="s">
        <v>140</v>
      </c>
      <c r="D105" s="139" t="s">
        <v>111</v>
      </c>
      <c r="E105" s="123" t="s">
        <v>57</v>
      </c>
      <c r="F105" s="123" t="s">
        <v>58</v>
      </c>
      <c r="G105" s="123" t="s">
        <v>59</v>
      </c>
      <c r="H105" s="123">
        <v>-20</v>
      </c>
      <c r="I105" s="123" t="s">
        <v>135</v>
      </c>
      <c r="J105" s="123" t="s">
        <v>61</v>
      </c>
      <c r="K105" s="123" t="s">
        <v>62</v>
      </c>
      <c r="L105" s="123" t="s">
        <v>123</v>
      </c>
      <c r="M105" s="140">
        <v>44287</v>
      </c>
      <c r="N105" s="123" t="s">
        <v>91</v>
      </c>
      <c r="O105" s="123" t="s">
        <v>136</v>
      </c>
      <c r="P105" s="123" t="s">
        <v>65</v>
      </c>
      <c r="Q105" s="123">
        <v>6.25</v>
      </c>
      <c r="R105" s="123">
        <v>3.97</v>
      </c>
      <c r="S105" s="123">
        <v>380</v>
      </c>
      <c r="T105" s="123">
        <v>166512</v>
      </c>
      <c r="U105" s="127">
        <f t="shared" si="88"/>
        <v>166512000000</v>
      </c>
      <c r="V105" s="140">
        <v>44317</v>
      </c>
      <c r="W105" s="135" t="s">
        <v>66</v>
      </c>
      <c r="X105" s="140">
        <v>44348</v>
      </c>
      <c r="Y105" s="123">
        <v>17.829999999999998</v>
      </c>
      <c r="Z105" s="123">
        <v>17.86</v>
      </c>
      <c r="AA105" s="123"/>
      <c r="AB105" s="129">
        <f t="shared" si="95"/>
        <v>17.844999999999999</v>
      </c>
      <c r="AC105" s="130">
        <f t="shared" si="96"/>
        <v>9.3146929339289493</v>
      </c>
      <c r="AD105" s="131">
        <f t="shared" si="97"/>
        <v>1090936911.7824724</v>
      </c>
      <c r="AE105" s="129">
        <f t="shared" si="100"/>
        <v>8.747411867614467</v>
      </c>
      <c r="AF105" s="123">
        <v>21.56</v>
      </c>
      <c r="AG105" s="123">
        <v>21.28</v>
      </c>
      <c r="AH105" s="123"/>
      <c r="AI105" s="129">
        <f t="shared" si="98"/>
        <v>21.42</v>
      </c>
      <c r="AJ105" s="123">
        <f t="shared" ref="AJ105" si="105">EXP((AI105-31.794)/-1.377)</f>
        <v>1870.1409160403844</v>
      </c>
      <c r="AK105" s="132">
        <f t="shared" si="37"/>
        <v>374.02818320807688</v>
      </c>
      <c r="AL105" s="123">
        <v>34.65</v>
      </c>
      <c r="AM105" s="123">
        <v>34.22</v>
      </c>
      <c r="AN105" s="123"/>
      <c r="AO105" s="129">
        <f t="shared" si="99"/>
        <v>34.435000000000002</v>
      </c>
      <c r="AP105" s="123">
        <f t="shared" si="84"/>
        <v>4.2847440665851153E-6</v>
      </c>
      <c r="AQ105" s="123">
        <f t="shared" si="85"/>
        <v>253.79272631884487</v>
      </c>
      <c r="AR105" s="132">
        <f t="shared" si="41"/>
        <v>50.758545263768973</v>
      </c>
      <c r="AS105" s="132">
        <f t="shared" si="74"/>
        <v>0.13570780904371399</v>
      </c>
      <c r="AT105" s="132">
        <f t="shared" si="86"/>
        <v>22596978699.486904</v>
      </c>
      <c r="AU105" s="123"/>
      <c r="AV105" s="123"/>
    </row>
    <row r="106" spans="2:48" s="122" customFormat="1" x14ac:dyDescent="0.35">
      <c r="B106" s="123" t="s">
        <v>54</v>
      </c>
      <c r="C106" s="123" t="s">
        <v>140</v>
      </c>
      <c r="D106" s="139" t="s">
        <v>137</v>
      </c>
      <c r="E106" s="123" t="s">
        <v>57</v>
      </c>
      <c r="F106" s="123" t="s">
        <v>58</v>
      </c>
      <c r="G106" s="123" t="s">
        <v>59</v>
      </c>
      <c r="H106" s="123">
        <v>-20</v>
      </c>
      <c r="I106" s="123" t="s">
        <v>135</v>
      </c>
      <c r="J106" s="123" t="s">
        <v>61</v>
      </c>
      <c r="K106" s="123" t="s">
        <v>62</v>
      </c>
      <c r="L106" s="123" t="s">
        <v>123</v>
      </c>
      <c r="M106" s="140">
        <v>44287</v>
      </c>
      <c r="N106" s="123" t="s">
        <v>91</v>
      </c>
      <c r="O106" s="123" t="s">
        <v>136</v>
      </c>
      <c r="P106" s="123" t="s">
        <v>65</v>
      </c>
      <c r="Q106" s="123">
        <v>6.59</v>
      </c>
      <c r="R106" s="123">
        <v>3.66</v>
      </c>
      <c r="S106" s="123">
        <v>210</v>
      </c>
      <c r="T106" s="123">
        <v>161544</v>
      </c>
      <c r="U106" s="127">
        <f t="shared" si="88"/>
        <v>161544000000</v>
      </c>
      <c r="V106" s="140">
        <v>44317</v>
      </c>
      <c r="W106" s="135" t="s">
        <v>66</v>
      </c>
      <c r="X106" s="140">
        <v>44348</v>
      </c>
      <c r="Y106" s="123">
        <v>18.239999999999998</v>
      </c>
      <c r="Z106" s="123">
        <v>18.010000000000002</v>
      </c>
      <c r="AA106" s="123"/>
      <c r="AB106" s="129">
        <f t="shared" si="95"/>
        <v>18.125</v>
      </c>
      <c r="AC106" s="130">
        <f t="shared" si="96"/>
        <v>7.7227977931931004</v>
      </c>
      <c r="AD106" s="131">
        <f t="shared" si="97"/>
        <v>904494140.02022958</v>
      </c>
      <c r="AE106" s="129">
        <f t="shared" si="100"/>
        <v>7.2524659209425577</v>
      </c>
      <c r="AF106" s="123">
        <v>21.46</v>
      </c>
      <c r="AG106" s="123">
        <v>21.25</v>
      </c>
      <c r="AH106" s="123"/>
      <c r="AI106" s="129">
        <f t="shared" si="98"/>
        <v>21.355</v>
      </c>
      <c r="AJ106" s="123">
        <f t="shared" ref="AJ106" si="106">EXP((AI106-31.794)/-1.377)</f>
        <v>1960.5358936729931</v>
      </c>
      <c r="AK106" s="132">
        <f t="shared" si="37"/>
        <v>392.10717873459862</v>
      </c>
      <c r="AL106" s="123">
        <v>34.17</v>
      </c>
      <c r="AM106" s="123">
        <v>33.25</v>
      </c>
      <c r="AN106" s="123"/>
      <c r="AO106" s="129">
        <f t="shared" si="99"/>
        <v>33.71</v>
      </c>
      <c r="AP106" s="123">
        <f t="shared" si="84"/>
        <v>6.9209855292572844E-6</v>
      </c>
      <c r="AQ106" s="123">
        <f t="shared" si="85"/>
        <v>409.94182125873942</v>
      </c>
      <c r="AR106" s="132">
        <f t="shared" si="41"/>
        <v>81.988364251747882</v>
      </c>
      <c r="AS106" s="132">
        <f t="shared" si="74"/>
        <v>0.20909682020191339</v>
      </c>
      <c r="AT106" s="132">
        <f t="shared" si="86"/>
        <v>33778336722.697895</v>
      </c>
      <c r="AU106" s="123"/>
      <c r="AV106" s="123"/>
    </row>
    <row r="107" spans="2:48" s="122" customFormat="1" x14ac:dyDescent="0.35">
      <c r="B107" s="123" t="s">
        <v>54</v>
      </c>
      <c r="C107" s="123" t="s">
        <v>140</v>
      </c>
      <c r="D107" s="139" t="s">
        <v>138</v>
      </c>
      <c r="E107" s="123" t="s">
        <v>57</v>
      </c>
      <c r="F107" s="123" t="s">
        <v>58</v>
      </c>
      <c r="G107" s="123" t="s">
        <v>59</v>
      </c>
      <c r="H107" s="123">
        <v>-20</v>
      </c>
      <c r="I107" s="123" t="s">
        <v>135</v>
      </c>
      <c r="J107" s="123" t="s">
        <v>61</v>
      </c>
      <c r="K107" s="123" t="s">
        <v>62</v>
      </c>
      <c r="L107" s="123" t="s">
        <v>123</v>
      </c>
      <c r="M107" s="140">
        <v>44287</v>
      </c>
      <c r="N107" s="123" t="s">
        <v>91</v>
      </c>
      <c r="O107" s="123" t="s">
        <v>136</v>
      </c>
      <c r="P107" s="123" t="s">
        <v>65</v>
      </c>
      <c r="Q107" s="123">
        <v>6.67</v>
      </c>
      <c r="R107" s="123">
        <v>4.37</v>
      </c>
      <c r="S107" s="123">
        <v>200</v>
      </c>
      <c r="T107" s="123">
        <v>166344</v>
      </c>
      <c r="U107" s="127">
        <f t="shared" si="88"/>
        <v>166344000000</v>
      </c>
      <c r="V107" s="140">
        <v>44317</v>
      </c>
      <c r="W107" s="135" t="s">
        <v>66</v>
      </c>
      <c r="X107" s="140">
        <v>44348</v>
      </c>
      <c r="Y107" s="123">
        <v>17.61</v>
      </c>
      <c r="Z107" s="123">
        <v>17.59</v>
      </c>
      <c r="AA107" s="123"/>
      <c r="AB107" s="129">
        <f t="shared" si="95"/>
        <v>17.600000000000001</v>
      </c>
      <c r="AC107" s="130">
        <f t="shared" si="96"/>
        <v>10.974587022427603</v>
      </c>
      <c r="AD107" s="131">
        <f t="shared" si="97"/>
        <v>1285343720.8568416</v>
      </c>
      <c r="AE107" s="129">
        <f t="shared" si="100"/>
        <v>10.306215507381017</v>
      </c>
      <c r="AF107" s="123">
        <v>21.62</v>
      </c>
      <c r="AG107" s="123">
        <v>21.47</v>
      </c>
      <c r="AH107" s="123"/>
      <c r="AI107" s="129">
        <f t="shared" si="98"/>
        <v>21.545000000000002</v>
      </c>
      <c r="AJ107" s="123">
        <f t="shared" ref="AJ107" si="107">EXP((AI107-31.794)/-1.377)</f>
        <v>1707.8524988281708</v>
      </c>
      <c r="AK107" s="132">
        <f t="shared" ref="AK107:AK156" si="108">(AJ107/5)*(50/50)</f>
        <v>341.57049976563417</v>
      </c>
      <c r="AL107" s="123">
        <v>33.409999999999997</v>
      </c>
      <c r="AM107" s="123">
        <v>33.5</v>
      </c>
      <c r="AN107" s="123"/>
      <c r="AO107" s="129">
        <f t="shared" si="99"/>
        <v>33.454999999999998</v>
      </c>
      <c r="AP107" s="123">
        <f t="shared" si="84"/>
        <v>8.1924170027916033E-6</v>
      </c>
      <c r="AQ107" s="123">
        <f t="shared" si="85"/>
        <v>485.2508840595504</v>
      </c>
      <c r="AR107" s="132">
        <f t="shared" ref="AR107:AR157" si="109">(AQ107/5)*(50/50)</f>
        <v>97.050176811910077</v>
      </c>
      <c r="AS107" s="132">
        <f t="shared" si="74"/>
        <v>0.2841292701755575</v>
      </c>
      <c r="AT107" s="132">
        <f t="shared" si="86"/>
        <v>47263199318.082939</v>
      </c>
      <c r="AU107" s="123"/>
      <c r="AV107" s="123"/>
    </row>
    <row r="108" spans="2:48" s="122" customFormat="1" x14ac:dyDescent="0.35">
      <c r="B108" s="123" t="s">
        <v>54</v>
      </c>
      <c r="C108" s="123" t="s">
        <v>140</v>
      </c>
      <c r="D108" s="139" t="s">
        <v>112</v>
      </c>
      <c r="E108" s="123" t="s">
        <v>57</v>
      </c>
      <c r="F108" s="123" t="s">
        <v>58</v>
      </c>
      <c r="G108" s="123" t="s">
        <v>59</v>
      </c>
      <c r="H108" s="123">
        <v>-20</v>
      </c>
      <c r="I108" s="123" t="s">
        <v>135</v>
      </c>
      <c r="J108" s="123" t="s">
        <v>61</v>
      </c>
      <c r="K108" s="123" t="s">
        <v>62</v>
      </c>
      <c r="L108" s="123" t="s">
        <v>123</v>
      </c>
      <c r="M108" s="140">
        <v>44287</v>
      </c>
      <c r="N108" s="123" t="s">
        <v>91</v>
      </c>
      <c r="O108" s="123" t="s">
        <v>136</v>
      </c>
      <c r="P108" s="123" t="s">
        <v>65</v>
      </c>
      <c r="Q108" s="123">
        <v>6.69</v>
      </c>
      <c r="R108" s="123">
        <v>3.88</v>
      </c>
      <c r="S108" s="123">
        <v>240</v>
      </c>
      <c r="T108" s="123">
        <v>156312</v>
      </c>
      <c r="U108" s="127">
        <f t="shared" si="88"/>
        <v>156312000000</v>
      </c>
      <c r="V108" s="140">
        <v>44317</v>
      </c>
      <c r="W108" s="135" t="s">
        <v>66</v>
      </c>
      <c r="X108" s="140">
        <v>44348</v>
      </c>
      <c r="Y108" s="123">
        <v>17.940000000000001</v>
      </c>
      <c r="Z108" s="123">
        <v>18.079999999999998</v>
      </c>
      <c r="AA108" s="123"/>
      <c r="AB108" s="129">
        <f t="shared" si="95"/>
        <v>18.009999999999998</v>
      </c>
      <c r="AC108" s="130">
        <f t="shared" si="96"/>
        <v>8.3407344142285265</v>
      </c>
      <c r="AD108" s="131">
        <f t="shared" si="97"/>
        <v>976866882.07532752</v>
      </c>
      <c r="AE108" s="129">
        <f t="shared" si="100"/>
        <v>7.8327691226283349</v>
      </c>
      <c r="AF108" s="130">
        <v>21.8</v>
      </c>
      <c r="AG108" s="123">
        <v>22.14</v>
      </c>
      <c r="AH108" s="123"/>
      <c r="AI108" s="129">
        <f t="shared" si="98"/>
        <v>21.97</v>
      </c>
      <c r="AJ108" s="123">
        <f t="shared" ref="AJ108" si="110">EXP((AI108-31.794)/-1.377)</f>
        <v>1254.3214603537303</v>
      </c>
      <c r="AK108" s="132">
        <f t="shared" si="108"/>
        <v>250.86429207074607</v>
      </c>
      <c r="AL108" s="123">
        <v>33.17</v>
      </c>
      <c r="AM108" s="123">
        <v>33.82</v>
      </c>
      <c r="AN108" s="123"/>
      <c r="AO108" s="129">
        <f t="shared" si="99"/>
        <v>33.495000000000005</v>
      </c>
      <c r="AP108" s="123">
        <f t="shared" si="84"/>
        <v>7.9785280870766504E-6</v>
      </c>
      <c r="AQ108" s="123">
        <f t="shared" si="85"/>
        <v>472.5818774152533</v>
      </c>
      <c r="AR108" s="132">
        <f t="shared" si="109"/>
        <v>94.516375483050666</v>
      </c>
      <c r="AS108" s="132">
        <f t="shared" si="74"/>
        <v>0.37676296894576039</v>
      </c>
      <c r="AT108" s="132">
        <f t="shared" si="86"/>
        <v>58892573201.849701</v>
      </c>
      <c r="AU108" s="123"/>
      <c r="AV108" s="123"/>
    </row>
    <row r="109" spans="2:48" s="122" customFormat="1" x14ac:dyDescent="0.35">
      <c r="B109" s="123" t="s">
        <v>54</v>
      </c>
      <c r="C109" s="123" t="s">
        <v>140</v>
      </c>
      <c r="D109" s="139" t="s">
        <v>139</v>
      </c>
      <c r="E109" s="123" t="s">
        <v>57</v>
      </c>
      <c r="F109" s="123" t="s">
        <v>58</v>
      </c>
      <c r="G109" s="123" t="s">
        <v>59</v>
      </c>
      <c r="H109" s="123">
        <v>-20</v>
      </c>
      <c r="I109" s="123" t="s">
        <v>135</v>
      </c>
      <c r="J109" s="123" t="s">
        <v>61</v>
      </c>
      <c r="K109" s="123" t="s">
        <v>62</v>
      </c>
      <c r="L109" s="123" t="s">
        <v>123</v>
      </c>
      <c r="M109" s="140">
        <v>44287</v>
      </c>
      <c r="N109" s="123" t="s">
        <v>91</v>
      </c>
      <c r="O109" s="123" t="s">
        <v>136</v>
      </c>
      <c r="P109" s="123" t="s">
        <v>65</v>
      </c>
      <c r="Q109" s="123">
        <v>6.44</v>
      </c>
      <c r="R109" s="123">
        <v>4.37</v>
      </c>
      <c r="S109" s="123">
        <v>330</v>
      </c>
      <c r="T109" s="123">
        <v>153600</v>
      </c>
      <c r="U109" s="127">
        <f t="shared" si="88"/>
        <v>153600000000</v>
      </c>
      <c r="V109" s="140">
        <v>44317</v>
      </c>
      <c r="W109" s="135" t="s">
        <v>66</v>
      </c>
      <c r="X109" s="140">
        <v>44348</v>
      </c>
      <c r="Y109" s="123">
        <v>18.809999999999999</v>
      </c>
      <c r="Z109" s="123">
        <v>18.829999999999998</v>
      </c>
      <c r="AA109" s="123"/>
      <c r="AB109" s="129">
        <f t="shared" si="95"/>
        <v>18.82</v>
      </c>
      <c r="AC109" s="130">
        <f t="shared" si="96"/>
        <v>4.8500188767483765</v>
      </c>
      <c r="AD109" s="131">
        <f t="shared" si="97"/>
        <v>568034250.08394682</v>
      </c>
      <c r="AE109" s="129">
        <f t="shared" si="100"/>
        <v>4.5546442573634005</v>
      </c>
      <c r="AF109" s="123">
        <v>22.16</v>
      </c>
      <c r="AG109" s="123">
        <v>22.12</v>
      </c>
      <c r="AH109" s="123"/>
      <c r="AI109" s="129">
        <f t="shared" si="98"/>
        <v>22.14</v>
      </c>
      <c r="AJ109" s="123">
        <f t="shared" ref="AJ109" si="111">EXP((AI109-31.794)/-1.377)</f>
        <v>1108.64435508826</v>
      </c>
      <c r="AK109" s="132">
        <f t="shared" si="108"/>
        <v>221.72887101765201</v>
      </c>
      <c r="AL109" s="123">
        <v>33.979999999999997</v>
      </c>
      <c r="AM109" s="123">
        <v>34.53</v>
      </c>
      <c r="AN109" s="123"/>
      <c r="AO109" s="129">
        <f t="shared" si="99"/>
        <v>34.254999999999995</v>
      </c>
      <c r="AP109" s="123">
        <f t="shared" si="84"/>
        <v>4.8264366490105612E-6</v>
      </c>
      <c r="AQ109" s="123">
        <f t="shared" si="85"/>
        <v>285.87810532492801</v>
      </c>
      <c r="AR109" s="132">
        <f t="shared" si="109"/>
        <v>57.175621064985606</v>
      </c>
      <c r="AS109" s="132">
        <f t="shared" si="74"/>
        <v>0.25786277088126158</v>
      </c>
      <c r="AT109" s="132">
        <f t="shared" si="86"/>
        <v>39607721607.361778</v>
      </c>
      <c r="AU109" s="123"/>
      <c r="AV109" s="123"/>
    </row>
    <row r="110" spans="2:48" s="141" customFormat="1" x14ac:dyDescent="0.35">
      <c r="B110" s="107" t="s">
        <v>54</v>
      </c>
      <c r="C110" s="107" t="s">
        <v>55</v>
      </c>
      <c r="D110" s="142" t="s">
        <v>111</v>
      </c>
      <c r="E110" s="107" t="s">
        <v>57</v>
      </c>
      <c r="F110" s="107" t="s">
        <v>58</v>
      </c>
      <c r="G110" s="107" t="s">
        <v>59</v>
      </c>
      <c r="H110" s="107">
        <v>-20</v>
      </c>
      <c r="I110" s="107" t="s">
        <v>135</v>
      </c>
      <c r="J110" s="107" t="s">
        <v>61</v>
      </c>
      <c r="K110" s="107" t="s">
        <v>62</v>
      </c>
      <c r="L110" s="107" t="s">
        <v>123</v>
      </c>
      <c r="M110" s="143">
        <v>44287</v>
      </c>
      <c r="N110" s="107" t="s">
        <v>141</v>
      </c>
      <c r="O110" s="107" t="s">
        <v>136</v>
      </c>
      <c r="P110" s="107" t="s">
        <v>65</v>
      </c>
      <c r="Q110" s="107">
        <v>6.49</v>
      </c>
      <c r="R110" s="107">
        <v>3.99</v>
      </c>
      <c r="S110" s="107">
        <v>270</v>
      </c>
      <c r="T110" s="107">
        <v>193776</v>
      </c>
      <c r="U110" s="116">
        <f t="shared" si="88"/>
        <v>193776000000</v>
      </c>
      <c r="V110" s="143">
        <v>44317</v>
      </c>
      <c r="W110" s="104" t="s">
        <v>66</v>
      </c>
      <c r="X110" s="143">
        <v>44348</v>
      </c>
      <c r="Y110" s="107">
        <v>18.149999999999999</v>
      </c>
      <c r="Z110" s="107">
        <v>18.079999999999998</v>
      </c>
      <c r="AA110" s="107"/>
      <c r="AB110" s="113">
        <f t="shared" si="95"/>
        <v>18.114999999999998</v>
      </c>
      <c r="AC110" s="111">
        <f t="shared" si="96"/>
        <v>7.7746632657474652</v>
      </c>
      <c r="AD110" s="144">
        <f t="shared" si="97"/>
        <v>910568624.58541536</v>
      </c>
      <c r="AE110" s="113">
        <f t="shared" si="100"/>
        <v>7.3011726956435137</v>
      </c>
      <c r="AF110" s="107">
        <v>19.66</v>
      </c>
      <c r="AG110" s="107">
        <v>19.2</v>
      </c>
      <c r="AH110" s="107"/>
      <c r="AI110" s="113">
        <f t="shared" si="98"/>
        <v>19.43</v>
      </c>
      <c r="AJ110" s="107">
        <f t="shared" ref="AJ110" si="112">EXP((AI110-31.794)/-1.377)</f>
        <v>7934.215196510685</v>
      </c>
      <c r="AK110" s="112">
        <f t="shared" si="108"/>
        <v>1586.843039302137</v>
      </c>
      <c r="AL110" s="111">
        <v>32.1</v>
      </c>
      <c r="AM110" s="107">
        <v>32.06</v>
      </c>
      <c r="AN110" s="107"/>
      <c r="AO110" s="113">
        <f t="shared" si="99"/>
        <v>32.08</v>
      </c>
      <c r="AP110" s="107">
        <f t="shared" si="84"/>
        <v>2.0340226068840004E-5</v>
      </c>
      <c r="AQ110" s="107">
        <f t="shared" si="85"/>
        <v>1204.7864114476158</v>
      </c>
      <c r="AR110" s="112">
        <f t="shared" si="109"/>
        <v>240.95728228952316</v>
      </c>
      <c r="AS110" s="112">
        <f t="shared" si="74"/>
        <v>0.15184695418615035</v>
      </c>
      <c r="AT110" s="112">
        <f t="shared" si="86"/>
        <v>29424295394.375469</v>
      </c>
      <c r="AU110" s="107"/>
      <c r="AV110" s="107" t="s">
        <v>142</v>
      </c>
    </row>
    <row r="111" spans="2:48" s="141" customFormat="1" x14ac:dyDescent="0.35">
      <c r="B111" s="107" t="s">
        <v>54</v>
      </c>
      <c r="C111" s="107" t="s">
        <v>55</v>
      </c>
      <c r="D111" s="142" t="s">
        <v>137</v>
      </c>
      <c r="E111" s="107" t="s">
        <v>57</v>
      </c>
      <c r="F111" s="107" t="s">
        <v>58</v>
      </c>
      <c r="G111" s="107" t="s">
        <v>59</v>
      </c>
      <c r="H111" s="107">
        <v>-20</v>
      </c>
      <c r="I111" s="107" t="s">
        <v>135</v>
      </c>
      <c r="J111" s="107" t="s">
        <v>61</v>
      </c>
      <c r="K111" s="107" t="s">
        <v>62</v>
      </c>
      <c r="L111" s="107" t="s">
        <v>123</v>
      </c>
      <c r="M111" s="143">
        <v>44287</v>
      </c>
      <c r="N111" s="107" t="s">
        <v>141</v>
      </c>
      <c r="O111" s="107" t="s">
        <v>136</v>
      </c>
      <c r="P111" s="107" t="s">
        <v>65</v>
      </c>
      <c r="Q111" s="107">
        <v>6.71</v>
      </c>
      <c r="R111" s="107">
        <v>3.82</v>
      </c>
      <c r="S111" s="107">
        <v>270</v>
      </c>
      <c r="T111" s="107">
        <v>192288</v>
      </c>
      <c r="U111" s="116">
        <f t="shared" si="88"/>
        <v>192288000000</v>
      </c>
      <c r="V111" s="143">
        <v>44317</v>
      </c>
      <c r="W111" s="104" t="s">
        <v>66</v>
      </c>
      <c r="X111" s="143">
        <v>44348</v>
      </c>
      <c r="Y111" s="107">
        <v>18.36</v>
      </c>
      <c r="Z111" s="107">
        <v>18.27</v>
      </c>
      <c r="AA111" s="107"/>
      <c r="AB111" s="113">
        <f t="shared" si="95"/>
        <v>18.314999999999998</v>
      </c>
      <c r="AC111" s="111">
        <f t="shared" si="96"/>
        <v>6.8005353613142576</v>
      </c>
      <c r="AD111" s="144">
        <f t="shared" si="97"/>
        <v>796478756.53699636</v>
      </c>
      <c r="AE111" s="113">
        <f t="shared" si="100"/>
        <v>6.3863708817506275</v>
      </c>
      <c r="AF111" s="107">
        <v>18.829999999999998</v>
      </c>
      <c r="AG111" s="107">
        <v>18.57</v>
      </c>
      <c r="AH111" s="107"/>
      <c r="AI111" s="113">
        <f t="shared" si="98"/>
        <v>18.7</v>
      </c>
      <c r="AJ111" s="107">
        <f t="shared" ref="AJ111" si="113">EXP((AI111-31.794)/-1.377)</f>
        <v>13481.554612536807</v>
      </c>
      <c r="AK111" s="112">
        <f t="shared" si="108"/>
        <v>2696.3109225073613</v>
      </c>
      <c r="AL111" s="107">
        <v>31.88</v>
      </c>
      <c r="AM111" s="107">
        <v>31.96</v>
      </c>
      <c r="AN111" s="107"/>
      <c r="AO111" s="113">
        <f t="shared" si="99"/>
        <v>31.92</v>
      </c>
      <c r="AP111" s="107">
        <f t="shared" si="84"/>
        <v>2.261064042792429E-5</v>
      </c>
      <c r="AQ111" s="107">
        <f t="shared" si="85"/>
        <v>1339.2669407653652</v>
      </c>
      <c r="AR111" s="112">
        <f t="shared" si="109"/>
        <v>267.85338815307307</v>
      </c>
      <c r="AS111" s="112">
        <f t="shared" si="74"/>
        <v>9.9340690243538407E-2</v>
      </c>
      <c r="AT111" s="112">
        <f t="shared" si="86"/>
        <v>19102022645.549515</v>
      </c>
      <c r="AU111" s="107"/>
      <c r="AV111" s="107" t="s">
        <v>142</v>
      </c>
    </row>
    <row r="112" spans="2:48" x14ac:dyDescent="0.35">
      <c r="B112" s="8"/>
      <c r="C112" s="8"/>
      <c r="D112" s="8"/>
      <c r="E112" s="8" t="s">
        <v>105</v>
      </c>
      <c r="F112" s="8"/>
      <c r="G112" s="8" t="s">
        <v>106</v>
      </c>
      <c r="H112" s="8">
        <v>-80</v>
      </c>
      <c r="I112" s="8" t="s">
        <v>108</v>
      </c>
      <c r="J112" s="8" t="s">
        <v>61</v>
      </c>
      <c r="K112" s="8" t="s">
        <v>62</v>
      </c>
      <c r="L112" s="8" t="s">
        <v>123</v>
      </c>
      <c r="M112" s="48">
        <v>44287</v>
      </c>
      <c r="N112" s="8" t="s">
        <v>107</v>
      </c>
      <c r="O112" s="8" t="s">
        <v>108</v>
      </c>
      <c r="P112" s="8" t="s">
        <v>108</v>
      </c>
      <c r="Q112" s="8" t="s">
        <v>108</v>
      </c>
      <c r="R112" s="8" t="s">
        <v>108</v>
      </c>
      <c r="S112" s="8" t="s">
        <v>108</v>
      </c>
      <c r="T112" s="8" t="s">
        <v>108</v>
      </c>
      <c r="U112" s="24" t="e">
        <f t="shared" si="88"/>
        <v>#VALUE!</v>
      </c>
      <c r="V112" s="48">
        <v>44317</v>
      </c>
      <c r="W112" s="10" t="s">
        <v>66</v>
      </c>
      <c r="X112" s="48">
        <v>44348</v>
      </c>
      <c r="Y112" s="8">
        <v>14.11</v>
      </c>
      <c r="Z112" s="18">
        <v>14.3</v>
      </c>
      <c r="AA112" s="8"/>
      <c r="AB112" s="21">
        <f t="shared" si="95"/>
        <v>14.205</v>
      </c>
      <c r="AC112" s="18">
        <f t="shared" si="96"/>
        <v>106.48513040085292</v>
      </c>
      <c r="AD112" s="51">
        <f t="shared" si="97"/>
        <v>12471539334.068022</v>
      </c>
      <c r="AE112" s="21">
        <f t="shared" si="100"/>
        <v>100</v>
      </c>
      <c r="AF112" s="8" t="s">
        <v>108</v>
      </c>
      <c r="AG112" s="8" t="s">
        <v>108</v>
      </c>
      <c r="AH112" s="8"/>
      <c r="AI112" s="8"/>
      <c r="AJ112" s="8"/>
      <c r="AK112" s="60">
        <f t="shared" si="108"/>
        <v>0</v>
      </c>
      <c r="AL112" s="8">
        <v>35.770000000000003</v>
      </c>
      <c r="AM112" s="8">
        <v>34.380000000000003</v>
      </c>
      <c r="AN112" s="8"/>
      <c r="AO112" s="21">
        <f t="shared" si="99"/>
        <v>35.075000000000003</v>
      </c>
      <c r="AP112" s="8">
        <f t="shared" si="84"/>
        <v>2.8060572922409756E-6</v>
      </c>
      <c r="AQ112" s="8">
        <f t="shared" si="85"/>
        <v>166.20757724096518</v>
      </c>
      <c r="AR112" s="60">
        <f t="shared" si="109"/>
        <v>33.241515448193034</v>
      </c>
      <c r="AS112" s="19" t="e">
        <f t="shared" si="74"/>
        <v>#DIV/0!</v>
      </c>
      <c r="AT112" s="19" t="e">
        <f t="shared" si="86"/>
        <v>#DIV/0!</v>
      </c>
      <c r="AU112" s="8"/>
      <c r="AV112" s="8"/>
    </row>
    <row r="113" spans="2:50" x14ac:dyDescent="0.3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24"/>
      <c r="V113" s="48"/>
      <c r="W113" s="10"/>
      <c r="X113" s="48"/>
      <c r="Y113" s="8"/>
      <c r="Z113" s="8"/>
      <c r="AA113" s="8"/>
      <c r="AB113" s="21"/>
      <c r="AC113" s="18"/>
      <c r="AD113" s="8"/>
      <c r="AE113" s="8"/>
      <c r="AF113" s="8"/>
      <c r="AG113" s="8"/>
      <c r="AH113" s="8"/>
      <c r="AI113" s="8"/>
      <c r="AJ113" s="8"/>
      <c r="AK113" s="60">
        <f t="shared" si="108"/>
        <v>0</v>
      </c>
      <c r="AL113" s="8"/>
      <c r="AM113" s="8"/>
      <c r="AN113" s="8"/>
      <c r="AO113" s="8"/>
      <c r="AP113" s="8"/>
      <c r="AQ113" s="8"/>
      <c r="AR113" s="60">
        <f t="shared" si="109"/>
        <v>0</v>
      </c>
      <c r="AS113" s="8"/>
      <c r="AT113" s="8"/>
      <c r="AU113" s="8"/>
      <c r="AV113" s="8"/>
    </row>
    <row r="114" spans="2:50" s="141" customFormat="1" x14ac:dyDescent="0.35">
      <c r="B114" s="107" t="s">
        <v>143</v>
      </c>
      <c r="C114" s="107" t="s">
        <v>144</v>
      </c>
      <c r="D114" s="107" t="s">
        <v>135</v>
      </c>
      <c r="E114" s="107" t="s">
        <v>145</v>
      </c>
      <c r="F114" s="107" t="s">
        <v>60</v>
      </c>
      <c r="G114" s="107" t="s">
        <v>146</v>
      </c>
      <c r="H114" s="107">
        <v>4</v>
      </c>
      <c r="I114" s="107" t="s">
        <v>147</v>
      </c>
      <c r="J114" s="107" t="s">
        <v>61</v>
      </c>
      <c r="K114" s="107" t="s">
        <v>62</v>
      </c>
      <c r="L114" s="107" t="s">
        <v>123</v>
      </c>
      <c r="M114" s="107" t="s">
        <v>148</v>
      </c>
      <c r="N114" s="107" t="s">
        <v>91</v>
      </c>
      <c r="O114" s="107" t="s">
        <v>136</v>
      </c>
      <c r="P114" s="107" t="s">
        <v>149</v>
      </c>
      <c r="Q114" s="107">
        <v>7.52</v>
      </c>
      <c r="R114" s="111">
        <v>4.2</v>
      </c>
      <c r="S114" s="107" t="s">
        <v>60</v>
      </c>
      <c r="T114" s="107" t="s">
        <v>60</v>
      </c>
      <c r="U114" s="116" t="s">
        <v>60</v>
      </c>
      <c r="V114" s="107" t="s">
        <v>150</v>
      </c>
      <c r="W114" s="107" t="s">
        <v>66</v>
      </c>
      <c r="X114" s="107"/>
      <c r="Y114" s="107"/>
      <c r="Z114" s="107"/>
      <c r="AA114" s="107"/>
      <c r="AB114" s="107"/>
      <c r="AC114" s="111"/>
      <c r="AD114" s="107"/>
      <c r="AE114" s="107"/>
      <c r="AF114" s="107"/>
      <c r="AG114" s="107"/>
      <c r="AH114" s="107"/>
      <c r="AI114" s="107"/>
      <c r="AJ114" s="107"/>
      <c r="AK114" s="112">
        <f t="shared" si="108"/>
        <v>0</v>
      </c>
      <c r="AL114" s="107"/>
      <c r="AM114" s="107"/>
      <c r="AN114" s="107"/>
      <c r="AO114" s="107"/>
      <c r="AP114" s="107"/>
      <c r="AQ114" s="107"/>
      <c r="AR114" s="112">
        <f t="shared" si="109"/>
        <v>0</v>
      </c>
      <c r="AS114" s="107"/>
      <c r="AT114" s="107"/>
      <c r="AU114" s="107"/>
      <c r="AV114" s="107" t="s">
        <v>151</v>
      </c>
    </row>
    <row r="115" spans="2:50" s="141" customFormat="1" x14ac:dyDescent="0.35">
      <c r="B115" s="107" t="s">
        <v>143</v>
      </c>
      <c r="C115" s="107" t="s">
        <v>144</v>
      </c>
      <c r="D115" s="107" t="s">
        <v>135</v>
      </c>
      <c r="E115" s="107" t="s">
        <v>145</v>
      </c>
      <c r="F115" s="107" t="s">
        <v>60</v>
      </c>
      <c r="G115" s="107" t="s">
        <v>146</v>
      </c>
      <c r="H115" s="107">
        <v>4</v>
      </c>
      <c r="I115" s="107" t="s">
        <v>147</v>
      </c>
      <c r="J115" s="107" t="s">
        <v>61</v>
      </c>
      <c r="K115" s="107" t="s">
        <v>62</v>
      </c>
      <c r="L115" s="107" t="s">
        <v>123</v>
      </c>
      <c r="M115" s="107" t="s">
        <v>148</v>
      </c>
      <c r="N115" s="107" t="s">
        <v>91</v>
      </c>
      <c r="O115" s="107" t="s">
        <v>136</v>
      </c>
      <c r="P115" s="107" t="s">
        <v>149</v>
      </c>
      <c r="Q115" s="107">
        <v>7.35</v>
      </c>
      <c r="R115" s="107">
        <v>4.05</v>
      </c>
      <c r="S115" s="107" t="s">
        <v>60</v>
      </c>
      <c r="T115" s="107" t="s">
        <v>60</v>
      </c>
      <c r="U115" s="116" t="s">
        <v>60</v>
      </c>
      <c r="V115" s="107" t="s">
        <v>150</v>
      </c>
      <c r="W115" s="107" t="s">
        <v>66</v>
      </c>
      <c r="X115" s="107"/>
      <c r="Y115" s="107"/>
      <c r="Z115" s="107"/>
      <c r="AA115" s="107"/>
      <c r="AB115" s="107"/>
      <c r="AC115" s="111"/>
      <c r="AD115" s="107"/>
      <c r="AE115" s="107"/>
      <c r="AF115" s="107"/>
      <c r="AG115" s="107"/>
      <c r="AH115" s="107"/>
      <c r="AI115" s="107"/>
      <c r="AJ115" s="107"/>
      <c r="AK115" s="112">
        <f t="shared" si="108"/>
        <v>0</v>
      </c>
      <c r="AL115" s="107"/>
      <c r="AM115" s="107"/>
      <c r="AN115" s="107"/>
      <c r="AO115" s="107"/>
      <c r="AP115" s="107"/>
      <c r="AQ115" s="107"/>
      <c r="AR115" s="112">
        <f t="shared" si="109"/>
        <v>0</v>
      </c>
      <c r="AS115" s="107"/>
      <c r="AT115" s="107"/>
      <c r="AU115" s="107"/>
      <c r="AV115" s="107" t="s">
        <v>151</v>
      </c>
    </row>
    <row r="116" spans="2:50" s="141" customFormat="1" x14ac:dyDescent="0.35">
      <c r="B116" s="107" t="s">
        <v>143</v>
      </c>
      <c r="C116" s="107" t="s">
        <v>152</v>
      </c>
      <c r="D116" s="107" t="s">
        <v>153</v>
      </c>
      <c r="E116" s="107" t="s">
        <v>145</v>
      </c>
      <c r="F116" s="107" t="s">
        <v>60</v>
      </c>
      <c r="G116" s="107" t="s">
        <v>146</v>
      </c>
      <c r="H116" s="107">
        <v>4</v>
      </c>
      <c r="I116" s="107" t="s">
        <v>147</v>
      </c>
      <c r="J116" s="107" t="s">
        <v>61</v>
      </c>
      <c r="K116" s="107" t="s">
        <v>62</v>
      </c>
      <c r="L116" s="107" t="s">
        <v>123</v>
      </c>
      <c r="M116" s="107" t="s">
        <v>148</v>
      </c>
      <c r="N116" s="107" t="s">
        <v>91</v>
      </c>
      <c r="O116" s="107" t="s">
        <v>136</v>
      </c>
      <c r="P116" s="107" t="s">
        <v>149</v>
      </c>
      <c r="Q116" s="107">
        <v>7.57</v>
      </c>
      <c r="R116" s="107">
        <v>4.41</v>
      </c>
      <c r="S116" s="107" t="s">
        <v>60</v>
      </c>
      <c r="T116" s="107" t="s">
        <v>60</v>
      </c>
      <c r="U116" s="116" t="s">
        <v>60</v>
      </c>
      <c r="V116" s="107" t="s">
        <v>150</v>
      </c>
      <c r="W116" s="107" t="s">
        <v>66</v>
      </c>
      <c r="X116" s="107"/>
      <c r="Y116" s="107"/>
      <c r="Z116" s="107"/>
      <c r="AA116" s="107"/>
      <c r="AB116" s="107"/>
      <c r="AC116" s="111"/>
      <c r="AD116" s="107"/>
      <c r="AE116" s="107"/>
      <c r="AF116" s="107"/>
      <c r="AG116" s="107"/>
      <c r="AH116" s="107"/>
      <c r="AI116" s="107"/>
      <c r="AJ116" s="107"/>
      <c r="AK116" s="112">
        <f t="shared" si="108"/>
        <v>0</v>
      </c>
      <c r="AL116" s="107"/>
      <c r="AM116" s="107"/>
      <c r="AN116" s="107"/>
      <c r="AO116" s="107"/>
      <c r="AP116" s="107"/>
      <c r="AQ116" s="107"/>
      <c r="AR116" s="112">
        <f t="shared" si="109"/>
        <v>0</v>
      </c>
      <c r="AS116" s="107"/>
      <c r="AT116" s="107"/>
      <c r="AU116" s="107"/>
      <c r="AV116" s="107" t="s">
        <v>151</v>
      </c>
    </row>
    <row r="117" spans="2:50" s="141" customFormat="1" x14ac:dyDescent="0.35">
      <c r="B117" s="107" t="s">
        <v>143</v>
      </c>
      <c r="C117" s="107" t="s">
        <v>152</v>
      </c>
      <c r="D117" s="107" t="s">
        <v>153</v>
      </c>
      <c r="E117" s="107" t="s">
        <v>145</v>
      </c>
      <c r="F117" s="107" t="s">
        <v>60</v>
      </c>
      <c r="G117" s="107" t="s">
        <v>146</v>
      </c>
      <c r="H117" s="107">
        <v>4</v>
      </c>
      <c r="I117" s="107" t="s">
        <v>147</v>
      </c>
      <c r="J117" s="107" t="s">
        <v>61</v>
      </c>
      <c r="K117" s="107" t="s">
        <v>62</v>
      </c>
      <c r="L117" s="107" t="s">
        <v>123</v>
      </c>
      <c r="M117" s="107" t="s">
        <v>148</v>
      </c>
      <c r="N117" s="107" t="s">
        <v>91</v>
      </c>
      <c r="O117" s="107" t="s">
        <v>136</v>
      </c>
      <c r="P117" s="107" t="s">
        <v>149</v>
      </c>
      <c r="Q117" s="107">
        <v>7.57</v>
      </c>
      <c r="R117" s="107">
        <v>4.21</v>
      </c>
      <c r="S117" s="107" t="s">
        <v>60</v>
      </c>
      <c r="T117" s="107" t="s">
        <v>60</v>
      </c>
      <c r="U117" s="116" t="s">
        <v>60</v>
      </c>
      <c r="V117" s="107" t="s">
        <v>150</v>
      </c>
      <c r="W117" s="107" t="s">
        <v>66</v>
      </c>
      <c r="X117" s="107"/>
      <c r="Y117" s="107"/>
      <c r="Z117" s="107"/>
      <c r="AA117" s="107"/>
      <c r="AB117" s="107"/>
      <c r="AC117" s="111"/>
      <c r="AD117" s="107"/>
      <c r="AE117" s="107"/>
      <c r="AF117" s="107"/>
      <c r="AG117" s="107"/>
      <c r="AH117" s="107"/>
      <c r="AI117" s="107"/>
      <c r="AJ117" s="107"/>
      <c r="AK117" s="112">
        <f t="shared" si="108"/>
        <v>0</v>
      </c>
      <c r="AL117" s="107"/>
      <c r="AM117" s="107"/>
      <c r="AN117" s="107"/>
      <c r="AO117" s="107"/>
      <c r="AP117" s="107"/>
      <c r="AQ117" s="107"/>
      <c r="AR117" s="112">
        <f t="shared" si="109"/>
        <v>0</v>
      </c>
      <c r="AS117" s="107"/>
      <c r="AT117" s="107"/>
      <c r="AU117" s="107"/>
      <c r="AV117" s="107" t="s">
        <v>151</v>
      </c>
    </row>
    <row r="118" spans="2:50" x14ac:dyDescent="0.35">
      <c r="B118" s="8"/>
      <c r="C118" s="8"/>
      <c r="D118" s="8"/>
      <c r="E118" s="8" t="s">
        <v>154</v>
      </c>
      <c r="F118" s="8"/>
      <c r="G118" s="8" t="s">
        <v>106</v>
      </c>
      <c r="H118" s="8">
        <v>-80</v>
      </c>
      <c r="I118" s="8" t="s">
        <v>108</v>
      </c>
      <c r="J118" s="8" t="s">
        <v>155</v>
      </c>
      <c r="K118" s="8" t="s">
        <v>156</v>
      </c>
      <c r="L118" s="8" t="s">
        <v>157</v>
      </c>
      <c r="M118" s="8" t="s">
        <v>148</v>
      </c>
      <c r="N118" s="8" t="s">
        <v>107</v>
      </c>
      <c r="O118" s="8" t="s">
        <v>108</v>
      </c>
      <c r="P118" s="8" t="s">
        <v>108</v>
      </c>
      <c r="Q118" s="8" t="s">
        <v>108</v>
      </c>
      <c r="R118" s="8" t="s">
        <v>108</v>
      </c>
      <c r="S118" s="8"/>
      <c r="T118" s="8"/>
      <c r="U118" s="24"/>
      <c r="V118" s="8" t="s">
        <v>150</v>
      </c>
      <c r="W118" s="8" t="s">
        <v>66</v>
      </c>
      <c r="X118" s="8"/>
      <c r="Y118" s="8"/>
      <c r="Z118" s="8"/>
      <c r="AA118" s="8"/>
      <c r="AB118" s="8"/>
      <c r="AC118" s="18"/>
      <c r="AD118" s="8"/>
      <c r="AE118" s="8"/>
      <c r="AF118" s="8"/>
      <c r="AG118" s="8"/>
      <c r="AH118" s="8"/>
      <c r="AI118" s="8"/>
      <c r="AJ118" s="8"/>
      <c r="AK118" s="60">
        <f t="shared" si="108"/>
        <v>0</v>
      </c>
      <c r="AL118" s="8"/>
      <c r="AM118" s="8"/>
      <c r="AN118" s="8"/>
      <c r="AO118" s="8"/>
      <c r="AP118" s="8"/>
      <c r="AQ118" s="8"/>
      <c r="AR118" s="60">
        <f t="shared" si="109"/>
        <v>0</v>
      </c>
      <c r="AS118" s="8"/>
      <c r="AT118" s="8"/>
      <c r="AU118" s="8"/>
      <c r="AV118" s="8"/>
    </row>
    <row r="119" spans="2:50" x14ac:dyDescent="0.3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24"/>
      <c r="V119" s="8"/>
      <c r="W119" s="8"/>
      <c r="X119" s="8"/>
      <c r="Y119" s="8"/>
      <c r="Z119" s="8"/>
      <c r="AA119" s="8"/>
      <c r="AB119" s="8"/>
      <c r="AC119" s="18"/>
      <c r="AD119" s="8"/>
      <c r="AE119" s="8"/>
      <c r="AF119" s="8"/>
      <c r="AG119" s="8"/>
      <c r="AH119" s="8"/>
      <c r="AI119" s="8"/>
      <c r="AJ119" s="8"/>
      <c r="AK119" s="60">
        <f t="shared" si="108"/>
        <v>0</v>
      </c>
      <c r="AL119" s="8"/>
      <c r="AM119" s="8"/>
      <c r="AN119" s="8"/>
      <c r="AO119" s="8"/>
      <c r="AP119" s="8"/>
      <c r="AQ119" s="8"/>
      <c r="AR119" s="60">
        <f t="shared" si="109"/>
        <v>0</v>
      </c>
      <c r="AS119" s="8"/>
      <c r="AT119" s="8"/>
      <c r="AU119" s="8"/>
      <c r="AV119" s="8"/>
    </row>
    <row r="120" spans="2:50" s="61" customFormat="1" x14ac:dyDescent="0.35">
      <c r="B120" s="52" t="s">
        <v>54</v>
      </c>
      <c r="C120" s="52" t="s">
        <v>55</v>
      </c>
      <c r="D120" s="52" t="s">
        <v>158</v>
      </c>
      <c r="E120" s="52" t="s">
        <v>159</v>
      </c>
      <c r="F120" s="52" t="s">
        <v>58</v>
      </c>
      <c r="G120" s="52" t="s">
        <v>59</v>
      </c>
      <c r="H120" s="52">
        <v>-20</v>
      </c>
      <c r="I120" s="52" t="s">
        <v>150</v>
      </c>
      <c r="J120" s="52" t="s">
        <v>61</v>
      </c>
      <c r="K120" s="52" t="s">
        <v>62</v>
      </c>
      <c r="L120" s="52" t="s">
        <v>123</v>
      </c>
      <c r="M120" s="52" t="s">
        <v>150</v>
      </c>
      <c r="N120" s="52" t="s">
        <v>91</v>
      </c>
      <c r="O120" s="52" t="s">
        <v>126</v>
      </c>
      <c r="P120" s="52" t="s">
        <v>65</v>
      </c>
      <c r="Q120" s="52">
        <v>7.58</v>
      </c>
      <c r="R120" s="52">
        <v>4.32</v>
      </c>
      <c r="S120" s="52">
        <v>220</v>
      </c>
      <c r="T120" s="52">
        <v>231480</v>
      </c>
      <c r="U120" s="55">
        <f t="shared" ref="U120:U129" si="114">T120*1000000</f>
        <v>231480000000</v>
      </c>
      <c r="V120" s="52" t="s">
        <v>160</v>
      </c>
      <c r="W120" s="52" t="s">
        <v>66</v>
      </c>
      <c r="X120" s="52" t="s">
        <v>161</v>
      </c>
      <c r="Y120" s="52">
        <v>19.309999999999999</v>
      </c>
      <c r="Z120" s="52">
        <v>19.170000000000002</v>
      </c>
      <c r="AA120" s="52"/>
      <c r="AB120" s="57">
        <f t="shared" ref="AB120:AB130" si="115">AVERAGE(Y120:AA120)</f>
        <v>19.240000000000002</v>
      </c>
      <c r="AC120" s="58">
        <f t="shared" ref="AC120:AC156" si="116">EXP((AB120-21.179)/-1.494)</f>
        <v>3.6614458085311248</v>
      </c>
      <c r="AD120" s="59">
        <f t="shared" ref="AD120:AD156" si="117">(AC120*(6.0221*10^23))/(15123*340*10^9)</f>
        <v>428828562.7181676</v>
      </c>
      <c r="AE120" s="57">
        <f>AD120*100/AD$130</f>
        <v>44.938911927666283</v>
      </c>
      <c r="AF120" s="52">
        <v>25.1</v>
      </c>
      <c r="AG120" s="52">
        <v>24.93</v>
      </c>
      <c r="AH120" s="52"/>
      <c r="AI120" s="57">
        <f>AVERAGE(AF120:AH120)</f>
        <v>25.015000000000001</v>
      </c>
      <c r="AJ120" s="52">
        <f t="shared" ref="AJ120:AJ156" si="118">EXP((AI120-31.794)/-1.377)</f>
        <v>137.41713216701308</v>
      </c>
      <c r="AK120" s="60">
        <f t="shared" si="108"/>
        <v>27.483426433402617</v>
      </c>
      <c r="AL120" s="52">
        <v>26.92</v>
      </c>
      <c r="AM120" s="52">
        <v>26.85</v>
      </c>
      <c r="AN120" s="52"/>
      <c r="AO120" s="57">
        <f t="shared" ref="AO120:AO130" si="119">AVERAGE(AL120:AN120)</f>
        <v>26.885000000000002</v>
      </c>
      <c r="AP120" s="60">
        <f t="shared" ref="AP120:AP156" si="120">EXP((AO120-15.746)/-1.512)</f>
        <v>6.3172051036611645E-4</v>
      </c>
      <c r="AQ120" s="52">
        <f t="shared" ref="AQ120:AQ156" si="121">(AP120*(6.0221*10^23))/(29903*340*10^9)</f>
        <v>37417.887301055664</v>
      </c>
      <c r="AR120" s="60">
        <f t="shared" si="109"/>
        <v>7483.5774602111323</v>
      </c>
      <c r="AS120" s="60">
        <f t="shared" ref="AS120:AS156" si="122">AR120/AK120</f>
        <v>272.29419440640754</v>
      </c>
      <c r="AT120" s="60">
        <f t="shared" ref="AT120:AT129" si="123">AS120*U120</f>
        <v>63030660121195.219</v>
      </c>
      <c r="AU120" s="52"/>
      <c r="AV120" s="52"/>
    </row>
    <row r="121" spans="2:50" s="61" customFormat="1" x14ac:dyDescent="0.35">
      <c r="B121" s="52" t="s">
        <v>54</v>
      </c>
      <c r="C121" s="52" t="s">
        <v>55</v>
      </c>
      <c r="D121" s="52" t="s">
        <v>90</v>
      </c>
      <c r="E121" s="52" t="s">
        <v>159</v>
      </c>
      <c r="F121" s="52" t="s">
        <v>58</v>
      </c>
      <c r="G121" s="52" t="s">
        <v>59</v>
      </c>
      <c r="H121" s="52">
        <v>-20</v>
      </c>
      <c r="I121" s="52" t="s">
        <v>150</v>
      </c>
      <c r="J121" s="52" t="s">
        <v>61</v>
      </c>
      <c r="K121" s="52" t="s">
        <v>62</v>
      </c>
      <c r="L121" s="52" t="s">
        <v>123</v>
      </c>
      <c r="M121" s="52" t="s">
        <v>150</v>
      </c>
      <c r="N121" s="52" t="s">
        <v>91</v>
      </c>
      <c r="O121" s="52" t="s">
        <v>126</v>
      </c>
      <c r="P121" s="52" t="s">
        <v>65</v>
      </c>
      <c r="Q121" s="52">
        <v>8.33</v>
      </c>
      <c r="R121" s="58">
        <v>4.2</v>
      </c>
      <c r="S121" s="52">
        <v>210</v>
      </c>
      <c r="T121" s="52">
        <v>221904</v>
      </c>
      <c r="U121" s="55">
        <f t="shared" si="114"/>
        <v>221904000000</v>
      </c>
      <c r="V121" s="52" t="s">
        <v>160</v>
      </c>
      <c r="W121" s="52" t="s">
        <v>66</v>
      </c>
      <c r="X121" s="52" t="s">
        <v>161</v>
      </c>
      <c r="Y121" s="52">
        <v>19.25</v>
      </c>
      <c r="Z121" s="52">
        <v>19.18</v>
      </c>
      <c r="AA121" s="52"/>
      <c r="AB121" s="57">
        <f t="shared" si="115"/>
        <v>19.215</v>
      </c>
      <c r="AC121" s="58">
        <f t="shared" si="116"/>
        <v>3.7232304803546588</v>
      </c>
      <c r="AD121" s="59">
        <f t="shared" si="117"/>
        <v>436064783.98201001</v>
      </c>
      <c r="AE121" s="57">
        <f t="shared" ref="AE121:AE130" si="124">AD121*100/AD$130</f>
        <v>45.697228743140727</v>
      </c>
      <c r="AF121" s="52">
        <v>24.63</v>
      </c>
      <c r="AG121" s="52">
        <v>24.38</v>
      </c>
      <c r="AH121" s="52"/>
      <c r="AI121" s="57">
        <f>AVERAGE(AF121:AH121)</f>
        <v>24.504999999999999</v>
      </c>
      <c r="AJ121" s="52">
        <f t="shared" si="118"/>
        <v>199.01723532477618</v>
      </c>
      <c r="AK121" s="60">
        <f t="shared" si="108"/>
        <v>39.803447064955236</v>
      </c>
      <c r="AL121" s="52">
        <v>26.96</v>
      </c>
      <c r="AM121" s="52">
        <v>26.63</v>
      </c>
      <c r="AN121" s="52"/>
      <c r="AO121" s="57">
        <f t="shared" si="119"/>
        <v>26.795000000000002</v>
      </c>
      <c r="AP121" s="60">
        <f t="shared" si="120"/>
        <v>6.7046458023283927E-4</v>
      </c>
      <c r="AQ121" s="52">
        <f t="shared" si="121"/>
        <v>39712.764887058162</v>
      </c>
      <c r="AR121" s="60">
        <f t="shared" si="109"/>
        <v>7942.5529774116321</v>
      </c>
      <c r="AS121" s="60">
        <f t="shared" si="122"/>
        <v>199.54435012751989</v>
      </c>
      <c r="AT121" s="60">
        <f t="shared" si="123"/>
        <v>44279689470697.172</v>
      </c>
      <c r="AU121" s="52"/>
      <c r="AV121" s="83"/>
    </row>
    <row r="122" spans="2:50" s="61" customFormat="1" ht="14.25" x14ac:dyDescent="0.45">
      <c r="B122" s="52" t="s">
        <v>54</v>
      </c>
      <c r="C122" s="52" t="s">
        <v>55</v>
      </c>
      <c r="D122" s="52" t="s">
        <v>162</v>
      </c>
      <c r="E122" s="52" t="s">
        <v>159</v>
      </c>
      <c r="F122" s="52" t="s">
        <v>58</v>
      </c>
      <c r="G122" s="52" t="s">
        <v>59</v>
      </c>
      <c r="H122" s="52">
        <v>-20</v>
      </c>
      <c r="I122" s="52" t="s">
        <v>150</v>
      </c>
      <c r="J122" s="52" t="s">
        <v>61</v>
      </c>
      <c r="K122" s="52" t="s">
        <v>62</v>
      </c>
      <c r="L122" s="52" t="s">
        <v>123</v>
      </c>
      <c r="M122" s="52" t="s">
        <v>150</v>
      </c>
      <c r="N122" s="52" t="s">
        <v>91</v>
      </c>
      <c r="O122" s="52" t="s">
        <v>126</v>
      </c>
      <c r="P122" s="52" t="s">
        <v>65</v>
      </c>
      <c r="Q122" s="52">
        <v>7.57</v>
      </c>
      <c r="R122" s="52">
        <v>4.49</v>
      </c>
      <c r="S122" s="52">
        <v>230</v>
      </c>
      <c r="T122" s="52">
        <v>215040</v>
      </c>
      <c r="U122" s="55">
        <f t="shared" si="114"/>
        <v>215040000000</v>
      </c>
      <c r="V122" s="52" t="s">
        <v>160</v>
      </c>
      <c r="W122" s="52" t="s">
        <v>66</v>
      </c>
      <c r="X122" s="52" t="s">
        <v>161</v>
      </c>
      <c r="Y122" s="52">
        <v>19.36</v>
      </c>
      <c r="Z122" s="52">
        <v>19.25</v>
      </c>
      <c r="AA122" s="52"/>
      <c r="AB122" s="57">
        <f t="shared" si="115"/>
        <v>19.305</v>
      </c>
      <c r="AC122" s="58">
        <f t="shared" si="116"/>
        <v>3.5055616013380848</v>
      </c>
      <c r="AD122" s="59">
        <f t="shared" si="117"/>
        <v>410571403.11053437</v>
      </c>
      <c r="AE122" s="57">
        <f t="shared" si="124"/>
        <v>43.02566043514387</v>
      </c>
      <c r="AF122" s="52">
        <v>25.36</v>
      </c>
      <c r="AG122" s="52">
        <v>25.19</v>
      </c>
      <c r="AH122" s="52"/>
      <c r="AI122" s="57">
        <f>AVERAGE(AF122:AH122)</f>
        <v>25.274999999999999</v>
      </c>
      <c r="AJ122" s="52">
        <f t="shared" si="118"/>
        <v>113.77294969349144</v>
      </c>
      <c r="AK122" s="60">
        <f t="shared" si="108"/>
        <v>22.754589938698288</v>
      </c>
      <c r="AL122" s="58">
        <v>27</v>
      </c>
      <c r="AM122" s="52">
        <v>27.03</v>
      </c>
      <c r="AN122" s="52"/>
      <c r="AO122" s="57">
        <f t="shared" si="119"/>
        <v>27.015000000000001</v>
      </c>
      <c r="AP122" s="60">
        <f t="shared" si="120"/>
        <v>5.7967536418725239E-4</v>
      </c>
      <c r="AQ122" s="52">
        <f t="shared" si="121"/>
        <v>34335.164194346544</v>
      </c>
      <c r="AR122" s="60">
        <f t="shared" si="109"/>
        <v>6867.0328388693088</v>
      </c>
      <c r="AS122" s="60">
        <f t="shared" si="122"/>
        <v>301.78671017009538</v>
      </c>
      <c r="AT122" s="60">
        <f t="shared" si="123"/>
        <v>64896214154977.313</v>
      </c>
      <c r="AU122" s="52"/>
      <c r="AV122" s="84" t="s">
        <v>163</v>
      </c>
    </row>
    <row r="123" spans="2:50" s="61" customFormat="1" ht="14.25" x14ac:dyDescent="0.45">
      <c r="B123" s="52" t="s">
        <v>54</v>
      </c>
      <c r="C123" s="52" t="s">
        <v>55</v>
      </c>
      <c r="D123" s="52" t="s">
        <v>164</v>
      </c>
      <c r="E123" s="52" t="s">
        <v>159</v>
      </c>
      <c r="F123" s="52" t="s">
        <v>58</v>
      </c>
      <c r="G123" s="52" t="s">
        <v>59</v>
      </c>
      <c r="H123" s="52">
        <v>-20</v>
      </c>
      <c r="I123" s="52" t="s">
        <v>150</v>
      </c>
      <c r="J123" s="52" t="s">
        <v>61</v>
      </c>
      <c r="K123" s="52" t="s">
        <v>62</v>
      </c>
      <c r="L123" s="52" t="s">
        <v>123</v>
      </c>
      <c r="M123" s="52" t="s">
        <v>150</v>
      </c>
      <c r="N123" s="52" t="s">
        <v>91</v>
      </c>
      <c r="O123" s="52" t="s">
        <v>126</v>
      </c>
      <c r="P123" s="52" t="s">
        <v>65</v>
      </c>
      <c r="Q123" s="52">
        <v>8.39</v>
      </c>
      <c r="R123" s="52">
        <v>4.34</v>
      </c>
      <c r="S123" s="52">
        <v>280</v>
      </c>
      <c r="T123" s="52">
        <v>208104</v>
      </c>
      <c r="U123" s="55">
        <f t="shared" si="114"/>
        <v>208104000000</v>
      </c>
      <c r="V123" s="52" t="s">
        <v>160</v>
      </c>
      <c r="W123" s="52" t="s">
        <v>66</v>
      </c>
      <c r="X123" s="52" t="s">
        <v>161</v>
      </c>
      <c r="Y123" s="52">
        <v>19.73</v>
      </c>
      <c r="Z123" s="52">
        <v>19.52</v>
      </c>
      <c r="AA123" s="52"/>
      <c r="AB123" s="57">
        <f t="shared" si="115"/>
        <v>19.625</v>
      </c>
      <c r="AC123" s="58">
        <f t="shared" si="116"/>
        <v>2.829671543552017</v>
      </c>
      <c r="AD123" s="59">
        <f t="shared" si="117"/>
        <v>331411154.07432777</v>
      </c>
      <c r="AE123" s="57">
        <f t="shared" si="124"/>
        <v>34.73009486679301</v>
      </c>
      <c r="AF123" s="58">
        <v>25.4</v>
      </c>
      <c r="AG123" s="52">
        <v>25.24</v>
      </c>
      <c r="AH123" s="52"/>
      <c r="AI123" s="57">
        <f>AVERAGE(AF123:AH123)</f>
        <v>25.32</v>
      </c>
      <c r="AJ123" s="52">
        <f t="shared" si="118"/>
        <v>110.11497580062114</v>
      </c>
      <c r="AK123" s="60">
        <f t="shared" si="108"/>
        <v>22.022995160124228</v>
      </c>
      <c r="AL123" s="52">
        <v>27.01</v>
      </c>
      <c r="AM123" s="52">
        <v>26.93</v>
      </c>
      <c r="AN123" s="52"/>
      <c r="AO123" s="57">
        <f t="shared" si="119"/>
        <v>26.97</v>
      </c>
      <c r="AP123" s="60">
        <f t="shared" si="120"/>
        <v>5.9718690296165313E-4</v>
      </c>
      <c r="AQ123" s="52">
        <f t="shared" si="121"/>
        <v>35372.402614781626</v>
      </c>
      <c r="AR123" s="60">
        <f t="shared" si="109"/>
        <v>7074.4805229563253</v>
      </c>
      <c r="AS123" s="60">
        <f t="shared" si="122"/>
        <v>321.23153419956611</v>
      </c>
      <c r="AT123" s="60">
        <f t="shared" si="123"/>
        <v>66849567193066.508</v>
      </c>
      <c r="AU123" s="52"/>
      <c r="AV123" s="84" t="s">
        <v>163</v>
      </c>
    </row>
    <row r="124" spans="2:50" s="61" customFormat="1" ht="14.25" x14ac:dyDescent="0.45">
      <c r="B124" s="52" t="s">
        <v>54</v>
      </c>
      <c r="C124" s="52" t="s">
        <v>55</v>
      </c>
      <c r="D124" s="83" t="s">
        <v>165</v>
      </c>
      <c r="E124" s="52" t="s">
        <v>159</v>
      </c>
      <c r="F124" s="52" t="s">
        <v>58</v>
      </c>
      <c r="G124" s="52" t="s">
        <v>59</v>
      </c>
      <c r="H124" s="52">
        <v>-20</v>
      </c>
      <c r="I124" s="52" t="s">
        <v>150</v>
      </c>
      <c r="J124" s="52" t="s">
        <v>61</v>
      </c>
      <c r="K124" s="52" t="s">
        <v>62</v>
      </c>
      <c r="L124" s="52" t="s">
        <v>123</v>
      </c>
      <c r="M124" s="52" t="s">
        <v>150</v>
      </c>
      <c r="N124" s="52" t="s">
        <v>91</v>
      </c>
      <c r="O124" s="52" t="s">
        <v>126</v>
      </c>
      <c r="P124" s="52" t="s">
        <v>65</v>
      </c>
      <c r="Q124" s="86">
        <v>7.6</v>
      </c>
      <c r="R124" s="83">
        <v>4.45</v>
      </c>
      <c r="S124" s="83">
        <v>240</v>
      </c>
      <c r="T124" s="83">
        <v>200712</v>
      </c>
      <c r="U124" s="55">
        <f t="shared" si="114"/>
        <v>200712000000</v>
      </c>
      <c r="V124" s="52" t="s">
        <v>160</v>
      </c>
      <c r="W124" s="52" t="s">
        <v>66</v>
      </c>
      <c r="X124" s="52" t="s">
        <v>161</v>
      </c>
      <c r="Y124" s="83">
        <v>19.55</v>
      </c>
      <c r="Z124" s="83">
        <v>19.72</v>
      </c>
      <c r="AA124" s="83"/>
      <c r="AB124" s="57">
        <f t="shared" si="115"/>
        <v>19.634999999999998</v>
      </c>
      <c r="AC124" s="58">
        <f t="shared" si="116"/>
        <v>2.8107945521295723</v>
      </c>
      <c r="AD124" s="59">
        <f t="shared" si="117"/>
        <v>329200280.68620634</v>
      </c>
      <c r="AE124" s="57">
        <f t="shared" si="124"/>
        <v>34.498407304187005</v>
      </c>
      <c r="AF124" s="86">
        <v>25.2</v>
      </c>
      <c r="AG124" s="83">
        <v>25.15</v>
      </c>
      <c r="AH124" s="83"/>
      <c r="AI124" s="86">
        <v>18.7</v>
      </c>
      <c r="AJ124" s="52">
        <f t="shared" si="118"/>
        <v>13481.554612536807</v>
      </c>
      <c r="AK124" s="60">
        <f t="shared" si="108"/>
        <v>2696.3109225073613</v>
      </c>
      <c r="AL124" s="83">
        <v>30.79</v>
      </c>
      <c r="AM124" s="83">
        <v>30.33</v>
      </c>
      <c r="AN124" s="83"/>
      <c r="AO124" s="57">
        <f t="shared" si="119"/>
        <v>30.56</v>
      </c>
      <c r="AP124" s="60">
        <f t="shared" si="120"/>
        <v>5.5583784350425036E-5</v>
      </c>
      <c r="AQ124" s="52">
        <f t="shared" si="121"/>
        <v>3292.3227035718883</v>
      </c>
      <c r="AR124" s="60">
        <f t="shared" si="109"/>
        <v>658.46454071437768</v>
      </c>
      <c r="AS124" s="60">
        <f t="shared" si="122"/>
        <v>0.24420942526244577</v>
      </c>
      <c r="AT124" s="60">
        <f t="shared" si="123"/>
        <v>49015762163.276016</v>
      </c>
      <c r="AU124" s="85"/>
      <c r="AV124" s="84" t="s">
        <v>163</v>
      </c>
    </row>
    <row r="125" spans="2:50" s="122" customFormat="1" ht="14.25" x14ac:dyDescent="0.45">
      <c r="B125" s="123" t="s">
        <v>54</v>
      </c>
      <c r="C125" s="123" t="s">
        <v>140</v>
      </c>
      <c r="D125" s="123" t="s">
        <v>158</v>
      </c>
      <c r="E125" s="123" t="s">
        <v>159</v>
      </c>
      <c r="F125" s="123" t="s">
        <v>58</v>
      </c>
      <c r="G125" s="123" t="s">
        <v>59</v>
      </c>
      <c r="H125" s="123">
        <v>-20</v>
      </c>
      <c r="I125" s="123" t="s">
        <v>150</v>
      </c>
      <c r="J125" s="123" t="s">
        <v>61</v>
      </c>
      <c r="K125" s="123" t="s">
        <v>62</v>
      </c>
      <c r="L125" s="123" t="s">
        <v>123</v>
      </c>
      <c r="M125" s="123" t="s">
        <v>150</v>
      </c>
      <c r="N125" s="123" t="s">
        <v>91</v>
      </c>
      <c r="O125" s="123" t="s">
        <v>126</v>
      </c>
      <c r="P125" s="123" t="s">
        <v>65</v>
      </c>
      <c r="Q125" s="123">
        <v>7.72</v>
      </c>
      <c r="R125" s="123">
        <v>4.34</v>
      </c>
      <c r="S125" s="123">
        <v>170</v>
      </c>
      <c r="T125" s="123">
        <v>215448</v>
      </c>
      <c r="U125" s="127">
        <f t="shared" si="114"/>
        <v>215448000000</v>
      </c>
      <c r="V125" s="123" t="s">
        <v>160</v>
      </c>
      <c r="W125" s="123" t="s">
        <v>66</v>
      </c>
      <c r="X125" s="123" t="s">
        <v>161</v>
      </c>
      <c r="Y125" s="123">
        <v>19.510000000000002</v>
      </c>
      <c r="Z125" s="130">
        <v>19.399999999999999</v>
      </c>
      <c r="AA125" s="123"/>
      <c r="AB125" s="129">
        <f t="shared" si="115"/>
        <v>19.454999999999998</v>
      </c>
      <c r="AC125" s="130">
        <f t="shared" si="116"/>
        <v>3.1706896830392512</v>
      </c>
      <c r="AD125" s="131">
        <f t="shared" si="117"/>
        <v>371351201.33008689</v>
      </c>
      <c r="AE125" s="129">
        <f t="shared" si="124"/>
        <v>38.915595605448331</v>
      </c>
      <c r="AF125" s="123">
        <v>26.16</v>
      </c>
      <c r="AG125" s="123">
        <v>26.05</v>
      </c>
      <c r="AH125" s="123"/>
      <c r="AI125" s="129">
        <f t="shared" ref="AI125:AI130" si="125">AVERAGE(AF125:AH125)</f>
        <v>26.105</v>
      </c>
      <c r="AJ125" s="123">
        <f t="shared" si="118"/>
        <v>62.267845605891765</v>
      </c>
      <c r="AK125" s="132">
        <f t="shared" si="108"/>
        <v>12.453569121178353</v>
      </c>
      <c r="AL125" s="123">
        <v>30.08</v>
      </c>
      <c r="AM125" s="123">
        <v>29.36</v>
      </c>
      <c r="AN125" s="123"/>
      <c r="AO125" s="129">
        <f t="shared" si="119"/>
        <v>29.72</v>
      </c>
      <c r="AP125" s="132">
        <f t="shared" si="120"/>
        <v>9.6877477922457348E-5</v>
      </c>
      <c r="AQ125" s="123">
        <f t="shared" si="121"/>
        <v>5738.2188664606765</v>
      </c>
      <c r="AR125" s="132">
        <f t="shared" si="109"/>
        <v>1147.6437732921354</v>
      </c>
      <c r="AS125" s="132">
        <f t="shared" si="122"/>
        <v>92.153804433499275</v>
      </c>
      <c r="AT125" s="132">
        <f t="shared" si="123"/>
        <v>19854352857588.551</v>
      </c>
      <c r="AU125" s="123"/>
      <c r="AV125" s="145" t="s">
        <v>166</v>
      </c>
      <c r="AW125" s="146"/>
      <c r="AX125" s="146"/>
    </row>
    <row r="126" spans="2:50" s="122" customFormat="1" ht="14.25" x14ac:dyDescent="0.45">
      <c r="B126" s="123" t="s">
        <v>54</v>
      </c>
      <c r="C126" s="123" t="s">
        <v>140</v>
      </c>
      <c r="D126" s="123" t="s">
        <v>90</v>
      </c>
      <c r="E126" s="123" t="s">
        <v>159</v>
      </c>
      <c r="F126" s="123" t="s">
        <v>58</v>
      </c>
      <c r="G126" s="123" t="s">
        <v>59</v>
      </c>
      <c r="H126" s="123">
        <v>-20</v>
      </c>
      <c r="I126" s="123" t="s">
        <v>150</v>
      </c>
      <c r="J126" s="123" t="s">
        <v>61</v>
      </c>
      <c r="K126" s="123" t="s">
        <v>62</v>
      </c>
      <c r="L126" s="123" t="s">
        <v>123</v>
      </c>
      <c r="M126" s="123" t="s">
        <v>150</v>
      </c>
      <c r="N126" s="123" t="s">
        <v>91</v>
      </c>
      <c r="O126" s="123" t="s">
        <v>126</v>
      </c>
      <c r="P126" s="123" t="s">
        <v>65</v>
      </c>
      <c r="Q126" s="123">
        <v>7.99</v>
      </c>
      <c r="R126" s="123">
        <v>3.96</v>
      </c>
      <c r="S126" s="123">
        <v>230</v>
      </c>
      <c r="T126" s="123">
        <v>202104</v>
      </c>
      <c r="U126" s="127">
        <f t="shared" si="114"/>
        <v>202104000000</v>
      </c>
      <c r="V126" s="123" t="s">
        <v>160</v>
      </c>
      <c r="W126" s="123" t="s">
        <v>66</v>
      </c>
      <c r="X126" s="123" t="s">
        <v>161</v>
      </c>
      <c r="Y126" s="123">
        <v>19.38</v>
      </c>
      <c r="Z126" s="130">
        <v>19.2</v>
      </c>
      <c r="AA126" s="123"/>
      <c r="AB126" s="129">
        <f t="shared" si="115"/>
        <v>19.29</v>
      </c>
      <c r="AC126" s="130">
        <f t="shared" si="116"/>
        <v>3.5409352845361957</v>
      </c>
      <c r="AD126" s="131">
        <f t="shared" si="117"/>
        <v>414714369.17288864</v>
      </c>
      <c r="AE126" s="129">
        <f t="shared" si="124"/>
        <v>43.459820850707906</v>
      </c>
      <c r="AF126" s="123">
        <v>25.28</v>
      </c>
      <c r="AG126" s="123">
        <v>25.17</v>
      </c>
      <c r="AH126" s="123"/>
      <c r="AI126" s="129">
        <f t="shared" si="125"/>
        <v>25.225000000000001</v>
      </c>
      <c r="AJ126" s="123">
        <f t="shared" si="118"/>
        <v>117.98005840930963</v>
      </c>
      <c r="AK126" s="132">
        <f t="shared" si="108"/>
        <v>23.596011681861928</v>
      </c>
      <c r="AL126" s="123">
        <v>30.69</v>
      </c>
      <c r="AM126" s="123">
        <v>29.61</v>
      </c>
      <c r="AN126" s="123"/>
      <c r="AO126" s="129">
        <f t="shared" si="119"/>
        <v>30.15</v>
      </c>
      <c r="AP126" s="132">
        <f t="shared" si="120"/>
        <v>7.2897586502811653E-5</v>
      </c>
      <c r="AQ126" s="123">
        <f t="shared" si="121"/>
        <v>4317.8488453704422</v>
      </c>
      <c r="AR126" s="132">
        <f t="shared" si="109"/>
        <v>863.56976907408841</v>
      </c>
      <c r="AS126" s="132">
        <f t="shared" si="122"/>
        <v>36.598124323607955</v>
      </c>
      <c r="AT126" s="132">
        <f t="shared" si="123"/>
        <v>7396627318298.4619</v>
      </c>
      <c r="AU126" s="123"/>
      <c r="AV126" s="147" t="s">
        <v>163</v>
      </c>
      <c r="AW126" s="148"/>
      <c r="AX126" s="148"/>
    </row>
    <row r="127" spans="2:50" s="122" customFormat="1" ht="14.25" x14ac:dyDescent="0.45">
      <c r="B127" s="123" t="s">
        <v>54</v>
      </c>
      <c r="C127" s="123" t="s">
        <v>140</v>
      </c>
      <c r="D127" s="149" t="s">
        <v>162</v>
      </c>
      <c r="E127" s="123" t="s">
        <v>159</v>
      </c>
      <c r="F127" s="123" t="s">
        <v>58</v>
      </c>
      <c r="G127" s="123" t="s">
        <v>59</v>
      </c>
      <c r="H127" s="123">
        <v>-20</v>
      </c>
      <c r="I127" s="123" t="s">
        <v>150</v>
      </c>
      <c r="J127" s="123" t="s">
        <v>61</v>
      </c>
      <c r="K127" s="123" t="s">
        <v>62</v>
      </c>
      <c r="L127" s="123" t="s">
        <v>123</v>
      </c>
      <c r="M127" s="123" t="s">
        <v>150</v>
      </c>
      <c r="N127" s="123" t="s">
        <v>91</v>
      </c>
      <c r="O127" s="123" t="s">
        <v>126</v>
      </c>
      <c r="P127" s="123" t="s">
        <v>65</v>
      </c>
      <c r="Q127" s="123">
        <v>7.63</v>
      </c>
      <c r="R127" s="123">
        <v>4.55</v>
      </c>
      <c r="S127" s="123">
        <v>200</v>
      </c>
      <c r="T127" s="123">
        <v>187512</v>
      </c>
      <c r="U127" s="127">
        <f t="shared" si="114"/>
        <v>187512000000</v>
      </c>
      <c r="V127" s="123" t="s">
        <v>160</v>
      </c>
      <c r="W127" s="123" t="s">
        <v>66</v>
      </c>
      <c r="X127" s="123" t="s">
        <v>161</v>
      </c>
      <c r="Y127" s="130">
        <v>19.3</v>
      </c>
      <c r="Z127" s="123">
        <v>19.68</v>
      </c>
      <c r="AA127" s="123"/>
      <c r="AB127" s="129">
        <f t="shared" si="115"/>
        <v>19.490000000000002</v>
      </c>
      <c r="AC127" s="130">
        <f t="shared" si="116"/>
        <v>3.0972731283042396</v>
      </c>
      <c r="AD127" s="131">
        <f t="shared" si="117"/>
        <v>362752653.84554416</v>
      </c>
      <c r="AE127" s="129">
        <f t="shared" si="124"/>
        <v>38.014514376939587</v>
      </c>
      <c r="AF127" s="130">
        <v>26</v>
      </c>
      <c r="AG127" s="130">
        <v>26</v>
      </c>
      <c r="AH127" s="123"/>
      <c r="AI127" s="129">
        <f t="shared" si="125"/>
        <v>26</v>
      </c>
      <c r="AJ127" s="123">
        <f t="shared" si="118"/>
        <v>67.201656261400174</v>
      </c>
      <c r="AK127" s="132">
        <f t="shared" si="108"/>
        <v>13.440331252280036</v>
      </c>
      <c r="AL127" s="130">
        <v>28.9</v>
      </c>
      <c r="AM127" s="123">
        <v>29.85</v>
      </c>
      <c r="AN127" s="123"/>
      <c r="AO127" s="129">
        <f t="shared" si="119"/>
        <v>29.375</v>
      </c>
      <c r="AP127" s="132">
        <f t="shared" si="120"/>
        <v>1.2170762706625576E-4</v>
      </c>
      <c r="AQ127" s="123">
        <f t="shared" si="121"/>
        <v>7208.9511081486889</v>
      </c>
      <c r="AR127" s="132">
        <f t="shared" si="109"/>
        <v>1441.7902216297377</v>
      </c>
      <c r="AS127" s="132">
        <f t="shared" si="122"/>
        <v>107.27341421627168</v>
      </c>
      <c r="AT127" s="132">
        <f t="shared" si="123"/>
        <v>20115052446521.535</v>
      </c>
      <c r="AU127" s="123"/>
      <c r="AV127" s="147" t="s">
        <v>163</v>
      </c>
      <c r="AW127" s="148"/>
      <c r="AX127" s="148"/>
    </row>
    <row r="128" spans="2:50" s="122" customFormat="1" ht="14.25" x14ac:dyDescent="0.45">
      <c r="B128" s="123" t="s">
        <v>54</v>
      </c>
      <c r="C128" s="123" t="s">
        <v>140</v>
      </c>
      <c r="D128" s="123" t="s">
        <v>164</v>
      </c>
      <c r="E128" s="123" t="s">
        <v>159</v>
      </c>
      <c r="F128" s="123" t="s">
        <v>58</v>
      </c>
      <c r="G128" s="123" t="s">
        <v>59</v>
      </c>
      <c r="H128" s="123">
        <v>-20</v>
      </c>
      <c r="I128" s="123" t="s">
        <v>150</v>
      </c>
      <c r="J128" s="123" t="s">
        <v>61</v>
      </c>
      <c r="K128" s="123" t="s">
        <v>62</v>
      </c>
      <c r="L128" s="123" t="s">
        <v>123</v>
      </c>
      <c r="M128" s="123" t="s">
        <v>150</v>
      </c>
      <c r="N128" s="123" t="s">
        <v>91</v>
      </c>
      <c r="O128" s="123" t="s">
        <v>126</v>
      </c>
      <c r="P128" s="123" t="s">
        <v>65</v>
      </c>
      <c r="Q128" s="123">
        <v>7.64</v>
      </c>
      <c r="R128" s="123">
        <v>4.25</v>
      </c>
      <c r="S128" s="123">
        <v>270</v>
      </c>
      <c r="T128" s="123">
        <v>178920</v>
      </c>
      <c r="U128" s="127">
        <f t="shared" si="114"/>
        <v>178920000000</v>
      </c>
      <c r="V128" s="123" t="s">
        <v>160</v>
      </c>
      <c r="W128" s="123" t="s">
        <v>66</v>
      </c>
      <c r="X128" s="123" t="s">
        <v>161</v>
      </c>
      <c r="Y128" s="123">
        <v>19.940000000000001</v>
      </c>
      <c r="Z128" s="123">
        <v>19.73</v>
      </c>
      <c r="AA128" s="123"/>
      <c r="AB128" s="129">
        <f t="shared" si="115"/>
        <v>19.835000000000001</v>
      </c>
      <c r="AC128" s="130">
        <f t="shared" si="116"/>
        <v>2.4586155170681665</v>
      </c>
      <c r="AD128" s="131">
        <f t="shared" si="117"/>
        <v>287953069.25050277</v>
      </c>
      <c r="AE128" s="129">
        <f t="shared" si="124"/>
        <v>30.175922835751237</v>
      </c>
      <c r="AF128" s="123">
        <v>25.99</v>
      </c>
      <c r="AG128" s="123">
        <v>25.72</v>
      </c>
      <c r="AH128" s="123"/>
      <c r="AI128" s="129">
        <f t="shared" si="125"/>
        <v>25.854999999999997</v>
      </c>
      <c r="AJ128" s="123">
        <f t="shared" si="118"/>
        <v>74.664091502292138</v>
      </c>
      <c r="AK128" s="132">
        <f t="shared" si="108"/>
        <v>14.932818300458427</v>
      </c>
      <c r="AL128" s="123">
        <v>29.28</v>
      </c>
      <c r="AM128" s="123">
        <v>29.66</v>
      </c>
      <c r="AN128" s="123"/>
      <c r="AO128" s="129">
        <f t="shared" si="119"/>
        <v>29.47</v>
      </c>
      <c r="AP128" s="132">
        <f t="shared" si="120"/>
        <v>1.1429593218612785E-4</v>
      </c>
      <c r="AQ128" s="123">
        <f t="shared" si="121"/>
        <v>6769.9437319694507</v>
      </c>
      <c r="AR128" s="132">
        <f t="shared" si="109"/>
        <v>1353.9887463938901</v>
      </c>
      <c r="AS128" s="132">
        <f t="shared" si="122"/>
        <v>90.672016437267146</v>
      </c>
      <c r="AT128" s="132">
        <f t="shared" si="123"/>
        <v>16223037180955.838</v>
      </c>
      <c r="AU128" s="123"/>
      <c r="AV128" s="147" t="s">
        <v>163</v>
      </c>
      <c r="AW128" s="148"/>
      <c r="AX128" s="148"/>
    </row>
    <row r="129" spans="2:50" s="122" customFormat="1" ht="14.25" x14ac:dyDescent="0.45">
      <c r="B129" s="123" t="s">
        <v>54</v>
      </c>
      <c r="C129" s="123" t="s">
        <v>140</v>
      </c>
      <c r="D129" s="123" t="s">
        <v>165</v>
      </c>
      <c r="E129" s="123" t="s">
        <v>159</v>
      </c>
      <c r="F129" s="123" t="s">
        <v>58</v>
      </c>
      <c r="G129" s="150" t="s">
        <v>167</v>
      </c>
      <c r="H129" s="123">
        <v>-80</v>
      </c>
      <c r="I129" s="123" t="s">
        <v>150</v>
      </c>
      <c r="J129" s="123" t="s">
        <v>61</v>
      </c>
      <c r="K129" s="123" t="s">
        <v>62</v>
      </c>
      <c r="L129" s="123" t="s">
        <v>123</v>
      </c>
      <c r="M129" s="123" t="s">
        <v>150</v>
      </c>
      <c r="N129" s="123" t="s">
        <v>91</v>
      </c>
      <c r="O129" s="123" t="s">
        <v>126</v>
      </c>
      <c r="P129" s="123" t="s">
        <v>65</v>
      </c>
      <c r="Q129" s="123">
        <v>7.39</v>
      </c>
      <c r="R129" s="123">
        <v>4.08</v>
      </c>
      <c r="S129" s="123">
        <v>180</v>
      </c>
      <c r="T129" s="123">
        <v>171240</v>
      </c>
      <c r="U129" s="127">
        <f t="shared" si="114"/>
        <v>171240000000</v>
      </c>
      <c r="V129" s="123" t="s">
        <v>160</v>
      </c>
      <c r="W129" s="123" t="s">
        <v>66</v>
      </c>
      <c r="X129" s="123" t="s">
        <v>161</v>
      </c>
      <c r="Y129" s="130">
        <v>19.8</v>
      </c>
      <c r="Z129" s="123">
        <v>19.809999999999999</v>
      </c>
      <c r="AA129" s="123"/>
      <c r="AB129" s="129">
        <f t="shared" si="115"/>
        <v>19.805</v>
      </c>
      <c r="AC129" s="130">
        <f t="shared" si="116"/>
        <v>2.5084843217164581</v>
      </c>
      <c r="AD129" s="131">
        <f t="shared" si="117"/>
        <v>293793704.05437529</v>
      </c>
      <c r="AE129" s="129">
        <f t="shared" si="124"/>
        <v>30.787989745168812</v>
      </c>
      <c r="AF129" s="123">
        <v>26.21</v>
      </c>
      <c r="AG129" s="151">
        <v>26.06</v>
      </c>
      <c r="AH129" s="123"/>
      <c r="AI129" s="129">
        <f t="shared" si="125"/>
        <v>26.134999999999998</v>
      </c>
      <c r="AJ129" s="123">
        <f t="shared" si="118"/>
        <v>60.925918681284678</v>
      </c>
      <c r="AK129" s="132">
        <f t="shared" si="108"/>
        <v>12.185183736256935</v>
      </c>
      <c r="AL129" s="123">
        <v>30.58</v>
      </c>
      <c r="AM129" s="123">
        <v>29.94</v>
      </c>
      <c r="AN129" s="123"/>
      <c r="AO129" s="129">
        <f t="shared" si="119"/>
        <v>30.259999999999998</v>
      </c>
      <c r="AP129" s="132">
        <f t="shared" si="120"/>
        <v>6.7782510792508858E-5</v>
      </c>
      <c r="AQ129" s="123">
        <f t="shared" si="121"/>
        <v>4014.8741543103833</v>
      </c>
      <c r="AR129" s="132">
        <f t="shared" si="109"/>
        <v>802.97483086207671</v>
      </c>
      <c r="AS129" s="132">
        <f t="shared" si="122"/>
        <v>65.897638332102474</v>
      </c>
      <c r="AT129" s="132">
        <f t="shared" si="123"/>
        <v>11284311587989.229</v>
      </c>
      <c r="AU129" s="123"/>
      <c r="AV129" s="147" t="s">
        <v>163</v>
      </c>
      <c r="AW129" s="148"/>
      <c r="AX129" s="148"/>
    </row>
    <row r="130" spans="2:50" ht="14.25" x14ac:dyDescent="0.45">
      <c r="B130" s="8"/>
      <c r="C130" s="8"/>
      <c r="D130" s="8"/>
      <c r="E130" s="8" t="s">
        <v>154</v>
      </c>
      <c r="F130" s="8"/>
      <c r="G130" s="8" t="s">
        <v>106</v>
      </c>
      <c r="H130" s="8"/>
      <c r="I130" s="8"/>
      <c r="J130" s="8"/>
      <c r="K130" s="8"/>
      <c r="L130" s="8"/>
      <c r="M130" s="8" t="s">
        <v>108</v>
      </c>
      <c r="N130" s="8" t="s">
        <v>107</v>
      </c>
      <c r="O130" s="8" t="s">
        <v>108</v>
      </c>
      <c r="P130" s="8" t="s">
        <v>108</v>
      </c>
      <c r="Q130" s="8" t="s">
        <v>108</v>
      </c>
      <c r="R130" s="8" t="s">
        <v>108</v>
      </c>
      <c r="S130" s="8" t="s">
        <v>108</v>
      </c>
      <c r="T130" s="8"/>
      <c r="U130" s="24"/>
      <c r="V130" s="8" t="s">
        <v>108</v>
      </c>
      <c r="W130" s="8" t="s">
        <v>108</v>
      </c>
      <c r="X130" s="11" t="s">
        <v>108</v>
      </c>
      <c r="Y130" s="8">
        <v>17.940000000000001</v>
      </c>
      <c r="Z130" s="8">
        <v>18.149999999999999</v>
      </c>
      <c r="AA130" s="8"/>
      <c r="AB130" s="21">
        <f t="shared" si="115"/>
        <v>18.045000000000002</v>
      </c>
      <c r="AC130" s="18">
        <f t="shared" si="116"/>
        <v>8.1476067209294953</v>
      </c>
      <c r="AD130" s="51">
        <f t="shared" si="117"/>
        <v>954247765.07364142</v>
      </c>
      <c r="AE130" s="21">
        <f t="shared" si="124"/>
        <v>100</v>
      </c>
      <c r="AF130" s="18">
        <v>30.5</v>
      </c>
      <c r="AG130" s="8">
        <v>30.98</v>
      </c>
      <c r="AH130" s="8"/>
      <c r="AI130" s="21">
        <f t="shared" si="125"/>
        <v>30.740000000000002</v>
      </c>
      <c r="AJ130" s="8">
        <f t="shared" si="118"/>
        <v>2.1499231531189897</v>
      </c>
      <c r="AK130" s="60">
        <f t="shared" si="108"/>
        <v>0.42998463062379794</v>
      </c>
      <c r="AL130" s="8">
        <v>29.75</v>
      </c>
      <c r="AM130" s="8">
        <v>29.96</v>
      </c>
      <c r="AN130" s="8"/>
      <c r="AO130" s="21">
        <f t="shared" si="119"/>
        <v>29.855</v>
      </c>
      <c r="AP130" s="19">
        <f t="shared" si="120"/>
        <v>8.8602613207294122E-5</v>
      </c>
      <c r="AQ130" s="8">
        <f t="shared" si="121"/>
        <v>5248.0844632512362</v>
      </c>
      <c r="AR130" s="60">
        <f t="shared" si="109"/>
        <v>1049.6168926502473</v>
      </c>
      <c r="AS130" s="19">
        <f t="shared" si="122"/>
        <v>2441.0567678373091</v>
      </c>
      <c r="AT130" s="19" t="s">
        <v>108</v>
      </c>
      <c r="AU130" s="8"/>
      <c r="AV130" s="49"/>
      <c r="AW130" s="31"/>
      <c r="AX130" s="31"/>
    </row>
    <row r="131" spans="2:50" ht="14.25" x14ac:dyDescent="0.45">
      <c r="B131" s="8"/>
      <c r="C131" s="8"/>
      <c r="D131" s="8"/>
      <c r="E131" s="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24"/>
      <c r="V131" s="8"/>
      <c r="W131" s="8"/>
      <c r="X131" s="11"/>
      <c r="Y131" s="8"/>
      <c r="Z131" s="8"/>
      <c r="AA131" s="8"/>
      <c r="AB131" s="21"/>
      <c r="AC131" s="18"/>
      <c r="AD131" s="8"/>
      <c r="AE131" s="8"/>
      <c r="AF131" s="18"/>
      <c r="AG131" s="8"/>
      <c r="AH131" s="8"/>
      <c r="AI131" s="21"/>
      <c r="AJ131" s="8"/>
      <c r="AK131" s="60">
        <f t="shared" si="108"/>
        <v>0</v>
      </c>
      <c r="AL131" s="8"/>
      <c r="AM131" s="8"/>
      <c r="AN131" s="8"/>
      <c r="AO131" s="21"/>
      <c r="AP131" s="8"/>
      <c r="AQ131" s="8"/>
      <c r="AR131" s="60">
        <f t="shared" si="109"/>
        <v>0</v>
      </c>
      <c r="AS131" s="8"/>
      <c r="AT131" s="8"/>
      <c r="AU131" s="8"/>
      <c r="AV131" s="50"/>
      <c r="AW131" s="31"/>
      <c r="AX131" s="31"/>
    </row>
    <row r="132" spans="2:50" s="122" customFormat="1" x14ac:dyDescent="0.35">
      <c r="B132" s="123" t="s">
        <v>54</v>
      </c>
      <c r="C132" s="123" t="s">
        <v>140</v>
      </c>
      <c r="D132" s="152" t="s">
        <v>168</v>
      </c>
      <c r="E132" s="133" t="s">
        <v>57</v>
      </c>
      <c r="F132" s="153" t="s">
        <v>58</v>
      </c>
      <c r="G132" s="123" t="s">
        <v>59</v>
      </c>
      <c r="H132" s="123">
        <v>-20</v>
      </c>
      <c r="I132" s="123" t="s">
        <v>161</v>
      </c>
      <c r="J132" s="123" t="s">
        <v>61</v>
      </c>
      <c r="K132" s="123" t="s">
        <v>62</v>
      </c>
      <c r="L132" s="123" t="s">
        <v>123</v>
      </c>
      <c r="M132" s="123" t="s">
        <v>169</v>
      </c>
      <c r="N132" s="123" t="s">
        <v>91</v>
      </c>
      <c r="O132" s="123" t="s">
        <v>126</v>
      </c>
      <c r="P132" s="123" t="s">
        <v>65</v>
      </c>
      <c r="Q132" s="123">
        <v>7.02</v>
      </c>
      <c r="R132" s="130">
        <v>3.7</v>
      </c>
      <c r="S132" s="123"/>
      <c r="T132" s="123"/>
      <c r="U132" s="127"/>
      <c r="V132" s="123" t="s">
        <v>169</v>
      </c>
      <c r="W132" s="123" t="s">
        <v>66</v>
      </c>
      <c r="X132" s="152" t="s">
        <v>170</v>
      </c>
      <c r="Y132" s="123">
        <v>18.47</v>
      </c>
      <c r="Z132" s="123">
        <v>17.59</v>
      </c>
      <c r="AA132" s="123"/>
      <c r="AB132" s="129">
        <f>AVERAGE(Y132:AA132)</f>
        <v>18.03</v>
      </c>
      <c r="AC132" s="130">
        <f t="shared" si="116"/>
        <v>8.229822038115465</v>
      </c>
      <c r="AD132" s="131">
        <f t="shared" si="117"/>
        <v>963876823.68762696</v>
      </c>
      <c r="AE132" s="129">
        <f>AD132*100/AD$138</f>
        <v>20.060335017697195</v>
      </c>
      <c r="AF132" s="123">
        <v>21.09</v>
      </c>
      <c r="AG132" s="123">
        <v>20.69</v>
      </c>
      <c r="AH132" s="123"/>
      <c r="AI132" s="129">
        <f>AVERAGE(AF132:AH132)</f>
        <v>20.89</v>
      </c>
      <c r="AJ132" s="123">
        <f t="shared" si="118"/>
        <v>2748.0964797383353</v>
      </c>
      <c r="AK132" s="132">
        <f t="shared" si="108"/>
        <v>549.61929594766707</v>
      </c>
      <c r="AL132" s="123">
        <v>28.51</v>
      </c>
      <c r="AM132" s="123">
        <v>28.21</v>
      </c>
      <c r="AN132" s="123"/>
      <c r="AO132" s="129">
        <f>AVERAGE(AL132:AN132)</f>
        <v>28.36</v>
      </c>
      <c r="AP132" s="132">
        <f t="shared" si="120"/>
        <v>2.3815410529480792E-4</v>
      </c>
      <c r="AQ132" s="123">
        <f t="shared" si="121"/>
        <v>14106.275363831905</v>
      </c>
      <c r="AR132" s="132">
        <f t="shared" si="109"/>
        <v>2821.2550727663811</v>
      </c>
      <c r="AS132" s="132">
        <f t="shared" si="122"/>
        <v>5.13310775943902</v>
      </c>
      <c r="AT132" s="132"/>
      <c r="AU132" s="123"/>
      <c r="AV132" s="135"/>
      <c r="AW132" s="133"/>
      <c r="AX132" s="133"/>
    </row>
    <row r="133" spans="2:50" s="122" customFormat="1" x14ac:dyDescent="0.35">
      <c r="B133" s="123" t="s">
        <v>54</v>
      </c>
      <c r="C133" s="123" t="s">
        <v>140</v>
      </c>
      <c r="D133" s="123" t="s">
        <v>171</v>
      </c>
      <c r="E133" s="133" t="s">
        <v>57</v>
      </c>
      <c r="F133" s="153" t="s">
        <v>58</v>
      </c>
      <c r="G133" s="123" t="s">
        <v>59</v>
      </c>
      <c r="H133" s="123">
        <v>-20</v>
      </c>
      <c r="I133" s="123" t="s">
        <v>161</v>
      </c>
      <c r="J133" s="123" t="s">
        <v>61</v>
      </c>
      <c r="K133" s="123" t="s">
        <v>62</v>
      </c>
      <c r="L133" s="123" t="s">
        <v>123</v>
      </c>
      <c r="M133" s="123" t="s">
        <v>169</v>
      </c>
      <c r="N133" s="123" t="s">
        <v>91</v>
      </c>
      <c r="O133" s="123" t="s">
        <v>126</v>
      </c>
      <c r="P133" s="123" t="s">
        <v>65</v>
      </c>
      <c r="Q133" s="123">
        <v>7.08</v>
      </c>
      <c r="R133" s="130">
        <v>3.8</v>
      </c>
      <c r="S133" s="123"/>
      <c r="T133" s="123"/>
      <c r="U133" s="127"/>
      <c r="V133" s="123" t="s">
        <v>169</v>
      </c>
      <c r="W133" s="123" t="s">
        <v>66</v>
      </c>
      <c r="X133" s="152" t="s">
        <v>170</v>
      </c>
      <c r="Y133" s="123">
        <v>18.510000000000002</v>
      </c>
      <c r="Z133" s="123">
        <v>16.940000000000001</v>
      </c>
      <c r="AA133" s="123"/>
      <c r="AB133" s="129">
        <f t="shared" ref="AB133:AB156" si="126">AVERAGE(Y133:AA133)</f>
        <v>17.725000000000001</v>
      </c>
      <c r="AC133" s="130">
        <f t="shared" si="116"/>
        <v>10.093728838874867</v>
      </c>
      <c r="AD133" s="131">
        <f t="shared" si="117"/>
        <v>1182177603.2725441</v>
      </c>
      <c r="AE133" s="129">
        <f t="shared" ref="AE133:AE138" si="127">AD133*100/AD$138</f>
        <v>24.603640412616738</v>
      </c>
      <c r="AF133" s="123">
        <v>20.55</v>
      </c>
      <c r="AG133" s="123">
        <v>20.420000000000002</v>
      </c>
      <c r="AH133" s="123"/>
      <c r="AI133" s="129">
        <f t="shared" ref="AI133:AI156" si="128">AVERAGE(AF133:AH133)</f>
        <v>20.484999999999999</v>
      </c>
      <c r="AJ133" s="123">
        <f t="shared" si="118"/>
        <v>3687.7854538289812</v>
      </c>
      <c r="AK133" s="132">
        <f t="shared" si="108"/>
        <v>737.55709076579626</v>
      </c>
      <c r="AL133" s="123">
        <v>26.64</v>
      </c>
      <c r="AM133" s="123">
        <v>27.56</v>
      </c>
      <c r="AN133" s="123"/>
      <c r="AO133" s="129">
        <f t="shared" ref="AO133:AO156" si="129">AVERAGE(AL133:AN133)</f>
        <v>27.1</v>
      </c>
      <c r="AP133" s="132">
        <f t="shared" si="120"/>
        <v>5.4798685460050363E-4</v>
      </c>
      <c r="AQ133" s="123">
        <f t="shared" si="121"/>
        <v>32458.199522472587</v>
      </c>
      <c r="AR133" s="132">
        <f t="shared" si="109"/>
        <v>6491.6399044945174</v>
      </c>
      <c r="AS133" s="132">
        <f t="shared" si="122"/>
        <v>8.8015422612971275</v>
      </c>
      <c r="AT133" s="123"/>
      <c r="AU133" s="123"/>
      <c r="AV133" s="123"/>
      <c r="AW133" s="133"/>
      <c r="AX133" s="133"/>
    </row>
    <row r="134" spans="2:50" s="93" customFormat="1" x14ac:dyDescent="0.35">
      <c r="B134" s="94" t="s">
        <v>54</v>
      </c>
      <c r="C134" s="94" t="s">
        <v>140</v>
      </c>
      <c r="D134" s="94" t="s">
        <v>172</v>
      </c>
      <c r="E134" s="95" t="s">
        <v>57</v>
      </c>
      <c r="F134" s="96" t="s">
        <v>58</v>
      </c>
      <c r="G134" s="94" t="s">
        <v>59</v>
      </c>
      <c r="H134" s="94">
        <v>-20</v>
      </c>
      <c r="I134" s="94" t="s">
        <v>161</v>
      </c>
      <c r="J134" s="94" t="s">
        <v>61</v>
      </c>
      <c r="K134" s="94" t="s">
        <v>62</v>
      </c>
      <c r="L134" s="94" t="s">
        <v>123</v>
      </c>
      <c r="M134" s="94" t="s">
        <v>169</v>
      </c>
      <c r="N134" s="94" t="s">
        <v>91</v>
      </c>
      <c r="O134" s="94" t="s">
        <v>126</v>
      </c>
      <c r="P134" s="94" t="s">
        <v>65</v>
      </c>
      <c r="Q134" s="94">
        <v>7.24</v>
      </c>
      <c r="R134" s="94">
        <v>3.63</v>
      </c>
      <c r="S134" s="94"/>
      <c r="T134" s="94"/>
      <c r="U134" s="97"/>
      <c r="V134" s="94" t="s">
        <v>169</v>
      </c>
      <c r="W134" s="94" t="s">
        <v>66</v>
      </c>
      <c r="X134" s="98" t="s">
        <v>170</v>
      </c>
      <c r="Y134" s="94">
        <v>19.12</v>
      </c>
      <c r="Z134" s="94">
        <v>18.62</v>
      </c>
      <c r="AA134" s="94"/>
      <c r="AB134" s="99">
        <f t="shared" si="126"/>
        <v>18.87</v>
      </c>
      <c r="AC134" s="100">
        <f t="shared" si="116"/>
        <v>4.6903884064952175</v>
      </c>
      <c r="AD134" s="101">
        <f t="shared" si="117"/>
        <v>549338328.11640322</v>
      </c>
      <c r="AE134" s="99">
        <f t="shared" si="127"/>
        <v>11.432903696051566</v>
      </c>
      <c r="AF134" s="94">
        <v>21.25</v>
      </c>
      <c r="AG134" s="94">
        <v>21.61</v>
      </c>
      <c r="AH134" s="94"/>
      <c r="AI134" s="99">
        <f t="shared" si="128"/>
        <v>21.43</v>
      </c>
      <c r="AJ134" s="94">
        <f t="shared" si="118"/>
        <v>1856.6088413175066</v>
      </c>
      <c r="AK134" s="102">
        <f t="shared" si="108"/>
        <v>371.32176826350133</v>
      </c>
      <c r="AL134" s="94">
        <v>26.82</v>
      </c>
      <c r="AM134" s="94">
        <v>27.32</v>
      </c>
      <c r="AN134" s="94"/>
      <c r="AO134" s="99">
        <f t="shared" si="129"/>
        <v>27.07</v>
      </c>
      <c r="AP134" s="102">
        <f t="shared" si="120"/>
        <v>5.5896819122871447E-4</v>
      </c>
      <c r="AQ134" s="94">
        <f t="shared" si="121"/>
        <v>33108.642890428477</v>
      </c>
      <c r="AR134" s="102">
        <f t="shared" si="109"/>
        <v>6621.7285780856955</v>
      </c>
      <c r="AS134" s="102">
        <f t="shared" si="122"/>
        <v>17.832858571832272</v>
      </c>
      <c r="AT134" s="94"/>
      <c r="AU134" s="94"/>
      <c r="AV134" s="94"/>
      <c r="AW134" s="95"/>
      <c r="AX134" s="95"/>
    </row>
    <row r="135" spans="2:50" s="61" customFormat="1" x14ac:dyDescent="0.35">
      <c r="B135" s="52" t="s">
        <v>54</v>
      </c>
      <c r="C135" s="52" t="s">
        <v>55</v>
      </c>
      <c r="D135" s="52" t="s">
        <v>168</v>
      </c>
      <c r="E135" s="53" t="s">
        <v>57</v>
      </c>
      <c r="F135" s="54" t="s">
        <v>58</v>
      </c>
      <c r="G135" s="52" t="s">
        <v>59</v>
      </c>
      <c r="H135" s="52">
        <v>-20</v>
      </c>
      <c r="I135" s="52" t="s">
        <v>161</v>
      </c>
      <c r="J135" s="52" t="s">
        <v>61</v>
      </c>
      <c r="K135" s="52" t="s">
        <v>62</v>
      </c>
      <c r="L135" s="52" t="s">
        <v>123</v>
      </c>
      <c r="M135" s="52" t="s">
        <v>169</v>
      </c>
      <c r="N135" s="52" t="s">
        <v>91</v>
      </c>
      <c r="O135" s="52" t="s">
        <v>126</v>
      </c>
      <c r="P135" s="52" t="s">
        <v>65</v>
      </c>
      <c r="Q135" s="52">
        <v>7.02</v>
      </c>
      <c r="R135" s="52">
        <v>4.33</v>
      </c>
      <c r="S135" s="52"/>
      <c r="T135" s="52"/>
      <c r="U135" s="55"/>
      <c r="V135" s="52" t="s">
        <v>169</v>
      </c>
      <c r="W135" s="52" t="s">
        <v>66</v>
      </c>
      <c r="X135" s="56" t="s">
        <v>170</v>
      </c>
      <c r="Y135" s="52">
        <v>18.829999999999998</v>
      </c>
      <c r="Z135" s="52">
        <v>19.079999999999998</v>
      </c>
      <c r="AA135" s="52"/>
      <c r="AB135" s="57">
        <f t="shared" si="126"/>
        <v>18.954999999999998</v>
      </c>
      <c r="AC135" s="58">
        <f t="shared" si="116"/>
        <v>4.4309816515080422</v>
      </c>
      <c r="AD135" s="59">
        <f t="shared" si="117"/>
        <v>518956606.87356967</v>
      </c>
      <c r="AE135" s="57">
        <f t="shared" si="127"/>
        <v>10.800595198152623</v>
      </c>
      <c r="AF135" s="52">
        <v>19.54</v>
      </c>
      <c r="AG135" s="52">
        <v>19.18</v>
      </c>
      <c r="AH135" s="52"/>
      <c r="AI135" s="57">
        <f t="shared" si="128"/>
        <v>19.36</v>
      </c>
      <c r="AJ135" s="154">
        <f t="shared" si="118"/>
        <v>8347.980004185074</v>
      </c>
      <c r="AK135" s="60">
        <f t="shared" si="108"/>
        <v>1669.5960008370148</v>
      </c>
      <c r="AL135" s="52">
        <v>26.87</v>
      </c>
      <c r="AM135" s="52">
        <v>28.14</v>
      </c>
      <c r="AN135" s="52"/>
      <c r="AO135" s="57">
        <f t="shared" si="129"/>
        <v>27.505000000000003</v>
      </c>
      <c r="AP135" s="60">
        <f t="shared" si="120"/>
        <v>4.192192932189241E-4</v>
      </c>
      <c r="AQ135" s="52">
        <f t="shared" si="121"/>
        <v>24831.076418593475</v>
      </c>
      <c r="AR135" s="60">
        <f t="shared" si="109"/>
        <v>4966.215283718695</v>
      </c>
      <c r="AS135" s="60">
        <f t="shared" si="122"/>
        <v>2.9745011854538426</v>
      </c>
      <c r="AT135" s="52"/>
      <c r="AU135" s="52"/>
      <c r="AV135" s="52"/>
      <c r="AW135" s="53"/>
      <c r="AX135" s="53"/>
    </row>
    <row r="136" spans="2:50" s="61" customFormat="1" x14ac:dyDescent="0.35">
      <c r="B136" s="52" t="s">
        <v>54</v>
      </c>
      <c r="C136" s="52" t="s">
        <v>55</v>
      </c>
      <c r="D136" s="52" t="s">
        <v>171</v>
      </c>
      <c r="E136" s="53" t="s">
        <v>57</v>
      </c>
      <c r="F136" s="54" t="s">
        <v>58</v>
      </c>
      <c r="G136" s="52" t="s">
        <v>59</v>
      </c>
      <c r="H136" s="52">
        <v>-20</v>
      </c>
      <c r="I136" s="52" t="s">
        <v>161</v>
      </c>
      <c r="J136" s="52" t="s">
        <v>61</v>
      </c>
      <c r="K136" s="52" t="s">
        <v>62</v>
      </c>
      <c r="L136" s="52" t="s">
        <v>123</v>
      </c>
      <c r="M136" s="52" t="s">
        <v>169</v>
      </c>
      <c r="N136" s="52" t="s">
        <v>91</v>
      </c>
      <c r="O136" s="52" t="s">
        <v>126</v>
      </c>
      <c r="P136" s="52" t="s">
        <v>65</v>
      </c>
      <c r="Q136" s="52">
        <v>7.13</v>
      </c>
      <c r="R136" s="52">
        <v>4.54</v>
      </c>
      <c r="S136" s="52"/>
      <c r="T136" s="52"/>
      <c r="U136" s="55"/>
      <c r="V136" s="52" t="s">
        <v>169</v>
      </c>
      <c r="W136" s="52" t="s">
        <v>66</v>
      </c>
      <c r="X136" s="56" t="s">
        <v>170</v>
      </c>
      <c r="Y136" s="52">
        <v>17.87</v>
      </c>
      <c r="Z136" s="52">
        <v>19.47</v>
      </c>
      <c r="AA136" s="52"/>
      <c r="AB136" s="57">
        <f t="shared" si="126"/>
        <v>18.670000000000002</v>
      </c>
      <c r="AC136" s="58">
        <f t="shared" si="116"/>
        <v>5.3622528975452255</v>
      </c>
      <c r="AD136" s="59">
        <f t="shared" si="117"/>
        <v>628027102.74391365</v>
      </c>
      <c r="AE136" s="57">
        <f t="shared" si="127"/>
        <v>13.070585132483219</v>
      </c>
      <c r="AF136" s="52">
        <v>21.05</v>
      </c>
      <c r="AG136" s="52">
        <v>20.92</v>
      </c>
      <c r="AH136" s="52"/>
      <c r="AI136" s="57">
        <f t="shared" si="128"/>
        <v>20.984999999999999</v>
      </c>
      <c r="AJ136" s="52">
        <f t="shared" si="118"/>
        <v>2564.8959785587008</v>
      </c>
      <c r="AK136" s="60">
        <f t="shared" si="108"/>
        <v>512.9791957117402</v>
      </c>
      <c r="AL136" s="52">
        <v>28.02</v>
      </c>
      <c r="AM136" s="52">
        <v>26.79</v>
      </c>
      <c r="AN136" s="52"/>
      <c r="AO136" s="57">
        <f t="shared" si="129"/>
        <v>27.405000000000001</v>
      </c>
      <c r="AP136" s="60">
        <f t="shared" si="120"/>
        <v>4.4788285864507342E-4</v>
      </c>
      <c r="AQ136" s="52">
        <f t="shared" si="121"/>
        <v>26528.868469290868</v>
      </c>
      <c r="AR136" s="60">
        <f t="shared" si="109"/>
        <v>5305.7736938581738</v>
      </c>
      <c r="AS136" s="60">
        <f t="shared" si="122"/>
        <v>10.343058233573398</v>
      </c>
      <c r="AT136" s="52"/>
      <c r="AU136" s="52"/>
      <c r="AV136" s="52"/>
      <c r="AW136" s="53"/>
      <c r="AX136" s="53"/>
    </row>
    <row r="137" spans="2:50" s="93" customFormat="1" x14ac:dyDescent="0.35">
      <c r="B137" s="94" t="s">
        <v>54</v>
      </c>
      <c r="C137" s="94" t="s">
        <v>55</v>
      </c>
      <c r="D137" s="94" t="s">
        <v>172</v>
      </c>
      <c r="E137" s="95" t="s">
        <v>57</v>
      </c>
      <c r="F137" s="96" t="s">
        <v>58</v>
      </c>
      <c r="G137" s="94" t="s">
        <v>59</v>
      </c>
      <c r="H137" s="94">
        <v>-20</v>
      </c>
      <c r="I137" s="94" t="s">
        <v>161</v>
      </c>
      <c r="J137" s="94" t="s">
        <v>61</v>
      </c>
      <c r="K137" s="94" t="s">
        <v>62</v>
      </c>
      <c r="L137" s="94" t="s">
        <v>123</v>
      </c>
      <c r="M137" s="94" t="s">
        <v>169</v>
      </c>
      <c r="N137" s="94" t="s">
        <v>91</v>
      </c>
      <c r="O137" s="94" t="s">
        <v>126</v>
      </c>
      <c r="P137" s="94" t="s">
        <v>65</v>
      </c>
      <c r="Q137" s="94">
        <v>7.27</v>
      </c>
      <c r="R137" s="100">
        <v>4.3</v>
      </c>
      <c r="S137" s="94"/>
      <c r="T137" s="94"/>
      <c r="U137" s="97"/>
      <c r="V137" s="94" t="s">
        <v>169</v>
      </c>
      <c r="W137" s="94" t="s">
        <v>66</v>
      </c>
      <c r="X137" s="98" t="s">
        <v>170</v>
      </c>
      <c r="Y137" s="94">
        <v>18.850000000000001</v>
      </c>
      <c r="Z137" s="94">
        <v>18.57</v>
      </c>
      <c r="AA137" s="94"/>
      <c r="AB137" s="99">
        <f t="shared" si="126"/>
        <v>18.71</v>
      </c>
      <c r="AC137" s="100">
        <f t="shared" si="116"/>
        <v>5.2205901014864207</v>
      </c>
      <c r="AD137" s="101">
        <f t="shared" si="117"/>
        <v>611435554.92338073</v>
      </c>
      <c r="AE137" s="99">
        <f t="shared" si="127"/>
        <v>12.725279591813949</v>
      </c>
      <c r="AF137" s="100">
        <v>18.899999999999999</v>
      </c>
      <c r="AG137" s="94">
        <v>19.13</v>
      </c>
      <c r="AH137" s="94"/>
      <c r="AI137" s="99">
        <f t="shared" si="128"/>
        <v>19.015000000000001</v>
      </c>
      <c r="AJ137" s="94">
        <f t="shared" si="118"/>
        <v>10724.858338971682</v>
      </c>
      <c r="AK137" s="102">
        <f t="shared" si="108"/>
        <v>2144.9716677943366</v>
      </c>
      <c r="AL137" s="94">
        <v>24.55</v>
      </c>
      <c r="AM137" s="94">
        <v>24.53</v>
      </c>
      <c r="AN137" s="94"/>
      <c r="AO137" s="99">
        <f t="shared" si="129"/>
        <v>24.54</v>
      </c>
      <c r="AP137" s="102">
        <f t="shared" si="120"/>
        <v>2.9790894878629578E-3</v>
      </c>
      <c r="AQ137" s="94">
        <f t="shared" si="121"/>
        <v>176456.57040961381</v>
      </c>
      <c r="AR137" s="102">
        <f t="shared" si="109"/>
        <v>35291.314081922763</v>
      </c>
      <c r="AS137" s="102">
        <f t="shared" si="122"/>
        <v>16.453044397650547</v>
      </c>
      <c r="AT137" s="94"/>
      <c r="AU137" s="94"/>
      <c r="AV137" s="94"/>
      <c r="AW137" s="95"/>
      <c r="AX137" s="95"/>
    </row>
    <row r="138" spans="2:50" x14ac:dyDescent="0.35">
      <c r="B138" s="8"/>
      <c r="C138" s="8"/>
      <c r="D138" s="8"/>
      <c r="E138" s="8" t="s">
        <v>173</v>
      </c>
      <c r="F138" s="8"/>
      <c r="G138" s="8" t="s">
        <v>106</v>
      </c>
      <c r="H138" s="8">
        <v>-80</v>
      </c>
      <c r="I138" s="8"/>
      <c r="J138" s="8"/>
      <c r="K138" s="8"/>
      <c r="L138" s="8"/>
      <c r="M138" s="8"/>
      <c r="N138" s="8" t="s">
        <v>107</v>
      </c>
      <c r="O138" s="8" t="s">
        <v>108</v>
      </c>
      <c r="P138" s="8" t="s">
        <v>108</v>
      </c>
      <c r="Q138" s="8" t="s">
        <v>108</v>
      </c>
      <c r="R138" s="8" t="s">
        <v>108</v>
      </c>
      <c r="S138" s="8"/>
      <c r="T138" s="8"/>
      <c r="U138" s="24"/>
      <c r="V138" s="8" t="s">
        <v>108</v>
      </c>
      <c r="W138" s="8" t="s">
        <v>108</v>
      </c>
      <c r="X138" s="11" t="s">
        <v>170</v>
      </c>
      <c r="Y138" s="8">
        <v>15.6</v>
      </c>
      <c r="Z138" s="8">
        <v>15.66</v>
      </c>
      <c r="AA138" s="8"/>
      <c r="AB138" s="21">
        <f t="shared" si="126"/>
        <v>15.629999999999999</v>
      </c>
      <c r="AC138" s="18">
        <f t="shared" si="116"/>
        <v>41.025346938897734</v>
      </c>
      <c r="AD138" s="51">
        <f t="shared" si="117"/>
        <v>4804888965.4001112</v>
      </c>
      <c r="AE138" s="21">
        <f t="shared" si="127"/>
        <v>100</v>
      </c>
      <c r="AF138" s="18">
        <v>24.1</v>
      </c>
      <c r="AG138" s="8">
        <v>24.66</v>
      </c>
      <c r="AH138" s="8"/>
      <c r="AI138" s="21">
        <f t="shared" si="128"/>
        <v>24.380000000000003</v>
      </c>
      <c r="AJ138" s="8">
        <f t="shared" si="118"/>
        <v>217.92881705737256</v>
      </c>
      <c r="AK138" s="60">
        <f t="shared" si="108"/>
        <v>43.58576341147451</v>
      </c>
      <c r="AL138" s="8">
        <v>26.97</v>
      </c>
      <c r="AM138" s="8">
        <v>28.35</v>
      </c>
      <c r="AN138" s="8"/>
      <c r="AO138" s="21">
        <f t="shared" si="129"/>
        <v>27.66</v>
      </c>
      <c r="AP138" s="19">
        <f t="shared" si="120"/>
        <v>3.7837316904506618E-4</v>
      </c>
      <c r="AQ138" s="8">
        <f t="shared" si="121"/>
        <v>22411.690557373673</v>
      </c>
      <c r="AR138" s="60">
        <f t="shared" si="109"/>
        <v>4482.3381114747344</v>
      </c>
      <c r="AS138" s="19">
        <f t="shared" si="122"/>
        <v>102.83949988804605</v>
      </c>
      <c r="AT138" s="8"/>
      <c r="AU138" s="8"/>
      <c r="AV138" s="8"/>
      <c r="AW138" s="9"/>
      <c r="AX138" s="9"/>
    </row>
    <row r="139" spans="2:50" x14ac:dyDescent="0.3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1"/>
      <c r="Y139" s="8"/>
      <c r="Z139" s="8"/>
      <c r="AA139" s="8"/>
      <c r="AB139" s="8"/>
      <c r="AC139" s="18"/>
      <c r="AD139" s="8"/>
      <c r="AE139" s="8"/>
      <c r="AF139" s="8"/>
      <c r="AG139" s="8"/>
      <c r="AH139" s="8"/>
      <c r="AI139" s="8"/>
      <c r="AJ139" s="8"/>
      <c r="AK139" s="60">
        <f t="shared" si="108"/>
        <v>0</v>
      </c>
      <c r="AL139" s="8"/>
      <c r="AM139" s="8"/>
      <c r="AN139" s="8"/>
      <c r="AO139" s="8"/>
      <c r="AP139" s="8"/>
      <c r="AQ139" s="8"/>
      <c r="AR139" s="60">
        <f t="shared" si="109"/>
        <v>0</v>
      </c>
      <c r="AS139" s="19"/>
      <c r="AT139" s="8"/>
      <c r="AU139" s="8"/>
      <c r="AV139" s="8"/>
      <c r="AW139" s="9"/>
      <c r="AX139" s="9"/>
    </row>
    <row r="140" spans="2:50" s="122" customFormat="1" x14ac:dyDescent="0.35">
      <c r="B140" s="123" t="s">
        <v>54</v>
      </c>
      <c r="C140" s="123" t="s">
        <v>140</v>
      </c>
      <c r="D140" s="123" t="s">
        <v>161</v>
      </c>
      <c r="E140" s="123" t="s">
        <v>57</v>
      </c>
      <c r="F140" s="153" t="s">
        <v>58</v>
      </c>
      <c r="G140" s="123" t="s">
        <v>59</v>
      </c>
      <c r="H140" s="123">
        <v>-20</v>
      </c>
      <c r="I140" s="123" t="s">
        <v>170</v>
      </c>
      <c r="J140" s="123" t="s">
        <v>61</v>
      </c>
      <c r="K140" s="123" t="s">
        <v>62</v>
      </c>
      <c r="L140" s="123" t="s">
        <v>123</v>
      </c>
      <c r="M140" s="123" t="s">
        <v>174</v>
      </c>
      <c r="N140" s="123" t="s">
        <v>91</v>
      </c>
      <c r="O140" s="123" t="s">
        <v>92</v>
      </c>
      <c r="P140" s="123" t="s">
        <v>65</v>
      </c>
      <c r="Q140" s="130">
        <v>7.3</v>
      </c>
      <c r="R140" s="123">
        <v>3.73</v>
      </c>
      <c r="S140" s="123"/>
      <c r="T140" s="123"/>
      <c r="U140" s="123"/>
      <c r="V140" s="123" t="s">
        <v>175</v>
      </c>
      <c r="W140" s="123" t="s">
        <v>66</v>
      </c>
      <c r="X140" s="152" t="s">
        <v>175</v>
      </c>
      <c r="Y140" s="123">
        <v>18.07</v>
      </c>
      <c r="Z140" s="123">
        <v>18.43</v>
      </c>
      <c r="AA140" s="123"/>
      <c r="AB140" s="129">
        <f t="shared" si="126"/>
        <v>18.25</v>
      </c>
      <c r="AC140" s="130">
        <f t="shared" si="116"/>
        <v>7.1029394220165614</v>
      </c>
      <c r="AD140" s="131">
        <f t="shared" si="117"/>
        <v>831896322.57305634</v>
      </c>
      <c r="AE140" s="129">
        <f>AD140*100/AD$144</f>
        <v>39.046053397005849</v>
      </c>
      <c r="AF140" s="123">
        <v>18.670000000000002</v>
      </c>
      <c r="AG140" s="123">
        <v>18.93</v>
      </c>
      <c r="AH140" s="123"/>
      <c r="AI140" s="129">
        <f t="shared" si="128"/>
        <v>18.8</v>
      </c>
      <c r="AJ140" s="123">
        <f t="shared" si="118"/>
        <v>12537.207022570268</v>
      </c>
      <c r="AK140" s="132">
        <f t="shared" si="108"/>
        <v>2507.4414045140538</v>
      </c>
      <c r="AL140" s="123">
        <v>30.48</v>
      </c>
      <c r="AM140" s="123">
        <v>30.55</v>
      </c>
      <c r="AN140" s="123"/>
      <c r="AO140" s="129">
        <f t="shared" si="129"/>
        <v>30.515000000000001</v>
      </c>
      <c r="AP140" s="132">
        <f t="shared" si="120"/>
        <v>5.7262926944737332E-5</v>
      </c>
      <c r="AQ140" s="123">
        <f t="shared" si="121"/>
        <v>3391.781194036233</v>
      </c>
      <c r="AR140" s="132">
        <f t="shared" si="109"/>
        <v>678.35623880724665</v>
      </c>
      <c r="AS140" s="132">
        <f t="shared" si="122"/>
        <v>0.27053722475270092</v>
      </c>
      <c r="AT140" s="123"/>
      <c r="AU140" s="123"/>
      <c r="AV140" s="123"/>
      <c r="AW140" s="133"/>
      <c r="AX140" s="133"/>
    </row>
    <row r="141" spans="2:50" s="122" customFormat="1" x14ac:dyDescent="0.35">
      <c r="B141" s="123" t="s">
        <v>54</v>
      </c>
      <c r="C141" s="123" t="s">
        <v>140</v>
      </c>
      <c r="D141" s="123" t="s">
        <v>169</v>
      </c>
      <c r="E141" s="123" t="s">
        <v>57</v>
      </c>
      <c r="F141" s="153" t="s">
        <v>58</v>
      </c>
      <c r="G141" s="123" t="s">
        <v>59</v>
      </c>
      <c r="H141" s="123">
        <v>-20</v>
      </c>
      <c r="I141" s="123" t="s">
        <v>170</v>
      </c>
      <c r="J141" s="123" t="s">
        <v>61</v>
      </c>
      <c r="K141" s="123" t="s">
        <v>62</v>
      </c>
      <c r="L141" s="123" t="s">
        <v>123</v>
      </c>
      <c r="M141" s="123" t="s">
        <v>174</v>
      </c>
      <c r="N141" s="123" t="s">
        <v>91</v>
      </c>
      <c r="O141" s="123" t="s">
        <v>92</v>
      </c>
      <c r="P141" s="123" t="s">
        <v>65</v>
      </c>
      <c r="Q141" s="123">
        <v>7.31</v>
      </c>
      <c r="R141" s="123">
        <v>3.74</v>
      </c>
      <c r="S141" s="123"/>
      <c r="T141" s="123"/>
      <c r="U141" s="123"/>
      <c r="V141" s="123" t="s">
        <v>175</v>
      </c>
      <c r="W141" s="123" t="s">
        <v>66</v>
      </c>
      <c r="X141" s="152" t="s">
        <v>175</v>
      </c>
      <c r="Y141" s="123">
        <v>18.670000000000002</v>
      </c>
      <c r="Z141" s="123">
        <v>18.55</v>
      </c>
      <c r="AA141" s="123"/>
      <c r="AB141" s="129">
        <f t="shared" si="126"/>
        <v>18.61</v>
      </c>
      <c r="AC141" s="130">
        <f t="shared" si="116"/>
        <v>5.5819872224635017</v>
      </c>
      <c r="AD141" s="131">
        <f t="shared" si="117"/>
        <v>653762388.65610719</v>
      </c>
      <c r="AE141" s="129">
        <f t="shared" ref="AE141:AE144" si="130">AD141*100/AD$144</f>
        <v>30.685123186343581</v>
      </c>
      <c r="AF141" s="123">
        <v>19.25</v>
      </c>
      <c r="AG141" s="123">
        <v>18.84</v>
      </c>
      <c r="AH141" s="123"/>
      <c r="AI141" s="129">
        <f t="shared" si="128"/>
        <v>19.045000000000002</v>
      </c>
      <c r="AJ141" s="123">
        <f t="shared" si="118"/>
        <v>10493.728194229652</v>
      </c>
      <c r="AK141" s="132">
        <f t="shared" si="108"/>
        <v>2098.7456388459304</v>
      </c>
      <c r="AL141" s="123">
        <v>31.09</v>
      </c>
      <c r="AM141" s="123">
        <v>31.11</v>
      </c>
      <c r="AN141" s="123"/>
      <c r="AO141" s="129">
        <f t="shared" si="129"/>
        <v>31.1</v>
      </c>
      <c r="AP141" s="132">
        <f t="shared" si="120"/>
        <v>3.8890447433373855E-5</v>
      </c>
      <c r="AQ141" s="123">
        <f t="shared" si="121"/>
        <v>2303.5477798658867</v>
      </c>
      <c r="AR141" s="132">
        <f t="shared" si="109"/>
        <v>460.70955597317732</v>
      </c>
      <c r="AS141" s="132">
        <f t="shared" si="122"/>
        <v>0.21951662338010372</v>
      </c>
      <c r="AT141" s="123"/>
      <c r="AU141" s="123"/>
      <c r="AV141" s="123"/>
      <c r="AW141" s="133"/>
      <c r="AX141" s="133"/>
    </row>
    <row r="142" spans="2:50" s="61" customFormat="1" x14ac:dyDescent="0.35">
      <c r="B142" s="52" t="s">
        <v>54</v>
      </c>
      <c r="C142" s="52" t="s">
        <v>55</v>
      </c>
      <c r="D142" s="52" t="s">
        <v>161</v>
      </c>
      <c r="E142" s="52" t="s">
        <v>57</v>
      </c>
      <c r="F142" s="54" t="s">
        <v>58</v>
      </c>
      <c r="G142" s="52" t="s">
        <v>59</v>
      </c>
      <c r="H142" s="52">
        <v>-20</v>
      </c>
      <c r="I142" s="52" t="s">
        <v>170</v>
      </c>
      <c r="J142" s="52" t="s">
        <v>61</v>
      </c>
      <c r="K142" s="52" t="s">
        <v>62</v>
      </c>
      <c r="L142" s="52" t="s">
        <v>123</v>
      </c>
      <c r="M142" s="52" t="s">
        <v>174</v>
      </c>
      <c r="N142" s="52" t="s">
        <v>91</v>
      </c>
      <c r="O142" s="52" t="s">
        <v>92</v>
      </c>
      <c r="P142" s="52" t="s">
        <v>65</v>
      </c>
      <c r="Q142" s="52">
        <v>7.46</v>
      </c>
      <c r="R142" s="52">
        <v>4.26</v>
      </c>
      <c r="S142" s="52"/>
      <c r="T142" s="52"/>
      <c r="U142" s="52"/>
      <c r="V142" s="52" t="s">
        <v>175</v>
      </c>
      <c r="W142" s="52" t="s">
        <v>66</v>
      </c>
      <c r="X142" s="56" t="s">
        <v>175</v>
      </c>
      <c r="Y142" s="52">
        <v>19.22</v>
      </c>
      <c r="Z142" s="52">
        <v>19.25</v>
      </c>
      <c r="AA142" s="52"/>
      <c r="AB142" s="57">
        <f t="shared" si="126"/>
        <v>19.234999999999999</v>
      </c>
      <c r="AC142" s="58">
        <f t="shared" si="116"/>
        <v>3.673720171203922</v>
      </c>
      <c r="AD142" s="59">
        <f t="shared" si="117"/>
        <v>430266136.1737116</v>
      </c>
      <c r="AE142" s="57">
        <f t="shared" si="130"/>
        <v>20.195058052425463</v>
      </c>
      <c r="AF142" s="52">
        <v>20.04</v>
      </c>
      <c r="AG142" s="52">
        <v>19.510000000000002</v>
      </c>
      <c r="AH142" s="52"/>
      <c r="AI142" s="57">
        <f t="shared" si="128"/>
        <v>19.774999999999999</v>
      </c>
      <c r="AJ142" s="52">
        <f t="shared" si="118"/>
        <v>6175.8083618401661</v>
      </c>
      <c r="AK142" s="60">
        <f t="shared" si="108"/>
        <v>1235.1616723680331</v>
      </c>
      <c r="AL142" s="52">
        <v>31.36</v>
      </c>
      <c r="AM142" s="52">
        <v>31.15</v>
      </c>
      <c r="AN142" s="52"/>
      <c r="AO142" s="57">
        <f t="shared" si="129"/>
        <v>31.254999999999999</v>
      </c>
      <c r="AP142" s="60">
        <f t="shared" si="120"/>
        <v>3.510120378276991E-5</v>
      </c>
      <c r="AQ142" s="52">
        <f t="shared" si="121"/>
        <v>2079.1043914560869</v>
      </c>
      <c r="AR142" s="60">
        <f t="shared" si="109"/>
        <v>415.82087829121735</v>
      </c>
      <c r="AS142" s="60">
        <f t="shared" si="122"/>
        <v>0.33665299660247061</v>
      </c>
      <c r="AT142" s="52"/>
      <c r="AU142" s="52"/>
      <c r="AV142" s="52"/>
      <c r="AW142" s="53"/>
      <c r="AX142" s="53"/>
    </row>
    <row r="143" spans="2:50" s="61" customFormat="1" x14ac:dyDescent="0.35">
      <c r="B143" s="52" t="s">
        <v>54</v>
      </c>
      <c r="C143" s="52" t="s">
        <v>55</v>
      </c>
      <c r="D143" s="52" t="s">
        <v>169</v>
      </c>
      <c r="E143" s="52" t="s">
        <v>57</v>
      </c>
      <c r="F143" s="54" t="s">
        <v>58</v>
      </c>
      <c r="G143" s="52" t="s">
        <v>59</v>
      </c>
      <c r="H143" s="52">
        <v>-20</v>
      </c>
      <c r="I143" s="52" t="s">
        <v>170</v>
      </c>
      <c r="J143" s="52" t="s">
        <v>61</v>
      </c>
      <c r="K143" s="52" t="s">
        <v>62</v>
      </c>
      <c r="L143" s="52" t="s">
        <v>123</v>
      </c>
      <c r="M143" s="52" t="s">
        <v>174</v>
      </c>
      <c r="N143" s="52" t="s">
        <v>91</v>
      </c>
      <c r="O143" s="52" t="s">
        <v>92</v>
      </c>
      <c r="P143" s="52" t="s">
        <v>65</v>
      </c>
      <c r="Q143" s="52">
        <v>6.79</v>
      </c>
      <c r="R143" s="52">
        <v>4.4800000000000004</v>
      </c>
      <c r="S143" s="52"/>
      <c r="T143" s="52"/>
      <c r="U143" s="52"/>
      <c r="V143" s="52" t="s">
        <v>175</v>
      </c>
      <c r="W143" s="52" t="s">
        <v>66</v>
      </c>
      <c r="X143" s="56" t="s">
        <v>175</v>
      </c>
      <c r="Y143" s="58">
        <v>23.5</v>
      </c>
      <c r="Z143" s="52">
        <v>23.26</v>
      </c>
      <c r="AA143" s="52"/>
      <c r="AB143" s="57">
        <f t="shared" si="126"/>
        <v>23.380000000000003</v>
      </c>
      <c r="AC143" s="58">
        <f t="shared" si="116"/>
        <v>0.22918488610032423</v>
      </c>
      <c r="AD143" s="59">
        <f t="shared" si="117"/>
        <v>26842135.714294985</v>
      </c>
      <c r="AE143" s="57">
        <f t="shared" si="130"/>
        <v>1.2598678897249223</v>
      </c>
      <c r="AF143" s="52">
        <v>21.31</v>
      </c>
      <c r="AG143" s="52">
        <v>21.46</v>
      </c>
      <c r="AH143" s="52"/>
      <c r="AI143" s="57">
        <f t="shared" si="128"/>
        <v>21.384999999999998</v>
      </c>
      <c r="AJ143" s="52">
        <f t="shared" si="118"/>
        <v>1918.2846181265438</v>
      </c>
      <c r="AK143" s="60">
        <f t="shared" si="108"/>
        <v>383.65692362530876</v>
      </c>
      <c r="AL143" s="52">
        <v>32.26</v>
      </c>
      <c r="AM143" s="52">
        <v>32.11</v>
      </c>
      <c r="AN143" s="52"/>
      <c r="AO143" s="57">
        <f t="shared" si="129"/>
        <v>32.185000000000002</v>
      </c>
      <c r="AP143" s="60">
        <f t="shared" si="120"/>
        <v>1.8975640176599252E-5</v>
      </c>
      <c r="AQ143" s="52">
        <f t="shared" si="121"/>
        <v>1123.9596529513894</v>
      </c>
      <c r="AR143" s="60">
        <f t="shared" si="109"/>
        <v>224.7919305902779</v>
      </c>
      <c r="AS143" s="60">
        <f t="shared" si="122"/>
        <v>0.58591912916920708</v>
      </c>
      <c r="AT143" s="52"/>
      <c r="AU143" s="52"/>
      <c r="AV143" s="52"/>
      <c r="AW143" s="53"/>
      <c r="AX143" s="53"/>
    </row>
    <row r="144" spans="2:50" x14ac:dyDescent="0.35">
      <c r="B144" s="8"/>
      <c r="C144" s="8"/>
      <c r="D144" s="8"/>
      <c r="E144" s="8" t="s">
        <v>173</v>
      </c>
      <c r="F144" s="8"/>
      <c r="G144" s="8" t="s">
        <v>106</v>
      </c>
      <c r="H144" s="8">
        <v>-80</v>
      </c>
      <c r="I144" s="8"/>
      <c r="J144" s="8"/>
      <c r="K144" s="8"/>
      <c r="L144" s="8"/>
      <c r="M144" s="8"/>
      <c r="N144" s="8" t="s">
        <v>107</v>
      </c>
      <c r="O144" s="8" t="s">
        <v>108</v>
      </c>
      <c r="P144" s="8" t="s">
        <v>108</v>
      </c>
      <c r="Q144" s="8" t="s">
        <v>108</v>
      </c>
      <c r="R144" s="8" t="s">
        <v>108</v>
      </c>
      <c r="S144" s="8"/>
      <c r="T144" s="8"/>
      <c r="U144" s="8"/>
      <c r="V144" s="8" t="s">
        <v>175</v>
      </c>
      <c r="W144" s="8" t="s">
        <v>66</v>
      </c>
      <c r="X144" s="11" t="s">
        <v>175</v>
      </c>
      <c r="Y144" s="8">
        <v>16.91</v>
      </c>
      <c r="Z144" s="8">
        <v>16.78</v>
      </c>
      <c r="AA144" s="8"/>
      <c r="AB144" s="21">
        <f t="shared" si="126"/>
        <v>16.844999999999999</v>
      </c>
      <c r="AC144" s="18">
        <f t="shared" si="116"/>
        <v>18.19118400980631</v>
      </c>
      <c r="AD144" s="51">
        <f t="shared" si="117"/>
        <v>2130551618.4046614</v>
      </c>
      <c r="AE144" s="21">
        <f t="shared" si="130"/>
        <v>100</v>
      </c>
      <c r="AF144" s="8">
        <v>26.75</v>
      </c>
      <c r="AG144" s="8">
        <v>26.82</v>
      </c>
      <c r="AH144" s="8"/>
      <c r="AI144" s="21">
        <f t="shared" si="128"/>
        <v>26.785</v>
      </c>
      <c r="AJ144" s="8">
        <f t="shared" si="118"/>
        <v>38.001210336019248</v>
      </c>
      <c r="AK144" s="60">
        <f t="shared" si="108"/>
        <v>7.6002420672038493</v>
      </c>
      <c r="AL144" s="18">
        <v>31.9</v>
      </c>
      <c r="AM144" s="8">
        <v>32.32</v>
      </c>
      <c r="AN144" s="8"/>
      <c r="AO144" s="21">
        <f t="shared" si="129"/>
        <v>32.11</v>
      </c>
      <c r="AP144" s="19">
        <f t="shared" si="120"/>
        <v>1.994062753521889E-5</v>
      </c>
      <c r="AQ144" s="8">
        <f t="shared" si="121"/>
        <v>1181.1175062097022</v>
      </c>
      <c r="AR144" s="60">
        <f t="shared" si="109"/>
        <v>236.22350124194045</v>
      </c>
      <c r="AS144" s="19">
        <f t="shared" si="122"/>
        <v>31.081049676204294</v>
      </c>
      <c r="AT144" s="8"/>
      <c r="AU144" s="8"/>
      <c r="AV144" s="8"/>
      <c r="AW144" s="9"/>
      <c r="AX144" s="9"/>
    </row>
    <row r="145" spans="2:50" x14ac:dyDescent="0.3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1"/>
      <c r="Y145" s="8"/>
      <c r="Z145" s="8"/>
      <c r="AA145" s="8"/>
      <c r="AB145" s="8"/>
      <c r="AC145" s="18"/>
      <c r="AD145" s="51"/>
      <c r="AE145" s="8"/>
      <c r="AF145" s="8"/>
      <c r="AG145" s="8"/>
      <c r="AH145" s="8"/>
      <c r="AI145" s="8"/>
      <c r="AJ145" s="8"/>
      <c r="AK145" s="60">
        <f t="shared" si="108"/>
        <v>0</v>
      </c>
      <c r="AL145" s="8"/>
      <c r="AM145" s="8"/>
      <c r="AN145" s="8"/>
      <c r="AO145" s="8"/>
      <c r="AP145" s="19"/>
      <c r="AQ145" s="8"/>
      <c r="AR145" s="60">
        <f t="shared" si="109"/>
        <v>0</v>
      </c>
      <c r="AS145" s="19"/>
      <c r="AT145" s="8"/>
      <c r="AU145" s="8"/>
      <c r="AV145" s="8"/>
      <c r="AW145" s="9"/>
      <c r="AX145" s="9"/>
    </row>
    <row r="146" spans="2:50" s="61" customFormat="1" x14ac:dyDescent="0.35">
      <c r="B146" s="52" t="s">
        <v>54</v>
      </c>
      <c r="C146" s="52" t="s">
        <v>55</v>
      </c>
      <c r="D146" s="52" t="s">
        <v>170</v>
      </c>
      <c r="E146" s="52" t="s">
        <v>57</v>
      </c>
      <c r="F146" s="54" t="s">
        <v>58</v>
      </c>
      <c r="G146" s="52" t="s">
        <v>59</v>
      </c>
      <c r="H146" s="52">
        <v>-20</v>
      </c>
      <c r="I146" s="52" t="s">
        <v>176</v>
      </c>
      <c r="J146" s="52" t="s">
        <v>61</v>
      </c>
      <c r="K146" s="52" t="s">
        <v>62</v>
      </c>
      <c r="L146" s="52" t="s">
        <v>123</v>
      </c>
      <c r="M146" s="52" t="s">
        <v>176</v>
      </c>
      <c r="N146" s="52" t="s">
        <v>91</v>
      </c>
      <c r="O146" s="52" t="s">
        <v>92</v>
      </c>
      <c r="P146" s="52" t="s">
        <v>65</v>
      </c>
      <c r="Q146" s="58">
        <v>7</v>
      </c>
      <c r="R146" s="52">
        <v>4.4800000000000004</v>
      </c>
      <c r="S146" s="52"/>
      <c r="T146" s="52"/>
      <c r="U146" s="52"/>
      <c r="V146" s="52" t="s">
        <v>175</v>
      </c>
      <c r="W146" s="52" t="s">
        <v>66</v>
      </c>
      <c r="X146" s="56" t="s">
        <v>175</v>
      </c>
      <c r="Y146" s="52">
        <v>20.16</v>
      </c>
      <c r="Z146" s="52">
        <v>20.03</v>
      </c>
      <c r="AA146" s="52"/>
      <c r="AB146" s="57">
        <f t="shared" si="126"/>
        <v>20.094999999999999</v>
      </c>
      <c r="AC146" s="58">
        <f t="shared" si="116"/>
        <v>2.0659061473445002</v>
      </c>
      <c r="AD146" s="59">
        <f t="shared" si="117"/>
        <v>241958944.69124383</v>
      </c>
      <c r="AE146" s="57">
        <f>AD146*100/AD$150</f>
        <v>10.909581111492347</v>
      </c>
      <c r="AF146" s="52">
        <v>19.829999999999998</v>
      </c>
      <c r="AG146" s="52">
        <v>20.47</v>
      </c>
      <c r="AH146" s="52"/>
      <c r="AI146" s="57">
        <f t="shared" si="128"/>
        <v>20.149999999999999</v>
      </c>
      <c r="AJ146" s="52">
        <f t="shared" si="118"/>
        <v>4703.5080694834223</v>
      </c>
      <c r="AK146" s="60">
        <f t="shared" si="108"/>
        <v>940.70161389668442</v>
      </c>
      <c r="AL146" s="52">
        <v>31.44</v>
      </c>
      <c r="AM146" s="52">
        <v>31.69</v>
      </c>
      <c r="AN146" s="52"/>
      <c r="AO146" s="57">
        <f t="shared" si="129"/>
        <v>31.565000000000001</v>
      </c>
      <c r="AP146" s="60">
        <f t="shared" si="120"/>
        <v>2.8594344990284266E-5</v>
      </c>
      <c r="AQ146" s="52">
        <f t="shared" si="121"/>
        <v>1693.6920057793814</v>
      </c>
      <c r="AR146" s="60">
        <f t="shared" si="109"/>
        <v>338.73840115587626</v>
      </c>
      <c r="AS146" s="60">
        <f t="shared" si="122"/>
        <v>0.36009122994135662</v>
      </c>
      <c r="AT146" s="52"/>
      <c r="AU146" s="52"/>
      <c r="AV146" s="52"/>
      <c r="AW146" s="53"/>
      <c r="AX146" s="53"/>
    </row>
    <row r="147" spans="2:50" s="61" customFormat="1" x14ac:dyDescent="0.35">
      <c r="B147" s="52" t="s">
        <v>54</v>
      </c>
      <c r="C147" s="52" t="s">
        <v>55</v>
      </c>
      <c r="D147" s="52" t="s">
        <v>174</v>
      </c>
      <c r="E147" s="52" t="s">
        <v>57</v>
      </c>
      <c r="F147" s="54" t="s">
        <v>58</v>
      </c>
      <c r="G147" s="52" t="s">
        <v>59</v>
      </c>
      <c r="H147" s="52">
        <v>-20</v>
      </c>
      <c r="I147" s="52" t="s">
        <v>176</v>
      </c>
      <c r="J147" s="52" t="s">
        <v>61</v>
      </c>
      <c r="K147" s="52" t="s">
        <v>62</v>
      </c>
      <c r="L147" s="52" t="s">
        <v>123</v>
      </c>
      <c r="M147" s="52" t="s">
        <v>176</v>
      </c>
      <c r="N147" s="52" t="s">
        <v>91</v>
      </c>
      <c r="O147" s="52" t="s">
        <v>92</v>
      </c>
      <c r="P147" s="52" t="s">
        <v>65</v>
      </c>
      <c r="Q147" s="58">
        <v>7</v>
      </c>
      <c r="R147" s="52">
        <v>4.2699999999999996</v>
      </c>
      <c r="S147" s="52"/>
      <c r="T147" s="52"/>
      <c r="U147" s="52"/>
      <c r="V147" s="52" t="s">
        <v>175</v>
      </c>
      <c r="W147" s="52" t="s">
        <v>66</v>
      </c>
      <c r="X147" s="56" t="s">
        <v>175</v>
      </c>
      <c r="Y147" s="52">
        <v>19.260000000000002</v>
      </c>
      <c r="Z147" s="52">
        <v>19.22</v>
      </c>
      <c r="AA147" s="52"/>
      <c r="AB147" s="57">
        <f t="shared" si="126"/>
        <v>19.240000000000002</v>
      </c>
      <c r="AC147" s="58">
        <f t="shared" si="116"/>
        <v>3.6614458085311248</v>
      </c>
      <c r="AD147" s="59">
        <f t="shared" si="117"/>
        <v>428828562.7181676</v>
      </c>
      <c r="AE147" s="57">
        <f t="shared" ref="AE147:AE150" si="131">AD147*100/AD$150</f>
        <v>19.335263649246009</v>
      </c>
      <c r="AF147" s="52">
        <v>19.68</v>
      </c>
      <c r="AG147" s="52">
        <v>19.28</v>
      </c>
      <c r="AH147" s="52"/>
      <c r="AI147" s="57">
        <f t="shared" si="128"/>
        <v>19.48</v>
      </c>
      <c r="AJ147" s="52">
        <f t="shared" si="118"/>
        <v>7651.2851288664251</v>
      </c>
      <c r="AK147" s="60">
        <f t="shared" si="108"/>
        <v>1530.257025773285</v>
      </c>
      <c r="AL147" s="58">
        <v>30.6</v>
      </c>
      <c r="AM147" s="52">
        <v>30.13</v>
      </c>
      <c r="AN147" s="52"/>
      <c r="AO147" s="57">
        <f t="shared" si="129"/>
        <v>30.365000000000002</v>
      </c>
      <c r="AP147" s="60">
        <f t="shared" si="120"/>
        <v>6.3235115023402302E-5</v>
      </c>
      <c r="AQ147" s="52">
        <f t="shared" si="121"/>
        <v>3745.5241180053836</v>
      </c>
      <c r="AR147" s="60">
        <f t="shared" si="109"/>
        <v>749.10482360107676</v>
      </c>
      <c r="AS147" s="60">
        <f t="shared" si="122"/>
        <v>0.4895287595379812</v>
      </c>
      <c r="AT147" s="52"/>
      <c r="AU147" s="52"/>
      <c r="AV147" s="52"/>
      <c r="AW147" s="53"/>
      <c r="AX147" s="53"/>
    </row>
    <row r="148" spans="2:50" s="122" customFormat="1" x14ac:dyDescent="0.35">
      <c r="B148" s="123" t="s">
        <v>54</v>
      </c>
      <c r="C148" s="123" t="s">
        <v>140</v>
      </c>
      <c r="D148" s="123" t="s">
        <v>170</v>
      </c>
      <c r="E148" s="123" t="s">
        <v>57</v>
      </c>
      <c r="F148" s="153" t="s">
        <v>58</v>
      </c>
      <c r="G148" s="123" t="s">
        <v>59</v>
      </c>
      <c r="H148" s="123">
        <v>-20</v>
      </c>
      <c r="I148" s="123" t="s">
        <v>176</v>
      </c>
      <c r="J148" s="123" t="s">
        <v>61</v>
      </c>
      <c r="K148" s="123" t="s">
        <v>62</v>
      </c>
      <c r="L148" s="123" t="s">
        <v>123</v>
      </c>
      <c r="M148" s="123" t="s">
        <v>176</v>
      </c>
      <c r="N148" s="123" t="s">
        <v>91</v>
      </c>
      <c r="O148" s="123" t="s">
        <v>92</v>
      </c>
      <c r="P148" s="123" t="s">
        <v>65</v>
      </c>
      <c r="Q148" s="130">
        <v>7</v>
      </c>
      <c r="R148" s="123">
        <v>3.85</v>
      </c>
      <c r="S148" s="123"/>
      <c r="T148" s="123"/>
      <c r="U148" s="123"/>
      <c r="V148" s="123" t="s">
        <v>175</v>
      </c>
      <c r="W148" s="123" t="s">
        <v>66</v>
      </c>
      <c r="X148" s="152" t="s">
        <v>175</v>
      </c>
      <c r="Y148" s="123" t="s">
        <v>95</v>
      </c>
      <c r="Z148" s="156">
        <v>18.84</v>
      </c>
      <c r="AA148" s="123"/>
      <c r="AB148" s="129">
        <f t="shared" si="126"/>
        <v>18.84</v>
      </c>
      <c r="AC148" s="130">
        <f t="shared" si="116"/>
        <v>4.7855249016260393</v>
      </c>
      <c r="AD148" s="131">
        <f t="shared" si="117"/>
        <v>560480715.19582891</v>
      </c>
      <c r="AE148" s="129">
        <f t="shared" si="131"/>
        <v>25.271270015079615</v>
      </c>
      <c r="AF148" s="123">
        <v>19.22</v>
      </c>
      <c r="AG148" s="123">
        <v>19.05</v>
      </c>
      <c r="AH148" s="123"/>
      <c r="AI148" s="129">
        <f t="shared" si="128"/>
        <v>19.134999999999998</v>
      </c>
      <c r="AJ148" s="123">
        <f t="shared" si="118"/>
        <v>9829.7970379702401</v>
      </c>
      <c r="AK148" s="132">
        <f t="shared" si="108"/>
        <v>1965.9594075940481</v>
      </c>
      <c r="AL148" s="123">
        <v>34.26</v>
      </c>
      <c r="AM148" s="123">
        <v>30.79</v>
      </c>
      <c r="AN148" s="123"/>
      <c r="AO148" s="129">
        <f t="shared" si="129"/>
        <v>32.524999999999999</v>
      </c>
      <c r="AP148" s="132">
        <f t="shared" si="120"/>
        <v>1.5154360854873317E-5</v>
      </c>
      <c r="AQ148" s="123">
        <f t="shared" si="121"/>
        <v>897.61873689766117</v>
      </c>
      <c r="AR148" s="132">
        <f t="shared" si="109"/>
        <v>179.52374737953224</v>
      </c>
      <c r="AS148" s="132">
        <f t="shared" si="122"/>
        <v>9.1316100773023781E-2</v>
      </c>
      <c r="AT148" s="123"/>
      <c r="AU148" s="123"/>
      <c r="AV148" s="123"/>
      <c r="AW148" s="133"/>
      <c r="AX148" s="133"/>
    </row>
    <row r="149" spans="2:50" s="122" customFormat="1" x14ac:dyDescent="0.35">
      <c r="B149" s="123" t="s">
        <v>54</v>
      </c>
      <c r="C149" s="123" t="s">
        <v>140</v>
      </c>
      <c r="D149" s="123" t="s">
        <v>170</v>
      </c>
      <c r="E149" s="123" t="s">
        <v>57</v>
      </c>
      <c r="F149" s="153" t="s">
        <v>58</v>
      </c>
      <c r="G149" s="123" t="s">
        <v>59</v>
      </c>
      <c r="H149" s="123">
        <v>-20</v>
      </c>
      <c r="I149" s="123" t="s">
        <v>176</v>
      </c>
      <c r="J149" s="123" t="s">
        <v>61</v>
      </c>
      <c r="K149" s="123" t="s">
        <v>62</v>
      </c>
      <c r="L149" s="123" t="s">
        <v>123</v>
      </c>
      <c r="M149" s="123" t="s">
        <v>176</v>
      </c>
      <c r="N149" s="123" t="s">
        <v>91</v>
      </c>
      <c r="O149" s="123" t="s">
        <v>92</v>
      </c>
      <c r="P149" s="123" t="s">
        <v>65</v>
      </c>
      <c r="Q149" s="130">
        <v>7</v>
      </c>
      <c r="R149" s="123">
        <v>3.83</v>
      </c>
      <c r="S149" s="123"/>
      <c r="T149" s="123"/>
      <c r="U149" s="123"/>
      <c r="V149" s="123" t="s">
        <v>175</v>
      </c>
      <c r="W149" s="123" t="s">
        <v>66</v>
      </c>
      <c r="X149" s="152" t="s">
        <v>175</v>
      </c>
      <c r="Y149" s="130">
        <v>18.600000000000001</v>
      </c>
      <c r="Z149" s="123">
        <v>18.46</v>
      </c>
      <c r="AA149" s="123"/>
      <c r="AB149" s="129">
        <f t="shared" si="126"/>
        <v>18.53</v>
      </c>
      <c r="AC149" s="130">
        <f t="shared" si="116"/>
        <v>5.889036308832571</v>
      </c>
      <c r="AD149" s="131">
        <f t="shared" si="117"/>
        <v>689723980.13583958</v>
      </c>
      <c r="AE149" s="129">
        <f t="shared" si="131"/>
        <v>31.098663103507835</v>
      </c>
      <c r="AF149" s="123">
        <v>18.11</v>
      </c>
      <c r="AG149" s="123">
        <v>18.260000000000002</v>
      </c>
      <c r="AH149" s="123"/>
      <c r="AI149" s="129">
        <f t="shared" si="128"/>
        <v>18.185000000000002</v>
      </c>
      <c r="AJ149" s="123">
        <f t="shared" si="118"/>
        <v>19595.96893704301</v>
      </c>
      <c r="AK149" s="132">
        <f t="shared" si="108"/>
        <v>3919.193787408602</v>
      </c>
      <c r="AL149" s="123">
        <v>32.17</v>
      </c>
      <c r="AM149" s="123">
        <v>31.54</v>
      </c>
      <c r="AN149" s="123"/>
      <c r="AO149" s="129">
        <f t="shared" si="129"/>
        <v>31.855</v>
      </c>
      <c r="AP149" s="132">
        <f t="shared" si="120"/>
        <v>2.3603854591990748E-5</v>
      </c>
      <c r="AQ149" s="123">
        <f t="shared" si="121"/>
        <v>1398.0967160330902</v>
      </c>
      <c r="AR149" s="132">
        <f t="shared" si="109"/>
        <v>279.61934320661805</v>
      </c>
      <c r="AS149" s="132">
        <f t="shared" si="122"/>
        <v>7.1346138612733492E-2</v>
      </c>
      <c r="AT149" s="123"/>
      <c r="AU149" s="123"/>
      <c r="AV149" s="123"/>
      <c r="AW149" s="133"/>
      <c r="AX149" s="133"/>
    </row>
    <row r="150" spans="2:50" x14ac:dyDescent="0.35">
      <c r="B150" s="8"/>
      <c r="C150" s="8"/>
      <c r="D150" s="8"/>
      <c r="E150" s="8" t="s">
        <v>105</v>
      </c>
      <c r="F150" s="8" t="s">
        <v>108</v>
      </c>
      <c r="G150" s="8" t="s">
        <v>106</v>
      </c>
      <c r="H150" s="8">
        <v>-80</v>
      </c>
      <c r="I150" s="8"/>
      <c r="J150" s="8"/>
      <c r="K150" s="8"/>
      <c r="L150" s="8"/>
      <c r="M150" s="8"/>
      <c r="N150" s="8" t="s">
        <v>91</v>
      </c>
      <c r="O150" s="8"/>
      <c r="P150" s="8" t="s">
        <v>108</v>
      </c>
      <c r="Q150" s="8" t="s">
        <v>108</v>
      </c>
      <c r="R150" s="8" t="s">
        <v>108</v>
      </c>
      <c r="S150" s="8"/>
      <c r="T150" s="8"/>
      <c r="U150" s="8"/>
      <c r="V150" s="8" t="s">
        <v>175</v>
      </c>
      <c r="W150" s="8" t="s">
        <v>66</v>
      </c>
      <c r="X150" s="11" t="s">
        <v>175</v>
      </c>
      <c r="Y150" s="8">
        <v>16.93</v>
      </c>
      <c r="Z150" s="8">
        <v>16.64</v>
      </c>
      <c r="AA150" s="8"/>
      <c r="AB150" s="21">
        <f t="shared" si="126"/>
        <v>16.785</v>
      </c>
      <c r="AC150" s="18">
        <f t="shared" si="116"/>
        <v>18.936622096042147</v>
      </c>
      <c r="AD150" s="51">
        <f t="shared" si="117"/>
        <v>2217857333.0955849</v>
      </c>
      <c r="AE150" s="21">
        <f t="shared" si="131"/>
        <v>100</v>
      </c>
      <c r="AF150" s="8">
        <v>28.18</v>
      </c>
      <c r="AG150" s="8">
        <v>28.35</v>
      </c>
      <c r="AH150" s="8"/>
      <c r="AI150" s="21">
        <f t="shared" si="128"/>
        <v>28.265000000000001</v>
      </c>
      <c r="AJ150" s="8">
        <f t="shared" si="118"/>
        <v>12.97231822308871</v>
      </c>
      <c r="AK150" s="60">
        <f t="shared" si="108"/>
        <v>2.594463644617742</v>
      </c>
      <c r="AL150" s="8">
        <v>32.03</v>
      </c>
      <c r="AM150" s="8">
        <v>32.03</v>
      </c>
      <c r="AN150" s="8"/>
      <c r="AO150" s="21">
        <f t="shared" si="129"/>
        <v>32.03</v>
      </c>
      <c r="AP150" s="19">
        <f t="shared" si="120"/>
        <v>2.1024097673963495E-5</v>
      </c>
      <c r="AQ150" s="8">
        <f t="shared" si="121"/>
        <v>1245.293297371064</v>
      </c>
      <c r="AR150" s="60">
        <f t="shared" si="109"/>
        <v>249.05865947421279</v>
      </c>
      <c r="AS150" s="19">
        <f t="shared" si="122"/>
        <v>95.996203296542276</v>
      </c>
      <c r="AT150" s="8"/>
      <c r="AU150" s="8"/>
      <c r="AV150" s="8"/>
      <c r="AW150" s="9"/>
      <c r="AX150" s="9"/>
    </row>
    <row r="151" spans="2:50" s="61" customFormat="1" x14ac:dyDescent="0.35">
      <c r="B151" s="52" t="s">
        <v>177</v>
      </c>
      <c r="C151" s="52" t="s">
        <v>55</v>
      </c>
      <c r="D151" s="52" t="s">
        <v>172</v>
      </c>
      <c r="E151" s="52" t="s">
        <v>57</v>
      </c>
      <c r="F151" s="54" t="s">
        <v>58</v>
      </c>
      <c r="G151" s="52" t="s">
        <v>178</v>
      </c>
      <c r="H151" s="52">
        <v>-20</v>
      </c>
      <c r="I151" s="52" t="s">
        <v>161</v>
      </c>
      <c r="J151" s="52" t="s">
        <v>61</v>
      </c>
      <c r="K151" s="52" t="s">
        <v>62</v>
      </c>
      <c r="L151" s="52" t="s">
        <v>63</v>
      </c>
      <c r="M151" s="52" t="s">
        <v>170</v>
      </c>
      <c r="N151" s="52" t="s">
        <v>91</v>
      </c>
      <c r="O151" s="52" t="s">
        <v>92</v>
      </c>
      <c r="P151" s="52" t="s">
        <v>65</v>
      </c>
      <c r="Q151" s="155">
        <v>7.27</v>
      </c>
      <c r="R151" s="58">
        <v>4.3</v>
      </c>
      <c r="S151" s="52"/>
      <c r="T151" s="52"/>
      <c r="U151" s="52"/>
      <c r="V151" s="52" t="s">
        <v>175</v>
      </c>
      <c r="W151" s="52" t="s">
        <v>66</v>
      </c>
      <c r="X151" s="56" t="s">
        <v>175</v>
      </c>
      <c r="Y151" s="52">
        <v>18.29</v>
      </c>
      <c r="Z151" s="52">
        <v>18.13</v>
      </c>
      <c r="AA151" s="52"/>
      <c r="AB151" s="57">
        <f t="shared" si="126"/>
        <v>18.21</v>
      </c>
      <c r="AC151" s="58">
        <f t="shared" si="116"/>
        <v>7.2956805181759181</v>
      </c>
      <c r="AD151" s="59">
        <f t="shared" si="117"/>
        <v>854470161.31461608</v>
      </c>
      <c r="AE151" s="57">
        <f>AD151*100/AD$155</f>
        <v>52.593887452499615</v>
      </c>
      <c r="AF151" s="52">
        <v>18.37</v>
      </c>
      <c r="AG151" s="52">
        <v>18.21</v>
      </c>
      <c r="AH151" s="52"/>
      <c r="AI151" s="57">
        <f t="shared" si="128"/>
        <v>18.29</v>
      </c>
      <c r="AJ151" s="52">
        <f t="shared" si="118"/>
        <v>18157.272248221565</v>
      </c>
      <c r="AK151" s="60">
        <f t="shared" si="108"/>
        <v>3631.4544496443132</v>
      </c>
      <c r="AL151" s="58">
        <v>29.3</v>
      </c>
      <c r="AM151" s="52">
        <v>29.51</v>
      </c>
      <c r="AN151" s="52"/>
      <c r="AO151" s="57">
        <f t="shared" si="129"/>
        <v>29.405000000000001</v>
      </c>
      <c r="AP151" s="60">
        <f t="shared" si="120"/>
        <v>1.1931659222025245E-4</v>
      </c>
      <c r="AQ151" s="52">
        <f t="shared" si="121"/>
        <v>7067.3260208948359</v>
      </c>
      <c r="AR151" s="60">
        <f t="shared" si="109"/>
        <v>1413.4652041789673</v>
      </c>
      <c r="AS151" s="60">
        <f t="shared" si="122"/>
        <v>0.3892283997441881</v>
      </c>
      <c r="AT151" s="52"/>
      <c r="AU151" s="52"/>
      <c r="AV151" s="52"/>
      <c r="AW151" s="53"/>
      <c r="AX151" s="53"/>
    </row>
    <row r="152" spans="2:50" s="61" customFormat="1" x14ac:dyDescent="0.35">
      <c r="B152" s="52" t="s">
        <v>177</v>
      </c>
      <c r="C152" s="52" t="s">
        <v>55</v>
      </c>
      <c r="D152" s="52" t="s">
        <v>172</v>
      </c>
      <c r="E152" s="52" t="s">
        <v>57</v>
      </c>
      <c r="F152" s="54" t="s">
        <v>58</v>
      </c>
      <c r="G152" s="52" t="s">
        <v>146</v>
      </c>
      <c r="H152" s="52">
        <v>-20</v>
      </c>
      <c r="I152" s="52" t="s">
        <v>161</v>
      </c>
      <c r="J152" s="52" t="s">
        <v>61</v>
      </c>
      <c r="K152" s="52" t="s">
        <v>62</v>
      </c>
      <c r="L152" s="52" t="s">
        <v>63</v>
      </c>
      <c r="M152" s="52" t="s">
        <v>176</v>
      </c>
      <c r="N152" s="52" t="s">
        <v>91</v>
      </c>
      <c r="O152" s="52" t="s">
        <v>92</v>
      </c>
      <c r="P152" s="52" t="s">
        <v>65</v>
      </c>
      <c r="Q152" s="61">
        <v>7.27</v>
      </c>
      <c r="R152" s="58">
        <v>4.3</v>
      </c>
      <c r="S152" s="52"/>
      <c r="T152" s="52"/>
      <c r="U152" s="52"/>
      <c r="V152" s="52" t="s">
        <v>175</v>
      </c>
      <c r="W152" s="52" t="s">
        <v>66</v>
      </c>
      <c r="X152" s="56" t="s">
        <v>175</v>
      </c>
      <c r="Y152" s="52">
        <v>18.82</v>
      </c>
      <c r="Z152" s="52">
        <v>19.05</v>
      </c>
      <c r="AA152" s="52"/>
      <c r="AB152" s="57">
        <f t="shared" si="126"/>
        <v>18.935000000000002</v>
      </c>
      <c r="AC152" s="58">
        <f t="shared" si="116"/>
        <v>4.4906974875499248</v>
      </c>
      <c r="AD152" s="59">
        <f t="shared" si="117"/>
        <v>525950526.07392716</v>
      </c>
      <c r="AE152" s="57">
        <f>AD152*100/AD$156</f>
        <v>23.714353408829467</v>
      </c>
      <c r="AF152" s="52">
        <v>19.05</v>
      </c>
      <c r="AG152" s="52">
        <v>18.84</v>
      </c>
      <c r="AH152" s="52"/>
      <c r="AI152" s="57">
        <f t="shared" si="128"/>
        <v>18.945</v>
      </c>
      <c r="AJ152" s="52">
        <f t="shared" si="118"/>
        <v>11284.153598559706</v>
      </c>
      <c r="AK152" s="60">
        <f t="shared" si="108"/>
        <v>2256.8307197119411</v>
      </c>
      <c r="AL152" s="52">
        <v>29.77</v>
      </c>
      <c r="AM152" s="52">
        <v>30.32</v>
      </c>
      <c r="AN152" s="52"/>
      <c r="AO152" s="57">
        <f t="shared" si="129"/>
        <v>30.045000000000002</v>
      </c>
      <c r="AP152" s="60">
        <f t="shared" si="120"/>
        <v>7.8139834837748145E-5</v>
      </c>
      <c r="AQ152" s="52">
        <f t="shared" si="121"/>
        <v>4628.3561887003571</v>
      </c>
      <c r="AR152" s="60">
        <f t="shared" si="109"/>
        <v>925.67123774007143</v>
      </c>
      <c r="AS152" s="60">
        <f t="shared" si="122"/>
        <v>0.41016423148397363</v>
      </c>
      <c r="AT152" s="52"/>
      <c r="AU152" s="52"/>
      <c r="AV152" s="52"/>
      <c r="AW152" s="53"/>
      <c r="AX152" s="53"/>
    </row>
    <row r="153" spans="2:50" s="122" customFormat="1" x14ac:dyDescent="0.35">
      <c r="B153" s="123" t="s">
        <v>177</v>
      </c>
      <c r="C153" s="123" t="s">
        <v>140</v>
      </c>
      <c r="D153" s="123" t="s">
        <v>172</v>
      </c>
      <c r="E153" s="123" t="s">
        <v>57</v>
      </c>
      <c r="F153" s="123" t="s">
        <v>58</v>
      </c>
      <c r="G153" s="123" t="s">
        <v>178</v>
      </c>
      <c r="H153" s="123">
        <v>-20</v>
      </c>
      <c r="I153" s="123" t="s">
        <v>161</v>
      </c>
      <c r="J153" s="123" t="s">
        <v>61</v>
      </c>
      <c r="K153" s="123" t="s">
        <v>62</v>
      </c>
      <c r="L153" s="123" t="s">
        <v>63</v>
      </c>
      <c r="M153" s="123" t="s">
        <v>170</v>
      </c>
      <c r="N153" s="123" t="s">
        <v>91</v>
      </c>
      <c r="O153" s="123" t="s">
        <v>92</v>
      </c>
      <c r="P153" s="123" t="s">
        <v>65</v>
      </c>
      <c r="Q153" s="123">
        <v>7.24</v>
      </c>
      <c r="R153" s="123">
        <v>3.63</v>
      </c>
      <c r="S153" s="123"/>
      <c r="T153" s="123"/>
      <c r="U153" s="123"/>
      <c r="V153" s="123" t="s">
        <v>175</v>
      </c>
      <c r="W153" s="123" t="s">
        <v>66</v>
      </c>
      <c r="X153" s="152" t="s">
        <v>175</v>
      </c>
      <c r="Y153" s="123">
        <v>18.23</v>
      </c>
      <c r="Z153" s="123">
        <v>18.05</v>
      </c>
      <c r="AA153" s="123"/>
      <c r="AB153" s="129">
        <f t="shared" si="126"/>
        <v>18.14</v>
      </c>
      <c r="AC153" s="130">
        <f t="shared" si="116"/>
        <v>7.6456476109425173</v>
      </c>
      <c r="AD153" s="131">
        <f t="shared" si="117"/>
        <v>895458310.05085611</v>
      </c>
      <c r="AE153" s="129">
        <f>AD153*100/AD$155</f>
        <v>55.116767921729227</v>
      </c>
      <c r="AF153" s="123">
        <v>18.66</v>
      </c>
      <c r="AG153" s="123">
        <v>19.059999999999999</v>
      </c>
      <c r="AH153" s="123"/>
      <c r="AI153" s="129">
        <f t="shared" si="128"/>
        <v>18.86</v>
      </c>
      <c r="AJ153" s="123">
        <f t="shared" si="118"/>
        <v>12002.654098116029</v>
      </c>
      <c r="AK153" s="132">
        <f t="shared" si="108"/>
        <v>2400.5308196232058</v>
      </c>
      <c r="AL153" s="123">
        <v>29.91</v>
      </c>
      <c r="AM153" s="123">
        <v>29.47</v>
      </c>
      <c r="AN153" s="123"/>
      <c r="AO153" s="129">
        <f t="shared" si="129"/>
        <v>29.689999999999998</v>
      </c>
      <c r="AP153" s="132">
        <f t="shared" si="120"/>
        <v>9.8818846018840123E-5</v>
      </c>
      <c r="AQ153" s="123">
        <f t="shared" si="121"/>
        <v>5853.2094223288341</v>
      </c>
      <c r="AR153" s="132">
        <f t="shared" si="109"/>
        <v>1170.6418844657669</v>
      </c>
      <c r="AS153" s="132">
        <f t="shared" si="122"/>
        <v>0.48765959382663299</v>
      </c>
      <c r="AT153" s="123"/>
      <c r="AU153" s="123"/>
      <c r="AV153" s="123"/>
      <c r="AW153" s="133"/>
      <c r="AX153" s="133"/>
    </row>
    <row r="154" spans="2:50" s="122" customFormat="1" x14ac:dyDescent="0.35">
      <c r="B154" s="123" t="s">
        <v>177</v>
      </c>
      <c r="C154" s="123" t="s">
        <v>140</v>
      </c>
      <c r="D154" s="123" t="s">
        <v>172</v>
      </c>
      <c r="E154" s="123" t="s">
        <v>57</v>
      </c>
      <c r="F154" s="153" t="s">
        <v>58</v>
      </c>
      <c r="G154" s="123" t="s">
        <v>146</v>
      </c>
      <c r="H154" s="123">
        <v>-20</v>
      </c>
      <c r="I154" s="123" t="s">
        <v>161</v>
      </c>
      <c r="J154" s="123" t="s">
        <v>61</v>
      </c>
      <c r="K154" s="123" t="s">
        <v>62</v>
      </c>
      <c r="L154" s="123" t="s">
        <v>63</v>
      </c>
      <c r="M154" s="123" t="s">
        <v>176</v>
      </c>
      <c r="N154" s="123" t="s">
        <v>91</v>
      </c>
      <c r="O154" s="123" t="s">
        <v>92</v>
      </c>
      <c r="P154" s="123" t="s">
        <v>65</v>
      </c>
      <c r="Q154" s="123">
        <v>7.24</v>
      </c>
      <c r="R154" s="123">
        <v>3.63</v>
      </c>
      <c r="S154" s="123"/>
      <c r="T154" s="123"/>
      <c r="U154" s="123"/>
      <c r="V154" s="123" t="s">
        <v>175</v>
      </c>
      <c r="W154" s="123" t="s">
        <v>66</v>
      </c>
      <c r="X154" s="152" t="s">
        <v>175</v>
      </c>
      <c r="Y154" s="123">
        <v>19.57</v>
      </c>
      <c r="Z154" s="123">
        <v>19.84</v>
      </c>
      <c r="AA154" s="123"/>
      <c r="AB154" s="129">
        <f t="shared" si="126"/>
        <v>19.704999999999998</v>
      </c>
      <c r="AC154" s="130">
        <f t="shared" si="116"/>
        <v>2.6821349999465598</v>
      </c>
      <c r="AD154" s="131">
        <f t="shared" si="117"/>
        <v>314131672.89360923</v>
      </c>
      <c r="AE154" s="129">
        <f>AD154*100/AD$156</f>
        <v>14.163745711053402</v>
      </c>
      <c r="AF154" s="123">
        <v>19.850000000000001</v>
      </c>
      <c r="AG154" s="123">
        <v>19.760000000000002</v>
      </c>
      <c r="AH154" s="123"/>
      <c r="AI154" s="129">
        <f t="shared" si="128"/>
        <v>19.805</v>
      </c>
      <c r="AJ154" s="123">
        <f t="shared" si="118"/>
        <v>6042.7142513674662</v>
      </c>
      <c r="AK154" s="132">
        <f t="shared" si="108"/>
        <v>1208.5428502734933</v>
      </c>
      <c r="AL154" s="123">
        <v>30.55</v>
      </c>
      <c r="AM154" s="123">
        <v>30.88</v>
      </c>
      <c r="AN154" s="123"/>
      <c r="AO154" s="129">
        <f t="shared" si="129"/>
        <v>30.715</v>
      </c>
      <c r="AP154" s="132">
        <f t="shared" si="120"/>
        <v>5.016804563239604E-5</v>
      </c>
      <c r="AQ154" s="123">
        <f t="shared" si="121"/>
        <v>2971.5392278450536</v>
      </c>
      <c r="AR154" s="132">
        <f t="shared" si="109"/>
        <v>594.30784556901074</v>
      </c>
      <c r="AS154" s="132">
        <f t="shared" si="122"/>
        <v>0.49175570848358324</v>
      </c>
      <c r="AT154" s="123"/>
      <c r="AU154" s="123"/>
      <c r="AV154" s="123"/>
      <c r="AW154" s="133"/>
      <c r="AX154" s="133"/>
    </row>
    <row r="155" spans="2:50" x14ac:dyDescent="0.35">
      <c r="B155" s="8"/>
      <c r="C155" s="8"/>
      <c r="D155" s="8"/>
      <c r="E155" s="8" t="s">
        <v>179</v>
      </c>
      <c r="F155" s="8" t="s">
        <v>108</v>
      </c>
      <c r="G155" s="8" t="s">
        <v>106</v>
      </c>
      <c r="H155" s="8">
        <v>-80</v>
      </c>
      <c r="I155" s="8" t="s">
        <v>108</v>
      </c>
      <c r="J155" s="8" t="s">
        <v>61</v>
      </c>
      <c r="K155" s="8" t="s">
        <v>62</v>
      </c>
      <c r="L155" s="8" t="s">
        <v>63</v>
      </c>
      <c r="M155" s="8" t="s">
        <v>170</v>
      </c>
      <c r="N155" s="8" t="s">
        <v>107</v>
      </c>
      <c r="O155" s="8" t="s">
        <v>92</v>
      </c>
      <c r="P155" s="8" t="s">
        <v>108</v>
      </c>
      <c r="Q155" s="8" t="s">
        <v>108</v>
      </c>
      <c r="R155" s="8" t="s">
        <v>108</v>
      </c>
      <c r="S155" s="8"/>
      <c r="T155" s="8"/>
      <c r="U155" s="8"/>
      <c r="V155" s="8" t="s">
        <v>175</v>
      </c>
      <c r="W155" s="8" t="s">
        <v>66</v>
      </c>
      <c r="X155" s="11" t="s">
        <v>175</v>
      </c>
      <c r="Y155" s="8">
        <v>17.25</v>
      </c>
      <c r="Z155" s="8">
        <v>17.25</v>
      </c>
      <c r="AA155" s="8"/>
      <c r="AB155" s="21">
        <f t="shared" si="126"/>
        <v>17.25</v>
      </c>
      <c r="AC155" s="18">
        <f t="shared" si="116"/>
        <v>13.87172706099172</v>
      </c>
      <c r="AD155" s="51">
        <f t="shared" si="117"/>
        <v>1624656785.6128421</v>
      </c>
      <c r="AE155" s="21">
        <f>AD156*100/AD$156</f>
        <v>100</v>
      </c>
      <c r="AF155" s="8">
        <v>26.92</v>
      </c>
      <c r="AG155" s="8">
        <v>26.59</v>
      </c>
      <c r="AH155" s="8"/>
      <c r="AI155" s="21">
        <f t="shared" si="128"/>
        <v>26.755000000000003</v>
      </c>
      <c r="AJ155" s="8">
        <f t="shared" si="118"/>
        <v>38.838207929511839</v>
      </c>
      <c r="AK155" s="60">
        <f t="shared" si="108"/>
        <v>7.7676415859023678</v>
      </c>
      <c r="AL155" s="8">
        <v>31.42</v>
      </c>
      <c r="AM155" s="8">
        <v>31.43</v>
      </c>
      <c r="AN155" s="8"/>
      <c r="AO155" s="21">
        <f t="shared" si="129"/>
        <v>31.425000000000001</v>
      </c>
      <c r="AP155" s="19">
        <f t="shared" si="120"/>
        <v>3.1368417142757939E-5</v>
      </c>
      <c r="AQ155" s="8">
        <f t="shared" si="121"/>
        <v>1858.0050484350631</v>
      </c>
      <c r="AR155" s="60">
        <f t="shared" si="109"/>
        <v>371.60100968701261</v>
      </c>
      <c r="AS155" s="19">
        <f t="shared" si="122"/>
        <v>47.839618444990812</v>
      </c>
      <c r="AT155" s="8"/>
      <c r="AU155" s="8"/>
      <c r="AV155" s="8"/>
      <c r="AW155" s="9"/>
      <c r="AX155" s="9"/>
    </row>
    <row r="156" spans="2:50" x14ac:dyDescent="0.35">
      <c r="B156" s="8"/>
      <c r="C156" s="8"/>
      <c r="D156" s="8"/>
      <c r="E156" s="8" t="s">
        <v>180</v>
      </c>
      <c r="F156" s="39"/>
      <c r="G156" s="8" t="s">
        <v>106</v>
      </c>
      <c r="H156" s="8">
        <v>-80</v>
      </c>
      <c r="I156" s="8" t="s">
        <v>108</v>
      </c>
      <c r="J156" s="8" t="s">
        <v>61</v>
      </c>
      <c r="K156" s="8" t="s">
        <v>62</v>
      </c>
      <c r="L156" s="8" t="s">
        <v>63</v>
      </c>
      <c r="M156" s="8" t="s">
        <v>176</v>
      </c>
      <c r="N156" s="8" t="s">
        <v>107</v>
      </c>
      <c r="O156" s="8" t="s">
        <v>92</v>
      </c>
      <c r="P156" s="8" t="s">
        <v>108</v>
      </c>
      <c r="Q156" s="2" t="s">
        <v>108</v>
      </c>
      <c r="R156" s="18" t="s">
        <v>108</v>
      </c>
      <c r="S156" s="8"/>
      <c r="T156" s="8"/>
      <c r="U156" s="8"/>
      <c r="V156" s="8" t="s">
        <v>175</v>
      </c>
      <c r="W156" s="8" t="s">
        <v>66</v>
      </c>
      <c r="X156" s="11" t="s">
        <v>181</v>
      </c>
      <c r="Y156" s="8">
        <v>16.93</v>
      </c>
      <c r="Z156" s="8">
        <v>16.64</v>
      </c>
      <c r="AA156" s="8"/>
      <c r="AB156" s="21">
        <f t="shared" si="126"/>
        <v>16.785</v>
      </c>
      <c r="AC156" s="18">
        <f t="shared" si="116"/>
        <v>18.936622096042147</v>
      </c>
      <c r="AD156" s="51">
        <f t="shared" si="117"/>
        <v>2217857333.0955849</v>
      </c>
      <c r="AE156" s="21">
        <f t="shared" ref="AE156" si="132">AD156*100/AD$156</f>
        <v>100</v>
      </c>
      <c r="AF156" s="8">
        <v>28.18</v>
      </c>
      <c r="AG156" s="8">
        <v>28.35</v>
      </c>
      <c r="AH156" s="8"/>
      <c r="AI156" s="21">
        <f t="shared" si="128"/>
        <v>28.265000000000001</v>
      </c>
      <c r="AJ156" s="8">
        <f t="shared" si="118"/>
        <v>12.97231822308871</v>
      </c>
      <c r="AK156" s="60">
        <f t="shared" si="108"/>
        <v>2.594463644617742</v>
      </c>
      <c r="AL156" s="8">
        <v>32.03</v>
      </c>
      <c r="AM156" s="8">
        <v>32.03</v>
      </c>
      <c r="AN156" s="8"/>
      <c r="AO156" s="21">
        <f t="shared" si="129"/>
        <v>32.03</v>
      </c>
      <c r="AP156" s="19">
        <f t="shared" si="120"/>
        <v>2.1024097673963495E-5</v>
      </c>
      <c r="AQ156" s="8">
        <f t="shared" si="121"/>
        <v>1245.293297371064</v>
      </c>
      <c r="AR156" s="60">
        <f t="shared" si="109"/>
        <v>249.05865947421279</v>
      </c>
      <c r="AS156" s="19">
        <f t="shared" si="122"/>
        <v>95.996203296542276</v>
      </c>
      <c r="AT156" s="8"/>
      <c r="AU156" s="8"/>
      <c r="AV156" s="8"/>
      <c r="AW156" s="9"/>
      <c r="AX156" s="9"/>
    </row>
    <row r="157" spans="2:50" x14ac:dyDescent="0.3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1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60">
        <f t="shared" si="109"/>
        <v>0</v>
      </c>
      <c r="AS157" s="8"/>
      <c r="AT157" s="8"/>
      <c r="AU157" s="8"/>
      <c r="AV157" s="8"/>
      <c r="AW157" s="9"/>
      <c r="AX157" s="9"/>
    </row>
    <row r="158" spans="2:50" x14ac:dyDescent="0.3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1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9"/>
      <c r="AX158" s="9"/>
    </row>
    <row r="159" spans="2:50" x14ac:dyDescent="0.3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1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9"/>
      <c r="AX159" s="9"/>
    </row>
    <row r="160" spans="2:50" x14ac:dyDescent="0.3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1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9"/>
      <c r="AX160" s="9"/>
    </row>
    <row r="161" spans="2:50" x14ac:dyDescent="0.3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1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9"/>
      <c r="AX161" s="9"/>
    </row>
    <row r="162" spans="2:50" x14ac:dyDescent="0.3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1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9"/>
      <c r="AX162" s="9"/>
    </row>
    <row r="163" spans="2:50" x14ac:dyDescent="0.3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1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9"/>
      <c r="AX163" s="9"/>
    </row>
    <row r="164" spans="2:50" x14ac:dyDescent="0.3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1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9"/>
      <c r="AX164" s="9"/>
    </row>
    <row r="165" spans="2:50" x14ac:dyDescent="0.3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1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9"/>
      <c r="AX165" s="9"/>
    </row>
    <row r="166" spans="2:50" x14ac:dyDescent="0.3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1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9"/>
      <c r="AX166" s="9"/>
    </row>
    <row r="167" spans="2:50" x14ac:dyDescent="0.3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1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9"/>
      <c r="AX167" s="9"/>
    </row>
    <row r="168" spans="2:50" x14ac:dyDescent="0.3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2:50" x14ac:dyDescent="0.3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2:50" x14ac:dyDescent="0.3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2:50" x14ac:dyDescent="0.3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2:50" x14ac:dyDescent="0.3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2:50" x14ac:dyDescent="0.3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2:50" x14ac:dyDescent="0.3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2:50" x14ac:dyDescent="0.3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2:50" x14ac:dyDescent="0.3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2:24" x14ac:dyDescent="0.3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</sheetData>
  <autoFilter ref="B18:BB18"/>
  <mergeCells count="53">
    <mergeCell ref="X2:AB2"/>
    <mergeCell ref="X3:AB3"/>
    <mergeCell ref="G2:O2"/>
    <mergeCell ref="AS17:AS18"/>
    <mergeCell ref="C17:C18"/>
    <mergeCell ref="D17:D18"/>
    <mergeCell ref="E17:E18"/>
    <mergeCell ref="F17:F18"/>
    <mergeCell ref="V16:V18"/>
    <mergeCell ref="X16:X18"/>
    <mergeCell ref="O17:O18"/>
    <mergeCell ref="AE17:AE18"/>
    <mergeCell ref="Q17:R17"/>
    <mergeCell ref="P17:P18"/>
    <mergeCell ref="Q16:U16"/>
    <mergeCell ref="AD17:AD18"/>
    <mergeCell ref="B17:B18"/>
    <mergeCell ref="I17:I18"/>
    <mergeCell ref="AU15:AV15"/>
    <mergeCell ref="AT17:AT18"/>
    <mergeCell ref="AL17:AO17"/>
    <mergeCell ref="AP17:AP18"/>
    <mergeCell ref="AQ17:AQ18"/>
    <mergeCell ref="AR17:AR18"/>
    <mergeCell ref="V15:AT15"/>
    <mergeCell ref="AU16:AV18"/>
    <mergeCell ref="AL16:AT16"/>
    <mergeCell ref="AF17:AI17"/>
    <mergeCell ref="AF16:AK16"/>
    <mergeCell ref="AJ17:AJ18"/>
    <mergeCell ref="AK17:AK18"/>
    <mergeCell ref="Y17:AB17"/>
    <mergeCell ref="I16:P16"/>
    <mergeCell ref="M17:M18"/>
    <mergeCell ref="J17:J18"/>
    <mergeCell ref="L17:L18"/>
    <mergeCell ref="K17:K18"/>
    <mergeCell ref="P3:P4"/>
    <mergeCell ref="Q3:Q4"/>
    <mergeCell ref="Y16:AE16"/>
    <mergeCell ref="AC17:AC18"/>
    <mergeCell ref="W16:W18"/>
    <mergeCell ref="I15:U15"/>
    <mergeCell ref="S17:S18"/>
    <mergeCell ref="T17:U17"/>
    <mergeCell ref="G3:O3"/>
    <mergeCell ref="B15:H15"/>
    <mergeCell ref="AC3:AC4"/>
    <mergeCell ref="AD3:AD4"/>
    <mergeCell ref="H17:H18"/>
    <mergeCell ref="N17:N18"/>
    <mergeCell ref="G17:G18"/>
    <mergeCell ref="B16:H16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G10" sqref="G10"/>
    </sheetView>
  </sheetViews>
  <sheetFormatPr defaultRowHeight="14.25" x14ac:dyDescent="0.45"/>
  <cols>
    <col min="2" max="2" width="16.3984375" bestFit="1" customWidth="1"/>
    <col min="5" max="11" width="10.59765625" customWidth="1"/>
  </cols>
  <sheetData>
    <row r="1" spans="2:12" x14ac:dyDescent="0.45">
      <c r="E1" s="484" t="s">
        <v>244</v>
      </c>
      <c r="F1" s="484"/>
      <c r="G1" s="484"/>
      <c r="H1" s="484"/>
      <c r="I1" s="484"/>
      <c r="J1" s="484"/>
      <c r="K1" s="484"/>
    </row>
    <row r="2" spans="2:12" x14ac:dyDescent="0.45">
      <c r="B2" s="369">
        <v>44197</v>
      </c>
      <c r="C2" s="369" t="s">
        <v>227</v>
      </c>
      <c r="D2" s="369" t="s">
        <v>249</v>
      </c>
      <c r="E2" s="334">
        <v>44253</v>
      </c>
      <c r="F2" s="334">
        <v>44256</v>
      </c>
      <c r="G2" s="334">
        <v>44257</v>
      </c>
      <c r="H2" s="334">
        <v>44258</v>
      </c>
      <c r="I2" s="334">
        <v>44259</v>
      </c>
      <c r="J2" s="334">
        <v>44260</v>
      </c>
      <c r="K2" s="334">
        <v>44263</v>
      </c>
    </row>
    <row r="3" spans="2:12" x14ac:dyDescent="0.45">
      <c r="E3" s="360">
        <f>E2-$B$2</f>
        <v>56</v>
      </c>
      <c r="F3" s="360">
        <f t="shared" ref="F3:K3" si="0">F2-$B$2</f>
        <v>59</v>
      </c>
      <c r="G3" s="360">
        <f t="shared" si="0"/>
        <v>60</v>
      </c>
      <c r="H3" s="360">
        <f t="shared" si="0"/>
        <v>61</v>
      </c>
      <c r="I3" s="360">
        <f t="shared" si="0"/>
        <v>62</v>
      </c>
      <c r="J3" s="360">
        <f t="shared" si="0"/>
        <v>63</v>
      </c>
      <c r="K3" s="360">
        <f t="shared" si="0"/>
        <v>66</v>
      </c>
    </row>
    <row r="4" spans="2:12" x14ac:dyDescent="0.45">
      <c r="B4" s="374" t="s">
        <v>250</v>
      </c>
      <c r="C4" s="372">
        <f>AVERAGE(E4:K4)</f>
        <v>5049.9554134716836</v>
      </c>
      <c r="D4" s="373">
        <f>STDEV(E4:K4)/C4</f>
        <v>1.4249637750607065</v>
      </c>
      <c r="E4" s="379">
        <v>9325.4404798174401</v>
      </c>
      <c r="F4" s="360">
        <v>754.13661506389678</v>
      </c>
      <c r="G4" s="361">
        <v>1938.3158785601004</v>
      </c>
      <c r="H4" s="360">
        <v>335.95486551236809</v>
      </c>
      <c r="I4" s="360">
        <v>326.71624700611596</v>
      </c>
      <c r="J4" s="361">
        <v>2945.4224477334214</v>
      </c>
      <c r="K4" s="378">
        <v>19723.701360608444</v>
      </c>
      <c r="L4" s="383">
        <f>(MAX(E4:K4)-MIN(E4:K4))/2/C4</f>
        <v>1.9205105318214599</v>
      </c>
    </row>
    <row r="5" spans="2:12" x14ac:dyDescent="0.45">
      <c r="B5" s="375" t="s">
        <v>251</v>
      </c>
      <c r="C5" s="372">
        <f t="shared" ref="C5:C7" si="1">AVERAGE(E5:K5)</f>
        <v>9847.4732051243027</v>
      </c>
      <c r="D5" s="373">
        <f t="shared" ref="D5:D7" si="2">STDEV(E5:K5)/C5</f>
        <v>1.4772900074941941</v>
      </c>
      <c r="E5" s="360">
        <v>1382.9553282786962</v>
      </c>
      <c r="F5" s="360">
        <v>1372.5835661055712</v>
      </c>
      <c r="G5" s="378">
        <v>15230.695462372634</v>
      </c>
      <c r="H5" s="379">
        <v>40640.604649023255</v>
      </c>
      <c r="I5" s="379">
        <v>7579.7698195515914</v>
      </c>
      <c r="J5" s="361">
        <v>1321.0656095108789</v>
      </c>
      <c r="K5" s="361">
        <v>1404.6380010274893</v>
      </c>
      <c r="L5" s="383">
        <f t="shared" ref="L5:L7" si="3">(MAX(E5:K5)-MIN(E5:K5))/2/C5</f>
        <v>1.9964278257214132</v>
      </c>
    </row>
    <row r="6" spans="2:12" x14ac:dyDescent="0.45">
      <c r="B6" s="376" t="s">
        <v>252</v>
      </c>
      <c r="C6" s="372">
        <f t="shared" si="1"/>
        <v>677.88628707084115</v>
      </c>
      <c r="D6" s="373">
        <f t="shared" si="2"/>
        <v>0.51214009388867721</v>
      </c>
      <c r="E6" s="360">
        <v>874.13743537903179</v>
      </c>
      <c r="F6" s="360">
        <v>1213.4017835228353</v>
      </c>
      <c r="G6" s="361">
        <v>659.66163710666592</v>
      </c>
      <c r="H6" s="360">
        <v>295.86801830951953</v>
      </c>
      <c r="I6" s="360">
        <v>201.28840729070893</v>
      </c>
      <c r="J6" s="361">
        <v>666.92711674049349</v>
      </c>
      <c r="K6" s="361">
        <v>833.91961114663286</v>
      </c>
      <c r="L6" s="383">
        <f t="shared" si="3"/>
        <v>0.7465215003872453</v>
      </c>
    </row>
    <row r="7" spans="2:12" x14ac:dyDescent="0.45">
      <c r="B7" s="376" t="s">
        <v>253</v>
      </c>
      <c r="C7" s="372">
        <f t="shared" si="1"/>
        <v>1790.6917774578344</v>
      </c>
      <c r="D7" s="373">
        <f t="shared" si="2"/>
        <v>1.1327515993498727</v>
      </c>
      <c r="E7" s="360">
        <v>1009.4496781500262</v>
      </c>
      <c r="F7" s="360">
        <v>971.35889306295962</v>
      </c>
      <c r="G7" s="361">
        <v>4475.7995802297573</v>
      </c>
      <c r="H7" s="360">
        <v>421.91950757124567</v>
      </c>
      <c r="I7" s="360">
        <v>384.43900237819867</v>
      </c>
      <c r="J7" s="361">
        <v>4972.0930578642265</v>
      </c>
      <c r="K7" s="361">
        <v>299.78272294842662</v>
      </c>
      <c r="L7" s="383">
        <f t="shared" si="3"/>
        <v>1.3046104286994804</v>
      </c>
    </row>
    <row r="9" spans="2:12" x14ac:dyDescent="0.45">
      <c r="E9" s="383">
        <f>ABS(E4-AVERAGE($E4:$K4))/STDEV($E4:$K4)</f>
        <v>0.59414716079546903</v>
      </c>
      <c r="F9" s="383">
        <f t="shared" ref="F9:K9" si="4">ABS(F4-AVERAGE($E4:$K4))/STDEV($E4:$K4)</f>
        <v>0.59697285869536998</v>
      </c>
      <c r="G9" s="383">
        <f t="shared" si="4"/>
        <v>0.43241217461830367</v>
      </c>
      <c r="H9" s="383">
        <f t="shared" si="4"/>
        <v>0.65508591378431735</v>
      </c>
      <c r="I9" s="383">
        <f t="shared" si="4"/>
        <v>0.65636976786636503</v>
      </c>
      <c r="J9" s="383">
        <f t="shared" si="4"/>
        <v>0.2924585788490594</v>
      </c>
      <c r="K9" s="383">
        <f t="shared" si="4"/>
        <v>2.0391521330179465</v>
      </c>
    </row>
    <row r="10" spans="2:12" x14ac:dyDescent="0.45">
      <c r="E10" s="383">
        <f t="shared" ref="E10:K12" si="5">ABS(E5-AVERAGE($E5:$K5))/STDEV($E5:$K5)</f>
        <v>0.58185083049464614</v>
      </c>
      <c r="F10" s="383">
        <f t="shared" si="5"/>
        <v>0.58256378526914476</v>
      </c>
      <c r="G10" s="383">
        <f t="shared" si="5"/>
        <v>0.37004261632966928</v>
      </c>
      <c r="H10" s="383">
        <f t="shared" si="5"/>
        <v>2.1167193884928475</v>
      </c>
      <c r="I10" s="383">
        <f t="shared" si="5"/>
        <v>0.15588189633580357</v>
      </c>
      <c r="J10" s="383">
        <f t="shared" si="5"/>
        <v>0.58610512882422261</v>
      </c>
      <c r="K10" s="383">
        <f t="shared" si="5"/>
        <v>0.58036036389869983</v>
      </c>
    </row>
    <row r="11" spans="2:12" x14ac:dyDescent="0.45">
      <c r="E11" s="383">
        <f t="shared" si="5"/>
        <v>0.56528385413331517</v>
      </c>
      <c r="F11" s="383">
        <f t="shared" si="5"/>
        <v>1.5425044204435099</v>
      </c>
      <c r="G11" s="383">
        <f t="shared" si="5"/>
        <v>5.2494471807121613E-2</v>
      </c>
      <c r="H11" s="383">
        <f t="shared" si="5"/>
        <v>1.1003694051033677</v>
      </c>
      <c r="I11" s="383">
        <f t="shared" si="5"/>
        <v>1.3727975029771351</v>
      </c>
      <c r="J11" s="383">
        <f t="shared" si="5"/>
        <v>3.1566908503963383E-2</v>
      </c>
      <c r="K11" s="383">
        <f t="shared" si="5"/>
        <v>0.44944001381476212</v>
      </c>
    </row>
    <row r="12" spans="2:12" x14ac:dyDescent="0.45">
      <c r="E12" s="383">
        <f t="shared" si="5"/>
        <v>0.38515018864106959</v>
      </c>
      <c r="F12" s="383">
        <f t="shared" si="5"/>
        <v>0.40392884006649654</v>
      </c>
      <c r="G12" s="383">
        <f t="shared" si="5"/>
        <v>1.3237507011917349</v>
      </c>
      <c r="H12" s="383">
        <f t="shared" si="5"/>
        <v>0.67480093356537785</v>
      </c>
      <c r="I12" s="383">
        <f t="shared" si="5"/>
        <v>0.69327871869530733</v>
      </c>
      <c r="J12" s="383">
        <f t="shared" si="5"/>
        <v>1.5684220094860621</v>
      </c>
      <c r="K12" s="383">
        <f t="shared" si="5"/>
        <v>0.73501402970954555</v>
      </c>
    </row>
  </sheetData>
  <mergeCells count="1">
    <mergeCell ref="E1:K1"/>
  </mergeCells>
  <conditionalFormatting sqref="E9:K12">
    <cfRule type="cellIs" dxfId="0" priority="1" operator="greaterThan">
      <formula>1.5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2" workbookViewId="0">
      <selection activeCell="B46" sqref="B46"/>
    </sheetView>
  </sheetViews>
  <sheetFormatPr defaultRowHeight="14.25" x14ac:dyDescent="0.45"/>
  <cols>
    <col min="2" max="2" width="16.3984375" bestFit="1" customWidth="1"/>
    <col min="3" max="4" width="9.9296875" bestFit="1" customWidth="1"/>
    <col min="8" max="14" width="10.59765625" customWidth="1"/>
  </cols>
  <sheetData>
    <row r="1" spans="2:14" x14ac:dyDescent="0.45">
      <c r="C1" s="381" t="s">
        <v>255</v>
      </c>
      <c r="E1" s="381" t="s">
        <v>254</v>
      </c>
      <c r="G1" s="381"/>
      <c r="H1" s="487" t="s">
        <v>245</v>
      </c>
      <c r="I1" s="487"/>
      <c r="J1" s="487"/>
      <c r="K1" s="487"/>
      <c r="L1" s="487"/>
      <c r="M1" s="487"/>
      <c r="N1" s="487"/>
    </row>
    <row r="2" spans="2:14" x14ac:dyDescent="0.45">
      <c r="B2" s="369">
        <v>44197</v>
      </c>
      <c r="C2" s="369" t="s">
        <v>227</v>
      </c>
      <c r="D2" s="369" t="s">
        <v>256</v>
      </c>
      <c r="E2" s="369" t="s">
        <v>227</v>
      </c>
      <c r="F2" s="369" t="s">
        <v>249</v>
      </c>
      <c r="G2" s="369" t="s">
        <v>257</v>
      </c>
      <c r="H2" s="334">
        <v>44253</v>
      </c>
      <c r="I2" s="334">
        <v>44256</v>
      </c>
      <c r="J2" s="334">
        <v>44257</v>
      </c>
      <c r="K2" s="334">
        <v>44258</v>
      </c>
      <c r="L2" s="334">
        <v>44259</v>
      </c>
      <c r="M2" s="334">
        <v>44260</v>
      </c>
      <c r="N2" s="334">
        <v>44263</v>
      </c>
    </row>
    <row r="3" spans="2:14" x14ac:dyDescent="0.45">
      <c r="H3" s="360">
        <f>H2-$B$2</f>
        <v>56</v>
      </c>
      <c r="I3" s="360">
        <f t="shared" ref="I3:N3" si="0">I2-$B$2</f>
        <v>59</v>
      </c>
      <c r="J3" s="360">
        <f t="shared" si="0"/>
        <v>60</v>
      </c>
      <c r="K3" s="360">
        <f t="shared" si="0"/>
        <v>61</v>
      </c>
      <c r="L3" s="360">
        <f t="shared" si="0"/>
        <v>62</v>
      </c>
      <c r="M3" s="360">
        <f t="shared" si="0"/>
        <v>63</v>
      </c>
      <c r="N3" s="360">
        <f t="shared" si="0"/>
        <v>66</v>
      </c>
    </row>
    <row r="4" spans="2:14" x14ac:dyDescent="0.45">
      <c r="B4" s="374" t="s">
        <v>250</v>
      </c>
      <c r="C4" s="382">
        <f>Grab!C4/'Grab (PMMV)'!C4</f>
        <v>2.054813125767452E-3</v>
      </c>
      <c r="D4" s="373">
        <f>SQRT(VAR(Grab!E4:K4)/Grab!C4^2+VAR('Grab (PMMV)'!E4:K4)/'Grab (PMMV)'!C4^2)</f>
        <v>0.79389932310157219</v>
      </c>
      <c r="E4" s="382">
        <f>AVERAGE(H4:N4)</f>
        <v>4.4713605218699706E-3</v>
      </c>
      <c r="F4" s="373">
        <f>STDEV(H4:N4)/E4</f>
        <v>1.2396579945792998</v>
      </c>
      <c r="G4" s="373">
        <f>CORREL('Grab (PMMV)'!E4:K4,Grab!E4:K4)</f>
        <v>-0.73125878717186876</v>
      </c>
      <c r="H4" s="380">
        <f>Grab!E4/'Grab (PMMV)'!E4</f>
        <v>5.0828494771469157E-4</v>
      </c>
      <c r="I4" s="380">
        <f>Grab!F4/'Grab (PMMV)'!F4</f>
        <v>4.9428285276822059E-3</v>
      </c>
      <c r="J4" s="380">
        <f>Grab!G4/'Grab (PMMV)'!G4</f>
        <v>7.1787099740473E-4</v>
      </c>
      <c r="K4" s="380">
        <f>Grab!H4/'Grab (PMMV)'!H4</f>
        <v>4.7212898849156139E-3</v>
      </c>
      <c r="L4" s="380">
        <f>Grab!I4/'Grab (PMMV)'!I4</f>
        <v>6.957897689861941E-4</v>
      </c>
      <c r="M4" s="380">
        <f>Grab!J4/'Grab (PMMV)'!J4</f>
        <v>3.4533106928675197E-3</v>
      </c>
      <c r="N4" s="380">
        <f>Grab!K4/'Grab (PMMV)'!K4</f>
        <v>1.6260148833518839E-2</v>
      </c>
    </row>
    <row r="5" spans="2:14" x14ac:dyDescent="0.45">
      <c r="B5" s="375" t="s">
        <v>251</v>
      </c>
      <c r="C5" s="382">
        <f>Grab!C5/'Grab (PMMV)'!C5</f>
        <v>8.2121441680435212E-2</v>
      </c>
      <c r="D5" s="373">
        <f>SQRT(VAR(Grab!E5:K5)/Grab!C5^2+VAR('Grab (PMMV)'!E5:K5)/'Grab (PMMV)'!C5^2)</f>
        <v>2.1077318057213632</v>
      </c>
      <c r="E5" s="382">
        <f t="shared" ref="E5:E7" si="1">AVERAGE(H5:N5)</f>
        <v>8.8559020560237636E-2</v>
      </c>
      <c r="F5" s="373">
        <f t="shared" ref="F5:F7" si="2">STDEV(H5:N5)/E5</f>
        <v>1.0186187584425457</v>
      </c>
      <c r="G5" s="373">
        <f>CORREL('Grab (PMMV)'!E5:K5,Grab!E5:K5)</f>
        <v>0.53335912277058672</v>
      </c>
      <c r="H5" s="380">
        <f>Grab!E5/'Grab (PMMV)'!E5</f>
        <v>1.5396064475610401E-2</v>
      </c>
      <c r="I5" s="380">
        <f>Grab!F5/'Grab (PMMV)'!F5</f>
        <v>8.4195271919733448E-3</v>
      </c>
      <c r="J5" s="380">
        <f>Grab!G5/'Grab (PMMV)'!G5</f>
        <v>4.0649076255485216E-2</v>
      </c>
      <c r="K5" s="380">
        <f>Grab!H5/'Grab (PMMV)'!H5</f>
        <v>6.6726186087148909E-3</v>
      </c>
      <c r="L5" s="380">
        <f>Grab!I5/'Grab (PMMV)'!I5</f>
        <v>0.17227860935583103</v>
      </c>
      <c r="M5" s="380">
        <f>Grab!J5/'Grab (PMMV)'!J5</f>
        <v>0.21237188530309756</v>
      </c>
      <c r="N5" s="380">
        <f>Grab!K5/'Grab (PMMV)'!K5</f>
        <v>0.16412536273095107</v>
      </c>
    </row>
    <row r="6" spans="2:14" x14ac:dyDescent="0.45">
      <c r="B6" s="376" t="s">
        <v>252</v>
      </c>
      <c r="C6" s="382">
        <f>Grab!C6/'Grab (PMMV)'!C6</f>
        <v>0.14842813607269956</v>
      </c>
      <c r="D6" s="373">
        <f>SQRT(VAR(Grab!E6:K6)/Grab!C6^2+VAR('Grab (PMMV)'!E6:K6)/'Grab (PMMV)'!C6^2)</f>
        <v>1.6883884930586235</v>
      </c>
      <c r="E6" s="382">
        <f t="shared" si="1"/>
        <v>0.19209133937672612</v>
      </c>
      <c r="F6" s="373">
        <f t="shared" si="2"/>
        <v>1.0755554928013698</v>
      </c>
      <c r="G6" s="373">
        <f>CORREL('Grab (PMMV)'!E6:K6,Grab!E6:K6)</f>
        <v>0.30929054512389026</v>
      </c>
      <c r="H6" s="380">
        <f>Grab!E6/'Grab (PMMV)'!E6</f>
        <v>0.56610190546858585</v>
      </c>
      <c r="I6" s="380">
        <f>Grab!F6/'Grab (PMMV)'!F6</f>
        <v>0.16173353436969712</v>
      </c>
      <c r="J6" s="380">
        <f>Grab!G6/'Grab (PMMV)'!G6</f>
        <v>8.5731697918532031E-3</v>
      </c>
      <c r="K6" s="380">
        <f>Grab!H6/'Grab (PMMV)'!H6</f>
        <v>0.3852377532546663</v>
      </c>
      <c r="L6" s="380">
        <f>Grab!I6/'Grab (PMMV)'!I6</f>
        <v>5.5282144907255693E-2</v>
      </c>
      <c r="M6" s="380">
        <f>Grab!J6/'Grab (PMMV)'!J6</f>
        <v>0.11684605762203676</v>
      </c>
      <c r="N6" s="380">
        <f>Grab!K6/'Grab (PMMV)'!K6</f>
        <v>5.0864810222988305E-2</v>
      </c>
    </row>
    <row r="7" spans="2:14" x14ac:dyDescent="0.45">
      <c r="B7" s="376" t="s">
        <v>253</v>
      </c>
      <c r="C7" s="382">
        <f>Grab!C7/'Grab (PMMV)'!C7</f>
        <v>3.103960467191354E-3</v>
      </c>
      <c r="D7" s="373">
        <f>SQRT(VAR(Grab!E7:K7)/Grab!C7^2+VAR('Grab (PMMV)'!E7:K7)/'Grab (PMMV)'!C7^2)</f>
        <v>2.0225690283169593</v>
      </c>
      <c r="E7" s="382">
        <f t="shared" si="1"/>
        <v>1.1619318320118267E-2</v>
      </c>
      <c r="F7" s="373">
        <f t="shared" si="2"/>
        <v>0.83812588490980477</v>
      </c>
      <c r="G7" s="373">
        <f>CORREL('Grab (PMMV)'!E7:K7,Grab!E7:K7)</f>
        <v>0.78283904338994115</v>
      </c>
      <c r="H7" s="380">
        <f>Grab!E7/'Grab (PMMV)'!E7</f>
        <v>6.2813135129043893E-3</v>
      </c>
      <c r="I7" s="380">
        <f>Grab!F7/'Grab (PMMV)'!F7</f>
        <v>3.2346077607977647E-3</v>
      </c>
      <c r="J7" s="380">
        <f>Grab!G7/'Grab (PMMV)'!G7</f>
        <v>5.1659311008409921E-3</v>
      </c>
      <c r="K7" s="380">
        <f>Grab!H7/'Grab (PMMV)'!H7</f>
        <v>1.2201289122078999E-3</v>
      </c>
      <c r="L7" s="380">
        <f>Grab!I7/'Grab (PMMV)'!I7</f>
        <v>2.4115211043712313E-2</v>
      </c>
      <c r="M7" s="380">
        <f>Grab!J7/'Grab (PMMV)'!J7</f>
        <v>2.1313973062707034E-2</v>
      </c>
      <c r="N7" s="380">
        <f>Grab!K7/'Grab (PMMV)'!K7</f>
        <v>2.0004062847657472E-2</v>
      </c>
    </row>
    <row r="9" spans="2:14" x14ac:dyDescent="0.45">
      <c r="G9" s="385">
        <f>AVERAGE(I9:N9)</f>
        <v>2.3021518051949152E-3</v>
      </c>
      <c r="H9" s="386">
        <f>STDEV(I9:N9)/G9</f>
        <v>0.62916829385634576</v>
      </c>
      <c r="I9" s="384">
        <f>AVERAGE(Grab!E4:F4)/AVERAGE('Grab (PMMV)'!E4:F4)</f>
        <v>1.5246235741848222E-3</v>
      </c>
      <c r="J9" s="384">
        <f>AVERAGE(Grab!F4:G4)/AVERAGE('Grab (PMMV)'!F4:G4)</f>
        <v>1.752544167892745E-3</v>
      </c>
      <c r="K9" s="384">
        <f>AVERAGE(Grab!G4:H4)/AVERAGE('Grab (PMMV)'!G4:H4)</f>
        <v>1.7294168012194011E-3</v>
      </c>
      <c r="L9" s="384">
        <f>AVERAGE(Grab!H4:I4)/AVERAGE('Grab (PMMV)'!H4:I4)</f>
        <v>1.7311249609484325E-3</v>
      </c>
      <c r="M9" s="384">
        <f>AVERAGE(Grab!I4:J4)/AVERAGE('Grab (PMMV)'!I4:J4)</f>
        <v>1.8234650161839546E-3</v>
      </c>
      <c r="N9" s="384">
        <f>AVERAGE(Grab!J4:K4)/AVERAGE('Grab (PMMV)'!J4:K4)</f>
        <v>5.2517363107401375E-3</v>
      </c>
    </row>
    <row r="10" spans="2:14" x14ac:dyDescent="0.45">
      <c r="G10" s="385">
        <f t="shared" ref="G10:G12" si="3">AVERAGE(I10:N10)</f>
        <v>7.9807983839083427E-2</v>
      </c>
      <c r="H10" s="386">
        <f t="shared" ref="H10:H12" si="4">STDEV(I10:N10)/G10</f>
        <v>1.2445078980960991</v>
      </c>
      <c r="I10" s="384">
        <f>AVERAGE(Grab!E5:F5)/AVERAGE('Grab (PMMV)'!E5:F5)</f>
        <v>1.0664165639394299E-2</v>
      </c>
      <c r="J10" s="384">
        <f>AVERAGE(Grab!F5:G5)/AVERAGE('Grab (PMMV)'!F5:G5)</f>
        <v>2.0117684248278769E-2</v>
      </c>
      <c r="K10" s="384">
        <f>AVERAGE(Grab!G5:H5)/AVERAGE('Grab (PMMV)'!G5:H5)</f>
        <v>1.4285428177734009E-2</v>
      </c>
      <c r="L10" s="384">
        <f>AVERAGE(Grab!H5:I5)/AVERAGE('Grab (PMMV)'!H5:I5)</f>
        <v>1.7863976125316372E-2</v>
      </c>
      <c r="M10" s="384">
        <f>AVERAGE(Grab!I5:J5)/AVERAGE('Grab (PMMV)'!I5:J5)</f>
        <v>0.2095207691362484</v>
      </c>
      <c r="N10" s="384">
        <f>AVERAGE(Grab!J5:K5)/AVERAGE('Grab (PMMV)'!J5:K5)</f>
        <v>0.20639587970752871</v>
      </c>
    </row>
    <row r="11" spans="2:14" x14ac:dyDescent="0.45">
      <c r="G11" s="385">
        <f t="shared" si="3"/>
        <v>0.17378827133380659</v>
      </c>
      <c r="H11" s="386">
        <f t="shared" si="4"/>
        <v>0.66525147977526589</v>
      </c>
      <c r="I11" s="384">
        <f>AVERAGE(Grab!E6:F6)/AVERAGE('Grab (PMMV)'!E6:F6)</f>
        <v>0.31286033364633525</v>
      </c>
      <c r="J11" s="384">
        <f>AVERAGE(Grab!F6:G6)/AVERAGE('Grab (PMMV)'!F6:G6)</f>
        <v>0.11595764577978264</v>
      </c>
      <c r="K11" s="384">
        <f>AVERAGE(Grab!G6:H6)/AVERAGE('Grab (PMMV)'!G6:H6)</f>
        <v>0.1452453469857902</v>
      </c>
      <c r="L11" s="384">
        <f>AVERAGE(Grab!H6:I6)/AVERAGE('Grab (PMMV)'!H6:I6)</f>
        <v>0.32278468259634679</v>
      </c>
      <c r="M11" s="384">
        <f>AVERAGE(Grab!I6:J6)/AVERAGE('Grab (PMMV)'!I6:J6)</f>
        <v>9.2831116796715379E-2</v>
      </c>
      <c r="N11" s="384">
        <f>AVERAGE(Grab!J6:K6)/AVERAGE('Grab (PMMV)'!J6:K6)</f>
        <v>5.3050502197869213E-2</v>
      </c>
    </row>
    <row r="12" spans="2:14" x14ac:dyDescent="0.45">
      <c r="G12" s="385">
        <f t="shared" si="3"/>
        <v>8.9167207301422413E-3</v>
      </c>
      <c r="H12" s="386">
        <f t="shared" si="4"/>
        <v>1.0999803816547575</v>
      </c>
      <c r="I12" s="384">
        <f>AVERAGE(Grab!E7:F7)/AVERAGE('Grab (PMMV)'!E7:F7)</f>
        <v>3.7126609019936122E-3</v>
      </c>
      <c r="J12" s="384">
        <f>AVERAGE(Grab!F7:G7)/AVERAGE('Grab (PMMV)'!F7:G7)</f>
        <v>3.7116792210184963E-3</v>
      </c>
      <c r="K12" s="384">
        <f>AVERAGE(Grab!G7:H7)/AVERAGE('Grab (PMMV)'!G7:H7)</f>
        <v>1.3990035633161793E-3</v>
      </c>
      <c r="L12" s="384">
        <f>AVERAGE(Grab!H7:I7)/AVERAGE('Grab (PMMV)'!H7:I7)</f>
        <v>1.67976938448007E-3</v>
      </c>
      <c r="M12" s="384">
        <f>AVERAGE(Grab!I7:J7)/AVERAGE('Grab (PMMV)'!I7:J7)</f>
        <v>2.2315245292830192E-2</v>
      </c>
      <c r="N12" s="384">
        <f>AVERAGE(Grab!J7:K7)/AVERAGE('Grab (PMMV)'!J7:K7)</f>
        <v>2.0681966017214903E-2</v>
      </c>
    </row>
    <row r="15" spans="2:14" x14ac:dyDescent="0.45">
      <c r="F15" s="387">
        <f>G15/G9</f>
        <v>1.658977390251702</v>
      </c>
      <c r="G15" s="385">
        <f>AVERAGE(I15:N15)</f>
        <v>3.8192177937455053E-3</v>
      </c>
      <c r="H15" s="386">
        <f>STDEV(I15:N15)/G15</f>
        <v>0.77771383267712746</v>
      </c>
      <c r="I15" s="384">
        <f t="shared" ref="I15:N15" si="5">AVERAGE(H4:I4)</f>
        <v>2.7255567376984488E-3</v>
      </c>
      <c r="J15" s="384">
        <f t="shared" si="5"/>
        <v>2.8303497625434678E-3</v>
      </c>
      <c r="K15" s="384">
        <f t="shared" si="5"/>
        <v>2.7195804411601718E-3</v>
      </c>
      <c r="L15" s="384">
        <f t="shared" si="5"/>
        <v>2.7085398269509038E-3</v>
      </c>
      <c r="M15" s="384">
        <f t="shared" si="5"/>
        <v>2.0745502309268567E-3</v>
      </c>
      <c r="N15" s="384">
        <f t="shared" si="5"/>
        <v>9.8567297631931804E-3</v>
      </c>
    </row>
    <row r="16" spans="2:14" x14ac:dyDescent="0.45">
      <c r="F16" s="387">
        <f t="shared" ref="F16:F18" si="6">G16/G10</f>
        <v>1.1071415933091928</v>
      </c>
      <c r="G16" s="385">
        <f t="shared" ref="G16:G18" si="7">AVERAGE(I16:N16)</f>
        <v>8.8358738386397129E-2</v>
      </c>
      <c r="H16" s="386">
        <f t="shared" ref="H16:H18" si="8">STDEV(I16:N16)/G16</f>
        <v>0.94543325863561345</v>
      </c>
      <c r="I16" s="384">
        <f t="shared" ref="I16:N16" si="9">AVERAGE(H5:I5)</f>
        <v>1.1907795833791873E-2</v>
      </c>
      <c r="J16" s="384">
        <f t="shared" si="9"/>
        <v>2.4534301723729279E-2</v>
      </c>
      <c r="K16" s="384">
        <f t="shared" si="9"/>
        <v>2.3660847432100052E-2</v>
      </c>
      <c r="L16" s="384">
        <f t="shared" si="9"/>
        <v>8.9475613982272967E-2</v>
      </c>
      <c r="M16" s="384">
        <f t="shared" si="9"/>
        <v>0.19232524732946429</v>
      </c>
      <c r="N16" s="384">
        <f t="shared" si="9"/>
        <v>0.1882486240170243</v>
      </c>
    </row>
    <row r="17" spans="6:14" x14ac:dyDescent="0.45">
      <c r="F17" s="387">
        <f t="shared" si="6"/>
        <v>0.99369576730630182</v>
      </c>
      <c r="G17" s="385">
        <f t="shared" si="7"/>
        <v>0.17269266963188271</v>
      </c>
      <c r="H17" s="386">
        <f t="shared" si="8"/>
        <v>0.64728625383582084</v>
      </c>
      <c r="I17" s="384">
        <f t="shared" ref="I17:N17" si="10">AVERAGE(H6:I6)</f>
        <v>0.36391771991914146</v>
      </c>
      <c r="J17" s="384">
        <f t="shared" si="10"/>
        <v>8.5153352080775166E-2</v>
      </c>
      <c r="K17" s="384">
        <f t="shared" si="10"/>
        <v>0.19690546152325974</v>
      </c>
      <c r="L17" s="384">
        <f t="shared" si="10"/>
        <v>0.220259949080961</v>
      </c>
      <c r="M17" s="384">
        <f t="shared" si="10"/>
        <v>8.6064101264646226E-2</v>
      </c>
      <c r="N17" s="384">
        <f t="shared" si="10"/>
        <v>8.3855433922512532E-2</v>
      </c>
    </row>
    <row r="18" spans="6:14" x14ac:dyDescent="0.45">
      <c r="F18" s="387">
        <f t="shared" si="6"/>
        <v>1.2746191887567599</v>
      </c>
      <c r="G18" s="385">
        <f t="shared" si="7"/>
        <v>1.1365423343424488E-2</v>
      </c>
      <c r="H18" s="386">
        <f t="shared" si="8"/>
        <v>0.76568832043149149</v>
      </c>
      <c r="I18" s="384">
        <f t="shared" ref="I18:N18" si="11">AVERAGE(H7:I7)</f>
        <v>4.7579606368510774E-3</v>
      </c>
      <c r="J18" s="384">
        <f t="shared" si="11"/>
        <v>4.200269430819378E-3</v>
      </c>
      <c r="K18" s="384">
        <f t="shared" si="11"/>
        <v>3.1930300065244463E-3</v>
      </c>
      <c r="L18" s="384">
        <f t="shared" si="11"/>
        <v>1.2667669977960106E-2</v>
      </c>
      <c r="M18" s="384">
        <f t="shared" si="11"/>
        <v>2.2714592053209672E-2</v>
      </c>
      <c r="N18" s="384">
        <f t="shared" si="11"/>
        <v>2.0659017955182254E-2</v>
      </c>
    </row>
    <row r="21" spans="6:14" x14ac:dyDescent="0.45">
      <c r="H21" s="383"/>
      <c r="I21" s="383"/>
      <c r="J21" s="383"/>
      <c r="K21" s="383"/>
      <c r="L21" s="383"/>
      <c r="M21" s="383"/>
      <c r="N21" s="383"/>
    </row>
    <row r="36" spans="17:17" x14ac:dyDescent="0.45">
      <c r="Q36" s="374"/>
    </row>
    <row r="37" spans="17:17" x14ac:dyDescent="0.45">
      <c r="Q37" s="375"/>
    </row>
    <row r="38" spans="17:17" x14ac:dyDescent="0.45">
      <c r="Q38" s="376"/>
    </row>
    <row r="39" spans="17:17" x14ac:dyDescent="0.45">
      <c r="Q39" s="376"/>
    </row>
    <row r="46" spans="17:17" x14ac:dyDescent="0.45">
      <c r="Q46" s="388" t="s">
        <v>258</v>
      </c>
    </row>
    <row r="81" spans="17:17" ht="51" x14ac:dyDescent="0.45">
      <c r="Q81" s="389" t="s">
        <v>259</v>
      </c>
    </row>
    <row r="82" spans="17:17" ht="38.25" x14ac:dyDescent="0.45">
      <c r="Q82" s="390" t="s">
        <v>260</v>
      </c>
    </row>
    <row r="83" spans="17:17" ht="38.25" x14ac:dyDescent="0.45">
      <c r="Q83" s="391" t="s">
        <v>261</v>
      </c>
    </row>
    <row r="84" spans="17:17" ht="38.25" x14ac:dyDescent="0.45">
      <c r="Q84" s="391" t="s">
        <v>262</v>
      </c>
    </row>
  </sheetData>
  <mergeCells count="1">
    <mergeCell ref="H1:N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B10" sqref="B10"/>
    </sheetView>
  </sheetViews>
  <sheetFormatPr defaultRowHeight="14.25" x14ac:dyDescent="0.45"/>
  <cols>
    <col min="2" max="2" width="16.3984375" bestFit="1" customWidth="1"/>
    <col min="3" max="4" width="9.9296875" customWidth="1"/>
    <col min="8" max="14" width="10.59765625" customWidth="1"/>
  </cols>
  <sheetData>
    <row r="1" spans="2:14" x14ac:dyDescent="0.45">
      <c r="C1" s="381" t="s">
        <v>255</v>
      </c>
      <c r="E1" s="381" t="s">
        <v>254</v>
      </c>
      <c r="H1" s="487" t="s">
        <v>246</v>
      </c>
      <c r="I1" s="487"/>
      <c r="J1" s="487"/>
      <c r="K1" s="487"/>
      <c r="L1" s="487"/>
      <c r="M1" s="487"/>
      <c r="N1" s="487"/>
    </row>
    <row r="2" spans="2:14" x14ac:dyDescent="0.45">
      <c r="B2" s="369">
        <v>44197</v>
      </c>
      <c r="C2" s="369" t="s">
        <v>227</v>
      </c>
      <c r="D2" s="369" t="s">
        <v>256</v>
      </c>
      <c r="E2" s="369" t="s">
        <v>227</v>
      </c>
      <c r="F2" s="369" t="s">
        <v>249</v>
      </c>
      <c r="G2" s="369" t="s">
        <v>257</v>
      </c>
      <c r="H2" s="334">
        <v>44253</v>
      </c>
      <c r="I2" s="334">
        <v>44256</v>
      </c>
      <c r="J2" s="334">
        <v>44257</v>
      </c>
      <c r="K2" s="334">
        <v>44258</v>
      </c>
      <c r="L2" s="334">
        <v>44259</v>
      </c>
      <c r="M2" s="334">
        <v>44260</v>
      </c>
      <c r="N2" s="334">
        <v>44263</v>
      </c>
    </row>
    <row r="3" spans="2:14" x14ac:dyDescent="0.45">
      <c r="H3" s="360">
        <f>H2-$B$2</f>
        <v>56</v>
      </c>
      <c r="I3" s="360">
        <f t="shared" ref="I3:N3" si="0">I2-$B$2</f>
        <v>59</v>
      </c>
      <c r="J3" s="360">
        <f t="shared" si="0"/>
        <v>60</v>
      </c>
      <c r="K3" s="360">
        <f t="shared" si="0"/>
        <v>61</v>
      </c>
      <c r="L3" s="360">
        <f t="shared" si="0"/>
        <v>62</v>
      </c>
      <c r="M3" s="360">
        <f t="shared" si="0"/>
        <v>63</v>
      </c>
      <c r="N3" s="360">
        <f t="shared" si="0"/>
        <v>66</v>
      </c>
    </row>
    <row r="4" spans="2:14" x14ac:dyDescent="0.45">
      <c r="B4" s="374" t="s">
        <v>250</v>
      </c>
      <c r="C4" s="382">
        <f>Composite!C4/'Composite (PMMV)'!C4</f>
        <v>2.259676891096444E-3</v>
      </c>
      <c r="D4" s="373">
        <f>SQRT(VAR(Composite!E4:K4)/Composite!C4^2+VAR('Composite (PMMV)'!E4:K4)/'Composite (PMMV)'!C4^2)</f>
        <v>1.50577143849731</v>
      </c>
      <c r="E4" s="382">
        <f>AVERAGE(H4:N4)</f>
        <v>1.6563582486336E-2</v>
      </c>
      <c r="F4" s="373">
        <f>STDEV(H4:N4)/E4</f>
        <v>1.3639996201008517</v>
      </c>
      <c r="G4" s="373">
        <f>CORREL('Composite (PMMV)'!E4:K4,Composite!E4:K4)</f>
        <v>0.18609941921281492</v>
      </c>
      <c r="H4" s="210">
        <f>Composite!E4/'Composite (PMMV)'!E4</f>
        <v>5.9533401339678714E-4</v>
      </c>
      <c r="I4" s="210">
        <f>Composite!F4/'Composite (PMMV)'!F4</f>
        <v>1.3080778161262376E-2</v>
      </c>
      <c r="J4" s="210">
        <f>Composite!G4/'Composite (PMMV)'!G4</f>
        <v>2.063647130090811E-3</v>
      </c>
      <c r="K4" s="210">
        <f>Composite!H4/'Composite (PMMV)'!H4</f>
        <v>3.6412531686594064E-2</v>
      </c>
      <c r="L4" s="210">
        <f>Composite!I4/'Composite (PMMV)'!I4</f>
        <v>5.8856760752556671E-2</v>
      </c>
      <c r="M4" s="210">
        <f>Composite!J4/'Composite (PMMV)'!J4</f>
        <v>4.0741184712686325E-3</v>
      </c>
      <c r="N4" s="210">
        <f>Composite!K4/'Composite (PMMV)'!K4</f>
        <v>8.6190718918264836E-4</v>
      </c>
    </row>
    <row r="5" spans="2:14" x14ac:dyDescent="0.45">
      <c r="B5" s="375" t="s">
        <v>251</v>
      </c>
      <c r="C5" s="382">
        <f>Composite!C5/'Composite (PMMV)'!C5</f>
        <v>1.375213330437201E-2</v>
      </c>
      <c r="D5" s="373">
        <f>SQRT(VAR(Composite!E5:K5)/Composite!C5^2+VAR('Composite (PMMV)'!E5:K5)/'Composite (PMMV)'!C5^2)</f>
        <v>1.6648213608386389</v>
      </c>
      <c r="E5" s="382">
        <f t="shared" ref="E5:E7" si="1">AVERAGE(H5:N5)</f>
        <v>7.9272993918173329E-2</v>
      </c>
      <c r="F5" s="373">
        <f t="shared" ref="F5:F7" si="2">STDEV(H5:N5)/E5</f>
        <v>1.1245435997333213</v>
      </c>
      <c r="G5" s="373">
        <f>CORREL('Composite (PMMV)'!E5:K5,Composite!E5:K5)</f>
        <v>-0.35529651145047619</v>
      </c>
      <c r="H5" s="210">
        <f>Composite!E5/'Composite (PMMV)'!E5</f>
        <v>9.6904363638615751E-2</v>
      </c>
      <c r="I5" s="210">
        <f>Composite!F5/'Composite (PMMV)'!F5</f>
        <v>9.2318595659012903E-2</v>
      </c>
      <c r="J5" s="210">
        <f>Composite!G5/'Composite (PMMV)'!G5</f>
        <v>5.9747764128575149E-3</v>
      </c>
      <c r="K5" s="210">
        <f>Composite!H5/'Composite (PMMV)'!H5</f>
        <v>2.1464314434281517E-3</v>
      </c>
      <c r="L5" s="210">
        <f>Composite!I5/'Composite (PMMV)'!I5</f>
        <v>2.5072904686502112E-3</v>
      </c>
      <c r="M5" s="210">
        <f>Composite!J5/'Composite (PMMV)'!J5</f>
        <v>0.10446112517537577</v>
      </c>
      <c r="N5" s="210">
        <f>Composite!K5/'Composite (PMMV)'!K5</f>
        <v>0.25059837462927304</v>
      </c>
    </row>
    <row r="6" spans="2:14" x14ac:dyDescent="0.45">
      <c r="B6" s="376" t="s">
        <v>252</v>
      </c>
      <c r="C6" s="382">
        <f>Composite!C6/'Composite (PMMV)'!C6</f>
        <v>0.37600139312838893</v>
      </c>
      <c r="D6" s="373">
        <f>SQRT(VAR(Composite!E6:K6)/Composite!C6^2+VAR('Composite (PMMV)'!E6:K6)/'Composite (PMMV)'!C6^2)</f>
        <v>0.7002281035865987</v>
      </c>
      <c r="E6" s="382">
        <f t="shared" si="1"/>
        <v>0.45058844146880989</v>
      </c>
      <c r="F6" s="373">
        <f t="shared" si="2"/>
        <v>0.55338653026097184</v>
      </c>
      <c r="G6" s="373">
        <f>CORREL('Composite (PMMV)'!E6:K6,Composite!E6:K6)</f>
        <v>0.61920264819674375</v>
      </c>
      <c r="H6" s="210">
        <f>Composite!E6/'Composite (PMMV)'!E6</f>
        <v>0.33099789747185948</v>
      </c>
      <c r="I6" s="210">
        <f>Composite!F6/'Composite (PMMV)'!F6</f>
        <v>0.37837399130814503</v>
      </c>
      <c r="J6" s="210">
        <f>Composite!G6/'Composite (PMMV)'!G6</f>
        <v>0.51844761126331695</v>
      </c>
      <c r="K6" s="210">
        <f>Composite!H6/'Composite (PMMV)'!H6</f>
        <v>0.8973544257065883</v>
      </c>
      <c r="L6" s="210">
        <f>Composite!I6/'Composite (PMMV)'!I6</f>
        <v>0.61726114862880477</v>
      </c>
      <c r="M6" s="210">
        <f>Composite!J6/'Composite (PMMV)'!J6</f>
        <v>0.23540803194105228</v>
      </c>
      <c r="N6" s="210">
        <f>Composite!K6/'Composite (PMMV)'!K6</f>
        <v>0.17627598396190272</v>
      </c>
    </row>
    <row r="7" spans="2:14" x14ac:dyDescent="0.45">
      <c r="B7" s="376" t="s">
        <v>253</v>
      </c>
      <c r="C7" s="382">
        <f>Composite!C7/'Composite (PMMV)'!C7</f>
        <v>8.5679739481822354E-3</v>
      </c>
      <c r="D7" s="373">
        <f>SQRT(VAR(Composite!E7:K7)/Composite!C7^2+VAR('Composite (PMMV)'!E7:K7)/'Composite (PMMV)'!C7^2)</f>
        <v>1.241144603209712</v>
      </c>
      <c r="E7" s="382">
        <f t="shared" si="1"/>
        <v>3.0358045108625425E-2</v>
      </c>
      <c r="F7" s="373">
        <f t="shared" si="2"/>
        <v>0.98499769885811128</v>
      </c>
      <c r="G7" s="373">
        <f>CORREL('Composite (PMMV)'!E7:K7,Composite!E7:K7)</f>
        <v>-0.70044344372122602</v>
      </c>
      <c r="H7" s="210">
        <f>Composite!E7/'Composite (PMMV)'!E7</f>
        <v>1.1559806526014144E-2</v>
      </c>
      <c r="I7" s="210">
        <f>Composite!F7/'Composite (PMMV)'!F7</f>
        <v>1.1585583509792528E-2</v>
      </c>
      <c r="J7" s="210">
        <f>Composite!G7/'Composite (PMMV)'!G7</f>
        <v>8.9369506571933385E-4</v>
      </c>
      <c r="K7" s="210">
        <f>Composite!H7/'Composite (PMMV)'!H7</f>
        <v>6.1752885048939034E-2</v>
      </c>
      <c r="L7" s="210">
        <f>Composite!I7/'Composite (PMMV)'!I7</f>
        <v>6.0921638914943871E-2</v>
      </c>
      <c r="M7" s="210">
        <f>Composite!J7/'Composite (PMMV)'!J7</f>
        <v>2.4134705164095675E-3</v>
      </c>
      <c r="N7" s="210">
        <f>Composite!K7/'Composite (PMMV)'!K7</f>
        <v>6.3379236178559506E-2</v>
      </c>
    </row>
    <row r="9" spans="2:14" x14ac:dyDescent="0.45">
      <c r="G9" s="385">
        <f>AVERAGE(I9:N9)</f>
        <v>1.2019685982646071E-2</v>
      </c>
      <c r="H9" s="386">
        <f>STDEV(I9:N9)/G9</f>
        <v>1.469487952019906</v>
      </c>
      <c r="I9" s="384">
        <f>AVERAGE(Composite!E4:F4)/AVERAGE('Composite (PMMV)'!E4:F4)</f>
        <v>1.5294734617693026E-3</v>
      </c>
      <c r="J9" s="384">
        <f>AVERAGE(Composite!F4:G4)/AVERAGE('Composite (PMMV)'!F4:G4)</f>
        <v>5.1494664428691555E-3</v>
      </c>
      <c r="K9" s="384">
        <f>AVERAGE(Composite!G4:H4)/AVERAGE('Composite (PMMV)'!G4:H4)</f>
        <v>7.1376581825375214E-3</v>
      </c>
      <c r="L9" s="384">
        <f>AVERAGE(Composite!H4:I4)/AVERAGE('Composite (PMMV)'!H4:I4)</f>
        <v>4.7478193292859336E-2</v>
      </c>
      <c r="M9" s="384">
        <f>AVERAGE(Composite!I4:J4)/AVERAGE('Composite (PMMV)'!I4:J4)</f>
        <v>9.5440514285712579E-3</v>
      </c>
      <c r="N9" s="384">
        <f>AVERAGE(Composite!J4:K4)/AVERAGE('Composite (PMMV)'!J4:K4)</f>
        <v>1.279273087269852E-3</v>
      </c>
    </row>
    <row r="10" spans="2:14" x14ac:dyDescent="0.45">
      <c r="G10" s="385">
        <f t="shared" ref="G10:G12" si="3">AVERAGE(I10:N10)</f>
        <v>5.175591701598712E-2</v>
      </c>
      <c r="H10" s="386">
        <f t="shared" ref="H10:H12" si="4">STDEV(I10:N10)/G10</f>
        <v>1.3851298447653837</v>
      </c>
      <c r="I10" s="384">
        <f>AVERAGE(Composite!E5:F5)/AVERAGE('Composite (PMMV)'!E5:F5)</f>
        <v>9.4620109992403847E-2</v>
      </c>
      <c r="J10" s="384">
        <f>AVERAGE(Composite!F5:G5)/AVERAGE('Composite (PMMV)'!F5:G5)</f>
        <v>1.311277048793061E-2</v>
      </c>
      <c r="K10" s="384">
        <f>AVERAGE(Composite!G5:H5)/AVERAGE('Composite (PMMV)'!G5:H5)</f>
        <v>3.1900505508774151E-3</v>
      </c>
      <c r="L10" s="384">
        <f>AVERAGE(Composite!H5:I5)/AVERAGE('Composite (PMMV)'!H5:I5)</f>
        <v>2.2031549421283438E-3</v>
      </c>
      <c r="M10" s="384">
        <f>AVERAGE(Composite!I5:J5)/AVERAGE('Composite (PMMV)'!I5:J5)</f>
        <v>1.7639320025003721E-2</v>
      </c>
      <c r="N10" s="384">
        <f>AVERAGE(Composite!J5:K5)/AVERAGE('Composite (PMMV)'!J5:K5)</f>
        <v>0.17977009609757882</v>
      </c>
    </row>
    <row r="11" spans="2:14" x14ac:dyDescent="0.45">
      <c r="G11" s="385">
        <f t="shared" si="3"/>
        <v>0.45540881947574458</v>
      </c>
      <c r="H11" s="386">
        <f t="shared" si="4"/>
        <v>0.47283628992526561</v>
      </c>
      <c r="I11" s="384">
        <f>AVERAGE(Composite!E6:F6)/AVERAGE('Composite (PMMV)'!E6:F6)</f>
        <v>0.35853569711498867</v>
      </c>
      <c r="J11" s="384">
        <f>AVERAGE(Composite!F6:G6)/AVERAGE('Composite (PMMV)'!F6:G6)</f>
        <v>0.42770557957013317</v>
      </c>
      <c r="K11" s="384">
        <f>AVERAGE(Composite!G6:H6)/AVERAGE('Composite (PMMV)'!G6:H6)</f>
        <v>0.63577145116494205</v>
      </c>
      <c r="L11" s="384">
        <f>AVERAGE(Composite!H6:I6)/AVERAGE('Composite (PMMV)'!H6:I6)</f>
        <v>0.78395042098563161</v>
      </c>
      <c r="M11" s="384">
        <f>AVERAGE(Composite!I6:J6)/AVERAGE('Composite (PMMV)'!I6:J6)</f>
        <v>0.32393743915573897</v>
      </c>
      <c r="N11" s="384">
        <f>AVERAGE(Composite!J6:K6)/AVERAGE('Composite (PMMV)'!J6:K6)</f>
        <v>0.20255232886303287</v>
      </c>
    </row>
    <row r="12" spans="2:14" x14ac:dyDescent="0.45">
      <c r="G12" s="385">
        <f t="shared" si="3"/>
        <v>1.5726448402615511E-2</v>
      </c>
      <c r="H12" s="386">
        <f t="shared" si="4"/>
        <v>1.4327375768986332</v>
      </c>
      <c r="I12" s="384">
        <f>AVERAGE(Composite!E7:F7)/AVERAGE('Composite (PMMV)'!E7:F7)</f>
        <v>1.1572447173269693E-2</v>
      </c>
      <c r="J12" s="384">
        <f>AVERAGE(Composite!F7:G7)/AVERAGE('Composite (PMMV)'!F7:G7)</f>
        <v>2.8003149987923712E-3</v>
      </c>
      <c r="K12" s="384">
        <f>AVERAGE(Composite!G7:H7)/AVERAGE('Composite (PMMV)'!G7:H7)</f>
        <v>6.1364782896207691E-3</v>
      </c>
      <c r="L12" s="384">
        <f>AVERAGE(Composite!H7:I7)/AVERAGE('Composite (PMMV)'!H7:I7)</f>
        <v>6.1356580637761088E-2</v>
      </c>
      <c r="M12" s="384">
        <f>AVERAGE(Composite!I7:J7)/AVERAGE('Composite (PMMV)'!I7:J7)</f>
        <v>6.6126093691489651E-3</v>
      </c>
      <c r="N12" s="384">
        <f>AVERAGE(Composite!J7:K7)/AVERAGE('Composite (PMMV)'!J7:K7)</f>
        <v>5.8802599471001549E-3</v>
      </c>
    </row>
    <row r="15" spans="2:14" x14ac:dyDescent="0.45">
      <c r="F15" s="387">
        <f>G15/G9</f>
        <v>1.5976076935982479</v>
      </c>
      <c r="G15" s="385">
        <f>AVERAGE(I15:N15)</f>
        <v>1.9202742800510379E-2</v>
      </c>
      <c r="H15" s="386">
        <f>STDEV(I15:N15)/G15</f>
        <v>0.91004886281618713</v>
      </c>
      <c r="I15" s="384">
        <f t="shared" ref="I15:N15" si="5">AVERAGE(H4:I4)</f>
        <v>6.8380560873295814E-3</v>
      </c>
      <c r="J15" s="384">
        <f t="shared" si="5"/>
        <v>7.5722126456765938E-3</v>
      </c>
      <c r="K15" s="384">
        <f t="shared" si="5"/>
        <v>1.9238089408342436E-2</v>
      </c>
      <c r="L15" s="384">
        <f t="shared" si="5"/>
        <v>4.7634646219575368E-2</v>
      </c>
      <c r="M15" s="384">
        <f t="shared" si="5"/>
        <v>3.146543961191265E-2</v>
      </c>
      <c r="N15" s="384">
        <f t="shared" si="5"/>
        <v>2.4680128302256403E-3</v>
      </c>
    </row>
    <row r="16" spans="2:14" x14ac:dyDescent="0.45">
      <c r="F16" s="387">
        <f t="shared" ref="F16:F18" si="6">G16/G10</f>
        <v>1.2274267699527985</v>
      </c>
      <c r="G16" s="385">
        <f t="shared" ref="G16:G18" si="7">AVERAGE(I16:N16)</f>
        <v>6.3526598048878155E-2</v>
      </c>
      <c r="H16" s="386">
        <f t="shared" ref="H16:H18" si="8">STDEV(I16:N16)/G16</f>
        <v>1.033488213862181</v>
      </c>
      <c r="I16" s="384">
        <f t="shared" ref="I16:N18" si="9">AVERAGE(H5:I5)</f>
        <v>9.4611479648814334E-2</v>
      </c>
      <c r="J16" s="384">
        <f t="shared" si="9"/>
        <v>4.9146686035935208E-2</v>
      </c>
      <c r="K16" s="384">
        <f t="shared" si="9"/>
        <v>4.0606039281428329E-3</v>
      </c>
      <c r="L16" s="384">
        <f t="shared" si="9"/>
        <v>2.3268609560391815E-3</v>
      </c>
      <c r="M16" s="384">
        <f t="shared" si="9"/>
        <v>5.3484207822012991E-2</v>
      </c>
      <c r="N16" s="384">
        <f t="shared" si="9"/>
        <v>0.1775297499023244</v>
      </c>
    </row>
    <row r="17" spans="6:14" x14ac:dyDescent="0.45">
      <c r="F17" s="387">
        <f t="shared" si="6"/>
        <v>1.061493916939565</v>
      </c>
      <c r="G17" s="385">
        <f t="shared" si="7"/>
        <v>0.48341369159413139</v>
      </c>
      <c r="H17" s="386">
        <f t="shared" si="8"/>
        <v>0.43736808544110994</v>
      </c>
      <c r="I17" s="384">
        <f t="shared" si="9"/>
        <v>0.35468594439000223</v>
      </c>
      <c r="J17" s="384">
        <f t="shared" si="9"/>
        <v>0.44841080128573096</v>
      </c>
      <c r="K17" s="384">
        <f t="shared" si="9"/>
        <v>0.70790101848495257</v>
      </c>
      <c r="L17" s="384">
        <f t="shared" si="9"/>
        <v>0.75730778716769653</v>
      </c>
      <c r="M17" s="384">
        <f t="shared" si="9"/>
        <v>0.42633459028492854</v>
      </c>
      <c r="N17" s="384">
        <f t="shared" si="9"/>
        <v>0.2058420079514775</v>
      </c>
    </row>
    <row r="18" spans="6:14" x14ac:dyDescent="0.45">
      <c r="F18" s="387">
        <f t="shared" si="6"/>
        <v>1.8550150880324245</v>
      </c>
      <c r="G18" s="385">
        <f t="shared" si="7"/>
        <v>2.9172799068015193E-2</v>
      </c>
      <c r="H18" s="386">
        <f t="shared" si="8"/>
        <v>0.6673241701890561</v>
      </c>
      <c r="I18" s="384">
        <f t="shared" si="9"/>
        <v>1.1572695017903336E-2</v>
      </c>
      <c r="J18" s="384">
        <f t="shared" si="9"/>
        <v>6.239639287755931E-3</v>
      </c>
      <c r="K18" s="384">
        <f t="shared" si="9"/>
        <v>3.1323290057329187E-2</v>
      </c>
      <c r="L18" s="384">
        <f t="shared" si="9"/>
        <v>6.1337261981941449E-2</v>
      </c>
      <c r="M18" s="384">
        <f t="shared" si="9"/>
        <v>3.166755471567672E-2</v>
      </c>
      <c r="N18" s="384">
        <f t="shared" si="9"/>
        <v>3.2896353347484537E-2</v>
      </c>
    </row>
  </sheetData>
  <mergeCells count="1">
    <mergeCell ref="H1:N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/>
  </sheetViews>
  <sheetFormatPr defaultRowHeight="14.25" x14ac:dyDescent="0.45"/>
  <cols>
    <col min="3" max="7" width="10.59765625" customWidth="1"/>
  </cols>
  <sheetData>
    <row r="1" spans="2:7" x14ac:dyDescent="0.45">
      <c r="C1" s="487" t="s">
        <v>247</v>
      </c>
      <c r="D1" s="487"/>
      <c r="E1" s="487"/>
      <c r="F1" s="487"/>
      <c r="G1" s="487"/>
    </row>
    <row r="2" spans="2:7" x14ac:dyDescent="0.45">
      <c r="C2" s="334" t="s">
        <v>208</v>
      </c>
      <c r="D2" s="334">
        <v>44199</v>
      </c>
      <c r="E2" s="334">
        <v>44258</v>
      </c>
      <c r="F2" s="334">
        <v>44289</v>
      </c>
      <c r="G2" s="334">
        <v>44319</v>
      </c>
    </row>
    <row r="3" spans="2:7" x14ac:dyDescent="0.45">
      <c r="C3" s="271" t="s">
        <v>233</v>
      </c>
      <c r="D3" s="271" t="s">
        <v>233</v>
      </c>
      <c r="E3" s="271" t="s">
        <v>233</v>
      </c>
      <c r="F3" s="271" t="s">
        <v>233</v>
      </c>
      <c r="G3" s="271" t="s">
        <v>233</v>
      </c>
    </row>
    <row r="4" spans="2:7" x14ac:dyDescent="0.45">
      <c r="B4" s="277" t="s">
        <v>195</v>
      </c>
      <c r="C4" s="272">
        <v>13.381575884257451</v>
      </c>
      <c r="D4" s="272">
        <v>22.197814676949129</v>
      </c>
      <c r="E4" s="182">
        <v>6.9260728231030981</v>
      </c>
      <c r="F4" s="280">
        <v>29.585637911117999</v>
      </c>
      <c r="G4" s="280"/>
    </row>
    <row r="5" spans="2:7" x14ac:dyDescent="0.45">
      <c r="B5" s="170" t="s">
        <v>199</v>
      </c>
      <c r="C5" s="272">
        <v>17.615626000868627</v>
      </c>
      <c r="D5" s="272">
        <v>21.874280480432137</v>
      </c>
      <c r="E5" s="182">
        <v>8.2238580538542596</v>
      </c>
      <c r="F5" s="280">
        <v>13.724727566003866</v>
      </c>
      <c r="G5" s="280"/>
    </row>
    <row r="6" spans="2:7" x14ac:dyDescent="0.45">
      <c r="B6" s="176" t="s">
        <v>200</v>
      </c>
      <c r="C6" s="272">
        <v>32.368893664471848</v>
      </c>
      <c r="D6" s="272">
        <v>5.7433832517535794</v>
      </c>
      <c r="E6" s="182">
        <v>13.828613131247872</v>
      </c>
      <c r="F6" s="280">
        <v>6.6354240664626678</v>
      </c>
      <c r="G6" s="280"/>
    </row>
    <row r="7" spans="2:7" x14ac:dyDescent="0.45">
      <c r="B7" s="176" t="s">
        <v>201</v>
      </c>
      <c r="C7" s="272">
        <v>28.802164325635378</v>
      </c>
      <c r="D7" s="272">
        <v>33.771137308441766</v>
      </c>
      <c r="E7" s="182">
        <v>39.363229030817664</v>
      </c>
      <c r="F7" s="280">
        <v>27.4814209623651</v>
      </c>
      <c r="G7" s="280"/>
    </row>
  </sheetData>
  <mergeCells count="1">
    <mergeCell ref="C1:G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/>
  </sheetViews>
  <sheetFormatPr defaultRowHeight="14.25" x14ac:dyDescent="0.45"/>
  <cols>
    <col min="3" max="7" width="10.59765625" customWidth="1"/>
  </cols>
  <sheetData>
    <row r="1" spans="2:7" x14ac:dyDescent="0.45">
      <c r="C1" s="487" t="s">
        <v>248</v>
      </c>
      <c r="D1" s="487"/>
      <c r="E1" s="487"/>
      <c r="F1" s="487"/>
      <c r="G1" s="487"/>
    </row>
    <row r="2" spans="2:7" x14ac:dyDescent="0.45">
      <c r="C2" s="334" t="s">
        <v>208</v>
      </c>
      <c r="D2" s="334">
        <v>44199</v>
      </c>
      <c r="E2" s="334">
        <v>44258</v>
      </c>
      <c r="F2" s="334">
        <v>44289</v>
      </c>
      <c r="G2" s="334">
        <v>44319</v>
      </c>
    </row>
    <row r="3" spans="2:7" x14ac:dyDescent="0.45">
      <c r="C3" s="271" t="s">
        <v>233</v>
      </c>
      <c r="D3" s="271" t="s">
        <v>233</v>
      </c>
      <c r="E3" s="271" t="s">
        <v>233</v>
      </c>
      <c r="F3" s="271" t="s">
        <v>233</v>
      </c>
      <c r="G3" s="271" t="s">
        <v>233</v>
      </c>
    </row>
    <row r="4" spans="2:7" x14ac:dyDescent="0.45">
      <c r="B4" s="277" t="s">
        <v>195</v>
      </c>
      <c r="C4" s="272">
        <v>40.195643977982748</v>
      </c>
      <c r="D4" s="272">
        <v>29.623869197090752</v>
      </c>
      <c r="E4" s="182">
        <v>21.603052744118131</v>
      </c>
      <c r="F4" s="280">
        <v>13.456850367185552</v>
      </c>
      <c r="G4" s="280"/>
    </row>
    <row r="5" spans="2:7" x14ac:dyDescent="0.45">
      <c r="B5" s="170" t="s">
        <v>199</v>
      </c>
      <c r="C5" s="272">
        <v>26.134843860732051</v>
      </c>
      <c r="D5" s="272">
        <v>28.636998954301969</v>
      </c>
      <c r="E5" s="182">
        <v>31.846805837045164</v>
      </c>
      <c r="F5" s="280">
        <v>9.2466510055449938</v>
      </c>
      <c r="G5" s="280"/>
    </row>
    <row r="6" spans="2:7" x14ac:dyDescent="0.45">
      <c r="B6" s="176" t="s">
        <v>200</v>
      </c>
      <c r="C6" s="272">
        <v>18.975777940055508</v>
      </c>
      <c r="D6" s="272">
        <v>15.929137909105343</v>
      </c>
      <c r="E6" s="182">
        <v>25.479894801582532</v>
      </c>
      <c r="F6" s="280">
        <v>24.65799307719568</v>
      </c>
      <c r="G6" s="280"/>
    </row>
    <row r="7" spans="2:7" x14ac:dyDescent="0.45">
      <c r="B7" s="176" t="s">
        <v>201</v>
      </c>
      <c r="C7" s="272">
        <v>36.103794096989091</v>
      </c>
      <c r="D7" s="272">
        <v>28.016581150259348</v>
      </c>
      <c r="E7" s="182">
        <v>22.639011410701769</v>
      </c>
      <c r="F7" s="280">
        <v>36.82022243140824</v>
      </c>
      <c r="G7" s="280"/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DR190"/>
  <sheetViews>
    <sheetView showGridLines="0" tabSelected="1" zoomScale="70" zoomScaleNormal="70" workbookViewId="0">
      <pane xSplit="6" ySplit="5" topLeftCell="Z6" activePane="bottomRight" state="frozen"/>
      <selection pane="topRight"/>
      <selection pane="bottomLeft"/>
      <selection pane="bottomRight" activeCell="AM39" sqref="AM39"/>
    </sheetView>
  </sheetViews>
  <sheetFormatPr defaultColWidth="8.73046875" defaultRowHeight="12.75" x14ac:dyDescent="0.35"/>
  <cols>
    <col min="1" max="1" width="2.265625" style="2" customWidth="1"/>
    <col min="2" max="2" width="11" style="1" bestFit="1" customWidth="1"/>
    <col min="3" max="3" width="13.1328125" style="1" bestFit="1" customWidth="1"/>
    <col min="4" max="4" width="11.3984375" style="1" bestFit="1" customWidth="1"/>
    <col min="5" max="5" width="21.59765625" style="1" bestFit="1" customWidth="1"/>
    <col min="6" max="6" width="15.59765625" style="1" customWidth="1"/>
    <col min="7" max="7" width="11" style="1" bestFit="1" customWidth="1"/>
    <col min="8" max="8" width="15.86328125" style="1" customWidth="1"/>
    <col min="9" max="9" width="15.73046875" style="1" customWidth="1"/>
    <col min="10" max="10" width="11.59765625" style="1" bestFit="1" customWidth="1"/>
    <col min="11" max="11" width="11.3984375" style="1" bestFit="1" customWidth="1"/>
    <col min="12" max="13" width="9.59765625" style="1" bestFit="1" customWidth="1"/>
    <col min="14" max="14" width="11.3984375" style="1" bestFit="1" customWidth="1"/>
    <col min="15" max="15" width="10.73046875" style="1" bestFit="1" customWidth="1"/>
    <col min="16" max="16" width="26.1328125" style="1" bestFit="1" customWidth="1"/>
    <col min="17" max="17" width="16.59765625" style="1" customWidth="1"/>
    <col min="18" max="18" width="18.1328125" style="1" customWidth="1"/>
    <col min="19" max="19" width="17.59765625" style="1" bestFit="1" customWidth="1"/>
    <col min="20" max="20" width="17.59765625" style="1" customWidth="1"/>
    <col min="21" max="21" width="16.86328125" style="1" customWidth="1"/>
    <col min="22" max="24" width="8.3984375" style="1" bestFit="1" customWidth="1"/>
    <col min="25" max="25" width="11.86328125" style="1" bestFit="1" customWidth="1"/>
    <col min="26" max="26" width="14.59765625" style="1" customWidth="1"/>
    <col min="27" max="27" width="10.73046875" style="1" bestFit="1" customWidth="1"/>
    <col min="28" max="30" width="8.3984375" style="1" bestFit="1" customWidth="1"/>
    <col min="31" max="31" width="11.86328125" style="1" bestFit="1" customWidth="1"/>
    <col min="32" max="32" width="13" style="33" customWidth="1"/>
    <col min="33" max="33" width="15.3984375" style="33" customWidth="1"/>
    <col min="34" max="36" width="8.3984375" style="1" bestFit="1" customWidth="1"/>
    <col min="37" max="37" width="11.86328125" style="1" bestFit="1" customWidth="1"/>
    <col min="38" max="38" width="19.265625" style="1" customWidth="1"/>
    <col min="39" max="39" width="19.1328125" style="1" customWidth="1"/>
    <col min="40" max="40" width="20.3984375" style="294" bestFit="1" customWidth="1"/>
    <col min="41" max="41" width="114.86328125" style="1" customWidth="1"/>
    <col min="42" max="42" width="20.265625" style="2" customWidth="1"/>
    <col min="43" max="16323" width="8.73046875" style="2"/>
    <col min="16324" max="16346" width="8.73046875" style="2" bestFit="1" customWidth="1"/>
    <col min="16347" max="16384" width="8.73046875" style="2"/>
  </cols>
  <sheetData>
    <row r="2" spans="2:42" ht="14.45" customHeight="1" x14ac:dyDescent="0.35">
      <c r="B2" s="448" t="s">
        <v>12</v>
      </c>
      <c r="C2" s="448"/>
      <c r="D2" s="448"/>
      <c r="E2" s="448"/>
      <c r="F2" s="448"/>
      <c r="G2" s="449" t="s">
        <v>13</v>
      </c>
      <c r="H2" s="449"/>
      <c r="I2" s="449"/>
      <c r="J2" s="449"/>
      <c r="K2" s="449"/>
      <c r="L2" s="449"/>
      <c r="M2" s="449"/>
      <c r="N2" s="449"/>
      <c r="O2" s="449"/>
      <c r="P2" s="450" t="s">
        <v>14</v>
      </c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  <c r="AD2" s="450"/>
      <c r="AE2" s="450"/>
      <c r="AF2" s="450"/>
      <c r="AG2" s="450"/>
      <c r="AH2" s="450"/>
      <c r="AI2" s="450"/>
      <c r="AJ2" s="450"/>
      <c r="AK2" s="450"/>
      <c r="AL2" s="450"/>
      <c r="AM2" s="450"/>
      <c r="AN2" s="451"/>
      <c r="AO2" s="456" t="s">
        <v>24</v>
      </c>
      <c r="AP2" s="446" t="s">
        <v>182</v>
      </c>
    </row>
    <row r="3" spans="2:42" s="3" customFormat="1" ht="14.45" customHeight="1" x14ac:dyDescent="0.45">
      <c r="B3" s="398" t="s">
        <v>183</v>
      </c>
      <c r="C3" s="398"/>
      <c r="D3" s="398"/>
      <c r="E3" s="398"/>
      <c r="F3" s="398"/>
      <c r="G3" s="398" t="s">
        <v>16</v>
      </c>
      <c r="H3" s="398"/>
      <c r="I3" s="398"/>
      <c r="J3" s="398" t="s">
        <v>17</v>
      </c>
      <c r="K3" s="398"/>
      <c r="L3" s="398"/>
      <c r="M3" s="398"/>
      <c r="N3" s="398"/>
      <c r="O3" s="398"/>
      <c r="P3" s="398" t="s">
        <v>18</v>
      </c>
      <c r="Q3" s="433" t="s">
        <v>184</v>
      </c>
      <c r="R3" s="433" t="s">
        <v>185</v>
      </c>
      <c r="S3" s="398" t="s">
        <v>20</v>
      </c>
      <c r="T3" s="433" t="s">
        <v>186</v>
      </c>
      <c r="U3" s="433" t="s">
        <v>187</v>
      </c>
      <c r="V3" s="398" t="s">
        <v>21</v>
      </c>
      <c r="W3" s="398"/>
      <c r="X3" s="398"/>
      <c r="Y3" s="398"/>
      <c r="Z3" s="398"/>
      <c r="AA3" s="398"/>
      <c r="AB3" s="398" t="s">
        <v>22</v>
      </c>
      <c r="AC3" s="398"/>
      <c r="AD3" s="398"/>
      <c r="AE3" s="398"/>
      <c r="AF3" s="398"/>
      <c r="AG3" s="398"/>
      <c r="AH3" s="398" t="s">
        <v>23</v>
      </c>
      <c r="AI3" s="398"/>
      <c r="AJ3" s="398"/>
      <c r="AK3" s="398"/>
      <c r="AL3" s="398"/>
      <c r="AM3" s="398"/>
      <c r="AN3" s="452"/>
      <c r="AO3" s="457"/>
      <c r="AP3" s="446"/>
    </row>
    <row r="4" spans="2:42" s="3" customFormat="1" ht="15" customHeight="1" x14ac:dyDescent="0.45">
      <c r="B4" s="398" t="s">
        <v>27</v>
      </c>
      <c r="C4" s="398" t="s">
        <v>188</v>
      </c>
      <c r="D4" s="398" t="s">
        <v>28</v>
      </c>
      <c r="E4" s="398" t="s">
        <v>189</v>
      </c>
      <c r="F4" s="398" t="s">
        <v>190</v>
      </c>
      <c r="G4" s="398" t="s">
        <v>27</v>
      </c>
      <c r="H4" s="433" t="s">
        <v>191</v>
      </c>
      <c r="I4" s="398" t="s">
        <v>190</v>
      </c>
      <c r="J4" s="398" t="s">
        <v>40</v>
      </c>
      <c r="K4" s="398"/>
      <c r="L4" s="398" t="s">
        <v>192</v>
      </c>
      <c r="M4" s="398" t="s">
        <v>41</v>
      </c>
      <c r="N4" s="398" t="s">
        <v>42</v>
      </c>
      <c r="O4" s="398"/>
      <c r="P4" s="398"/>
      <c r="Q4" s="453"/>
      <c r="R4" s="453"/>
      <c r="S4" s="398"/>
      <c r="T4" s="453"/>
      <c r="U4" s="453"/>
      <c r="V4" s="398" t="s">
        <v>8</v>
      </c>
      <c r="W4" s="398"/>
      <c r="X4" s="398"/>
      <c r="Y4" s="398"/>
      <c r="Z4" s="398" t="s">
        <v>193</v>
      </c>
      <c r="AA4" s="398" t="s">
        <v>43</v>
      </c>
      <c r="AB4" s="398" t="s">
        <v>8</v>
      </c>
      <c r="AC4" s="398"/>
      <c r="AD4" s="398"/>
      <c r="AE4" s="398"/>
      <c r="AF4" s="398" t="s">
        <v>193</v>
      </c>
      <c r="AG4" s="398" t="s">
        <v>45</v>
      </c>
      <c r="AH4" s="398" t="s">
        <v>8</v>
      </c>
      <c r="AI4" s="398"/>
      <c r="AJ4" s="398"/>
      <c r="AK4" s="398"/>
      <c r="AL4" s="455" t="s">
        <v>44</v>
      </c>
      <c r="AM4" s="455" t="s">
        <v>45</v>
      </c>
      <c r="AN4" s="452" t="s">
        <v>46</v>
      </c>
      <c r="AO4" s="457"/>
      <c r="AP4" s="446"/>
    </row>
    <row r="5" spans="2:42" s="26" customFormat="1" ht="28.5" customHeight="1" thickBot="1" x14ac:dyDescent="0.5">
      <c r="B5" s="398"/>
      <c r="C5" s="398"/>
      <c r="D5" s="398"/>
      <c r="E5" s="398"/>
      <c r="F5" s="398"/>
      <c r="G5" s="398"/>
      <c r="H5" s="454"/>
      <c r="I5" s="398"/>
      <c r="J5" s="364" t="s">
        <v>48</v>
      </c>
      <c r="K5" s="364" t="s">
        <v>49</v>
      </c>
      <c r="L5" s="398"/>
      <c r="M5" s="398"/>
      <c r="N5" s="364" t="s">
        <v>50</v>
      </c>
      <c r="O5" s="364" t="s">
        <v>51</v>
      </c>
      <c r="P5" s="398"/>
      <c r="Q5" s="454"/>
      <c r="R5" s="454"/>
      <c r="S5" s="398"/>
      <c r="T5" s="454"/>
      <c r="U5" s="454"/>
      <c r="V5" s="364">
        <v>1</v>
      </c>
      <c r="W5" s="364">
        <v>2</v>
      </c>
      <c r="X5" s="364">
        <v>3</v>
      </c>
      <c r="Y5" s="364" t="s">
        <v>52</v>
      </c>
      <c r="Z5" s="398"/>
      <c r="AA5" s="398"/>
      <c r="AB5" s="364">
        <v>1</v>
      </c>
      <c r="AC5" s="364">
        <v>2</v>
      </c>
      <c r="AD5" s="364">
        <v>3</v>
      </c>
      <c r="AE5" s="364" t="s">
        <v>53</v>
      </c>
      <c r="AF5" s="398"/>
      <c r="AG5" s="398"/>
      <c r="AH5" s="364">
        <v>1</v>
      </c>
      <c r="AI5" s="364">
        <v>2</v>
      </c>
      <c r="AJ5" s="364">
        <v>3</v>
      </c>
      <c r="AK5" s="364" t="s">
        <v>53</v>
      </c>
      <c r="AL5" s="455"/>
      <c r="AM5" s="455"/>
      <c r="AN5" s="452"/>
      <c r="AO5" s="458"/>
      <c r="AP5" s="446"/>
    </row>
    <row r="6" spans="2:42" s="322" customFormat="1" x14ac:dyDescent="0.35">
      <c r="B6" s="313" t="s">
        <v>194</v>
      </c>
      <c r="C6" s="314" t="s">
        <v>195</v>
      </c>
      <c r="D6" s="315" t="s">
        <v>196</v>
      </c>
      <c r="E6" s="315"/>
      <c r="F6" s="315"/>
      <c r="G6" s="315"/>
      <c r="H6" s="315">
        <v>50</v>
      </c>
      <c r="I6" s="315"/>
      <c r="J6" s="315"/>
      <c r="K6" s="315"/>
      <c r="L6" s="315"/>
      <c r="M6" s="315"/>
      <c r="N6" s="315"/>
      <c r="O6" s="315"/>
      <c r="P6" s="315"/>
      <c r="Q6" s="315">
        <v>50</v>
      </c>
      <c r="R6" s="315"/>
      <c r="S6" s="316">
        <v>44199</v>
      </c>
      <c r="T6" s="317">
        <v>5</v>
      </c>
      <c r="U6" s="315"/>
      <c r="V6" s="318" t="s">
        <v>95</v>
      </c>
      <c r="W6" s="318" t="s">
        <v>95</v>
      </c>
      <c r="X6" s="318" t="s">
        <v>95</v>
      </c>
      <c r="Y6" s="317" t="e">
        <f>AVERAGE(V6:X6)</f>
        <v>#DIV/0!</v>
      </c>
      <c r="Z6" s="319" t="e">
        <f>10^((Y6-'Standard Curve Summaries'!G$9)/'Standard Curve Summaries'!I$9)</f>
        <v>#DIV/0!</v>
      </c>
      <c r="AA6" s="320" t="e">
        <f>Z6*100/Z$14</f>
        <v>#DIV/0!</v>
      </c>
      <c r="AB6" s="318" t="s">
        <v>95</v>
      </c>
      <c r="AC6" s="318" t="s">
        <v>95</v>
      </c>
      <c r="AD6" s="318" t="s">
        <v>95</v>
      </c>
      <c r="AE6" s="317" t="e">
        <f>AVERAGE(AB6:AD6)</f>
        <v>#DIV/0!</v>
      </c>
      <c r="AF6" s="331" t="e">
        <f>10^((AE6-'Standard Curve Summaries'!G$6)/'Standard Curve Summaries'!I$6)</f>
        <v>#DIV/0!</v>
      </c>
      <c r="AG6" s="331" t="e">
        <f t="shared" ref="AG6:AG15" si="0">(AF6/T6)*(Q6/H6)</f>
        <v>#DIV/0!</v>
      </c>
      <c r="AH6" s="318" t="s">
        <v>95</v>
      </c>
      <c r="AI6" s="318" t="s">
        <v>95</v>
      </c>
      <c r="AJ6" s="318" t="s">
        <v>95</v>
      </c>
      <c r="AK6" s="317" t="e">
        <f>AVERAGE(AH6:AJ6)</f>
        <v>#DIV/0!</v>
      </c>
      <c r="AL6" s="321" t="e">
        <f>10^((AK6-'Standard Curve Summaries'!G$8)/'Standard Curve Summaries'!I$8)</f>
        <v>#DIV/0!</v>
      </c>
      <c r="AM6" s="321" t="e">
        <f t="shared" ref="AM6:AM37" si="1">(AL6/T6)*(Q6/H6)</f>
        <v>#DIV/0!</v>
      </c>
      <c r="AN6" s="331" t="e">
        <f>AL6/AF6</f>
        <v>#DIV/0!</v>
      </c>
      <c r="AO6" s="336" t="s">
        <v>197</v>
      </c>
      <c r="AP6" s="447" t="s">
        <v>198</v>
      </c>
    </row>
    <row r="7" spans="2:42" s="322" customFormat="1" x14ac:dyDescent="0.35">
      <c r="B7" s="313" t="s">
        <v>194</v>
      </c>
      <c r="C7" s="323" t="s">
        <v>195</v>
      </c>
      <c r="D7" s="315" t="s">
        <v>57</v>
      </c>
      <c r="E7" s="324"/>
      <c r="F7" s="324"/>
      <c r="G7" s="324"/>
      <c r="H7" s="315">
        <v>50</v>
      </c>
      <c r="I7" s="324"/>
      <c r="J7" s="325"/>
      <c r="K7" s="324"/>
      <c r="L7" s="324"/>
      <c r="M7" s="324"/>
      <c r="N7" s="324"/>
      <c r="O7" s="326"/>
      <c r="P7" s="324"/>
      <c r="Q7" s="315">
        <v>50</v>
      </c>
      <c r="R7" s="324"/>
      <c r="S7" s="316">
        <v>44199</v>
      </c>
      <c r="T7" s="317">
        <v>5</v>
      </c>
      <c r="U7" s="324"/>
      <c r="V7" s="318" t="s">
        <v>95</v>
      </c>
      <c r="W7" s="318" t="s">
        <v>95</v>
      </c>
      <c r="X7" s="318">
        <v>34.42</v>
      </c>
      <c r="Y7" s="317">
        <f t="shared" ref="Y7:Y50" si="2">AVERAGE(V7:X7)</f>
        <v>34.42</v>
      </c>
      <c r="Z7" s="319">
        <f>10^((Y7-'Standard Curve Summaries'!G$9)/'Standard Curve Summaries'!I$9)</f>
        <v>16624.299978560161</v>
      </c>
      <c r="AA7" s="320" t="e">
        <f>Z7*100/Z$14</f>
        <v>#DIV/0!</v>
      </c>
      <c r="AB7" s="327" t="s">
        <v>95</v>
      </c>
      <c r="AC7" s="327">
        <v>30.9070314840666</v>
      </c>
      <c r="AD7" s="327">
        <v>27.9562011973869</v>
      </c>
      <c r="AE7" s="317">
        <f t="shared" ref="AE7:AE50" si="3">AVERAGE(AB7:AD7)</f>
        <v>29.431616340726748</v>
      </c>
      <c r="AF7" s="332">
        <f>10^((AE7-'Standard Curve Summaries'!G$6)/'Standard Curve Summaries'!I$6)</f>
        <v>1616.6473226696721</v>
      </c>
      <c r="AG7" s="331">
        <f t="shared" si="0"/>
        <v>323.32946453393441</v>
      </c>
      <c r="AH7" s="327" t="s">
        <v>95</v>
      </c>
      <c r="AI7" s="327">
        <v>37.8260449026806</v>
      </c>
      <c r="AJ7" s="327">
        <v>36.423091253113299</v>
      </c>
      <c r="AK7" s="317">
        <f t="shared" ref="AK7:AK15" si="4">AVERAGE(AH7:AJ7)</f>
        <v>37.124568077896953</v>
      </c>
      <c r="AL7" s="321">
        <f>10^((AK7-'Standard Curve Summaries'!G$8)/'Standard Curve Summaries'!I$8)</f>
        <v>33.215643482682204</v>
      </c>
      <c r="AM7" s="321">
        <f t="shared" si="1"/>
        <v>6.6431286965364409</v>
      </c>
      <c r="AN7" s="331">
        <f t="shared" ref="AN7:AN71" si="5">AL7/AF7</f>
        <v>2.0546004695588836E-2</v>
      </c>
      <c r="AO7" s="337" t="s">
        <v>197</v>
      </c>
      <c r="AP7" s="447"/>
    </row>
    <row r="8" spans="2:42" s="322" customFormat="1" x14ac:dyDescent="0.35">
      <c r="B8" s="313" t="s">
        <v>194</v>
      </c>
      <c r="C8" s="323" t="s">
        <v>199</v>
      </c>
      <c r="D8" s="315" t="s">
        <v>196</v>
      </c>
      <c r="E8" s="324"/>
      <c r="F8" s="324"/>
      <c r="G8" s="324"/>
      <c r="H8" s="315">
        <v>50</v>
      </c>
      <c r="I8" s="324"/>
      <c r="J8" s="325"/>
      <c r="K8" s="324"/>
      <c r="L8" s="324"/>
      <c r="M8" s="324"/>
      <c r="N8" s="328"/>
      <c r="O8" s="326"/>
      <c r="P8" s="324"/>
      <c r="Q8" s="315">
        <v>50</v>
      </c>
      <c r="R8" s="324"/>
      <c r="S8" s="316">
        <v>44199</v>
      </c>
      <c r="T8" s="317">
        <v>5</v>
      </c>
      <c r="U8" s="324"/>
      <c r="V8" s="329" t="s">
        <v>95</v>
      </c>
      <c r="W8" s="329" t="s">
        <v>95</v>
      </c>
      <c r="X8" s="327" t="s">
        <v>95</v>
      </c>
      <c r="Y8" s="317" t="e">
        <f t="shared" si="2"/>
        <v>#DIV/0!</v>
      </c>
      <c r="Z8" s="319" t="e">
        <f>10^((Y8-'Standard Curve Summaries'!G$9)/'Standard Curve Summaries'!I$9)</f>
        <v>#DIV/0!</v>
      </c>
      <c r="AA8" s="320" t="e">
        <f t="shared" ref="AA8:AA15" si="6">Z8*100/Z$14</f>
        <v>#DIV/0!</v>
      </c>
      <c r="AB8" s="329" t="s">
        <v>95</v>
      </c>
      <c r="AC8" s="329" t="s">
        <v>95</v>
      </c>
      <c r="AD8" s="327" t="s">
        <v>95</v>
      </c>
      <c r="AE8" s="317" t="e">
        <f t="shared" si="3"/>
        <v>#DIV/0!</v>
      </c>
      <c r="AF8" s="332" t="e">
        <f>10^((AE8-'Standard Curve Summaries'!G$6)/'Standard Curve Summaries'!I$6)</f>
        <v>#DIV/0!</v>
      </c>
      <c r="AG8" s="331" t="e">
        <f t="shared" si="0"/>
        <v>#DIV/0!</v>
      </c>
      <c r="AH8" s="318" t="s">
        <v>95</v>
      </c>
      <c r="AI8" s="318" t="s">
        <v>95</v>
      </c>
      <c r="AJ8" s="318" t="s">
        <v>95</v>
      </c>
      <c r="AK8" s="317" t="e">
        <f t="shared" si="4"/>
        <v>#DIV/0!</v>
      </c>
      <c r="AL8" s="321" t="e">
        <f>10^((AK8-'Standard Curve Summaries'!G$8)/'Standard Curve Summaries'!I$8)</f>
        <v>#DIV/0!</v>
      </c>
      <c r="AM8" s="321" t="e">
        <f t="shared" si="1"/>
        <v>#DIV/0!</v>
      </c>
      <c r="AN8" s="331" t="e">
        <f t="shared" si="5"/>
        <v>#DIV/0!</v>
      </c>
      <c r="AO8" s="337" t="s">
        <v>197</v>
      </c>
      <c r="AP8" s="447"/>
    </row>
    <row r="9" spans="2:42" s="322" customFormat="1" x14ac:dyDescent="0.35">
      <c r="B9" s="313" t="s">
        <v>194</v>
      </c>
      <c r="C9" s="323" t="s">
        <v>199</v>
      </c>
      <c r="D9" s="315" t="s">
        <v>57</v>
      </c>
      <c r="E9" s="324"/>
      <c r="F9" s="324"/>
      <c r="G9" s="324"/>
      <c r="H9" s="315">
        <v>50</v>
      </c>
      <c r="I9" s="324"/>
      <c r="J9" s="325"/>
      <c r="K9" s="324"/>
      <c r="L9" s="324"/>
      <c r="M9" s="324"/>
      <c r="N9" s="324"/>
      <c r="O9" s="326"/>
      <c r="P9" s="324"/>
      <c r="Q9" s="315">
        <v>50</v>
      </c>
      <c r="R9" s="324"/>
      <c r="S9" s="316">
        <v>44199</v>
      </c>
      <c r="T9" s="317">
        <v>5</v>
      </c>
      <c r="U9" s="324"/>
      <c r="V9" s="329" t="s">
        <v>95</v>
      </c>
      <c r="W9" s="329" t="s">
        <v>95</v>
      </c>
      <c r="X9" s="327" t="s">
        <v>95</v>
      </c>
      <c r="Y9" s="317" t="e">
        <f t="shared" si="2"/>
        <v>#DIV/0!</v>
      </c>
      <c r="Z9" s="319" t="e">
        <f>10^((Y9-'Standard Curve Summaries'!G$9)/'Standard Curve Summaries'!I$9)</f>
        <v>#DIV/0!</v>
      </c>
      <c r="AA9" s="320" t="e">
        <f t="shared" si="6"/>
        <v>#DIV/0!</v>
      </c>
      <c r="AB9" s="329" t="s">
        <v>95</v>
      </c>
      <c r="AC9" s="329" t="s">
        <v>95</v>
      </c>
      <c r="AD9" s="327" t="s">
        <v>95</v>
      </c>
      <c r="AE9" s="317" t="e">
        <f t="shared" si="3"/>
        <v>#DIV/0!</v>
      </c>
      <c r="AF9" s="332" t="e">
        <f>10^((AE9-'Standard Curve Summaries'!G$6)/'Standard Curve Summaries'!I$6)</f>
        <v>#DIV/0!</v>
      </c>
      <c r="AG9" s="331" t="e">
        <f t="shared" si="0"/>
        <v>#DIV/0!</v>
      </c>
      <c r="AH9" s="318" t="s">
        <v>95</v>
      </c>
      <c r="AI9" s="318" t="s">
        <v>95</v>
      </c>
      <c r="AJ9" s="318" t="s">
        <v>95</v>
      </c>
      <c r="AK9" s="317" t="e">
        <f t="shared" si="4"/>
        <v>#DIV/0!</v>
      </c>
      <c r="AL9" s="321" t="e">
        <f>10^((AK9-'Standard Curve Summaries'!G$8)/'Standard Curve Summaries'!I$8)</f>
        <v>#DIV/0!</v>
      </c>
      <c r="AM9" s="321" t="e">
        <f t="shared" si="1"/>
        <v>#DIV/0!</v>
      </c>
      <c r="AN9" s="331" t="e">
        <f t="shared" si="5"/>
        <v>#DIV/0!</v>
      </c>
      <c r="AO9" s="337" t="s">
        <v>197</v>
      </c>
      <c r="AP9" s="447"/>
    </row>
    <row r="10" spans="2:42" s="322" customFormat="1" x14ac:dyDescent="0.35">
      <c r="B10" s="313" t="s">
        <v>194</v>
      </c>
      <c r="C10" s="323" t="s">
        <v>200</v>
      </c>
      <c r="D10" s="315" t="s">
        <v>196</v>
      </c>
      <c r="E10" s="324"/>
      <c r="F10" s="324"/>
      <c r="G10" s="324"/>
      <c r="H10" s="315">
        <v>50</v>
      </c>
      <c r="I10" s="324"/>
      <c r="J10" s="325"/>
      <c r="K10" s="324"/>
      <c r="L10" s="324"/>
      <c r="M10" s="324"/>
      <c r="N10" s="324"/>
      <c r="O10" s="326"/>
      <c r="P10" s="324"/>
      <c r="Q10" s="315">
        <v>50</v>
      </c>
      <c r="R10" s="324"/>
      <c r="S10" s="316">
        <v>44199</v>
      </c>
      <c r="T10" s="317">
        <v>5</v>
      </c>
      <c r="U10" s="324"/>
      <c r="V10" s="329">
        <v>26.88</v>
      </c>
      <c r="W10" s="329">
        <v>26.27</v>
      </c>
      <c r="X10" s="327">
        <v>26.47</v>
      </c>
      <c r="Y10" s="317">
        <f t="shared" si="2"/>
        <v>26.540000000000003</v>
      </c>
      <c r="Z10" s="319">
        <f>10^((Y10-'Standard Curve Summaries'!G$9)/'Standard Curve Summaries'!I$9)</f>
        <v>3241222.0517580584</v>
      </c>
      <c r="AA10" s="320" t="e">
        <f t="shared" si="6"/>
        <v>#DIV/0!</v>
      </c>
      <c r="AB10" s="327">
        <v>25.477021436490102</v>
      </c>
      <c r="AC10" s="327">
        <v>25.337865998650098</v>
      </c>
      <c r="AD10" s="327">
        <v>25.345287840907599</v>
      </c>
      <c r="AE10" s="317">
        <f t="shared" si="3"/>
        <v>25.386725092015933</v>
      </c>
      <c r="AF10" s="332">
        <f>10^((AE10-'Standard Curve Summaries'!G$6)/'Standard Curve Summaries'!I$6)</f>
        <v>23075.120232862952</v>
      </c>
      <c r="AG10" s="331">
        <f t="shared" si="0"/>
        <v>4615.0240465725901</v>
      </c>
      <c r="AH10" s="327">
        <v>29.667396185456202</v>
      </c>
      <c r="AI10" s="327">
        <v>29.4361464041041</v>
      </c>
      <c r="AJ10" s="327">
        <v>29.5294100465653</v>
      </c>
      <c r="AK10" s="317">
        <f t="shared" si="4"/>
        <v>29.544317545375204</v>
      </c>
      <c r="AL10" s="321">
        <f>10^((AK10-'Standard Curve Summaries'!G$8)/'Standard Curve Summaries'!I$8)</f>
        <v>5141.5094219268467</v>
      </c>
      <c r="AM10" s="321">
        <f t="shared" si="1"/>
        <v>1028.3018843853692</v>
      </c>
      <c r="AN10" s="331">
        <f t="shared" si="5"/>
        <v>0.22281614873687419</v>
      </c>
      <c r="AO10" s="337" t="s">
        <v>197</v>
      </c>
      <c r="AP10" s="447"/>
    </row>
    <row r="11" spans="2:42" s="322" customFormat="1" x14ac:dyDescent="0.35">
      <c r="B11" s="313" t="s">
        <v>194</v>
      </c>
      <c r="C11" s="323" t="s">
        <v>200</v>
      </c>
      <c r="D11" s="315" t="s">
        <v>57</v>
      </c>
      <c r="E11" s="324"/>
      <c r="F11" s="324"/>
      <c r="G11" s="324"/>
      <c r="H11" s="315">
        <v>50</v>
      </c>
      <c r="I11" s="324"/>
      <c r="J11" s="325"/>
      <c r="K11" s="324"/>
      <c r="L11" s="324"/>
      <c r="M11" s="324"/>
      <c r="N11" s="324"/>
      <c r="O11" s="326"/>
      <c r="P11" s="324"/>
      <c r="Q11" s="315">
        <v>50</v>
      </c>
      <c r="R11" s="324"/>
      <c r="S11" s="316">
        <v>44199</v>
      </c>
      <c r="T11" s="317">
        <v>5</v>
      </c>
      <c r="U11" s="324"/>
      <c r="V11" s="327">
        <v>28.39</v>
      </c>
      <c r="W11" s="327">
        <v>24.24</v>
      </c>
      <c r="X11" s="327">
        <v>24.49</v>
      </c>
      <c r="Y11" s="317">
        <f t="shared" si="2"/>
        <v>25.706666666666663</v>
      </c>
      <c r="Z11" s="319">
        <f>10^((Y11-'Standard Curve Summaries'!G$9)/'Standard Curve Summaries'!I$9)</f>
        <v>5660820.8224350801</v>
      </c>
      <c r="AA11" s="320" t="e">
        <f t="shared" si="6"/>
        <v>#DIV/0!</v>
      </c>
      <c r="AB11" s="327">
        <v>26.870271949934999</v>
      </c>
      <c r="AC11" s="327">
        <v>26.6537995984467</v>
      </c>
      <c r="AD11" s="327">
        <v>26.437251158207999</v>
      </c>
      <c r="AE11" s="317">
        <f t="shared" si="3"/>
        <v>26.653774235529898</v>
      </c>
      <c r="AF11" s="332">
        <f>10^((AE11-'Standard Curve Summaries'!G$6)/'Standard Curve Summaries'!I$6)</f>
        <v>10034.404036844973</v>
      </c>
      <c r="AG11" s="331">
        <f t="shared" si="0"/>
        <v>2006.8808073689947</v>
      </c>
      <c r="AH11" s="327">
        <v>29.2485200544753</v>
      </c>
      <c r="AI11" s="327">
        <v>29.227892015616</v>
      </c>
      <c r="AJ11" s="327">
        <v>29.161449432524201</v>
      </c>
      <c r="AK11" s="317">
        <f t="shared" si="4"/>
        <v>29.212620500871832</v>
      </c>
      <c r="AL11" s="321">
        <f>10^((AK11-'Standard Curve Summaries'!G$8)/'Standard Curve Summaries'!I$8)</f>
        <v>6410.763492392578</v>
      </c>
      <c r="AM11" s="321">
        <f t="shared" si="1"/>
        <v>1282.1526984785155</v>
      </c>
      <c r="AN11" s="331">
        <f t="shared" si="5"/>
        <v>0.63887834981062375</v>
      </c>
      <c r="AO11" s="337" t="s">
        <v>197</v>
      </c>
      <c r="AP11" s="447"/>
    </row>
    <row r="12" spans="2:42" s="322" customFormat="1" x14ac:dyDescent="0.35">
      <c r="B12" s="313" t="s">
        <v>194</v>
      </c>
      <c r="C12" s="323" t="s">
        <v>201</v>
      </c>
      <c r="D12" s="315" t="s">
        <v>196</v>
      </c>
      <c r="E12" s="324"/>
      <c r="F12" s="324"/>
      <c r="G12" s="324"/>
      <c r="H12" s="315">
        <v>50</v>
      </c>
      <c r="I12" s="324"/>
      <c r="J12" s="330"/>
      <c r="K12" s="324"/>
      <c r="L12" s="324"/>
      <c r="M12" s="324"/>
      <c r="N12" s="324"/>
      <c r="O12" s="326"/>
      <c r="P12" s="324"/>
      <c r="Q12" s="315">
        <v>50</v>
      </c>
      <c r="R12" s="324"/>
      <c r="S12" s="316">
        <v>44199</v>
      </c>
      <c r="T12" s="317">
        <v>5</v>
      </c>
      <c r="U12" s="324"/>
      <c r="V12" s="327">
        <v>39.799999999999997</v>
      </c>
      <c r="W12" s="327" t="s">
        <v>95</v>
      </c>
      <c r="X12" s="327">
        <v>32.549999999999997</v>
      </c>
      <c r="Y12" s="317">
        <f t="shared" si="2"/>
        <v>36.174999999999997</v>
      </c>
      <c r="Z12" s="319">
        <f>10^((Y12-'Standard Curve Summaries'!G$9)/'Standard Curve Summaries'!I$9)</f>
        <v>5137.2657626151013</v>
      </c>
      <c r="AA12" s="320" t="e">
        <f t="shared" si="6"/>
        <v>#DIV/0!</v>
      </c>
      <c r="AB12" s="327">
        <v>27.8401749932722</v>
      </c>
      <c r="AC12" s="327">
        <v>28.247636220503999</v>
      </c>
      <c r="AD12" s="327">
        <v>27.3576657188956</v>
      </c>
      <c r="AE12" s="317">
        <f t="shared" si="3"/>
        <v>27.815158977557264</v>
      </c>
      <c r="AF12" s="332">
        <f>10^((AE12-'Standard Curve Summaries'!G$6)/'Standard Curve Summaries'!I$6)</f>
        <v>4677.3391856037433</v>
      </c>
      <c r="AG12" s="331">
        <f t="shared" si="0"/>
        <v>935.46783712074864</v>
      </c>
      <c r="AH12" s="327">
        <v>36.661875865142697</v>
      </c>
      <c r="AI12" s="327">
        <v>37.257704069036897</v>
      </c>
      <c r="AJ12" s="327">
        <v>37.389100641456999</v>
      </c>
      <c r="AK12" s="317">
        <f t="shared" si="4"/>
        <v>37.102893525212203</v>
      </c>
      <c r="AL12" s="321">
        <f>10^((AK12-'Standard Curve Summaries'!G$8)/'Standard Curve Summaries'!I$8)</f>
        <v>33.697983681645823</v>
      </c>
      <c r="AM12" s="321">
        <f t="shared" si="1"/>
        <v>6.7395967363291645</v>
      </c>
      <c r="AN12" s="331">
        <f t="shared" si="5"/>
        <v>7.2045199940521613E-3</v>
      </c>
      <c r="AO12" s="337" t="s">
        <v>197</v>
      </c>
      <c r="AP12" s="447"/>
    </row>
    <row r="13" spans="2:42" s="322" customFormat="1" x14ac:dyDescent="0.35">
      <c r="B13" s="313" t="s">
        <v>194</v>
      </c>
      <c r="C13" s="323" t="s">
        <v>201</v>
      </c>
      <c r="D13" s="315" t="s">
        <v>57</v>
      </c>
      <c r="E13" s="324"/>
      <c r="F13" s="324"/>
      <c r="G13" s="324"/>
      <c r="H13" s="315">
        <v>50</v>
      </c>
      <c r="I13" s="324"/>
      <c r="J13" s="330"/>
      <c r="K13" s="324"/>
      <c r="L13" s="324"/>
      <c r="M13" s="324"/>
      <c r="N13" s="324"/>
      <c r="O13" s="326"/>
      <c r="P13" s="324"/>
      <c r="Q13" s="315">
        <v>50</v>
      </c>
      <c r="R13" s="324"/>
      <c r="S13" s="316">
        <v>44199</v>
      </c>
      <c r="T13" s="317">
        <v>5</v>
      </c>
      <c r="U13" s="324"/>
      <c r="V13" s="327">
        <v>29.33</v>
      </c>
      <c r="W13" s="327">
        <v>27.88</v>
      </c>
      <c r="X13" s="327">
        <v>26.46</v>
      </c>
      <c r="Y13" s="317">
        <f t="shared" si="2"/>
        <v>27.889999999999997</v>
      </c>
      <c r="Z13" s="319">
        <f>10^((Y13-'Standard Curve Summaries'!G$9)/'Standard Curve Summaries'!I$9)</f>
        <v>1313385.9755180161</v>
      </c>
      <c r="AA13" s="320" t="e">
        <f t="shared" si="6"/>
        <v>#DIV/0!</v>
      </c>
      <c r="AB13" s="327">
        <v>27.055740579471902</v>
      </c>
      <c r="AC13" s="327">
        <v>26.185034133222999</v>
      </c>
      <c r="AD13" s="327">
        <v>26.183989962865201</v>
      </c>
      <c r="AE13" s="317">
        <f t="shared" si="3"/>
        <v>26.474921558520034</v>
      </c>
      <c r="AF13" s="332">
        <f>10^((AE13-'Standard Curve Summaries'!G$6)/'Standard Curve Summaries'!I$6)</f>
        <v>11286.032566656906</v>
      </c>
      <c r="AG13" s="331">
        <f t="shared" si="0"/>
        <v>2257.2065133313813</v>
      </c>
      <c r="AH13" s="327">
        <v>39.5350642313227</v>
      </c>
      <c r="AI13" s="327">
        <v>38.652231037213198</v>
      </c>
      <c r="AJ13" s="327">
        <v>34.823260083081202</v>
      </c>
      <c r="AK13" s="317">
        <f t="shared" si="4"/>
        <v>37.670185117205705</v>
      </c>
      <c r="AL13" s="321">
        <f>10^((AK13-'Standard Curve Summaries'!G$8)/'Standard Curve Summaries'!I$8)</f>
        <v>23.106136016593702</v>
      </c>
      <c r="AM13" s="321">
        <f t="shared" si="1"/>
        <v>4.6212272033187407</v>
      </c>
      <c r="AN13" s="331">
        <f t="shared" si="5"/>
        <v>2.047321401929827E-3</v>
      </c>
      <c r="AO13" s="337" t="s">
        <v>197</v>
      </c>
      <c r="AP13" s="447"/>
    </row>
    <row r="14" spans="2:42" s="322" customFormat="1" x14ac:dyDescent="0.35">
      <c r="B14" s="313" t="s">
        <v>194</v>
      </c>
      <c r="C14" s="323" t="s">
        <v>202</v>
      </c>
      <c r="D14" s="315"/>
      <c r="E14" s="324"/>
      <c r="F14" s="324"/>
      <c r="G14" s="324"/>
      <c r="H14" s="315">
        <v>50</v>
      </c>
      <c r="I14" s="324"/>
      <c r="J14" s="330"/>
      <c r="K14" s="324"/>
      <c r="L14" s="324"/>
      <c r="M14" s="324"/>
      <c r="N14" s="324"/>
      <c r="O14" s="326"/>
      <c r="P14" s="324"/>
      <c r="Q14" s="315">
        <v>50</v>
      </c>
      <c r="R14" s="324"/>
      <c r="S14" s="316">
        <v>44199</v>
      </c>
      <c r="T14" s="317">
        <v>5</v>
      </c>
      <c r="U14" s="324"/>
      <c r="V14" s="327" t="s">
        <v>95</v>
      </c>
      <c r="W14" s="327" t="s">
        <v>95</v>
      </c>
      <c r="X14" s="327" t="s">
        <v>95</v>
      </c>
      <c r="Y14" s="317" t="e">
        <f t="shared" si="2"/>
        <v>#DIV/0!</v>
      </c>
      <c r="Z14" s="319" t="e">
        <f>10^((Y14-'Standard Curve Summaries'!G$9)/'Standard Curve Summaries'!I$9)</f>
        <v>#DIV/0!</v>
      </c>
      <c r="AA14" s="320" t="e">
        <f t="shared" si="6"/>
        <v>#DIV/0!</v>
      </c>
      <c r="AB14" s="327" t="s">
        <v>95</v>
      </c>
      <c r="AC14" s="327" t="s">
        <v>95</v>
      </c>
      <c r="AD14" s="327" t="s">
        <v>95</v>
      </c>
      <c r="AE14" s="317" t="e">
        <f t="shared" si="3"/>
        <v>#DIV/0!</v>
      </c>
      <c r="AF14" s="332" t="e">
        <f>10^((AE14-'Standard Curve Summaries'!G$6)/'Standard Curve Summaries'!I$6)</f>
        <v>#DIV/0!</v>
      </c>
      <c r="AG14" s="331" t="e">
        <f t="shared" si="0"/>
        <v>#DIV/0!</v>
      </c>
      <c r="AH14" s="327" t="s">
        <v>95</v>
      </c>
      <c r="AI14" s="327" t="s">
        <v>95</v>
      </c>
      <c r="AJ14" s="327" t="s">
        <v>95</v>
      </c>
      <c r="AK14" s="317" t="e">
        <f t="shared" si="4"/>
        <v>#DIV/0!</v>
      </c>
      <c r="AL14" s="321" t="e">
        <f>10^((AK14-'Standard Curve Summaries'!G$8)/'Standard Curve Summaries'!I$8)</f>
        <v>#DIV/0!</v>
      </c>
      <c r="AM14" s="321" t="e">
        <f t="shared" si="1"/>
        <v>#DIV/0!</v>
      </c>
      <c r="AN14" s="331" t="e">
        <f t="shared" si="5"/>
        <v>#DIV/0!</v>
      </c>
      <c r="AO14" s="337" t="s">
        <v>197</v>
      </c>
      <c r="AP14" s="447"/>
    </row>
    <row r="15" spans="2:42" s="322" customFormat="1" x14ac:dyDescent="0.35">
      <c r="B15" s="313" t="s">
        <v>194</v>
      </c>
      <c r="C15" s="323" t="s">
        <v>203</v>
      </c>
      <c r="D15" s="315"/>
      <c r="E15" s="324"/>
      <c r="F15" s="324"/>
      <c r="G15" s="324"/>
      <c r="H15" s="315">
        <v>50</v>
      </c>
      <c r="I15" s="324"/>
      <c r="J15" s="330"/>
      <c r="K15" s="324"/>
      <c r="L15" s="324"/>
      <c r="M15" s="324"/>
      <c r="N15" s="324"/>
      <c r="O15" s="326"/>
      <c r="P15" s="324"/>
      <c r="Q15" s="315">
        <v>50</v>
      </c>
      <c r="R15" s="324"/>
      <c r="S15" s="316">
        <v>44199</v>
      </c>
      <c r="T15" s="317">
        <v>5</v>
      </c>
      <c r="U15" s="324"/>
      <c r="V15" s="327">
        <v>38.618901505747999</v>
      </c>
      <c r="W15" s="327">
        <v>38.308752483455002</v>
      </c>
      <c r="X15" s="327">
        <v>39.847841091291698</v>
      </c>
      <c r="Y15" s="317">
        <f t="shared" si="2"/>
        <v>38.925165026831571</v>
      </c>
      <c r="Z15" s="319">
        <f>10^((Y15-'Standard Curve Summaries'!G$9)/'Standard Curve Summaries'!I$9)</f>
        <v>815.68226069751825</v>
      </c>
      <c r="AA15" s="320" t="e">
        <f t="shared" si="6"/>
        <v>#DIV/0!</v>
      </c>
      <c r="AB15" s="327" t="s">
        <v>95</v>
      </c>
      <c r="AC15" s="327" t="s">
        <v>95</v>
      </c>
      <c r="AD15" s="327">
        <v>38.574560160592704</v>
      </c>
      <c r="AE15" s="317">
        <f>AVERAGE(AB15:AD15)</f>
        <v>38.574560160592704</v>
      </c>
      <c r="AF15" s="332">
        <f>10^((AE15-'Standard Curve Summaries'!G$6)/'Standard Curve Summaries'!I$6)</f>
        <v>3.9715065628092163</v>
      </c>
      <c r="AG15" s="331">
        <f t="shared" si="0"/>
        <v>0.79430131256184322</v>
      </c>
      <c r="AH15" s="327">
        <v>34.357657341701298</v>
      </c>
      <c r="AI15" s="327">
        <v>36.555843670984302</v>
      </c>
      <c r="AJ15" s="327">
        <v>34.824547453979903</v>
      </c>
      <c r="AK15" s="317">
        <f t="shared" si="4"/>
        <v>35.246016155555168</v>
      </c>
      <c r="AL15" s="321">
        <f>10^((AK15-'Standard Curve Summaries'!G$8)/'Standard Curve Summaries'!I$8)</f>
        <v>115.88043677673694</v>
      </c>
      <c r="AM15" s="321">
        <f t="shared" si="1"/>
        <v>23.176087355347388</v>
      </c>
      <c r="AN15" s="331">
        <f t="shared" si="5"/>
        <v>29.177954245849151</v>
      </c>
      <c r="AO15" s="337"/>
      <c r="AP15" s="447"/>
    </row>
    <row r="16" spans="2:42" s="288" customFormat="1" x14ac:dyDescent="0.35">
      <c r="B16" s="282"/>
      <c r="C16" s="283"/>
      <c r="D16" s="284"/>
      <c r="E16" s="94"/>
      <c r="F16" s="94"/>
      <c r="G16" s="94"/>
      <c r="H16" s="284"/>
      <c r="I16" s="94"/>
      <c r="J16" s="285"/>
      <c r="K16" s="94"/>
      <c r="L16" s="94"/>
      <c r="M16" s="94"/>
      <c r="N16" s="94"/>
      <c r="O16" s="97"/>
      <c r="P16" s="94"/>
      <c r="Q16" s="284"/>
      <c r="R16" s="94"/>
      <c r="S16" s="94"/>
      <c r="T16" s="286"/>
      <c r="U16" s="94"/>
      <c r="V16" s="100"/>
      <c r="W16" s="100"/>
      <c r="X16" s="94"/>
      <c r="Y16" s="286"/>
      <c r="Z16" s="287"/>
      <c r="AA16" s="100"/>
      <c r="AB16" s="94"/>
      <c r="AC16" s="94"/>
      <c r="AD16" s="94"/>
      <c r="AE16" s="286"/>
      <c r="AF16" s="307"/>
      <c r="AG16" s="308"/>
      <c r="AH16" s="94"/>
      <c r="AI16" s="94"/>
      <c r="AJ16" s="94"/>
      <c r="AK16" s="94"/>
      <c r="AL16" s="310"/>
      <c r="AM16" s="310" t="e">
        <f t="shared" si="1"/>
        <v>#DIV/0!</v>
      </c>
      <c r="AN16" s="308" t="e">
        <f t="shared" si="5"/>
        <v>#DIV/0!</v>
      </c>
      <c r="AO16" s="98"/>
      <c r="AP16" s="343"/>
    </row>
    <row r="17" spans="2:42" s="322" customFormat="1" x14ac:dyDescent="0.35">
      <c r="B17" s="313" t="s">
        <v>204</v>
      </c>
      <c r="C17" s="314" t="s">
        <v>195</v>
      </c>
      <c r="D17" s="315" t="s">
        <v>196</v>
      </c>
      <c r="E17" s="324"/>
      <c r="F17" s="324"/>
      <c r="G17" s="324"/>
      <c r="H17" s="315">
        <v>50</v>
      </c>
      <c r="I17" s="324"/>
      <c r="J17" s="330"/>
      <c r="K17" s="324"/>
      <c r="L17" s="324"/>
      <c r="M17" s="324"/>
      <c r="N17" s="324"/>
      <c r="O17" s="326"/>
      <c r="P17" s="324"/>
      <c r="Q17" s="315">
        <v>50</v>
      </c>
      <c r="R17" s="324"/>
      <c r="S17" s="313">
        <v>44230</v>
      </c>
      <c r="T17" s="317">
        <v>5</v>
      </c>
      <c r="U17" s="324"/>
      <c r="V17" s="327">
        <v>22.673906876906599</v>
      </c>
      <c r="W17" s="327">
        <v>22.786551740876501</v>
      </c>
      <c r="X17" s="327">
        <v>22.757628283701901</v>
      </c>
      <c r="Y17" s="317">
        <f t="shared" si="2"/>
        <v>22.739362300495003</v>
      </c>
      <c r="Z17" s="319">
        <f>10^((Y17-'Standard Curve Summaries'!G$9)/'Standard Curve Summaries'!I$9)</f>
        <v>41227988.640739247</v>
      </c>
      <c r="AA17" s="333">
        <f t="shared" ref="AA17:AA28" si="7">Z17*100/Z$27</f>
        <v>53.001663989036878</v>
      </c>
      <c r="AB17" s="327">
        <v>26.001817105542301</v>
      </c>
      <c r="AC17" s="327">
        <v>26.099375762393102</v>
      </c>
      <c r="AD17" s="327">
        <v>26.088323480054299</v>
      </c>
      <c r="AE17" s="317">
        <f t="shared" si="3"/>
        <v>26.063172115996565</v>
      </c>
      <c r="AF17" s="332">
        <f>10^((AE17-'Standard Curve Summaries'!G$6)/'Standard Curve Summaries'!I$6)</f>
        <v>14793.347934016554</v>
      </c>
      <c r="AG17" s="331">
        <f t="shared" ref="AG17:AG28" si="8">(AF17/T17)*(Q17/H17)</f>
        <v>2958.6695868033107</v>
      </c>
      <c r="AH17" s="327">
        <v>33.635021908650003</v>
      </c>
      <c r="AI17" s="327">
        <v>33.818601387954999</v>
      </c>
      <c r="AJ17" s="327">
        <v>34.320925914339199</v>
      </c>
      <c r="AK17" s="317">
        <f>AVERAGE(AH17:AJ17)</f>
        <v>33.9248497369814</v>
      </c>
      <c r="AL17" s="321">
        <f>10^((AK17-'Standard Curve Summaries'!G$8)/'Standard Curve Summaries'!I$8)</f>
        <v>279.03752535506226</v>
      </c>
      <c r="AM17" s="321">
        <f t="shared" si="1"/>
        <v>55.80750507101245</v>
      </c>
      <c r="AN17" s="331">
        <f>AL17/AF17</f>
        <v>1.886236480069732E-2</v>
      </c>
      <c r="AO17" s="337"/>
      <c r="AP17" s="447" t="s">
        <v>205</v>
      </c>
    </row>
    <row r="18" spans="2:42" s="322" customFormat="1" x14ac:dyDescent="0.35">
      <c r="B18" s="313" t="s">
        <v>204</v>
      </c>
      <c r="C18" s="323" t="s">
        <v>195</v>
      </c>
      <c r="D18" s="315" t="s">
        <v>57</v>
      </c>
      <c r="E18" s="324"/>
      <c r="F18" s="324"/>
      <c r="G18" s="324"/>
      <c r="H18" s="315">
        <v>50</v>
      </c>
      <c r="I18" s="324"/>
      <c r="J18" s="325"/>
      <c r="K18" s="324"/>
      <c r="L18" s="324"/>
      <c r="M18" s="324"/>
      <c r="N18" s="324"/>
      <c r="O18" s="326"/>
      <c r="P18" s="324"/>
      <c r="Q18" s="315">
        <v>50</v>
      </c>
      <c r="R18" s="324"/>
      <c r="S18" s="313">
        <v>44230</v>
      </c>
      <c r="T18" s="317">
        <v>5</v>
      </c>
      <c r="U18" s="324"/>
      <c r="V18" s="329">
        <v>22.311578443276002</v>
      </c>
      <c r="W18" s="329">
        <v>22.113063879872598</v>
      </c>
      <c r="X18" s="327">
        <v>22.094895566245501</v>
      </c>
      <c r="Y18" s="317">
        <f t="shared" si="2"/>
        <v>22.173179296464699</v>
      </c>
      <c r="Z18" s="319">
        <f>10^((Y18-'Standard Curve Summaries'!G$9)/'Standard Curve Summaries'!I$9)</f>
        <v>60218178.847864777</v>
      </c>
      <c r="AA18" s="333">
        <f t="shared" si="7"/>
        <v>77.41497430637277</v>
      </c>
      <c r="AB18" s="327">
        <v>25.242096880531001</v>
      </c>
      <c r="AC18" s="327">
        <v>25.245651128409101</v>
      </c>
      <c r="AD18" s="327">
        <v>25.292368387845801</v>
      </c>
      <c r="AE18" s="317">
        <f t="shared" si="3"/>
        <v>25.260038798928633</v>
      </c>
      <c r="AF18" s="332">
        <f>10^((AE18-'Standard Curve Summaries'!G$6)/'Standard Curve Summaries'!I$6)</f>
        <v>25078.635100193929</v>
      </c>
      <c r="AG18" s="331">
        <f t="shared" si="8"/>
        <v>5015.7270200387857</v>
      </c>
      <c r="AH18" s="327">
        <v>33.244630621318102</v>
      </c>
      <c r="AI18" s="327">
        <v>33.942316855756502</v>
      </c>
      <c r="AJ18" s="327">
        <v>34.104746759528702</v>
      </c>
      <c r="AK18" s="317">
        <f t="shared" ref="AK18:AK50" si="9">AVERAGE(AH18:AJ18)</f>
        <v>33.763898078867761</v>
      </c>
      <c r="AL18" s="321">
        <f>10^((AK18-'Standard Curve Summaries'!G$8)/'Standard Curve Summaries'!I$8)</f>
        <v>310.56863097686784</v>
      </c>
      <c r="AM18" s="321">
        <f t="shared" si="1"/>
        <v>62.113726195373566</v>
      </c>
      <c r="AN18" s="331">
        <f t="shared" si="5"/>
        <v>1.2383793206292406E-2</v>
      </c>
      <c r="AO18" s="337"/>
      <c r="AP18" s="447"/>
    </row>
    <row r="19" spans="2:42" s="322" customFormat="1" x14ac:dyDescent="0.35">
      <c r="B19" s="313" t="s">
        <v>204</v>
      </c>
      <c r="C19" s="323" t="s">
        <v>199</v>
      </c>
      <c r="D19" s="315" t="s">
        <v>196</v>
      </c>
      <c r="E19" s="324"/>
      <c r="F19" s="324"/>
      <c r="G19" s="324"/>
      <c r="H19" s="315">
        <v>50</v>
      </c>
      <c r="I19" s="324"/>
      <c r="J19" s="325"/>
      <c r="K19" s="324"/>
      <c r="L19" s="324"/>
      <c r="M19" s="324"/>
      <c r="N19" s="324"/>
      <c r="O19" s="326"/>
      <c r="P19" s="324"/>
      <c r="Q19" s="315">
        <v>50</v>
      </c>
      <c r="R19" s="324"/>
      <c r="S19" s="313">
        <v>44230</v>
      </c>
      <c r="T19" s="317">
        <v>5</v>
      </c>
      <c r="U19" s="324"/>
      <c r="V19" s="329">
        <v>23.285638346979201</v>
      </c>
      <c r="W19" s="329">
        <v>23.101164808279002</v>
      </c>
      <c r="X19" s="327">
        <v>22.912503665731901</v>
      </c>
      <c r="Y19" s="317">
        <f t="shared" si="2"/>
        <v>23.099768940330037</v>
      </c>
      <c r="Z19" s="319">
        <f>10^((Y19-'Standard Curve Summaries'!G$9)/'Standard Curve Summaries'!I$9)</f>
        <v>32393380.084497627</v>
      </c>
      <c r="AA19" s="333">
        <f t="shared" si="7"/>
        <v>41.644113703164081</v>
      </c>
      <c r="AB19" s="327">
        <v>27.061966666872902</v>
      </c>
      <c r="AC19" s="327">
        <v>26.9625940191303</v>
      </c>
      <c r="AD19" s="327">
        <v>26.7435751951122</v>
      </c>
      <c r="AE19" s="317">
        <f t="shared" si="3"/>
        <v>26.922711960371799</v>
      </c>
      <c r="AF19" s="332">
        <f>10^((AE19-'Standard Curve Summaries'!G$6)/'Standard Curve Summaries'!I$6)</f>
        <v>8408.7026782038884</v>
      </c>
      <c r="AG19" s="331">
        <f t="shared" si="8"/>
        <v>1681.7405356407776</v>
      </c>
      <c r="AH19" s="327">
        <v>30.407532892662601</v>
      </c>
      <c r="AI19" s="327">
        <v>30.291477774684399</v>
      </c>
      <c r="AJ19" s="327">
        <v>30.363370181143502</v>
      </c>
      <c r="AK19" s="317">
        <f t="shared" si="9"/>
        <v>30.354126949496834</v>
      </c>
      <c r="AL19" s="321">
        <f>10^((AK19-'Standard Curve Summaries'!G$8)/'Standard Curve Summaries'!I$8)</f>
        <v>3000.2442628384738</v>
      </c>
      <c r="AM19" s="321">
        <f t="shared" si="1"/>
        <v>600.04885256769478</v>
      </c>
      <c r="AN19" s="331">
        <f t="shared" si="5"/>
        <v>0.35680227707603174</v>
      </c>
      <c r="AO19" s="337"/>
      <c r="AP19" s="447"/>
    </row>
    <row r="20" spans="2:42" s="322" customFormat="1" x14ac:dyDescent="0.35">
      <c r="B20" s="313" t="s">
        <v>204</v>
      </c>
      <c r="C20" s="323" t="s">
        <v>199</v>
      </c>
      <c r="D20" s="315" t="s">
        <v>57</v>
      </c>
      <c r="E20" s="324"/>
      <c r="F20" s="324"/>
      <c r="G20" s="324"/>
      <c r="H20" s="315">
        <v>50</v>
      </c>
      <c r="I20" s="324"/>
      <c r="J20" s="325"/>
      <c r="K20" s="324"/>
      <c r="L20" s="324"/>
      <c r="M20" s="324"/>
      <c r="N20" s="324"/>
      <c r="O20" s="326"/>
      <c r="P20" s="324"/>
      <c r="Q20" s="315">
        <v>50</v>
      </c>
      <c r="R20" s="324"/>
      <c r="S20" s="313">
        <v>44230</v>
      </c>
      <c r="T20" s="317">
        <v>5</v>
      </c>
      <c r="U20" s="324"/>
      <c r="V20" s="329">
        <v>22.8029417942424</v>
      </c>
      <c r="W20" s="329">
        <v>22.872520286748301</v>
      </c>
      <c r="X20" s="327">
        <v>22.9466534355311</v>
      </c>
      <c r="Y20" s="317">
        <f t="shared" si="2"/>
        <v>22.874038505507269</v>
      </c>
      <c r="Z20" s="319">
        <f>10^((Y20-'Standard Curve Summaries'!G$9)/'Standard Curve Summaries'!I$9)</f>
        <v>37675116.422452159</v>
      </c>
      <c r="AA20" s="333">
        <f t="shared" si="7"/>
        <v>48.434180934004686</v>
      </c>
      <c r="AB20" s="327">
        <v>27.031894409730501</v>
      </c>
      <c r="AC20" s="327">
        <v>26.942419176249501</v>
      </c>
      <c r="AD20" s="327">
        <v>26.8845598671004</v>
      </c>
      <c r="AE20" s="317">
        <f t="shared" si="3"/>
        <v>26.95295781769347</v>
      </c>
      <c r="AF20" s="332">
        <f>10^((AE20-'Standard Curve Summaries'!G$6)/'Standard Curve Summaries'!I$6)</f>
        <v>8243.2022610491949</v>
      </c>
      <c r="AG20" s="331">
        <f t="shared" si="8"/>
        <v>1648.6404522098389</v>
      </c>
      <c r="AH20" s="327">
        <v>27.2100580318506</v>
      </c>
      <c r="AI20" s="327">
        <v>27.150730304129301</v>
      </c>
      <c r="AJ20" s="327">
        <v>27.127498454477799</v>
      </c>
      <c r="AK20" s="317">
        <f t="shared" si="9"/>
        <v>27.162762263485902</v>
      </c>
      <c r="AL20" s="321">
        <f>10^((AK20-'Standard Curve Summaries'!G$8)/'Standard Curve Summaries'!I$8)</f>
        <v>25064.750725318463</v>
      </c>
      <c r="AM20" s="321">
        <f t="shared" si="1"/>
        <v>5012.9501450636926</v>
      </c>
      <c r="AN20" s="331">
        <f t="shared" si="5"/>
        <v>3.040657008230224</v>
      </c>
      <c r="AO20" s="337"/>
      <c r="AP20" s="447"/>
    </row>
    <row r="21" spans="2:42" s="322" customFormat="1" x14ac:dyDescent="0.35">
      <c r="B21" s="313" t="s">
        <v>204</v>
      </c>
      <c r="C21" s="323" t="s">
        <v>200</v>
      </c>
      <c r="D21" s="315" t="s">
        <v>196</v>
      </c>
      <c r="E21" s="324"/>
      <c r="F21" s="324"/>
      <c r="G21" s="324"/>
      <c r="H21" s="315">
        <v>50</v>
      </c>
      <c r="I21" s="324"/>
      <c r="J21" s="325"/>
      <c r="K21" s="324"/>
      <c r="L21" s="324"/>
      <c r="M21" s="324"/>
      <c r="N21" s="324"/>
      <c r="O21" s="326"/>
      <c r="P21" s="324"/>
      <c r="Q21" s="315">
        <v>50</v>
      </c>
      <c r="R21" s="324"/>
      <c r="S21" s="313">
        <v>44230</v>
      </c>
      <c r="T21" s="317">
        <v>5</v>
      </c>
      <c r="U21" s="324"/>
      <c r="V21" s="329">
        <v>23.1634967006535</v>
      </c>
      <c r="W21" s="329">
        <v>23.006014771485301</v>
      </c>
      <c r="X21" s="327">
        <v>22.7516441346372</v>
      </c>
      <c r="Y21" s="317">
        <f t="shared" si="2"/>
        <v>22.973718535591999</v>
      </c>
      <c r="Z21" s="319">
        <f>10^((Y21-'Standard Curve Summaries'!G$9)/'Standard Curve Summaries'!I$9)</f>
        <v>35244155.84442462</v>
      </c>
      <c r="AA21" s="333">
        <f t="shared" si="7"/>
        <v>45.308999231594562</v>
      </c>
      <c r="AB21" s="327">
        <v>28.874158958959601</v>
      </c>
      <c r="AC21" s="327">
        <v>28.969514980877001</v>
      </c>
      <c r="AD21" s="327">
        <v>28.753276187982401</v>
      </c>
      <c r="AE21" s="317">
        <f t="shared" si="3"/>
        <v>28.865650042606337</v>
      </c>
      <c r="AF21" s="332">
        <f>10^((AE21-'Standard Curve Summaries'!G$6)/'Standard Curve Summaries'!I$6)</f>
        <v>2345.0839852302511</v>
      </c>
      <c r="AG21" s="331">
        <f t="shared" si="8"/>
        <v>469.01679704605021</v>
      </c>
      <c r="AH21" s="327">
        <v>30.235135252894501</v>
      </c>
      <c r="AI21" s="327">
        <v>30.139845503344201</v>
      </c>
      <c r="AJ21" s="327">
        <v>30.080008208307799</v>
      </c>
      <c r="AK21" s="317">
        <f t="shared" si="9"/>
        <v>30.151662988182167</v>
      </c>
      <c r="AL21" s="321">
        <f>10^((AK21-'Standard Curve Summaries'!G$8)/'Standard Curve Summaries'!I$8)</f>
        <v>3432.7602562374041</v>
      </c>
      <c r="AM21" s="321">
        <f t="shared" si="1"/>
        <v>686.55205124748079</v>
      </c>
      <c r="AN21" s="331">
        <f>AL21/AF21</f>
        <v>1.4638112229060998</v>
      </c>
      <c r="AO21" s="337"/>
      <c r="AP21" s="447"/>
    </row>
    <row r="22" spans="2:42" s="322" customFormat="1" x14ac:dyDescent="0.35">
      <c r="B22" s="313" t="s">
        <v>204</v>
      </c>
      <c r="C22" s="323" t="s">
        <v>200</v>
      </c>
      <c r="D22" s="315" t="s">
        <v>57</v>
      </c>
      <c r="E22" s="324"/>
      <c r="F22" s="324"/>
      <c r="G22" s="324"/>
      <c r="H22" s="315">
        <v>50</v>
      </c>
      <c r="I22" s="324"/>
      <c r="J22" s="325"/>
      <c r="K22" s="324"/>
      <c r="L22" s="324"/>
      <c r="M22" s="324"/>
      <c r="N22" s="324"/>
      <c r="O22" s="326"/>
      <c r="P22" s="324"/>
      <c r="Q22" s="315">
        <v>50</v>
      </c>
      <c r="R22" s="324"/>
      <c r="S22" s="313">
        <v>44230</v>
      </c>
      <c r="T22" s="317">
        <v>5</v>
      </c>
      <c r="U22" s="324"/>
      <c r="V22" s="327">
        <v>22.490769098911201</v>
      </c>
      <c r="W22" s="327">
        <v>22.3764001435393</v>
      </c>
      <c r="X22" s="327">
        <v>22.386832518109401</v>
      </c>
      <c r="Y22" s="317">
        <f t="shared" si="2"/>
        <v>22.418000586853299</v>
      </c>
      <c r="Z22" s="319">
        <f>10^((Y22-'Standard Curve Summaries'!G$9)/'Standard Curve Summaries'!I$9)</f>
        <v>51118886.790819816</v>
      </c>
      <c r="AA22" s="333">
        <f t="shared" si="7"/>
        <v>65.717153577154633</v>
      </c>
      <c r="AB22" s="327">
        <v>26.301702491648602</v>
      </c>
      <c r="AC22" s="327">
        <v>26.274541199768301</v>
      </c>
      <c r="AD22" s="327">
        <v>26.259682126190999</v>
      </c>
      <c r="AE22" s="317">
        <f t="shared" si="3"/>
        <v>26.278641939202632</v>
      </c>
      <c r="AF22" s="332">
        <f>10^((AE22-'Standard Curve Summaries'!G$6)/'Standard Curve Summaries'!I$6)</f>
        <v>12840.004220640891</v>
      </c>
      <c r="AG22" s="331">
        <f t="shared" si="8"/>
        <v>2568.000844128178</v>
      </c>
      <c r="AH22" s="327">
        <v>27.583430577761199</v>
      </c>
      <c r="AI22" s="327">
        <v>27.514063930883498</v>
      </c>
      <c r="AJ22" s="327">
        <v>27.6454825080313</v>
      </c>
      <c r="AK22" s="317">
        <f t="shared" ref="AK22:AK23" si="10">AVERAGE(AH22:AJ22)</f>
        <v>27.580992338892003</v>
      </c>
      <c r="AL22" s="321">
        <f>10^((AK22-'Standard Curve Summaries'!G$8)/'Standard Curve Summaries'!I$8)</f>
        <v>18977.849845130469</v>
      </c>
      <c r="AM22" s="321">
        <f t="shared" si="1"/>
        <v>3795.569969026094</v>
      </c>
      <c r="AN22" s="331">
        <f t="shared" si="5"/>
        <v>1.478025203030908</v>
      </c>
      <c r="AO22" s="337"/>
      <c r="AP22" s="447"/>
    </row>
    <row r="23" spans="2:42" s="322" customFormat="1" x14ac:dyDescent="0.35">
      <c r="B23" s="313" t="s">
        <v>204</v>
      </c>
      <c r="C23" s="323" t="s">
        <v>200</v>
      </c>
      <c r="D23" s="315" t="s">
        <v>196</v>
      </c>
      <c r="E23" s="324"/>
      <c r="F23" s="324"/>
      <c r="G23" s="324"/>
      <c r="H23" s="315">
        <v>100</v>
      </c>
      <c r="I23" s="324"/>
      <c r="J23" s="325"/>
      <c r="K23" s="324"/>
      <c r="L23" s="324"/>
      <c r="M23" s="324"/>
      <c r="N23" s="324"/>
      <c r="O23" s="326"/>
      <c r="P23" s="324"/>
      <c r="Q23" s="315">
        <v>50</v>
      </c>
      <c r="R23" s="324"/>
      <c r="S23" s="313">
        <v>44230</v>
      </c>
      <c r="T23" s="317">
        <v>5</v>
      </c>
      <c r="U23" s="324"/>
      <c r="V23" s="329">
        <v>22.880643045424701</v>
      </c>
      <c r="W23" s="329">
        <v>22.663480219454499</v>
      </c>
      <c r="X23" s="327">
        <v>22.953573178327598</v>
      </c>
      <c r="Y23" s="317">
        <f t="shared" ref="Y23:Y24" si="11">AVERAGE(V23:X23)</f>
        <v>22.832565481068936</v>
      </c>
      <c r="Z23" s="319">
        <f>10^((Y23-'Standard Curve Summaries'!G$9)/'Standard Curve Summaries'!I$9)</f>
        <v>38735294.38057822</v>
      </c>
      <c r="AA23" s="333">
        <f t="shared" si="7"/>
        <v>49.797119019459956</v>
      </c>
      <c r="AB23" s="327">
        <v>28.236921205150601</v>
      </c>
      <c r="AC23" s="327">
        <v>28.144895925936201</v>
      </c>
      <c r="AD23" s="327">
        <v>28.373535638730399</v>
      </c>
      <c r="AE23" s="317">
        <f t="shared" ref="AE23:AE24" si="12">AVERAGE(AB23:AD23)</f>
        <v>28.251784256605735</v>
      </c>
      <c r="AF23" s="332">
        <f>10^((AE23-'Standard Curve Summaries'!G$6)/'Standard Curve Summaries'!I$6)</f>
        <v>3510.5358334895768</v>
      </c>
      <c r="AG23" s="331">
        <f t="shared" si="8"/>
        <v>351.05358334895766</v>
      </c>
      <c r="AH23" s="327">
        <v>29.245985276377201</v>
      </c>
      <c r="AI23" s="327">
        <v>29.197347841484302</v>
      </c>
      <c r="AJ23" s="327">
        <v>29.260580989710299</v>
      </c>
      <c r="AK23" s="317">
        <f t="shared" si="10"/>
        <v>29.234638035857262</v>
      </c>
      <c r="AL23" s="321">
        <f>10^((AK23-'Standard Curve Summaries'!G$8)/'Standard Curve Summaries'!I$8)</f>
        <v>6317.560806105952</v>
      </c>
      <c r="AM23" s="321">
        <f t="shared" si="1"/>
        <v>631.75608061059518</v>
      </c>
      <c r="AN23" s="331">
        <f>AL23/AF23</f>
        <v>1.7996001481705741</v>
      </c>
      <c r="AO23" s="337"/>
      <c r="AP23" s="447"/>
    </row>
    <row r="24" spans="2:42" s="322" customFormat="1" x14ac:dyDescent="0.35">
      <c r="B24" s="313" t="s">
        <v>204</v>
      </c>
      <c r="C24" s="323" t="s">
        <v>200</v>
      </c>
      <c r="D24" s="315" t="s">
        <v>57</v>
      </c>
      <c r="E24" s="324"/>
      <c r="F24" s="324"/>
      <c r="G24" s="324"/>
      <c r="H24" s="315">
        <v>100</v>
      </c>
      <c r="I24" s="324"/>
      <c r="J24" s="325"/>
      <c r="K24" s="324"/>
      <c r="L24" s="324"/>
      <c r="M24" s="324"/>
      <c r="N24" s="324"/>
      <c r="O24" s="326"/>
      <c r="P24" s="324"/>
      <c r="Q24" s="315">
        <v>50</v>
      </c>
      <c r="R24" s="324"/>
      <c r="S24" s="313">
        <v>44230</v>
      </c>
      <c r="T24" s="317">
        <v>5</v>
      </c>
      <c r="U24" s="324"/>
      <c r="V24" s="327">
        <v>35.847093078708298</v>
      </c>
      <c r="W24" s="327">
        <v>36.259378206204502</v>
      </c>
      <c r="X24" s="327">
        <v>36.510123988146603</v>
      </c>
      <c r="Y24" s="317">
        <f t="shared" si="11"/>
        <v>36.205531757686465</v>
      </c>
      <c r="Z24" s="319">
        <f>10^((Y24-'Standard Curve Summaries'!G$9)/'Standard Curve Summaries'!I$9)</f>
        <v>5033.3758331498511</v>
      </c>
      <c r="AA24" s="333">
        <f t="shared" si="7"/>
        <v>6.4707812201037669E-3</v>
      </c>
      <c r="AB24" s="327">
        <v>31.244173789688499</v>
      </c>
      <c r="AC24" s="327">
        <v>31.235760681581599</v>
      </c>
      <c r="AD24" s="327">
        <v>31.413686650099901</v>
      </c>
      <c r="AE24" s="317">
        <f t="shared" si="12"/>
        <v>31.297873707123333</v>
      </c>
      <c r="AF24" s="332">
        <f>10^((AE24-'Standard Curve Summaries'!G$6)/'Standard Curve Summaries'!I$6)</f>
        <v>474.16727843211333</v>
      </c>
      <c r="AG24" s="331">
        <f t="shared" si="8"/>
        <v>47.416727843211333</v>
      </c>
      <c r="AH24" s="327">
        <v>34.436878812240401</v>
      </c>
      <c r="AI24" s="327">
        <v>35.535263559445603</v>
      </c>
      <c r="AJ24" s="327">
        <v>34.9802868605871</v>
      </c>
      <c r="AK24" s="317">
        <f t="shared" ref="AK24" si="13">AVERAGE(AH24:AJ24)</f>
        <v>34.98414307742437</v>
      </c>
      <c r="AL24" s="321">
        <f>10^((AK24-'Standard Curve Summaries'!G$8)/'Standard Curve Summaries'!I$8)</f>
        <v>137.93002527074279</v>
      </c>
      <c r="AM24" s="321">
        <f t="shared" si="1"/>
        <v>13.793002527074279</v>
      </c>
      <c r="AN24" s="331">
        <f t="shared" ref="AN24" si="14">AL24/AF24</f>
        <v>0.29088895743043197</v>
      </c>
      <c r="AO24" s="337" t="s">
        <v>206</v>
      </c>
      <c r="AP24" s="447"/>
    </row>
    <row r="25" spans="2:42" s="322" customFormat="1" x14ac:dyDescent="0.35">
      <c r="B25" s="313" t="s">
        <v>204</v>
      </c>
      <c r="C25" s="323" t="s">
        <v>201</v>
      </c>
      <c r="D25" s="315" t="s">
        <v>196</v>
      </c>
      <c r="E25" s="324"/>
      <c r="F25" s="324"/>
      <c r="G25" s="324"/>
      <c r="H25" s="315">
        <v>50</v>
      </c>
      <c r="I25" s="324"/>
      <c r="J25" s="330"/>
      <c r="K25" s="324"/>
      <c r="L25" s="324"/>
      <c r="M25" s="324"/>
      <c r="N25" s="324"/>
      <c r="O25" s="326"/>
      <c r="P25" s="324"/>
      <c r="Q25" s="315">
        <v>50</v>
      </c>
      <c r="R25" s="324"/>
      <c r="S25" s="313">
        <v>44230</v>
      </c>
      <c r="T25" s="317">
        <v>5</v>
      </c>
      <c r="U25" s="324"/>
      <c r="V25" s="327">
        <v>22.8743809660149</v>
      </c>
      <c r="W25" s="327">
        <v>22.8241502688774</v>
      </c>
      <c r="X25" s="327">
        <v>22.883921796625</v>
      </c>
      <c r="Y25" s="317">
        <f t="shared" si="2"/>
        <v>22.860817677172435</v>
      </c>
      <c r="Z25" s="319">
        <f>10^((Y25-'Standard Curve Summaries'!G$9)/'Standard Curve Summaries'!I$9)</f>
        <v>38009892.254626043</v>
      </c>
      <c r="AA25" s="333">
        <f t="shared" si="7"/>
        <v>48.864560313487608</v>
      </c>
      <c r="AB25" s="327">
        <v>27.476231639723</v>
      </c>
      <c r="AC25" s="327">
        <v>27.4205105478711</v>
      </c>
      <c r="AD25" s="327">
        <v>27.3017442185959</v>
      </c>
      <c r="AE25" s="317">
        <f t="shared" si="3"/>
        <v>27.399495468729999</v>
      </c>
      <c r="AF25" s="332">
        <f>10^((AE25-'Standard Curve Summaries'!G$6)/'Standard Curve Summaries'!I$6)</f>
        <v>6146.6887861325704</v>
      </c>
      <c r="AG25" s="331">
        <f t="shared" si="8"/>
        <v>1229.337757226514</v>
      </c>
      <c r="AH25" s="327">
        <v>34.562865402697</v>
      </c>
      <c r="AI25" s="327">
        <v>34.169373159719299</v>
      </c>
      <c r="AJ25" s="327">
        <v>33.594157744085898</v>
      </c>
      <c r="AK25" s="317">
        <f t="shared" si="9"/>
        <v>34.10879876883407</v>
      </c>
      <c r="AL25" s="321">
        <f>10^((AK25-'Standard Curve Summaries'!G$8)/'Standard Curve Summaries'!I$8)</f>
        <v>246.90180226965566</v>
      </c>
      <c r="AM25" s="321">
        <f t="shared" si="1"/>
        <v>49.380360453931132</v>
      </c>
      <c r="AN25" s="331">
        <f t="shared" si="5"/>
        <v>4.0168261459191848E-2</v>
      </c>
      <c r="AO25" s="337"/>
      <c r="AP25" s="447"/>
    </row>
    <row r="26" spans="2:42" s="322" customFormat="1" x14ac:dyDescent="0.35">
      <c r="B26" s="313" t="s">
        <v>204</v>
      </c>
      <c r="C26" s="323" t="s">
        <v>201</v>
      </c>
      <c r="D26" s="315" t="s">
        <v>57</v>
      </c>
      <c r="E26" s="324"/>
      <c r="F26" s="324"/>
      <c r="G26" s="324"/>
      <c r="H26" s="315">
        <v>50</v>
      </c>
      <c r="I26" s="324"/>
      <c r="J26" s="330"/>
      <c r="K26" s="324"/>
      <c r="L26" s="324"/>
      <c r="M26" s="324"/>
      <c r="N26" s="324"/>
      <c r="O26" s="326"/>
      <c r="P26" s="324"/>
      <c r="Q26" s="315">
        <v>50</v>
      </c>
      <c r="R26" s="324"/>
      <c r="S26" s="313">
        <v>44230</v>
      </c>
      <c r="T26" s="317">
        <v>5</v>
      </c>
      <c r="U26" s="324"/>
      <c r="V26" s="327">
        <v>23.081612789118999</v>
      </c>
      <c r="W26" s="327">
        <v>23.091351561249699</v>
      </c>
      <c r="X26" s="327">
        <v>23.070521500446301</v>
      </c>
      <c r="Y26" s="317">
        <f t="shared" si="2"/>
        <v>23.081161950271667</v>
      </c>
      <c r="Z26" s="319">
        <f>10^((Y26-'Standard Curve Summaries'!G$9)/'Standard Curve Summaries'!I$9)</f>
        <v>32799222.311544269</v>
      </c>
      <c r="AA26" s="333">
        <f t="shared" si="7"/>
        <v>42.165854250294075</v>
      </c>
      <c r="AB26" s="327">
        <v>26.582288525043801</v>
      </c>
      <c r="AC26" s="327">
        <v>26.675339747425699</v>
      </c>
      <c r="AD26" s="327">
        <v>26.746844782721499</v>
      </c>
      <c r="AE26" s="317">
        <f t="shared" si="3"/>
        <v>26.668157685063665</v>
      </c>
      <c r="AF26" s="332">
        <f>10^((AE26-'Standard Curve Summaries'!G$6)/'Standard Curve Summaries'!I$6)</f>
        <v>9939.9942328403049</v>
      </c>
      <c r="AG26" s="331">
        <f t="shared" si="8"/>
        <v>1987.998846568061</v>
      </c>
      <c r="AH26" s="327">
        <v>33.057456852355301</v>
      </c>
      <c r="AI26" s="327">
        <v>33.235258783176498</v>
      </c>
      <c r="AJ26" s="327">
        <v>33.882894600534001</v>
      </c>
      <c r="AK26" s="317">
        <f t="shared" si="9"/>
        <v>33.391870078688605</v>
      </c>
      <c r="AL26" s="321">
        <f>10^((AK26-'Standard Curve Summaries'!G$8)/'Standard Curve Summaries'!I$8)</f>
        <v>397.76569773521993</v>
      </c>
      <c r="AM26" s="321">
        <f t="shared" si="1"/>
        <v>79.553139547043983</v>
      </c>
      <c r="AN26" s="331">
        <f t="shared" si="5"/>
        <v>4.0016693009846983E-2</v>
      </c>
      <c r="AO26" s="337"/>
      <c r="AP26" s="447"/>
    </row>
    <row r="27" spans="2:42" s="322" customFormat="1" x14ac:dyDescent="0.35">
      <c r="B27" s="313" t="s">
        <v>204</v>
      </c>
      <c r="C27" s="323" t="s">
        <v>202</v>
      </c>
      <c r="D27" s="315"/>
      <c r="E27" s="324"/>
      <c r="F27" s="324"/>
      <c r="G27" s="324"/>
      <c r="H27" s="315">
        <v>50</v>
      </c>
      <c r="I27" s="324"/>
      <c r="J27" s="330"/>
      <c r="K27" s="324"/>
      <c r="L27" s="324"/>
      <c r="M27" s="324"/>
      <c r="N27" s="324"/>
      <c r="O27" s="326"/>
      <c r="P27" s="324"/>
      <c r="Q27" s="315">
        <v>50</v>
      </c>
      <c r="R27" s="324"/>
      <c r="S27" s="313">
        <v>44230</v>
      </c>
      <c r="T27" s="317">
        <v>5</v>
      </c>
      <c r="U27" s="324" t="s">
        <v>109</v>
      </c>
      <c r="V27" s="327">
        <v>21.657845330210499</v>
      </c>
      <c r="W27" s="327">
        <v>21.770089337753902</v>
      </c>
      <c r="X27" s="327">
        <v>21.943910075375001</v>
      </c>
      <c r="Y27" s="317">
        <f t="shared" si="2"/>
        <v>21.790614914446468</v>
      </c>
      <c r="Z27" s="319">
        <f>10^((Y27-'Standard Curve Summaries'!G$9)/'Standard Curve Summaries'!I$9)</f>
        <v>77786215.635167688</v>
      </c>
      <c r="AA27" s="333">
        <f t="shared" si="7"/>
        <v>100</v>
      </c>
      <c r="AB27" s="327">
        <v>35.200928160076202</v>
      </c>
      <c r="AC27" s="327">
        <v>35.079272289727299</v>
      </c>
      <c r="AD27" s="327">
        <v>35.108899453071203</v>
      </c>
      <c r="AE27" s="317">
        <f t="shared" si="3"/>
        <v>35.129699967624902</v>
      </c>
      <c r="AF27" s="332">
        <f>10^((AE27-'Standard Curve Summaries'!G$6)/'Standard Curve Summaries'!I$6)</f>
        <v>38.213585757333291</v>
      </c>
      <c r="AG27" s="331">
        <f t="shared" si="8"/>
        <v>7.6427171514666581</v>
      </c>
      <c r="AH27" s="327">
        <v>34.876682824571297</v>
      </c>
      <c r="AI27" s="327">
        <v>33.926169438579201</v>
      </c>
      <c r="AJ27" s="327">
        <v>35.517123610022203</v>
      </c>
      <c r="AK27" s="317">
        <f t="shared" si="9"/>
        <v>34.773325291057567</v>
      </c>
      <c r="AL27" s="321">
        <f>10^((AK27-'Standard Curve Summaries'!G$8)/'Standard Curve Summaries'!I$8)</f>
        <v>158.6934090810941</v>
      </c>
      <c r="AM27" s="321">
        <f t="shared" si="1"/>
        <v>31.738681816218822</v>
      </c>
      <c r="AN27" s="331">
        <f t="shared" si="5"/>
        <v>4.1528007889351342</v>
      </c>
      <c r="AO27" s="337"/>
      <c r="AP27" s="447"/>
    </row>
    <row r="28" spans="2:42" s="322" customFormat="1" ht="13.15" x14ac:dyDescent="0.35">
      <c r="B28" s="313" t="s">
        <v>204</v>
      </c>
      <c r="C28" s="323" t="s">
        <v>203</v>
      </c>
      <c r="D28" s="315"/>
      <c r="E28" s="324"/>
      <c r="F28" s="324"/>
      <c r="G28" s="324"/>
      <c r="H28" s="315">
        <v>50</v>
      </c>
      <c r="I28" s="324"/>
      <c r="J28" s="330"/>
      <c r="K28" s="324"/>
      <c r="L28" s="324"/>
      <c r="M28" s="324"/>
      <c r="N28" s="324"/>
      <c r="O28" s="326"/>
      <c r="P28" s="324"/>
      <c r="Q28" s="315">
        <v>50</v>
      </c>
      <c r="R28" s="324"/>
      <c r="S28" s="313"/>
      <c r="T28" s="317">
        <v>5</v>
      </c>
      <c r="U28" s="324"/>
      <c r="V28" s="327" t="s">
        <v>95</v>
      </c>
      <c r="W28" s="327">
        <v>38.965984530595598</v>
      </c>
      <c r="X28" s="327" t="s">
        <v>95</v>
      </c>
      <c r="Y28" s="317">
        <f t="shared" ref="Y28" si="15">AVERAGE(V28:X28)</f>
        <v>38.965984530595598</v>
      </c>
      <c r="Z28" s="319">
        <f>10^((Y28-'Standard Curve Summaries'!G$9)/'Standard Curve Summaries'!I$9)</f>
        <v>793.70419522677651</v>
      </c>
      <c r="AA28" s="333">
        <f t="shared" si="7"/>
        <v>1.0203661262419576E-3</v>
      </c>
      <c r="AB28" s="327">
        <v>38.564923804976999</v>
      </c>
      <c r="AC28" s="327">
        <v>39.423610384639602</v>
      </c>
      <c r="AD28" s="327">
        <v>38.223535805921202</v>
      </c>
      <c r="AE28" s="317">
        <f t="shared" ref="AE28" si="16">AVERAGE(AB28:AD28)</f>
        <v>38.73735666517927</v>
      </c>
      <c r="AF28" s="332">
        <f>10^((AE28-'Standard Curve Summaries'!G$6)/'Standard Curve Summaries'!I$6)</f>
        <v>3.5685227050642654</v>
      </c>
      <c r="AG28" s="331">
        <f t="shared" si="8"/>
        <v>0.71370454101285308</v>
      </c>
      <c r="AH28" s="327">
        <v>34.462744999701599</v>
      </c>
      <c r="AI28" s="327">
        <v>34.051663185000301</v>
      </c>
      <c r="AJ28" s="327">
        <v>33.886930606739398</v>
      </c>
      <c r="AK28" s="317">
        <f t="shared" si="9"/>
        <v>34.133779597147097</v>
      </c>
      <c r="AL28" s="321">
        <f>10^((AK28-'Standard Curve Summaries'!G$8)/'Standard Curve Summaries'!I$8)</f>
        <v>242.8331162373438</v>
      </c>
      <c r="AM28" s="321">
        <f t="shared" si="1"/>
        <v>48.566623247468762</v>
      </c>
      <c r="AN28" s="331">
        <f t="shared" si="5"/>
        <v>68.048639817459318</v>
      </c>
      <c r="AO28" s="337" t="s">
        <v>207</v>
      </c>
      <c r="AP28" s="447"/>
    </row>
    <row r="29" spans="2:42" s="288" customFormat="1" x14ac:dyDescent="0.35">
      <c r="B29" s="282" t="s">
        <v>109</v>
      </c>
      <c r="C29" s="283"/>
      <c r="D29" s="284"/>
      <c r="E29" s="94"/>
      <c r="F29" s="94"/>
      <c r="G29" s="94"/>
      <c r="H29" s="284"/>
      <c r="I29" s="94"/>
      <c r="J29" s="285"/>
      <c r="K29" s="94"/>
      <c r="L29" s="94"/>
      <c r="M29" s="94"/>
      <c r="N29" s="94"/>
      <c r="O29" s="97"/>
      <c r="P29" s="94"/>
      <c r="Q29" s="284"/>
      <c r="R29" s="94"/>
      <c r="S29" s="94"/>
      <c r="T29" s="286"/>
      <c r="U29" s="94"/>
      <c r="V29" s="100"/>
      <c r="W29" s="100"/>
      <c r="X29" s="94"/>
      <c r="Y29" s="286"/>
      <c r="Z29" s="287"/>
      <c r="AA29" s="289"/>
      <c r="AB29" s="94"/>
      <c r="AC29" s="94"/>
      <c r="AD29" s="94"/>
      <c r="AE29" s="286"/>
      <c r="AF29" s="307"/>
      <c r="AG29" s="308"/>
      <c r="AH29" s="94"/>
      <c r="AI29" s="94"/>
      <c r="AJ29" s="94"/>
      <c r="AK29" s="286"/>
      <c r="AL29" s="310"/>
      <c r="AM29" s="310" t="e">
        <f t="shared" si="1"/>
        <v>#DIV/0!</v>
      </c>
      <c r="AN29" s="308" t="e">
        <f t="shared" si="5"/>
        <v>#DIV/0!</v>
      </c>
      <c r="AO29" s="98"/>
      <c r="AP29" s="343"/>
    </row>
    <row r="30" spans="2:42" s="174" customFormat="1" x14ac:dyDescent="0.35">
      <c r="B30" s="196" t="s">
        <v>208</v>
      </c>
      <c r="C30" s="170" t="s">
        <v>195</v>
      </c>
      <c r="D30" s="169" t="s">
        <v>196</v>
      </c>
      <c r="E30" s="175"/>
      <c r="F30" s="175"/>
      <c r="G30" s="175"/>
      <c r="H30" s="169">
        <v>50</v>
      </c>
      <c r="I30" s="175"/>
      <c r="J30" s="183"/>
      <c r="K30" s="175"/>
      <c r="L30" s="175"/>
      <c r="M30" s="175"/>
      <c r="N30" s="175"/>
      <c r="O30" s="178"/>
      <c r="P30" s="175"/>
      <c r="Q30" s="169">
        <v>50</v>
      </c>
      <c r="R30" s="175"/>
      <c r="S30" s="196">
        <v>44289</v>
      </c>
      <c r="T30" s="171">
        <v>5</v>
      </c>
      <c r="U30" s="175"/>
      <c r="V30" s="180">
        <v>23.197523967541699</v>
      </c>
      <c r="W30" s="180">
        <v>23.0445565060128</v>
      </c>
      <c r="X30" s="180">
        <v>22.998712413711399</v>
      </c>
      <c r="Y30" s="171">
        <f t="shared" si="2"/>
        <v>23.080264295755299</v>
      </c>
      <c r="Z30" s="172">
        <f>10^((Y30-'Standard Curve Summaries'!G$9)/'Standard Curve Summaries'!I$9)</f>
        <v>32818929.360693041</v>
      </c>
      <c r="AA30" s="272">
        <f>Z30*100/Z$38</f>
        <v>13.381575884257451</v>
      </c>
      <c r="AB30" s="180">
        <v>25.095966538429</v>
      </c>
      <c r="AC30" s="180">
        <v>24.948293071331999</v>
      </c>
      <c r="AD30" s="180">
        <v>24.8591428511264</v>
      </c>
      <c r="AE30" s="171">
        <f t="shared" si="3"/>
        <v>24.967800820295803</v>
      </c>
      <c r="AF30" s="306">
        <f>10^((AE30-'Standard Curve Summaries'!G$6)/'Standard Curve Summaries'!I$6)</f>
        <v>30389.044743730348</v>
      </c>
      <c r="AG30" s="292">
        <f t="shared" ref="AG30:AG39" si="17">(AF30/T30)*(Q30/H30)</f>
        <v>6077.8089487460693</v>
      </c>
      <c r="AH30" s="180">
        <v>36.7314051460909</v>
      </c>
      <c r="AI30" s="180">
        <v>39.152132475045597</v>
      </c>
      <c r="AJ30" s="180">
        <v>38.943403168628599</v>
      </c>
      <c r="AK30" s="171">
        <f t="shared" si="9"/>
        <v>38.275646929921699</v>
      </c>
      <c r="AL30" s="293">
        <f>10^((AK30-'Standard Curve Summaries'!G$8)/'Standard Curve Summaries'!I$8)</f>
        <v>15.446294018666402</v>
      </c>
      <c r="AM30" s="293">
        <f t="shared" si="1"/>
        <v>3.0892588037332804</v>
      </c>
      <c r="AN30" s="292">
        <f t="shared" si="5"/>
        <v>5.0828494771469157E-4</v>
      </c>
      <c r="AO30" s="200"/>
      <c r="AP30" s="344"/>
    </row>
    <row r="31" spans="2:42" s="174" customFormat="1" x14ac:dyDescent="0.35">
      <c r="B31" s="196" t="s">
        <v>208</v>
      </c>
      <c r="C31" s="176" t="s">
        <v>195</v>
      </c>
      <c r="D31" s="169" t="s">
        <v>57</v>
      </c>
      <c r="E31" s="175"/>
      <c r="F31" s="175"/>
      <c r="G31" s="175"/>
      <c r="H31" s="169">
        <v>50</v>
      </c>
      <c r="I31" s="175"/>
      <c r="J31" s="183"/>
      <c r="K31" s="175"/>
      <c r="L31" s="175"/>
      <c r="M31" s="175"/>
      <c r="N31" s="175"/>
      <c r="O31" s="178"/>
      <c r="P31" s="175"/>
      <c r="Q31" s="169">
        <v>50</v>
      </c>
      <c r="R31" s="175"/>
      <c r="S31" s="196">
        <v>44289</v>
      </c>
      <c r="T31" s="171">
        <v>5</v>
      </c>
      <c r="U31" s="175"/>
      <c r="V31" s="180">
        <v>21.4822851044127</v>
      </c>
      <c r="W31" s="180">
        <v>21.412500792663302</v>
      </c>
      <c r="X31" s="180">
        <v>21.4148584230315</v>
      </c>
      <c r="Y31" s="171">
        <f t="shared" si="2"/>
        <v>21.436548106702503</v>
      </c>
      <c r="Z31" s="172">
        <f>10^((Y31-'Standard Curve Summaries'!G$9)/'Standard Curve Summaries'!I$9)</f>
        <v>98581662.707821205</v>
      </c>
      <c r="AA31" s="272">
        <f t="shared" ref="AA31:AA39" si="18">Z31*100/Z$38</f>
        <v>40.195643977982748</v>
      </c>
      <c r="AB31" s="180">
        <v>24.351424357978299</v>
      </c>
      <c r="AC31" s="180">
        <v>24.2965946504298</v>
      </c>
      <c r="AD31" s="180">
        <v>24.3012470103133</v>
      </c>
      <c r="AE31" s="171">
        <f t="shared" si="3"/>
        <v>24.316422006240469</v>
      </c>
      <c r="AF31" s="306">
        <f>10^((AE31-'Standard Curve Summaries'!G$6)/'Standard Curve Summaries'!I$6)</f>
        <v>46627.202399087204</v>
      </c>
      <c r="AG31" s="292">
        <f t="shared" si="17"/>
        <v>9325.4404798174401</v>
      </c>
      <c r="AH31" s="180">
        <v>37.261171127033798</v>
      </c>
      <c r="AI31" s="180">
        <v>37.942549833976599</v>
      </c>
      <c r="AJ31" s="180">
        <v>36.979425129931101</v>
      </c>
      <c r="AK31" s="171">
        <f t="shared" si="9"/>
        <v>37.394382030313828</v>
      </c>
      <c r="AL31" s="293">
        <f>10^((AK31-'Standard Curve Summaries'!G$8)/'Standard Curve Summaries'!I$8)</f>
        <v>27.758759537712887</v>
      </c>
      <c r="AM31" s="293">
        <f t="shared" si="1"/>
        <v>5.5517519075425774</v>
      </c>
      <c r="AN31" s="292">
        <f t="shared" si="5"/>
        <v>5.9533401339678714E-4</v>
      </c>
      <c r="AO31" s="200"/>
      <c r="AP31" s="344"/>
    </row>
    <row r="32" spans="2:42" s="174" customFormat="1" x14ac:dyDescent="0.35">
      <c r="B32" s="196" t="s">
        <v>208</v>
      </c>
      <c r="C32" s="176" t="s">
        <v>199</v>
      </c>
      <c r="D32" s="169" t="s">
        <v>196</v>
      </c>
      <c r="E32" s="175"/>
      <c r="F32" s="175"/>
      <c r="G32" s="175"/>
      <c r="H32" s="169">
        <v>50</v>
      </c>
      <c r="I32" s="175"/>
      <c r="J32" s="177"/>
      <c r="K32" s="175"/>
      <c r="L32" s="175"/>
      <c r="M32" s="175"/>
      <c r="N32" s="175"/>
      <c r="O32" s="178"/>
      <c r="P32" s="175"/>
      <c r="Q32" s="169">
        <v>50</v>
      </c>
      <c r="R32" s="175"/>
      <c r="S32" s="196">
        <v>44289</v>
      </c>
      <c r="T32" s="171">
        <v>5</v>
      </c>
      <c r="U32" s="175"/>
      <c r="V32" s="179">
        <v>22.679130259185499</v>
      </c>
      <c r="W32" s="179">
        <v>22.7953658168978</v>
      </c>
      <c r="X32" s="180">
        <v>22.533789559635199</v>
      </c>
      <c r="Y32" s="171">
        <f t="shared" si="2"/>
        <v>22.669428545239498</v>
      </c>
      <c r="Z32" s="172">
        <f>10^((Y32-'Standard Curve Summaries'!G$9)/'Standard Curve Summaries'!I$9)</f>
        <v>43203131.70641005</v>
      </c>
      <c r="AA32" s="272">
        <f t="shared" si="18"/>
        <v>17.615626000868627</v>
      </c>
      <c r="AB32" s="180">
        <v>27.139283292694699</v>
      </c>
      <c r="AC32" s="180">
        <v>27.2286478019941</v>
      </c>
      <c r="AD32" s="180">
        <v>27.128579698071398</v>
      </c>
      <c r="AE32" s="171">
        <f t="shared" si="3"/>
        <v>27.165503597586735</v>
      </c>
      <c r="AF32" s="306">
        <f>10^((AE32-'Standard Curve Summaries'!G$6)/'Standard Curve Summaries'!I$6)</f>
        <v>7168.5159708096025</v>
      </c>
      <c r="AG32" s="292">
        <f t="shared" si="17"/>
        <v>1433.7031941619205</v>
      </c>
      <c r="AH32" s="180">
        <v>35.127734417400703</v>
      </c>
      <c r="AI32" s="180">
        <v>35.505554803763701</v>
      </c>
      <c r="AJ32" s="180">
        <v>35.3246237051818</v>
      </c>
      <c r="AK32" s="171">
        <f t="shared" si="9"/>
        <v>35.319304308782073</v>
      </c>
      <c r="AL32" s="293">
        <f>10^((AK32-'Standard Curve Summaries'!G$8)/'Standard Curve Summaries'!I$8)</f>
        <v>110.36693408102752</v>
      </c>
      <c r="AM32" s="293">
        <f t="shared" si="1"/>
        <v>22.073386816205506</v>
      </c>
      <c r="AN32" s="292">
        <f t="shared" si="5"/>
        <v>1.5396064475610401E-2</v>
      </c>
      <c r="AO32" s="200"/>
      <c r="AP32" s="344"/>
    </row>
    <row r="33" spans="2:42" s="174" customFormat="1" x14ac:dyDescent="0.35">
      <c r="B33" s="196" t="s">
        <v>208</v>
      </c>
      <c r="C33" s="176" t="s">
        <v>199</v>
      </c>
      <c r="D33" s="169" t="s">
        <v>57</v>
      </c>
      <c r="E33" s="175"/>
      <c r="F33" s="175"/>
      <c r="G33" s="175"/>
      <c r="H33" s="169">
        <v>50</v>
      </c>
      <c r="I33" s="175"/>
      <c r="J33" s="177"/>
      <c r="K33" s="175"/>
      <c r="L33" s="175"/>
      <c r="M33" s="175"/>
      <c r="N33" s="175"/>
      <c r="O33" s="178"/>
      <c r="P33" s="175"/>
      <c r="Q33" s="169">
        <v>50</v>
      </c>
      <c r="R33" s="175"/>
      <c r="S33" s="196">
        <v>44289</v>
      </c>
      <c r="T33" s="171">
        <v>5</v>
      </c>
      <c r="U33" s="175" t="s">
        <v>109</v>
      </c>
      <c r="V33" s="179">
        <v>22.020414634355699</v>
      </c>
      <c r="W33" s="179">
        <v>22.044685560962598</v>
      </c>
      <c r="X33" s="180">
        <v>22.174578806911502</v>
      </c>
      <c r="Y33" s="171">
        <f t="shared" si="2"/>
        <v>22.079893000743265</v>
      </c>
      <c r="Z33" s="172">
        <f>10^((Y33-'Standard Curve Summaries'!G$9)/'Standard Curve Summaries'!I$9)</f>
        <v>64096904.724588975</v>
      </c>
      <c r="AA33" s="272">
        <f t="shared" si="18"/>
        <v>26.134843860732051</v>
      </c>
      <c r="AB33" s="180">
        <v>27.1423225697548</v>
      </c>
      <c r="AC33" s="180">
        <v>27.179924259774399</v>
      </c>
      <c r="AD33" s="180">
        <v>27.338764859214699</v>
      </c>
      <c r="AE33" s="171">
        <f t="shared" si="3"/>
        <v>27.2203372295813</v>
      </c>
      <c r="AF33" s="306">
        <f>10^((AE33-'Standard Curve Summaries'!G$6)/'Standard Curve Summaries'!I$6)</f>
        <v>6914.7766413934814</v>
      </c>
      <c r="AG33" s="292">
        <f t="shared" si="17"/>
        <v>1382.9553282786962</v>
      </c>
      <c r="AH33" s="180">
        <v>32.571843956753597</v>
      </c>
      <c r="AI33" s="180">
        <v>32.557813168676603</v>
      </c>
      <c r="AJ33" s="180">
        <v>32.693788586921102</v>
      </c>
      <c r="AK33" s="171">
        <f t="shared" si="9"/>
        <v>32.607815237450431</v>
      </c>
      <c r="AL33" s="293">
        <f>10^((AK33-'Standard Curve Summaries'!G$8)/'Standard Curve Summaries'!I$8)</f>
        <v>670.07203013739991</v>
      </c>
      <c r="AM33" s="293">
        <f t="shared" si="1"/>
        <v>134.01440602747999</v>
      </c>
      <c r="AN33" s="292">
        <f t="shared" si="5"/>
        <v>9.6904363638615737E-2</v>
      </c>
      <c r="AO33" s="200"/>
      <c r="AP33" s="344"/>
    </row>
    <row r="34" spans="2:42" s="174" customFormat="1" x14ac:dyDescent="0.35">
      <c r="B34" s="196" t="s">
        <v>208</v>
      </c>
      <c r="C34" s="176" t="s">
        <v>200</v>
      </c>
      <c r="D34" s="169" t="s">
        <v>196</v>
      </c>
      <c r="E34" s="175"/>
      <c r="F34" s="175"/>
      <c r="G34" s="175"/>
      <c r="H34" s="169">
        <v>50</v>
      </c>
      <c r="I34" s="175"/>
      <c r="J34" s="177"/>
      <c r="K34" s="175"/>
      <c r="L34" s="175"/>
      <c r="M34" s="175"/>
      <c r="N34" s="175"/>
      <c r="O34" s="178"/>
      <c r="P34" s="175"/>
      <c r="Q34" s="169">
        <v>50</v>
      </c>
      <c r="R34" s="175"/>
      <c r="S34" s="196">
        <v>44289</v>
      </c>
      <c r="T34" s="171">
        <v>5</v>
      </c>
      <c r="U34" s="175"/>
      <c r="V34" s="179">
        <v>21.765600838481799</v>
      </c>
      <c r="W34" s="179">
        <v>21.763837384098899</v>
      </c>
      <c r="X34" s="180">
        <v>21.751124179549599</v>
      </c>
      <c r="Y34" s="171">
        <f t="shared" si="2"/>
        <v>21.760187467376767</v>
      </c>
      <c r="Z34" s="172">
        <f>10^((Y34-'Standard Curve Summaries'!G$9)/'Standard Curve Summaries'!I$9)</f>
        <v>79386198.146350399</v>
      </c>
      <c r="AA34" s="272">
        <f t="shared" si="18"/>
        <v>32.368893664471848</v>
      </c>
      <c r="AB34" s="180">
        <v>27.8444117934811</v>
      </c>
      <c r="AC34" s="180">
        <v>27.776135864766701</v>
      </c>
      <c r="AD34" s="180">
        <v>27.613750544657201</v>
      </c>
      <c r="AE34" s="171">
        <f t="shared" si="3"/>
        <v>27.744766067634998</v>
      </c>
      <c r="AF34" s="306">
        <f>10^((AE34-'Standard Curve Summaries'!G$6)/'Standard Curve Summaries'!I$6)</f>
        <v>4898.8149270543217</v>
      </c>
      <c r="AG34" s="292">
        <f t="shared" si="17"/>
        <v>979.7629854108643</v>
      </c>
      <c r="AH34" s="180">
        <v>30.392554948261001</v>
      </c>
      <c r="AI34" s="180">
        <v>30.569209000859001</v>
      </c>
      <c r="AJ34" s="180">
        <v>30.4554857853804</v>
      </c>
      <c r="AK34" s="171">
        <f t="shared" si="9"/>
        <v>30.472416578166801</v>
      </c>
      <c r="AL34" s="293">
        <f>10^((AK34-'Standard Curve Summaries'!G$8)/'Standard Curve Summaries'!I$8)</f>
        <v>2773.2284647434026</v>
      </c>
      <c r="AM34" s="293">
        <f t="shared" si="1"/>
        <v>554.64569294868056</v>
      </c>
      <c r="AN34" s="292">
        <f t="shared" si="5"/>
        <v>0.56610190546858574</v>
      </c>
      <c r="AO34" s="200"/>
      <c r="AP34" s="344"/>
    </row>
    <row r="35" spans="2:42" s="174" customFormat="1" x14ac:dyDescent="0.35">
      <c r="B35" s="196" t="s">
        <v>208</v>
      </c>
      <c r="C35" s="176" t="s">
        <v>200</v>
      </c>
      <c r="D35" s="169" t="s">
        <v>57</v>
      </c>
      <c r="E35" s="175"/>
      <c r="F35" s="175"/>
      <c r="G35" s="175"/>
      <c r="H35" s="169">
        <v>50</v>
      </c>
      <c r="I35" s="175"/>
      <c r="J35" s="177"/>
      <c r="K35" s="175"/>
      <c r="L35" s="175"/>
      <c r="M35" s="175"/>
      <c r="N35" s="175"/>
      <c r="O35" s="178"/>
      <c r="P35" s="175"/>
      <c r="Q35" s="169">
        <v>50</v>
      </c>
      <c r="R35" s="175"/>
      <c r="S35" s="196">
        <v>44289</v>
      </c>
      <c r="T35" s="171">
        <v>5</v>
      </c>
      <c r="U35" s="175"/>
      <c r="V35" s="179">
        <v>22.635148920465401</v>
      </c>
      <c r="W35" s="179">
        <v>22.5394562482604</v>
      </c>
      <c r="X35" s="180">
        <v>22.500222306350398</v>
      </c>
      <c r="Y35" s="171">
        <f t="shared" si="2"/>
        <v>22.558275825025401</v>
      </c>
      <c r="Z35" s="172">
        <f>10^((Y35-'Standard Curve Summaries'!G$9)/'Standard Curve Summaries'!I$9)</f>
        <v>46538966.797738746</v>
      </c>
      <c r="AA35" s="272">
        <f t="shared" si="18"/>
        <v>18.975777940055508</v>
      </c>
      <c r="AB35" s="180">
        <v>27.951348393051799</v>
      </c>
      <c r="AC35" s="180">
        <v>27.947454779883302</v>
      </c>
      <c r="AD35" s="180">
        <v>27.856198954520401</v>
      </c>
      <c r="AE35" s="171">
        <f t="shared" si="3"/>
        <v>27.918334042485167</v>
      </c>
      <c r="AF35" s="306">
        <f>10^((AE35-'Standard Curve Summaries'!G$6)/'Standard Curve Summaries'!I$6)</f>
        <v>4370.6871768951587</v>
      </c>
      <c r="AG35" s="292">
        <f t="shared" si="17"/>
        <v>874.13743537903179</v>
      </c>
      <c r="AH35" s="180">
        <v>31.542195763628399</v>
      </c>
      <c r="AI35" s="180">
        <v>31.448458967049898</v>
      </c>
      <c r="AJ35" s="180">
        <v>31.361535283036101</v>
      </c>
      <c r="AK35" s="171">
        <f t="shared" si="9"/>
        <v>31.450730004571469</v>
      </c>
      <c r="AL35" s="293">
        <f>10^((AK35-'Standard Curve Summaries'!G$8)/'Standard Curve Summaries'!I$8)</f>
        <v>1446.6882660595147</v>
      </c>
      <c r="AM35" s="293">
        <f t="shared" si="1"/>
        <v>289.33765321190293</v>
      </c>
      <c r="AN35" s="292">
        <f t="shared" si="5"/>
        <v>0.33099789747185948</v>
      </c>
      <c r="AO35" s="200"/>
      <c r="AP35" s="344"/>
    </row>
    <row r="36" spans="2:42" s="174" customFormat="1" x14ac:dyDescent="0.35">
      <c r="B36" s="196" t="s">
        <v>208</v>
      </c>
      <c r="C36" s="176" t="s">
        <v>201</v>
      </c>
      <c r="D36" s="169" t="s">
        <v>196</v>
      </c>
      <c r="E36" s="175"/>
      <c r="F36" s="175"/>
      <c r="G36" s="175"/>
      <c r="H36" s="169">
        <v>50</v>
      </c>
      <c r="I36" s="175"/>
      <c r="J36" s="177"/>
      <c r="K36" s="175"/>
      <c r="L36" s="175"/>
      <c r="M36" s="175"/>
      <c r="N36" s="175"/>
      <c r="O36" s="178"/>
      <c r="P36" s="175"/>
      <c r="Q36" s="169">
        <v>50</v>
      </c>
      <c r="R36" s="175"/>
      <c r="S36" s="196">
        <v>44289</v>
      </c>
      <c r="T36" s="171">
        <v>5</v>
      </c>
      <c r="U36" s="175"/>
      <c r="V36" s="180">
        <v>21.864713846663999</v>
      </c>
      <c r="W36" s="180">
        <v>21.8919487992078</v>
      </c>
      <c r="X36" s="180">
        <v>22.047319270224602</v>
      </c>
      <c r="Y36" s="171">
        <f t="shared" si="2"/>
        <v>21.934660638698801</v>
      </c>
      <c r="Z36" s="172">
        <f>10^((Y36-'Standard Curve Summaries'!G$9)/'Standard Curve Summaries'!I$9)</f>
        <v>70638630.652622357</v>
      </c>
      <c r="AA36" s="272">
        <f t="shared" si="18"/>
        <v>28.802164325635378</v>
      </c>
      <c r="AB36" s="180">
        <v>28.503073806656101</v>
      </c>
      <c r="AC36" s="180">
        <v>28.636013617718401</v>
      </c>
      <c r="AD36" s="180">
        <v>28.7383138923967</v>
      </c>
      <c r="AE36" s="171">
        <f t="shared" si="3"/>
        <v>28.625800438923733</v>
      </c>
      <c r="AF36" s="306">
        <f>10^((AE36-'Standard Curve Summaries'!G$6)/'Standard Curve Summaries'!I$6)</f>
        <v>2745.4807250973217</v>
      </c>
      <c r="AG36" s="292">
        <f t="shared" si="17"/>
        <v>549.0961450194643</v>
      </c>
      <c r="AH36" s="180">
        <v>38.3154324605811</v>
      </c>
      <c r="AI36" s="180">
        <v>37.488199694256799</v>
      </c>
      <c r="AJ36" s="180">
        <v>38.526437968502499</v>
      </c>
      <c r="AK36" s="171">
        <f t="shared" si="9"/>
        <v>38.110023374446797</v>
      </c>
      <c r="AL36" s="293">
        <f>10^((AK36-'Standard Curve Summaries'!G$8)/'Standard Curve Summaries'!I$8)</f>
        <v>17.245225177972348</v>
      </c>
      <c r="AM36" s="293">
        <f t="shared" si="1"/>
        <v>3.4490450355944695</v>
      </c>
      <c r="AN36" s="292">
        <f t="shared" si="5"/>
        <v>6.2813135129043893E-3</v>
      </c>
      <c r="AO36" s="200"/>
      <c r="AP36" s="344"/>
    </row>
    <row r="37" spans="2:42" s="174" customFormat="1" x14ac:dyDescent="0.35">
      <c r="B37" s="196" t="s">
        <v>208</v>
      </c>
      <c r="C37" s="176" t="s">
        <v>201</v>
      </c>
      <c r="D37" s="169" t="s">
        <v>57</v>
      </c>
      <c r="E37" s="175"/>
      <c r="F37" s="175"/>
      <c r="G37" s="175"/>
      <c r="H37" s="169">
        <v>50</v>
      </c>
      <c r="I37" s="175"/>
      <c r="J37" s="183"/>
      <c r="K37" s="175"/>
      <c r="L37" s="175"/>
      <c r="M37" s="175"/>
      <c r="N37" s="175"/>
      <c r="O37" s="178"/>
      <c r="P37" s="175"/>
      <c r="Q37" s="169">
        <v>50</v>
      </c>
      <c r="R37" s="175"/>
      <c r="S37" s="196">
        <v>44289</v>
      </c>
      <c r="T37" s="171">
        <v>5</v>
      </c>
      <c r="U37" s="175"/>
      <c r="V37" s="180">
        <v>21.6220859681478</v>
      </c>
      <c r="W37" s="180">
        <v>21.513542189780399</v>
      </c>
      <c r="X37" s="180">
        <v>21.655351867814701</v>
      </c>
      <c r="Y37" s="171">
        <f t="shared" si="2"/>
        <v>21.596993341914299</v>
      </c>
      <c r="Z37" s="172">
        <f>10^((Y37-'Standard Curve Summaries'!G$9)/'Standard Curve Summaries'!I$9)</f>
        <v>88546212.970031008</v>
      </c>
      <c r="AA37" s="272">
        <f t="shared" si="18"/>
        <v>36.103794096989091</v>
      </c>
      <c r="AB37" s="180">
        <v>27.629328239595502</v>
      </c>
      <c r="AC37" s="180">
        <v>27.5887273902121</v>
      </c>
      <c r="AD37" s="180">
        <v>27.879988174569</v>
      </c>
      <c r="AE37" s="171">
        <f t="shared" si="3"/>
        <v>27.6993479347922</v>
      </c>
      <c r="AF37" s="306">
        <f>10^((AE37-'Standard Curve Summaries'!G$6)/'Standard Curve Summaries'!I$6)</f>
        <v>5047.248390750131</v>
      </c>
      <c r="AG37" s="292">
        <f t="shared" si="17"/>
        <v>1009.4496781500262</v>
      </c>
      <c r="AH37" s="180">
        <v>36.870997416642602</v>
      </c>
      <c r="AI37" s="180">
        <v>36.277182336770402</v>
      </c>
      <c r="AJ37" s="180">
        <v>35.684679190335302</v>
      </c>
      <c r="AK37" s="171">
        <f t="shared" si="9"/>
        <v>36.277619647916104</v>
      </c>
      <c r="AL37" s="293">
        <f>10^((AK37-'Standard Curve Summaries'!G$8)/'Standard Curve Summaries'!I$8)</f>
        <v>58.345214885807756</v>
      </c>
      <c r="AM37" s="293">
        <f t="shared" si="1"/>
        <v>11.669042977161551</v>
      </c>
      <c r="AN37" s="292">
        <f t="shared" si="5"/>
        <v>1.1559806526014146E-2</v>
      </c>
      <c r="AO37" s="200"/>
      <c r="AP37" s="344"/>
    </row>
    <row r="38" spans="2:42" s="174" customFormat="1" x14ac:dyDescent="0.35">
      <c r="B38" s="196" t="s">
        <v>208</v>
      </c>
      <c r="C38" s="176" t="s">
        <v>202</v>
      </c>
      <c r="D38" s="169"/>
      <c r="E38" s="175"/>
      <c r="F38" s="175"/>
      <c r="G38" s="175"/>
      <c r="H38" s="169">
        <v>50</v>
      </c>
      <c r="I38" s="175"/>
      <c r="J38" s="183"/>
      <c r="K38" s="175"/>
      <c r="L38" s="175"/>
      <c r="M38" s="175"/>
      <c r="N38" s="175"/>
      <c r="O38" s="178"/>
      <c r="P38" s="175"/>
      <c r="Q38" s="169">
        <v>50</v>
      </c>
      <c r="R38" s="175"/>
      <c r="S38" s="196">
        <v>44289</v>
      </c>
      <c r="T38" s="171">
        <v>5</v>
      </c>
      <c r="U38" s="175"/>
      <c r="V38" s="180">
        <v>20.087503954475402</v>
      </c>
      <c r="W38" s="180">
        <v>20.006359590170501</v>
      </c>
      <c r="X38" s="180">
        <v>20.129601752473</v>
      </c>
      <c r="Y38" s="171">
        <f t="shared" si="2"/>
        <v>20.074488432372966</v>
      </c>
      <c r="Z38" s="172">
        <f>10^((Y38-'Standard Curve Summaries'!G$9)/'Standard Curve Summaries'!I$9)</f>
        <v>245254592.16879204</v>
      </c>
      <c r="AA38" s="272">
        <f t="shared" si="18"/>
        <v>100</v>
      </c>
      <c r="AB38" s="180">
        <v>34.581049418347902</v>
      </c>
      <c r="AC38" s="180">
        <v>34.315598006685804</v>
      </c>
      <c r="AD38" s="180">
        <v>34.294290492739798</v>
      </c>
      <c r="AE38" s="171">
        <f t="shared" si="3"/>
        <v>34.396979305924503</v>
      </c>
      <c r="AF38" s="306">
        <f>10^((AE38-'Standard Curve Summaries'!G$6)/'Standard Curve Summaries'!I$6)</f>
        <v>61.852521985294004</v>
      </c>
      <c r="AG38" s="292">
        <f t="shared" si="17"/>
        <v>12.3705043970588</v>
      </c>
      <c r="AH38" s="180">
        <v>37.009676049026098</v>
      </c>
      <c r="AI38" s="180">
        <v>36.831351113352497</v>
      </c>
      <c r="AJ38" s="180">
        <v>37.152809563603299</v>
      </c>
      <c r="AK38" s="171">
        <f t="shared" si="9"/>
        <v>36.9979455753273</v>
      </c>
      <c r="AL38" s="293">
        <f>10^((AK38-'Standard Curve Summaries'!G$8)/'Standard Curve Summaries'!I$8)</f>
        <v>36.134395814552221</v>
      </c>
      <c r="AM38" s="293">
        <f t="shared" ref="AM38:AM61" si="19">(AL38/T38)*(Q38/H38)</f>
        <v>7.2268791629104445</v>
      </c>
      <c r="AN38" s="292">
        <f t="shared" si="5"/>
        <v>0.58420246506914464</v>
      </c>
      <c r="AO38" s="200"/>
      <c r="AP38" s="344"/>
    </row>
    <row r="39" spans="2:42" s="174" customFormat="1" x14ac:dyDescent="0.35">
      <c r="B39" s="196" t="s">
        <v>208</v>
      </c>
      <c r="C39" s="176" t="s">
        <v>203</v>
      </c>
      <c r="D39" s="169"/>
      <c r="E39" s="175"/>
      <c r="F39" s="175"/>
      <c r="G39" s="175"/>
      <c r="H39" s="169">
        <v>50</v>
      </c>
      <c r="I39" s="175"/>
      <c r="J39" s="183"/>
      <c r="K39" s="175"/>
      <c r="L39" s="175"/>
      <c r="M39" s="175"/>
      <c r="N39" s="175"/>
      <c r="O39" s="178"/>
      <c r="P39" s="175"/>
      <c r="Q39" s="169">
        <v>50</v>
      </c>
      <c r="R39" s="175"/>
      <c r="S39" s="196">
        <v>44289</v>
      </c>
      <c r="T39" s="171">
        <v>5</v>
      </c>
      <c r="U39" s="175"/>
      <c r="V39" s="180">
        <v>38.379169763715097</v>
      </c>
      <c r="W39" s="180">
        <v>39.142455139707501</v>
      </c>
      <c r="X39" s="180">
        <v>39.421492709494103</v>
      </c>
      <c r="Y39" s="171">
        <f t="shared" si="2"/>
        <v>38.981039204305567</v>
      </c>
      <c r="Z39" s="291">
        <f>10^((Y39-'Standard Curve Summaries'!G$9)/'Standard Curve Summaries'!I$9)</f>
        <v>785.74878142183229</v>
      </c>
      <c r="AA39" s="272">
        <f t="shared" si="18"/>
        <v>3.2038086401295796E-4</v>
      </c>
      <c r="AB39" s="180">
        <v>36.053383853605098</v>
      </c>
      <c r="AC39" s="180">
        <v>36.975032583737097</v>
      </c>
      <c r="AD39" s="180">
        <v>36.402648596946698</v>
      </c>
      <c r="AE39" s="171">
        <f t="shared" si="3"/>
        <v>36.4770216780963</v>
      </c>
      <c r="AF39" s="306">
        <f>10^((AE39-'Standard Curve Summaries'!G$6)/'Standard Curve Summaries'!I$6)</f>
        <v>15.763523401525836</v>
      </c>
      <c r="AG39" s="292">
        <f t="shared" si="17"/>
        <v>3.1527046803051673</v>
      </c>
      <c r="AH39" s="180">
        <v>37.121062919942403</v>
      </c>
      <c r="AI39" s="180">
        <v>37.638556974068401</v>
      </c>
      <c r="AJ39" s="180">
        <v>37.094520363984401</v>
      </c>
      <c r="AK39" s="171">
        <f t="shared" si="9"/>
        <v>37.28471341933173</v>
      </c>
      <c r="AL39" s="293">
        <f>10^((AK39-'Standard Curve Summaries'!G$8)/'Standard Curve Summaries'!I$8)</f>
        <v>29.859368569516988</v>
      </c>
      <c r="AM39" s="293">
        <f t="shared" si="19"/>
        <v>5.9718737139033973</v>
      </c>
      <c r="AN39" s="292">
        <f t="shared" si="5"/>
        <v>1.8942065050397767</v>
      </c>
      <c r="AO39" s="200"/>
      <c r="AP39" s="344"/>
    </row>
    <row r="40" spans="2:42" s="288" customFormat="1" x14ac:dyDescent="0.35">
      <c r="B40" s="94"/>
      <c r="C40" s="290"/>
      <c r="D40" s="284"/>
      <c r="E40" s="94"/>
      <c r="F40" s="94"/>
      <c r="G40" s="94"/>
      <c r="H40" s="284"/>
      <c r="I40" s="94"/>
      <c r="J40" s="285"/>
      <c r="K40" s="94"/>
      <c r="L40" s="94"/>
      <c r="M40" s="94"/>
      <c r="N40" s="94"/>
      <c r="O40" s="97"/>
      <c r="P40" s="94"/>
      <c r="Q40" s="284"/>
      <c r="R40" s="94"/>
      <c r="S40" s="94"/>
      <c r="T40" s="286"/>
      <c r="U40" s="94"/>
      <c r="V40" s="100"/>
      <c r="W40" s="100"/>
      <c r="X40" s="94"/>
      <c r="Y40" s="286"/>
      <c r="Z40" s="287"/>
      <c r="AA40" s="100"/>
      <c r="AB40" s="94"/>
      <c r="AC40" s="94"/>
      <c r="AD40" s="94"/>
      <c r="AE40" s="286"/>
      <c r="AF40" s="307"/>
      <c r="AG40" s="308"/>
      <c r="AH40" s="94"/>
      <c r="AI40" s="94"/>
      <c r="AJ40" s="94"/>
      <c r="AK40" s="286"/>
      <c r="AL40" s="310"/>
      <c r="AM40" s="310" t="e">
        <f t="shared" si="19"/>
        <v>#DIV/0!</v>
      </c>
      <c r="AN40" s="308" t="e">
        <f t="shared" si="5"/>
        <v>#DIV/0!</v>
      </c>
      <c r="AO40" s="98"/>
      <c r="AP40" s="343"/>
    </row>
    <row r="41" spans="2:42" s="174" customFormat="1" x14ac:dyDescent="0.35">
      <c r="B41" s="196">
        <v>44199</v>
      </c>
      <c r="C41" s="170" t="s">
        <v>195</v>
      </c>
      <c r="D41" s="169" t="s">
        <v>196</v>
      </c>
      <c r="E41" s="175"/>
      <c r="F41" s="175"/>
      <c r="G41" s="175"/>
      <c r="H41" s="169">
        <v>50</v>
      </c>
      <c r="I41" s="175"/>
      <c r="J41" s="183"/>
      <c r="K41" s="175"/>
      <c r="L41" s="175"/>
      <c r="M41" s="175"/>
      <c r="N41" s="175"/>
      <c r="O41" s="178"/>
      <c r="P41" s="175"/>
      <c r="Q41" s="169">
        <v>50</v>
      </c>
      <c r="R41" s="175"/>
      <c r="S41" s="196">
        <v>44289</v>
      </c>
      <c r="T41" s="171">
        <v>5</v>
      </c>
      <c r="U41" s="175"/>
      <c r="V41" s="180">
        <v>22.126659143199198</v>
      </c>
      <c r="W41" s="180">
        <v>22.053719283081001</v>
      </c>
      <c r="X41" s="180">
        <v>22.1269331133226</v>
      </c>
      <c r="Y41" s="171">
        <f t="shared" si="2"/>
        <v>22.102437179867604</v>
      </c>
      <c r="Z41" s="172">
        <f>10^((Y41-'Standard Curve Summaries'!G$9)/'Standard Curve Summaries'!I$9)</f>
        <v>63137242.777286664</v>
      </c>
      <c r="AA41" s="272">
        <f t="shared" ref="AA41:AA50" si="20">Z41*100/Z$49</f>
        <v>22.197814676949129</v>
      </c>
      <c r="AB41" s="180">
        <v>26.873900537964701</v>
      </c>
      <c r="AC41" s="180">
        <v>26.7908504117418</v>
      </c>
      <c r="AD41" s="180">
        <v>26.775158998780899</v>
      </c>
      <c r="AE41" s="171">
        <f t="shared" si="3"/>
        <v>26.813303316162465</v>
      </c>
      <c r="AF41" s="306">
        <f>10^((AE41-'Standard Curve Summaries'!G$6)/'Standard Curve Summaries'!I$6)</f>
        <v>9035.6079915516057</v>
      </c>
      <c r="AG41" s="292">
        <f t="shared" ref="AG41:AG50" si="21">(AF41/T41)*(Q41/H41)</f>
        <v>1807.1215983103211</v>
      </c>
      <c r="AH41" s="180">
        <v>37.227687328441696</v>
      </c>
      <c r="AI41" s="180">
        <v>36.236065176738798</v>
      </c>
      <c r="AJ41" s="180">
        <v>36.574529071110199</v>
      </c>
      <c r="AK41" s="171">
        <f t="shared" si="9"/>
        <v>36.679427192096902</v>
      </c>
      <c r="AL41" s="293">
        <f>10^((AK41-'Standard Curve Summaries'!G$8)/'Standard Curve Summaries'!I$8)</f>
        <v>44.661460945594598</v>
      </c>
      <c r="AM41" s="293">
        <f t="shared" si="19"/>
        <v>8.93229218911892</v>
      </c>
      <c r="AN41" s="292">
        <f t="shared" si="5"/>
        <v>4.9428285276822059E-3</v>
      </c>
      <c r="AO41" s="200"/>
      <c r="AP41" s="344"/>
    </row>
    <row r="42" spans="2:42" s="174" customFormat="1" x14ac:dyDescent="0.35">
      <c r="B42" s="196">
        <v>44199</v>
      </c>
      <c r="C42" s="176" t="s">
        <v>195</v>
      </c>
      <c r="D42" s="169" t="s">
        <v>57</v>
      </c>
      <c r="E42" s="175"/>
      <c r="F42" s="175"/>
      <c r="G42" s="175"/>
      <c r="H42" s="169">
        <v>50</v>
      </c>
      <c r="I42" s="175"/>
      <c r="J42" s="177"/>
      <c r="K42" s="175"/>
      <c r="L42" s="175"/>
      <c r="M42" s="175"/>
      <c r="N42" s="175"/>
      <c r="O42" s="178"/>
      <c r="P42" s="175"/>
      <c r="Q42" s="169">
        <v>50</v>
      </c>
      <c r="R42" s="175"/>
      <c r="S42" s="196">
        <v>44289</v>
      </c>
      <c r="T42" s="171">
        <v>5</v>
      </c>
      <c r="U42" s="175"/>
      <c r="V42" s="179">
        <v>21.750956569682199</v>
      </c>
      <c r="W42" s="179">
        <v>21.591334398967401</v>
      </c>
      <c r="X42" s="180">
        <v>21.6711852759503</v>
      </c>
      <c r="Y42" s="171">
        <f t="shared" si="2"/>
        <v>21.671158748199968</v>
      </c>
      <c r="Z42" s="172">
        <f>10^((Y42-'Standard Curve Summaries'!G$9)/'Standard Curve Summaries'!I$9)</f>
        <v>84259169.144318968</v>
      </c>
      <c r="AA42" s="272">
        <f t="shared" si="20"/>
        <v>29.623869197090752</v>
      </c>
      <c r="AB42" s="180">
        <v>28.172740432988501</v>
      </c>
      <c r="AC42" s="180">
        <v>28.095199049300199</v>
      </c>
      <c r="AD42" s="180">
        <v>28.161097775261801</v>
      </c>
      <c r="AE42" s="171">
        <f t="shared" si="3"/>
        <v>28.143012419183503</v>
      </c>
      <c r="AF42" s="306">
        <f>10^((AE42-'Standard Curve Summaries'!G$6)/'Standard Curve Summaries'!I$6)</f>
        <v>3770.683075319484</v>
      </c>
      <c r="AG42" s="292">
        <f t="shared" si="21"/>
        <v>754.13661506389678</v>
      </c>
      <c r="AH42" s="180">
        <v>36.823558967984503</v>
      </c>
      <c r="AI42" s="180">
        <v>36.403259998188702</v>
      </c>
      <c r="AJ42" s="180">
        <v>36.363649966877297</v>
      </c>
      <c r="AK42" s="171">
        <f t="shared" si="9"/>
        <v>36.530156311016832</v>
      </c>
      <c r="AL42" s="293">
        <f>10^((AK42-'Standard Curve Summaries'!G$8)/'Standard Curve Summaries'!I$8)</f>
        <v>49.323468824680759</v>
      </c>
      <c r="AM42" s="293">
        <f t="shared" si="19"/>
        <v>9.8646937649361526</v>
      </c>
      <c r="AN42" s="292">
        <f t="shared" si="5"/>
        <v>1.3080778161262376E-2</v>
      </c>
      <c r="AO42" s="200"/>
      <c r="AP42" s="344"/>
    </row>
    <row r="43" spans="2:42" s="174" customFormat="1" x14ac:dyDescent="0.35">
      <c r="B43" s="196">
        <v>44199</v>
      </c>
      <c r="C43" s="176" t="s">
        <v>199</v>
      </c>
      <c r="D43" s="169" t="s">
        <v>196</v>
      </c>
      <c r="E43" s="175"/>
      <c r="F43" s="175"/>
      <c r="G43" s="175"/>
      <c r="H43" s="169">
        <v>50</v>
      </c>
      <c r="I43" s="175"/>
      <c r="J43" s="177"/>
      <c r="K43" s="175"/>
      <c r="L43" s="175"/>
      <c r="M43" s="175"/>
      <c r="N43" s="175"/>
      <c r="O43" s="178"/>
      <c r="P43" s="175"/>
      <c r="Q43" s="169">
        <v>50</v>
      </c>
      <c r="R43" s="175"/>
      <c r="S43" s="196">
        <v>44289</v>
      </c>
      <c r="T43" s="171">
        <v>5</v>
      </c>
      <c r="U43" s="175"/>
      <c r="V43" s="179">
        <v>22.099902930329801</v>
      </c>
      <c r="W43" s="179">
        <v>22.1639669959104</v>
      </c>
      <c r="X43" s="180">
        <v>22.109267565676099</v>
      </c>
      <c r="Y43" s="171">
        <f t="shared" si="2"/>
        <v>22.124379163972105</v>
      </c>
      <c r="Z43" s="172">
        <f>10^((Y43-'Standard Curve Summaries'!G$9)/'Standard Curve Summaries'!I$9)</f>
        <v>62217014.484117806</v>
      </c>
      <c r="AA43" s="272">
        <f t="shared" si="20"/>
        <v>21.874280480432137</v>
      </c>
      <c r="AB43" s="180">
        <v>26.0202542084259</v>
      </c>
      <c r="AC43" s="180">
        <v>26.083145832295401</v>
      </c>
      <c r="AD43" s="180">
        <v>25.988874852685601</v>
      </c>
      <c r="AE43" s="171">
        <f t="shared" si="3"/>
        <v>26.030758297802297</v>
      </c>
      <c r="AF43" s="306">
        <f>10^((AE43-'Standard Curve Summaries'!G$6)/'Standard Curve Summaries'!I$6)</f>
        <v>15111.873548564003</v>
      </c>
      <c r="AG43" s="292">
        <f t="shared" si="21"/>
        <v>3022.3747097128007</v>
      </c>
      <c r="AH43" s="180">
        <v>35.094635585892902</v>
      </c>
      <c r="AI43" s="180">
        <v>34.922713909888898</v>
      </c>
      <c r="AJ43" s="180">
        <v>35.299106580153698</v>
      </c>
      <c r="AK43" s="171">
        <f t="shared" si="9"/>
        <v>35.105485358645161</v>
      </c>
      <c r="AL43" s="293">
        <f>10^((AK43-'Standard Curve Summaries'!G$8)/'Standard Curve Summaries'!I$8)</f>
        <v>127.23483026379733</v>
      </c>
      <c r="AM43" s="293">
        <f t="shared" si="19"/>
        <v>25.446966052759468</v>
      </c>
      <c r="AN43" s="292">
        <f t="shared" si="5"/>
        <v>8.4195271919733448E-3</v>
      </c>
      <c r="AO43" s="200"/>
      <c r="AP43" s="344"/>
    </row>
    <row r="44" spans="2:42" s="174" customFormat="1" x14ac:dyDescent="0.35">
      <c r="B44" s="196">
        <v>44199</v>
      </c>
      <c r="C44" s="176" t="s">
        <v>199</v>
      </c>
      <c r="D44" s="169" t="s">
        <v>57</v>
      </c>
      <c r="E44" s="175"/>
      <c r="F44" s="175"/>
      <c r="G44" s="175"/>
      <c r="H44" s="169">
        <v>50</v>
      </c>
      <c r="I44" s="175"/>
      <c r="J44" s="177"/>
      <c r="K44" s="175"/>
      <c r="L44" s="175"/>
      <c r="M44" s="175"/>
      <c r="N44" s="175"/>
      <c r="O44" s="178"/>
      <c r="P44" s="175"/>
      <c r="Q44" s="169">
        <v>50</v>
      </c>
      <c r="R44" s="175"/>
      <c r="S44" s="196">
        <v>44289</v>
      </c>
      <c r="T44" s="171">
        <v>5</v>
      </c>
      <c r="U44" s="175"/>
      <c r="V44" s="179">
        <v>21.733963315426401</v>
      </c>
      <c r="W44" s="179">
        <v>21.658988859968101</v>
      </c>
      <c r="X44" s="180">
        <v>21.772423973043502</v>
      </c>
      <c r="Y44" s="171">
        <f t="shared" si="2"/>
        <v>21.721792049479333</v>
      </c>
      <c r="Z44" s="172">
        <f>10^((Y44-'Standard Curve Summaries'!G$9)/'Standard Curve Summaries'!I$9)</f>
        <v>81452214.179813489</v>
      </c>
      <c r="AA44" s="272">
        <f t="shared" si="20"/>
        <v>28.636998954301969</v>
      </c>
      <c r="AB44" s="180">
        <v>27.207841299266299</v>
      </c>
      <c r="AC44" s="180">
        <v>27.219842627876499</v>
      </c>
      <c r="AD44" s="180">
        <v>27.267690339608201</v>
      </c>
      <c r="AE44" s="171">
        <f t="shared" si="3"/>
        <v>27.231791422250335</v>
      </c>
      <c r="AF44" s="306">
        <f>10^((AE44-'Standard Curve Summaries'!G$6)/'Standard Curve Summaries'!I$6)</f>
        <v>6862.9178305278556</v>
      </c>
      <c r="AG44" s="292">
        <f t="shared" si="21"/>
        <v>1372.5835661055712</v>
      </c>
      <c r="AH44" s="180">
        <v>32.753731969972499</v>
      </c>
      <c r="AI44" s="180">
        <v>32.683101358829603</v>
      </c>
      <c r="AJ44" s="180">
        <v>32.639214380325598</v>
      </c>
      <c r="AK44" s="171">
        <f t="shared" si="9"/>
        <v>32.692015903042567</v>
      </c>
      <c r="AL44" s="293">
        <f>10^((AK44-'Standard Curve Summaries'!G$8)/'Standard Curve Summaries'!I$8)</f>
        <v>633.57493623753112</v>
      </c>
      <c r="AM44" s="293">
        <f t="shared" si="19"/>
        <v>126.71498724750623</v>
      </c>
      <c r="AN44" s="292">
        <f t="shared" si="5"/>
        <v>9.2318595659012903E-2</v>
      </c>
      <c r="AO44" s="200"/>
      <c r="AP44" s="344"/>
    </row>
    <row r="45" spans="2:42" s="174" customFormat="1" x14ac:dyDescent="0.35">
      <c r="B45" s="196">
        <v>44199</v>
      </c>
      <c r="C45" s="176" t="s">
        <v>200</v>
      </c>
      <c r="D45" s="169" t="s">
        <v>196</v>
      </c>
      <c r="E45" s="175"/>
      <c r="F45" s="175"/>
      <c r="G45" s="175"/>
      <c r="H45" s="169">
        <v>50</v>
      </c>
      <c r="I45" s="175"/>
      <c r="J45" s="177"/>
      <c r="K45" s="175"/>
      <c r="L45" s="175"/>
      <c r="M45" s="175"/>
      <c r="N45" s="175"/>
      <c r="O45" s="178"/>
      <c r="P45" s="175"/>
      <c r="Q45" s="169">
        <v>50</v>
      </c>
      <c r="R45" s="175"/>
      <c r="S45" s="196">
        <v>44289</v>
      </c>
      <c r="T45" s="171">
        <v>5</v>
      </c>
      <c r="U45" s="175"/>
      <c r="V45" s="179">
        <v>24.186686117124299</v>
      </c>
      <c r="W45" s="179">
        <v>24.1910924102318</v>
      </c>
      <c r="X45" s="180">
        <v>23.990780396649701</v>
      </c>
      <c r="Y45" s="171">
        <f t="shared" si="2"/>
        <v>24.1228529746686</v>
      </c>
      <c r="Z45" s="172">
        <f>10^((Y45-'Standard Curve Summaries'!G$9)/'Standard Curve Summaries'!I$9)</f>
        <v>16335904.592695095</v>
      </c>
      <c r="AA45" s="272">
        <f t="shared" si="20"/>
        <v>5.7433832517535794</v>
      </c>
      <c r="AB45" s="180">
        <v>27.044691483515201</v>
      </c>
      <c r="AC45" s="180">
        <v>27.014114286288901</v>
      </c>
      <c r="AD45" s="180">
        <v>26.819106483776999</v>
      </c>
      <c r="AE45" s="171">
        <f t="shared" si="3"/>
        <v>26.959304084527034</v>
      </c>
      <c r="AF45" s="306">
        <f>10^((AE45-'Standard Curve Summaries'!G$6)/'Standard Curve Summaries'!I$6)</f>
        <v>8208.8921232471039</v>
      </c>
      <c r="AG45" s="292">
        <f t="shared" si="21"/>
        <v>1641.7784246494207</v>
      </c>
      <c r="AH45" s="180">
        <v>31.576039906391902</v>
      </c>
      <c r="AI45" s="180">
        <v>31.611640369524299</v>
      </c>
      <c r="AJ45" s="180">
        <v>31.5517735771937</v>
      </c>
      <c r="AK45" s="171">
        <f t="shared" si="9"/>
        <v>31.579817951036631</v>
      </c>
      <c r="AL45" s="293">
        <f>10^((AK45-'Standard Curve Summaries'!G$8)/'Standard Curve Summaries'!I$8)</f>
        <v>1327.6531363523213</v>
      </c>
      <c r="AM45" s="293">
        <f t="shared" si="19"/>
        <v>265.53062727046427</v>
      </c>
      <c r="AN45" s="292">
        <f t="shared" si="5"/>
        <v>0.16173353436969712</v>
      </c>
      <c r="AO45" s="200"/>
      <c r="AP45" s="344"/>
    </row>
    <row r="46" spans="2:42" s="174" customFormat="1" x14ac:dyDescent="0.35">
      <c r="B46" s="196">
        <v>44199</v>
      </c>
      <c r="C46" s="176" t="s">
        <v>200</v>
      </c>
      <c r="D46" s="169" t="s">
        <v>57</v>
      </c>
      <c r="E46" s="175"/>
      <c r="F46" s="175"/>
      <c r="G46" s="175"/>
      <c r="H46" s="169">
        <v>50</v>
      </c>
      <c r="I46" s="175"/>
      <c r="J46" s="177"/>
      <c r="K46" s="175"/>
      <c r="L46" s="175"/>
      <c r="M46" s="175"/>
      <c r="N46" s="175"/>
      <c r="O46" s="178"/>
      <c r="P46" s="175"/>
      <c r="Q46" s="169">
        <v>50</v>
      </c>
      <c r="R46" s="175"/>
      <c r="S46" s="196">
        <v>44289</v>
      </c>
      <c r="T46" s="171">
        <v>5</v>
      </c>
      <c r="U46" s="175"/>
      <c r="V46" s="180">
        <v>22.653391116943101</v>
      </c>
      <c r="W46" s="180">
        <v>22.587949216788601</v>
      </c>
      <c r="X46" s="180">
        <v>22.5537440289825</v>
      </c>
      <c r="Y46" s="171">
        <f t="shared" si="2"/>
        <v>22.598361454238063</v>
      </c>
      <c r="Z46" s="172">
        <f>10^((Y46-'Standard Curve Summaries'!G$9)/'Standard Curve Summaries'!I$9)</f>
        <v>45307245.872470319</v>
      </c>
      <c r="AA46" s="272">
        <f t="shared" si="20"/>
        <v>15.929137909105343</v>
      </c>
      <c r="AB46" s="180">
        <v>27.4428577329906</v>
      </c>
      <c r="AC46" s="180">
        <v>27.3808897491629</v>
      </c>
      <c r="AD46" s="180">
        <v>27.4342976346123</v>
      </c>
      <c r="AE46" s="171">
        <f t="shared" si="3"/>
        <v>27.419348372255268</v>
      </c>
      <c r="AF46" s="306">
        <f>10^((AE46-'Standard Curve Summaries'!G$6)/'Standard Curve Summaries'!I$6)</f>
        <v>6067.0089176141764</v>
      </c>
      <c r="AG46" s="292">
        <f t="shared" si="21"/>
        <v>1213.4017835228353</v>
      </c>
      <c r="AH46" s="180">
        <v>30.7785385633745</v>
      </c>
      <c r="AI46" s="180">
        <v>30.7824529745474</v>
      </c>
      <c r="AJ46" s="180">
        <v>30.7087683524135</v>
      </c>
      <c r="AK46" s="171">
        <f t="shared" si="9"/>
        <v>30.756586630111798</v>
      </c>
      <c r="AL46" s="293">
        <f>10^((AK46-'Standard Curve Summaries'!G$8)/'Standard Curve Summaries'!I$8)</f>
        <v>2295.5983794597846</v>
      </c>
      <c r="AM46" s="293">
        <f t="shared" si="19"/>
        <v>459.11967589195694</v>
      </c>
      <c r="AN46" s="292">
        <f t="shared" si="5"/>
        <v>0.37837399130814503</v>
      </c>
      <c r="AO46" s="200"/>
      <c r="AP46" s="344"/>
    </row>
    <row r="47" spans="2:42" s="174" customFormat="1" x14ac:dyDescent="0.35">
      <c r="B47" s="196">
        <v>44199</v>
      </c>
      <c r="C47" s="176" t="s">
        <v>201</v>
      </c>
      <c r="D47" s="169" t="s">
        <v>196</v>
      </c>
      <c r="E47" s="175"/>
      <c r="F47" s="175"/>
      <c r="G47" s="175"/>
      <c r="H47" s="169">
        <v>50</v>
      </c>
      <c r="I47" s="175"/>
      <c r="J47" s="183"/>
      <c r="K47" s="175"/>
      <c r="L47" s="175"/>
      <c r="M47" s="175"/>
      <c r="N47" s="175"/>
      <c r="O47" s="178"/>
      <c r="P47" s="175"/>
      <c r="Q47" s="169">
        <v>50</v>
      </c>
      <c r="R47" s="175"/>
      <c r="S47" s="196">
        <v>44289</v>
      </c>
      <c r="T47" s="171">
        <v>5</v>
      </c>
      <c r="U47" s="175"/>
      <c r="V47" s="180">
        <v>21.355262328251701</v>
      </c>
      <c r="W47" s="180">
        <v>21.4722758925082</v>
      </c>
      <c r="X47" s="180">
        <v>21.598501939782899</v>
      </c>
      <c r="Y47" s="171">
        <f t="shared" si="2"/>
        <v>21.475346720180937</v>
      </c>
      <c r="Z47" s="172">
        <f>10^((Y47-'Standard Curve Summaries'!G$9)/'Standard Curve Summaries'!I$9)</f>
        <v>96055243.551624402</v>
      </c>
      <c r="AA47" s="272">
        <f t="shared" si="20"/>
        <v>33.771137308441766</v>
      </c>
      <c r="AB47" s="180">
        <v>26.0284795711508</v>
      </c>
      <c r="AC47" s="180">
        <v>26.047675888960701</v>
      </c>
      <c r="AD47" s="180">
        <v>26.126171878600399</v>
      </c>
      <c r="AE47" s="171">
        <f t="shared" si="3"/>
        <v>26.067442446237298</v>
      </c>
      <c r="AF47" s="306">
        <f>10^((AE47-'Standard Curve Summaries'!G$6)/'Standard Curve Summaries'!I$6)</f>
        <v>14751.887656433837</v>
      </c>
      <c r="AG47" s="292">
        <f t="shared" si="21"/>
        <v>2950.3775312867674</v>
      </c>
      <c r="AH47" s="180">
        <v>36.361445534719401</v>
      </c>
      <c r="AI47" s="180">
        <v>36.458766507556199</v>
      </c>
      <c r="AJ47" s="180">
        <v>36.919640235363602</v>
      </c>
      <c r="AK47" s="171">
        <f t="shared" si="9"/>
        <v>36.579950759213069</v>
      </c>
      <c r="AL47" s="293">
        <f>10^((AK47-'Standard Curve Summaries'!G$8)/'Standard Curve Summaries'!I$8)</f>
        <v>47.716570299917642</v>
      </c>
      <c r="AM47" s="293">
        <f t="shared" si="19"/>
        <v>9.543314059983528</v>
      </c>
      <c r="AN47" s="292">
        <f t="shared" si="5"/>
        <v>3.2346077607977651E-3</v>
      </c>
      <c r="AO47" s="200"/>
      <c r="AP47" s="344"/>
    </row>
    <row r="48" spans="2:42" s="174" customFormat="1" x14ac:dyDescent="0.35">
      <c r="B48" s="196">
        <v>44199</v>
      </c>
      <c r="C48" s="176" t="s">
        <v>201</v>
      </c>
      <c r="D48" s="169" t="s">
        <v>57</v>
      </c>
      <c r="E48" s="175"/>
      <c r="F48" s="175"/>
      <c r="G48" s="175"/>
      <c r="H48" s="169">
        <v>50</v>
      </c>
      <c r="I48" s="175"/>
      <c r="J48" s="183"/>
      <c r="K48" s="175"/>
      <c r="L48" s="175"/>
      <c r="M48" s="175"/>
      <c r="N48" s="175"/>
      <c r="O48" s="178"/>
      <c r="P48" s="175"/>
      <c r="Q48" s="169">
        <v>50</v>
      </c>
      <c r="R48" s="175"/>
      <c r="S48" s="196">
        <v>44289</v>
      </c>
      <c r="T48" s="171">
        <v>5</v>
      </c>
      <c r="U48" s="175"/>
      <c r="V48" s="180">
        <v>21.7628324421547</v>
      </c>
      <c r="W48" s="180">
        <v>21.760478612351001</v>
      </c>
      <c r="X48" s="180">
        <v>21.740264104078999</v>
      </c>
      <c r="Y48" s="171">
        <f t="shared" si="2"/>
        <v>21.754525052861567</v>
      </c>
      <c r="Z48" s="172">
        <f>10^((Y48-'Standard Curve Summaries'!G$9)/'Standard Curve Summaries'!I$9)</f>
        <v>79687559.861932963</v>
      </c>
      <c r="AA48" s="272">
        <f t="shared" si="20"/>
        <v>28.016581150259348</v>
      </c>
      <c r="AB48" s="180">
        <v>27.733347946056998</v>
      </c>
      <c r="AC48" s="180">
        <v>27.734422876507399</v>
      </c>
      <c r="AD48" s="180">
        <v>27.805850393309601</v>
      </c>
      <c r="AE48" s="171">
        <f t="shared" si="3"/>
        <v>27.757873738624667</v>
      </c>
      <c r="AF48" s="306">
        <f>10^((AE48-'Standard Curve Summaries'!G$6)/'Standard Curve Summaries'!I$6)</f>
        <v>4856.7944653147979</v>
      </c>
      <c r="AG48" s="292">
        <f t="shared" si="21"/>
        <v>971.35889306295962</v>
      </c>
      <c r="AH48" s="180">
        <v>36.332290354738099</v>
      </c>
      <c r="AI48" s="180">
        <v>36.1820034842819</v>
      </c>
      <c r="AJ48" s="180">
        <v>36.482001724567702</v>
      </c>
      <c r="AK48" s="171">
        <f t="shared" si="9"/>
        <v>36.332098521195896</v>
      </c>
      <c r="AL48" s="293">
        <f>10^((AK48-'Standard Curve Summaries'!G$8)/'Standard Curve Summaries'!I$8)</f>
        <v>56.268797867802746</v>
      </c>
      <c r="AM48" s="293">
        <f t="shared" si="19"/>
        <v>11.253759573560549</v>
      </c>
      <c r="AN48" s="292">
        <f t="shared" si="5"/>
        <v>1.1585583509792529E-2</v>
      </c>
      <c r="AO48" s="200"/>
      <c r="AP48" s="344"/>
    </row>
    <row r="49" spans="2:42" s="174" customFormat="1" x14ac:dyDescent="0.35">
      <c r="B49" s="196">
        <v>44199</v>
      </c>
      <c r="C49" s="176" t="s">
        <v>202</v>
      </c>
      <c r="D49" s="169"/>
      <c r="E49" s="175"/>
      <c r="F49" s="175"/>
      <c r="G49" s="175"/>
      <c r="H49" s="169">
        <v>50</v>
      </c>
      <c r="I49" s="175"/>
      <c r="J49" s="183"/>
      <c r="K49" s="175"/>
      <c r="L49" s="175"/>
      <c r="M49" s="175"/>
      <c r="N49" s="175"/>
      <c r="O49" s="178"/>
      <c r="P49" s="175"/>
      <c r="Q49" s="169">
        <v>50</v>
      </c>
      <c r="R49" s="175"/>
      <c r="S49" s="196">
        <v>44289</v>
      </c>
      <c r="T49" s="171">
        <v>5</v>
      </c>
      <c r="U49" s="175"/>
      <c r="V49" s="180">
        <v>19.897029804629302</v>
      </c>
      <c r="W49" s="180">
        <v>19.762646586816199</v>
      </c>
      <c r="X49" s="180">
        <v>19.899399455464799</v>
      </c>
      <c r="Y49" s="171">
        <f t="shared" si="2"/>
        <v>19.853025282303435</v>
      </c>
      <c r="Z49" s="172">
        <f>10^((Y49-'Standard Curve Summaries'!G$9)/'Standard Curve Summaries'!I$9)</f>
        <v>284429993.20491785</v>
      </c>
      <c r="AA49" s="272">
        <f t="shared" si="20"/>
        <v>100</v>
      </c>
      <c r="AB49" s="180">
        <v>33.634355504649498</v>
      </c>
      <c r="AC49" s="180">
        <v>32.6785105969809</v>
      </c>
      <c r="AD49" s="180">
        <v>33.952327201627199</v>
      </c>
      <c r="AE49" s="171">
        <f t="shared" si="3"/>
        <v>33.421731101085861</v>
      </c>
      <c r="AF49" s="306">
        <f>10^((AE49-'Standard Curve Summaries'!G$6)/'Standard Curve Summaries'!I$6)</f>
        <v>117.41440795589911</v>
      </c>
      <c r="AG49" s="292">
        <f t="shared" si="21"/>
        <v>23.482881591179822</v>
      </c>
      <c r="AH49" s="180">
        <v>36.503559646519797</v>
      </c>
      <c r="AI49" s="180">
        <v>36.641747413270302</v>
      </c>
      <c r="AJ49" s="180">
        <v>37.063266444566104</v>
      </c>
      <c r="AK49" s="171">
        <f t="shared" si="9"/>
        <v>36.736191168118729</v>
      </c>
      <c r="AL49" s="293">
        <f>10^((AK49-'Standard Curve Summaries'!G$8)/'Standard Curve Summaries'!I$8)</f>
        <v>43.006609809625246</v>
      </c>
      <c r="AM49" s="293">
        <f t="shared" si="19"/>
        <v>8.6013219619250485</v>
      </c>
      <c r="AN49" s="292">
        <f t="shared" si="5"/>
        <v>0.3662805149584244</v>
      </c>
      <c r="AO49" s="200"/>
      <c r="AP49" s="344"/>
    </row>
    <row r="50" spans="2:42" s="174" customFormat="1" x14ac:dyDescent="0.35">
      <c r="B50" s="196">
        <v>44199</v>
      </c>
      <c r="C50" s="176" t="s">
        <v>203</v>
      </c>
      <c r="D50" s="169" t="s">
        <v>109</v>
      </c>
      <c r="E50" s="175"/>
      <c r="F50" s="175"/>
      <c r="G50" s="175"/>
      <c r="H50" s="169">
        <v>50</v>
      </c>
      <c r="I50" s="175"/>
      <c r="J50" s="183"/>
      <c r="K50" s="175"/>
      <c r="L50" s="175"/>
      <c r="M50" s="175"/>
      <c r="N50" s="175"/>
      <c r="O50" s="178"/>
      <c r="P50" s="175"/>
      <c r="Q50" s="169">
        <v>50</v>
      </c>
      <c r="R50" s="175"/>
      <c r="S50" s="196">
        <v>44289</v>
      </c>
      <c r="T50" s="171">
        <v>5</v>
      </c>
      <c r="U50" s="175"/>
      <c r="V50" s="180">
        <v>39.088350177281299</v>
      </c>
      <c r="W50" s="180">
        <v>38.846675607072598</v>
      </c>
      <c r="X50" s="180" t="s">
        <v>95</v>
      </c>
      <c r="Y50" s="171">
        <f t="shared" si="2"/>
        <v>38.967512892176948</v>
      </c>
      <c r="Z50" s="172">
        <f>10^((Y50-'Standard Curve Summaries'!G$9)/'Standard Curve Summaries'!I$9)</f>
        <v>792.89289587774056</v>
      </c>
      <c r="AA50" s="272">
        <f t="shared" si="20"/>
        <v>2.7876557143061213E-4</v>
      </c>
      <c r="AB50" s="180">
        <v>36.194202241766703</v>
      </c>
      <c r="AC50" s="180">
        <v>36.817009962011603</v>
      </c>
      <c r="AD50" s="180">
        <v>37.013263171433799</v>
      </c>
      <c r="AE50" s="171">
        <f t="shared" si="3"/>
        <v>36.674825125070704</v>
      </c>
      <c r="AF50" s="306">
        <f>10^((AE50-'Standard Curve Summaries'!G$6)/'Standard Curve Summaries'!I$6)</f>
        <v>13.841861010413007</v>
      </c>
      <c r="AG50" s="292">
        <f t="shared" si="21"/>
        <v>2.7683722020826016</v>
      </c>
      <c r="AH50" s="180">
        <v>37.836848199682102</v>
      </c>
      <c r="AI50" s="180">
        <v>36.847273305180202</v>
      </c>
      <c r="AJ50" s="180">
        <v>35.9584807944712</v>
      </c>
      <c r="AK50" s="171">
        <f t="shared" si="9"/>
        <v>36.88086743311117</v>
      </c>
      <c r="AL50" s="293">
        <f>10^((AK50-'Standard Curve Summaries'!G$8)/'Standard Curve Summaries'!I$8)</f>
        <v>39.060859344279912</v>
      </c>
      <c r="AM50" s="293">
        <f t="shared" si="19"/>
        <v>7.812171868855982</v>
      </c>
      <c r="AN50" s="292">
        <f t="shared" si="5"/>
        <v>2.8219369718345719</v>
      </c>
      <c r="AO50" s="200"/>
      <c r="AP50" s="344"/>
    </row>
    <row r="51" spans="2:42" s="288" customFormat="1" x14ac:dyDescent="0.35">
      <c r="B51" s="94"/>
      <c r="C51" s="283"/>
      <c r="D51" s="284"/>
      <c r="E51" s="94"/>
      <c r="F51" s="94"/>
      <c r="G51" s="94"/>
      <c r="H51" s="284"/>
      <c r="I51" s="94"/>
      <c r="J51" s="285"/>
      <c r="K51" s="94"/>
      <c r="L51" s="94"/>
      <c r="M51" s="94"/>
      <c r="N51" s="94"/>
      <c r="O51" s="97"/>
      <c r="P51" s="94"/>
      <c r="Q51" s="284"/>
      <c r="R51" s="94"/>
      <c r="S51" s="94"/>
      <c r="T51" s="286"/>
      <c r="U51" s="94"/>
      <c r="V51" s="354"/>
      <c r="W51" s="354"/>
      <c r="X51" s="355"/>
      <c r="Y51" s="286"/>
      <c r="Z51" s="287"/>
      <c r="AA51" s="357"/>
      <c r="AB51" s="94"/>
      <c r="AC51" s="94"/>
      <c r="AD51" s="94"/>
      <c r="AE51" s="286"/>
      <c r="AF51" s="307"/>
      <c r="AG51" s="308"/>
      <c r="AH51" s="94"/>
      <c r="AI51" s="94"/>
      <c r="AJ51" s="94"/>
      <c r="AK51" s="286"/>
      <c r="AL51" s="310"/>
      <c r="AM51" s="310" t="e">
        <f t="shared" si="19"/>
        <v>#DIV/0!</v>
      </c>
      <c r="AN51" s="308" t="e">
        <f t="shared" si="5"/>
        <v>#DIV/0!</v>
      </c>
      <c r="AO51" s="98"/>
      <c r="AP51" s="343"/>
    </row>
    <row r="52" spans="2:42" s="174" customFormat="1" ht="13.5" x14ac:dyDescent="0.35">
      <c r="B52" s="196">
        <v>44230</v>
      </c>
      <c r="C52" s="170" t="s">
        <v>195</v>
      </c>
      <c r="D52" s="169" t="s">
        <v>196</v>
      </c>
      <c r="E52" s="175"/>
      <c r="F52" s="175"/>
      <c r="G52" s="175"/>
      <c r="H52" s="169">
        <v>50</v>
      </c>
      <c r="I52" s="175"/>
      <c r="J52" s="183"/>
      <c r="K52" s="175"/>
      <c r="L52" s="175"/>
      <c r="M52" s="175"/>
      <c r="N52" s="175"/>
      <c r="O52" s="178"/>
      <c r="P52" s="175"/>
      <c r="Q52" s="169">
        <v>50</v>
      </c>
      <c r="R52" s="175"/>
      <c r="S52" s="196">
        <v>44319</v>
      </c>
      <c r="T52" s="171">
        <v>5</v>
      </c>
      <c r="U52" s="200"/>
      <c r="V52" s="356">
        <v>23.75</v>
      </c>
      <c r="W52" s="356">
        <v>23.52</v>
      </c>
      <c r="X52" s="278">
        <v>23.42</v>
      </c>
      <c r="Y52" s="171">
        <f t="shared" ref="Y52:Y61" si="22">AVERAGE(V52:X52)</f>
        <v>23.563333333333333</v>
      </c>
      <c r="Z52" s="172">
        <f>10^((Y52-'Standard Curve Summaries'!G$9)/'Standard Curve Summaries'!I$9)</f>
        <v>23754300.872913193</v>
      </c>
      <c r="AA52" s="272">
        <f>Z52*100/Z$60</f>
        <v>12.150524970431455</v>
      </c>
      <c r="AB52" s="175">
        <v>25.24</v>
      </c>
      <c r="AC52" s="175">
        <v>25.1</v>
      </c>
      <c r="AD52" s="175">
        <v>24.96</v>
      </c>
      <c r="AE52" s="171">
        <f>AVERAGE(AB52:AD52)</f>
        <v>25.100000000000005</v>
      </c>
      <c r="AF52" s="306">
        <f>10^((AE52-'Standard Curve Summaries'!G$6)/'Standard Curve Summaries'!I$6)</f>
        <v>27860.158820045152</v>
      </c>
      <c r="AG52" s="292">
        <f>(AF52/T52)*(Q52/H52)</f>
        <v>5572.0317640090307</v>
      </c>
      <c r="AH52" s="175">
        <v>36.979999999999997</v>
      </c>
      <c r="AI52" s="175">
        <v>39.11</v>
      </c>
      <c r="AJ52" s="175">
        <v>37.479999999999997</v>
      </c>
      <c r="AK52" s="171">
        <f t="shared" ref="AK52:AK61" si="23">AVERAGE(AH52:AJ52)</f>
        <v>37.856666666666662</v>
      </c>
      <c r="AL52" s="293">
        <f>10^((AK52-'Standard Curve Summaries'!G$8)/'Standard Curve Summaries'!I$8)</f>
        <v>20.410676145058865</v>
      </c>
      <c r="AM52" s="293">
        <f t="shared" si="19"/>
        <v>4.0821352290117732</v>
      </c>
      <c r="AN52" s="292">
        <f t="shared" si="5"/>
        <v>7.3261162209791689E-4</v>
      </c>
      <c r="AO52" s="200" t="s">
        <v>209</v>
      </c>
      <c r="AP52" s="344" t="s">
        <v>109</v>
      </c>
    </row>
    <row r="53" spans="2:42" s="174" customFormat="1" x14ac:dyDescent="0.35">
      <c r="B53" s="196">
        <v>44230</v>
      </c>
      <c r="C53" s="176" t="s">
        <v>195</v>
      </c>
      <c r="D53" s="169" t="s">
        <v>57</v>
      </c>
      <c r="E53" s="175"/>
      <c r="F53" s="175"/>
      <c r="G53" s="175"/>
      <c r="H53" s="169">
        <v>50</v>
      </c>
      <c r="I53" s="175"/>
      <c r="J53" s="183"/>
      <c r="K53" s="175"/>
      <c r="L53" s="175"/>
      <c r="M53" s="175"/>
      <c r="N53" s="175"/>
      <c r="O53" s="178"/>
      <c r="P53" s="175"/>
      <c r="Q53" s="169">
        <v>50</v>
      </c>
      <c r="R53" s="175"/>
      <c r="S53" s="196">
        <v>44320</v>
      </c>
      <c r="T53" s="171">
        <v>5</v>
      </c>
      <c r="U53" s="175"/>
      <c r="V53" s="171">
        <v>22.25</v>
      </c>
      <c r="W53" s="171">
        <v>22.28</v>
      </c>
      <c r="X53" s="169">
        <v>22.25</v>
      </c>
      <c r="Y53" s="171">
        <f t="shared" si="22"/>
        <v>22.26</v>
      </c>
      <c r="Z53" s="172">
        <f>10^((Y53-'Standard Curve Summaries'!G$9)/'Standard Curve Summaries'!I$9)</f>
        <v>56819460.852777526</v>
      </c>
      <c r="AA53" s="272">
        <f t="shared" ref="AA53:AA61" si="24">Z53*100/Z$60</f>
        <v>29.063632796087333</v>
      </c>
      <c r="AB53" s="175">
        <v>26.68</v>
      </c>
      <c r="AC53" s="175">
        <v>26.74</v>
      </c>
      <c r="AD53" s="175">
        <v>26.7</v>
      </c>
      <c r="AE53" s="171">
        <f t="shared" ref="AE53:AE61" si="25">AVERAGE(AB53:AD53)</f>
        <v>26.706666666666667</v>
      </c>
      <c r="AF53" s="306">
        <f>10^((AE53-'Standard Curve Summaries'!G$6)/'Standard Curve Summaries'!I$6)</f>
        <v>9691.5793928005023</v>
      </c>
      <c r="AG53" s="292">
        <f t="shared" ref="AG53:AG61" si="26">(AF53/T53)*(Q53/H53)</f>
        <v>1938.3158785601004</v>
      </c>
      <c r="AH53" s="175" t="s">
        <v>95</v>
      </c>
      <c r="AI53" s="175">
        <v>37.72</v>
      </c>
      <c r="AJ53" s="175">
        <v>37.82</v>
      </c>
      <c r="AK53" s="171">
        <f t="shared" si="23"/>
        <v>37.769999999999996</v>
      </c>
      <c r="AL53" s="293">
        <f>10^((AK53-'Standard Curve Summaries'!G$8)/'Standard Curve Summaries'!I$8)</f>
        <v>21.621870432272484</v>
      </c>
      <c r="AM53" s="293">
        <f t="shared" si="19"/>
        <v>4.3243740864544966</v>
      </c>
      <c r="AN53" s="292">
        <f t="shared" si="5"/>
        <v>2.2309955432377234E-3</v>
      </c>
      <c r="AO53" s="200" t="s">
        <v>209</v>
      </c>
      <c r="AP53" s="344"/>
    </row>
    <row r="54" spans="2:42" s="174" customFormat="1" ht="13.5" x14ac:dyDescent="0.35">
      <c r="B54" s="196">
        <v>44230</v>
      </c>
      <c r="C54" s="176" t="s">
        <v>199</v>
      </c>
      <c r="D54" s="169" t="s">
        <v>196</v>
      </c>
      <c r="E54" s="175"/>
      <c r="F54" s="175"/>
      <c r="G54" s="176"/>
      <c r="H54" s="169">
        <v>50</v>
      </c>
      <c r="I54" s="175"/>
      <c r="J54" s="183"/>
      <c r="K54" s="175"/>
      <c r="L54" s="185"/>
      <c r="M54" s="185"/>
      <c r="N54" s="175"/>
      <c r="O54" s="178"/>
      <c r="P54" s="175"/>
      <c r="Q54" s="169">
        <v>50</v>
      </c>
      <c r="R54" s="175"/>
      <c r="S54" s="196">
        <v>44321</v>
      </c>
      <c r="T54" s="171">
        <v>5</v>
      </c>
      <c r="U54" s="175"/>
      <c r="V54" s="180">
        <v>22.46</v>
      </c>
      <c r="W54" s="180">
        <v>22.64</v>
      </c>
      <c r="X54" s="175">
        <v>22.54</v>
      </c>
      <c r="Y54" s="171">
        <f t="shared" si="22"/>
        <v>22.546666666666667</v>
      </c>
      <c r="Z54" s="172">
        <f>10^((Y54-'Standard Curve Summaries'!G$9)/'Standard Curve Summaries'!I$9)</f>
        <v>46901897.5743967</v>
      </c>
      <c r="AA54" s="272">
        <f t="shared" si="24"/>
        <v>23.990715647125501</v>
      </c>
      <c r="AB54" s="175">
        <v>26.83</v>
      </c>
      <c r="AC54" s="175">
        <v>26.94</v>
      </c>
      <c r="AD54" s="175">
        <v>26.89</v>
      </c>
      <c r="AE54" s="171">
        <f t="shared" si="25"/>
        <v>26.886666666666667</v>
      </c>
      <c r="AF54" s="306">
        <f>10^((AE54-'Standard Curve Summaries'!G$6)/'Standard Curve Summaries'!I$6)</f>
        <v>8610.2817638511715</v>
      </c>
      <c r="AG54" s="292">
        <f t="shared" si="26"/>
        <v>1722.0563527702343</v>
      </c>
      <c r="AH54" s="175">
        <v>33.72</v>
      </c>
      <c r="AI54" s="180">
        <v>33.659999999999997</v>
      </c>
      <c r="AJ54" s="175">
        <v>33.4</v>
      </c>
      <c r="AK54" s="171">
        <f t="shared" si="23"/>
        <v>33.593333333333334</v>
      </c>
      <c r="AL54" s="293">
        <f>10^((AK54-'Standard Curve Summaries'!G$8)/'Standard Curve Summaries'!I$8)</f>
        <v>347.88006944868522</v>
      </c>
      <c r="AM54" s="293">
        <f t="shared" si="19"/>
        <v>69.576013889737041</v>
      </c>
      <c r="AN54" s="292">
        <f t="shared" si="5"/>
        <v>4.0402867059380281E-2</v>
      </c>
      <c r="AO54" s="200" t="s">
        <v>209</v>
      </c>
      <c r="AP54" s="344"/>
    </row>
    <row r="55" spans="2:42" s="174" customFormat="1" x14ac:dyDescent="0.35">
      <c r="B55" s="196">
        <v>44230</v>
      </c>
      <c r="C55" s="176" t="s">
        <v>199</v>
      </c>
      <c r="D55" s="169" t="s">
        <v>57</v>
      </c>
      <c r="E55" s="175"/>
      <c r="F55" s="175"/>
      <c r="G55" s="176"/>
      <c r="H55" s="169">
        <v>50</v>
      </c>
      <c r="I55" s="175"/>
      <c r="J55" s="183"/>
      <c r="K55" s="175"/>
      <c r="L55" s="175"/>
      <c r="M55" s="175"/>
      <c r="N55" s="175"/>
      <c r="O55" s="178"/>
      <c r="P55" s="175"/>
      <c r="Q55" s="169">
        <v>50</v>
      </c>
      <c r="R55" s="175"/>
      <c r="S55" s="196">
        <v>44322</v>
      </c>
      <c r="T55" s="171">
        <v>5</v>
      </c>
      <c r="U55" s="175"/>
      <c r="V55" s="180">
        <v>22.13</v>
      </c>
      <c r="W55" s="180">
        <v>22.06</v>
      </c>
      <c r="X55" s="175">
        <v>21.65</v>
      </c>
      <c r="Y55" s="171">
        <f t="shared" si="22"/>
        <v>21.946666666666669</v>
      </c>
      <c r="Z55" s="172">
        <f>10^((Y55-'Standard Curve Summaries'!G$9)/'Standard Curve Summaries'!I$9)</f>
        <v>70073411.745388314</v>
      </c>
      <c r="AA55" s="272">
        <f t="shared" si="24"/>
        <v>35.8431403109212</v>
      </c>
      <c r="AB55" s="186">
        <v>23.65</v>
      </c>
      <c r="AC55" s="175">
        <v>23.71</v>
      </c>
      <c r="AD55" s="175">
        <v>23.35</v>
      </c>
      <c r="AE55" s="171">
        <f t="shared" si="25"/>
        <v>23.570000000000004</v>
      </c>
      <c r="AF55" s="306">
        <f>10^((AE55-'Standard Curve Summaries'!G$6)/'Standard Curve Summaries'!I$6)</f>
        <v>76153.477311863171</v>
      </c>
      <c r="AG55" s="292">
        <f t="shared" si="26"/>
        <v>15230.695462372634</v>
      </c>
      <c r="AH55" s="175">
        <v>33.130000000000003</v>
      </c>
      <c r="AI55" s="175">
        <v>33.200000000000003</v>
      </c>
      <c r="AJ55" s="175">
        <v>33.25</v>
      </c>
      <c r="AK55" s="171">
        <f t="shared" si="23"/>
        <v>33.193333333333335</v>
      </c>
      <c r="AL55" s="293">
        <f>10^((AK55-'Standard Curve Summaries'!G$8)/'Standard Curve Summaries'!I$8)</f>
        <v>453.9204106189452</v>
      </c>
      <c r="AM55" s="293">
        <f t="shared" si="19"/>
        <v>90.784082123789034</v>
      </c>
      <c r="AN55" s="292">
        <f t="shared" si="5"/>
        <v>5.9605999179794984E-3</v>
      </c>
      <c r="AO55" s="200" t="s">
        <v>209</v>
      </c>
      <c r="AP55" s="344"/>
    </row>
    <row r="56" spans="2:42" s="174" customFormat="1" x14ac:dyDescent="0.35">
      <c r="B56" s="196">
        <v>44230</v>
      </c>
      <c r="C56" s="176" t="s">
        <v>200</v>
      </c>
      <c r="D56" s="169" t="s">
        <v>196</v>
      </c>
      <c r="E56" s="175"/>
      <c r="F56" s="175"/>
      <c r="G56" s="176"/>
      <c r="H56" s="169">
        <v>50</v>
      </c>
      <c r="I56" s="175"/>
      <c r="J56" s="183"/>
      <c r="K56" s="175"/>
      <c r="L56" s="175"/>
      <c r="M56" s="175"/>
      <c r="N56" s="175"/>
      <c r="O56" s="178"/>
      <c r="P56" s="175"/>
      <c r="Q56" s="169">
        <v>50</v>
      </c>
      <c r="R56" s="175"/>
      <c r="S56" s="196">
        <v>44323</v>
      </c>
      <c r="T56" s="171">
        <v>5</v>
      </c>
      <c r="U56" s="175"/>
      <c r="V56" s="180">
        <v>23.74</v>
      </c>
      <c r="W56" s="180">
        <v>23.59</v>
      </c>
      <c r="X56" s="175">
        <v>23.65</v>
      </c>
      <c r="Y56" s="171">
        <f t="shared" si="22"/>
        <v>23.659999999999997</v>
      </c>
      <c r="Z56" s="172">
        <f>10^((Y56-'Standard Curve Summaries'!G$9)/'Standard Curve Summaries'!I$9)</f>
        <v>22266423.277504526</v>
      </c>
      <c r="AA56" s="272">
        <f t="shared" si="24"/>
        <v>11.389463048521842</v>
      </c>
      <c r="AB56" s="180">
        <v>28.33</v>
      </c>
      <c r="AC56" s="175">
        <v>28.25</v>
      </c>
      <c r="AD56" s="175">
        <v>28.19</v>
      </c>
      <c r="AE56" s="171">
        <f t="shared" si="25"/>
        <v>28.256666666666664</v>
      </c>
      <c r="AF56" s="306">
        <f>10^((AE56-'Standard Curve Summaries'!G$6)/'Standard Curve Summaries'!I$6)</f>
        <v>3499.2891460645046</v>
      </c>
      <c r="AG56" s="292">
        <f t="shared" si="26"/>
        <v>699.85782921290092</v>
      </c>
      <c r="AH56" s="175">
        <v>36.94</v>
      </c>
      <c r="AI56" s="180">
        <v>37.590000000000003</v>
      </c>
      <c r="AJ56" s="175">
        <v>37.380000000000003</v>
      </c>
      <c r="AK56" s="171">
        <f t="shared" si="23"/>
        <v>37.303333333333335</v>
      </c>
      <c r="AL56" s="293">
        <f>10^((AK56-'Standard Curve Summaries'!G$8)/'Standard Curve Summaries'!I$8)</f>
        <v>29.491834241235136</v>
      </c>
      <c r="AM56" s="293">
        <f t="shared" si="19"/>
        <v>5.8983668482470275</v>
      </c>
      <c r="AN56" s="292">
        <f t="shared" si="5"/>
        <v>8.4279500807766319E-3</v>
      </c>
      <c r="AO56" s="200" t="s">
        <v>209</v>
      </c>
      <c r="AP56" s="344"/>
    </row>
    <row r="57" spans="2:42" s="174" customFormat="1" x14ac:dyDescent="0.35">
      <c r="B57" s="196">
        <v>44230</v>
      </c>
      <c r="C57" s="176" t="s">
        <v>200</v>
      </c>
      <c r="D57" s="169" t="s">
        <v>57</v>
      </c>
      <c r="E57" s="175"/>
      <c r="F57" s="175"/>
      <c r="G57" s="176"/>
      <c r="H57" s="169">
        <v>50</v>
      </c>
      <c r="I57" s="175"/>
      <c r="J57" s="183"/>
      <c r="K57" s="175"/>
      <c r="L57" s="175"/>
      <c r="M57" s="175"/>
      <c r="N57" s="175"/>
      <c r="O57" s="178"/>
      <c r="P57" s="175"/>
      <c r="Q57" s="169">
        <v>50</v>
      </c>
      <c r="R57" s="175"/>
      <c r="S57" s="196">
        <v>44324</v>
      </c>
      <c r="T57" s="171">
        <v>5</v>
      </c>
      <c r="U57" s="175"/>
      <c r="V57" s="180">
        <v>22.05</v>
      </c>
      <c r="W57" s="180">
        <v>22.04</v>
      </c>
      <c r="X57" s="175">
        <v>22.06</v>
      </c>
      <c r="Y57" s="171">
        <f t="shared" si="22"/>
        <v>22.05</v>
      </c>
      <c r="Z57" s="172">
        <f>10^((Y57-'Standard Curve Summaries'!G$9)/'Standard Curve Summaries'!I$9)</f>
        <v>65391922.500788704</v>
      </c>
      <c r="AA57" s="272">
        <f t="shared" si="24"/>
        <v>33.448519131807636</v>
      </c>
      <c r="AB57" s="180">
        <v>28.34</v>
      </c>
      <c r="AC57" s="186">
        <v>28.31</v>
      </c>
      <c r="AD57" s="175">
        <v>28.39</v>
      </c>
      <c r="AE57" s="171">
        <f t="shared" si="25"/>
        <v>28.346666666666664</v>
      </c>
      <c r="AF57" s="306">
        <f>10^((AE57-'Standard Curve Summaries'!G$6)/'Standard Curve Summaries'!I$6)</f>
        <v>3298.3081855333294</v>
      </c>
      <c r="AG57" s="292">
        <f t="shared" si="26"/>
        <v>659.66163710666592</v>
      </c>
      <c r="AH57" s="175">
        <v>31.18</v>
      </c>
      <c r="AI57" s="175">
        <v>31.14</v>
      </c>
      <c r="AJ57" s="175">
        <v>31.28</v>
      </c>
      <c r="AK57" s="171">
        <f t="shared" si="23"/>
        <v>31.2</v>
      </c>
      <c r="AL57" s="293">
        <f>10^((AK57-'Standard Curve Summaries'!G$8)/'Standard Curve Summaries'!I$8)</f>
        <v>1709.246468759861</v>
      </c>
      <c r="AM57" s="293">
        <f t="shared" si="19"/>
        <v>341.8492937519722</v>
      </c>
      <c r="AN57" s="292">
        <f t="shared" si="5"/>
        <v>0.51821915133848528</v>
      </c>
      <c r="AO57" s="200" t="s">
        <v>209</v>
      </c>
      <c r="AP57" s="344"/>
    </row>
    <row r="58" spans="2:42" s="174" customFormat="1" x14ac:dyDescent="0.35">
      <c r="B58" s="196">
        <v>44230</v>
      </c>
      <c r="C58" s="176" t="s">
        <v>201</v>
      </c>
      <c r="D58" s="169" t="s">
        <v>196</v>
      </c>
      <c r="E58" s="175"/>
      <c r="F58" s="175"/>
      <c r="G58" s="176"/>
      <c r="H58" s="169">
        <v>50</v>
      </c>
      <c r="I58" s="175"/>
      <c r="J58" s="183"/>
      <c r="K58" s="175"/>
      <c r="L58" s="175"/>
      <c r="M58" s="175"/>
      <c r="N58" s="175"/>
      <c r="O58" s="178"/>
      <c r="P58" s="175"/>
      <c r="Q58" s="169">
        <v>50</v>
      </c>
      <c r="R58" s="175"/>
      <c r="S58" s="196">
        <v>44325</v>
      </c>
      <c r="T58" s="171">
        <v>5</v>
      </c>
      <c r="U58" s="175"/>
      <c r="V58" s="180">
        <v>22.16</v>
      </c>
      <c r="W58" s="180">
        <v>22.24</v>
      </c>
      <c r="X58" s="175">
        <v>22.12</v>
      </c>
      <c r="Y58" s="171">
        <f t="shared" si="22"/>
        <v>22.173333333333332</v>
      </c>
      <c r="Z58" s="172">
        <f>10^((Y58-'Standard Curve Summaries'!G$9)/'Standard Curve Summaries'!I$9)</f>
        <v>60211972.325681821</v>
      </c>
      <c r="AA58" s="272">
        <f t="shared" si="24"/>
        <v>30.798930988382377</v>
      </c>
      <c r="AB58" s="180">
        <v>27.74</v>
      </c>
      <c r="AC58" s="182">
        <v>27.82</v>
      </c>
      <c r="AD58" s="175">
        <v>27.73</v>
      </c>
      <c r="AE58" s="171">
        <f t="shared" si="25"/>
        <v>27.763333333333335</v>
      </c>
      <c r="AF58" s="306">
        <f>10^((AE58-'Standard Curve Summaries'!G$6)/'Standard Curve Summaries'!I$6)</f>
        <v>4839.3986508898852</v>
      </c>
      <c r="AG58" s="292">
        <f t="shared" si="26"/>
        <v>967.87973017797708</v>
      </c>
      <c r="AH58" s="175">
        <v>38.28</v>
      </c>
      <c r="AI58" s="175">
        <v>37.58</v>
      </c>
      <c r="AJ58" s="175">
        <v>36.979999999999997</v>
      </c>
      <c r="AK58" s="171">
        <f t="shared" si="23"/>
        <v>37.613333333333337</v>
      </c>
      <c r="AL58" s="293">
        <f>10^((AK58-'Standard Curve Summaries'!G$8)/'Standard Curve Summaries'!I$8)</f>
        <v>23.996638429016631</v>
      </c>
      <c r="AM58" s="293">
        <f t="shared" si="19"/>
        <v>4.799327685803326</v>
      </c>
      <c r="AN58" s="292">
        <f t="shared" si="5"/>
        <v>4.958599231043726E-3</v>
      </c>
      <c r="AO58" s="200" t="s">
        <v>209</v>
      </c>
      <c r="AP58" s="344"/>
    </row>
    <row r="59" spans="2:42" s="174" customFormat="1" x14ac:dyDescent="0.35">
      <c r="B59" s="196">
        <v>44230</v>
      </c>
      <c r="C59" s="176" t="s">
        <v>201</v>
      </c>
      <c r="D59" s="169" t="s">
        <v>57</v>
      </c>
      <c r="E59" s="175"/>
      <c r="F59" s="175"/>
      <c r="G59" s="176"/>
      <c r="H59" s="169">
        <v>50</v>
      </c>
      <c r="I59" s="175"/>
      <c r="J59" s="183"/>
      <c r="K59" s="175"/>
      <c r="L59" s="175"/>
      <c r="M59" s="175"/>
      <c r="N59" s="175"/>
      <c r="O59" s="178"/>
      <c r="P59" s="175"/>
      <c r="Q59" s="169">
        <v>50</v>
      </c>
      <c r="R59" s="175"/>
      <c r="S59" s="196">
        <v>44326</v>
      </c>
      <c r="T59" s="171">
        <v>5</v>
      </c>
      <c r="U59" s="175"/>
      <c r="V59" s="180">
        <v>21.88</v>
      </c>
      <c r="W59" s="180">
        <v>21.91</v>
      </c>
      <c r="X59" s="175">
        <v>22.02</v>
      </c>
      <c r="Y59" s="171">
        <f t="shared" si="22"/>
        <v>21.936666666666667</v>
      </c>
      <c r="Z59" s="172">
        <f>10^((Y59-'Standard Curve Summaries'!G$9)/'Standard Curve Summaries'!I$9)</f>
        <v>70543874.76538606</v>
      </c>
      <c r="AA59" s="272">
        <f t="shared" si="24"/>
        <v>36.083786108190928</v>
      </c>
      <c r="AB59" s="180">
        <v>25.35</v>
      </c>
      <c r="AC59" s="175">
        <v>25.46</v>
      </c>
      <c r="AD59" s="175">
        <v>25.49</v>
      </c>
      <c r="AE59" s="171">
        <f t="shared" si="25"/>
        <v>25.433333333333334</v>
      </c>
      <c r="AF59" s="306">
        <f>10^((AE59-'Standard Curve Summaries'!G$6)/'Standard Curve Summaries'!I$6)</f>
        <v>22378.997901148785</v>
      </c>
      <c r="AG59" s="292">
        <f t="shared" si="26"/>
        <v>4475.7995802297573</v>
      </c>
      <c r="AH59" s="175">
        <v>39.869999999999997</v>
      </c>
      <c r="AI59" s="175">
        <v>37.5</v>
      </c>
      <c r="AJ59" s="175">
        <v>36.799999999999997</v>
      </c>
      <c r="AK59" s="171">
        <f t="shared" si="23"/>
        <v>38.056666666666665</v>
      </c>
      <c r="AL59" s="293">
        <f>10^((AK59-'Standard Curve Summaries'!G$8)/'Standard Curve Summaries'!I$8)</f>
        <v>17.86826193347067</v>
      </c>
      <c r="AM59" s="293">
        <f t="shared" si="19"/>
        <v>3.5736523866941341</v>
      </c>
      <c r="AN59" s="292">
        <f t="shared" si="5"/>
        <v>7.9843887614616717E-4</v>
      </c>
      <c r="AO59" s="200" t="s">
        <v>209</v>
      </c>
      <c r="AP59" s="344"/>
    </row>
    <row r="60" spans="2:42" s="174" customFormat="1" x14ac:dyDescent="0.35">
      <c r="B60" s="196">
        <v>44230</v>
      </c>
      <c r="C60" s="176" t="s">
        <v>202</v>
      </c>
      <c r="D60" s="169"/>
      <c r="E60" s="175"/>
      <c r="F60" s="175"/>
      <c r="G60" s="176"/>
      <c r="H60" s="169">
        <v>50</v>
      </c>
      <c r="I60" s="175"/>
      <c r="J60" s="183"/>
      <c r="K60" s="175"/>
      <c r="L60" s="175"/>
      <c r="M60" s="175"/>
      <c r="N60" s="175"/>
      <c r="O60" s="178"/>
      <c r="P60" s="175"/>
      <c r="Q60" s="169">
        <v>50</v>
      </c>
      <c r="R60" s="175"/>
      <c r="S60" s="196">
        <v>44327</v>
      </c>
      <c r="T60" s="171">
        <v>5</v>
      </c>
      <c r="U60" s="175"/>
      <c r="V60" s="180">
        <v>20.36</v>
      </c>
      <c r="W60" s="180">
        <v>20.41</v>
      </c>
      <c r="X60" s="175">
        <v>20.47</v>
      </c>
      <c r="Y60" s="171">
        <f t="shared" si="22"/>
        <v>20.41333333333333</v>
      </c>
      <c r="Z60" s="172">
        <f>10^((Y60-'Standard Curve Summaries'!G$9)/'Standard Curve Summaries'!I$9)</f>
        <v>195500202.09595683</v>
      </c>
      <c r="AA60" s="272">
        <f t="shared" si="24"/>
        <v>100</v>
      </c>
      <c r="AB60" s="182">
        <v>36.32</v>
      </c>
      <c r="AC60" s="175">
        <v>35.869999999999997</v>
      </c>
      <c r="AD60" s="175">
        <v>35.799999999999997</v>
      </c>
      <c r="AE60" s="171">
        <f t="shared" si="25"/>
        <v>35.996666666666663</v>
      </c>
      <c r="AF60" s="306">
        <f>10^((AE60-'Standard Curve Summaries'!G$6)/'Standard Curve Summaries'!I$6)</f>
        <v>21.615260686261053</v>
      </c>
      <c r="AG60" s="292">
        <f t="shared" si="26"/>
        <v>4.3230521372522102</v>
      </c>
      <c r="AH60" s="175" t="s">
        <v>95</v>
      </c>
      <c r="AI60" s="175">
        <v>36.9</v>
      </c>
      <c r="AJ60" s="175">
        <v>37.32</v>
      </c>
      <c r="AK60" s="171">
        <f t="shared" si="23"/>
        <v>37.11</v>
      </c>
      <c r="AL60" s="293">
        <f>10^((AK60-'Standard Curve Summaries'!G$8)/'Standard Curve Summaries'!I$8)</f>
        <v>33.539071072862662</v>
      </c>
      <c r="AM60" s="293">
        <f t="shared" si="19"/>
        <v>6.7078142145725321</v>
      </c>
      <c r="AN60" s="292">
        <f t="shared" si="5"/>
        <v>1.5516385187147219</v>
      </c>
      <c r="AO60" s="200" t="s">
        <v>209</v>
      </c>
      <c r="AP60" s="344"/>
    </row>
    <row r="61" spans="2:42" s="174" customFormat="1" x14ac:dyDescent="0.35">
      <c r="B61" s="196">
        <v>44230</v>
      </c>
      <c r="C61" s="176" t="s">
        <v>203</v>
      </c>
      <c r="D61" s="169" t="s">
        <v>109</v>
      </c>
      <c r="E61" s="175"/>
      <c r="F61" s="175"/>
      <c r="G61" s="176"/>
      <c r="H61" s="169">
        <v>50</v>
      </c>
      <c r="I61" s="175"/>
      <c r="J61" s="183"/>
      <c r="K61" s="175"/>
      <c r="L61" s="175"/>
      <c r="M61" s="175"/>
      <c r="N61" s="175"/>
      <c r="O61" s="178"/>
      <c r="P61" s="175"/>
      <c r="Q61" s="169">
        <v>50</v>
      </c>
      <c r="R61" s="175"/>
      <c r="S61" s="196">
        <v>44328</v>
      </c>
      <c r="T61" s="171">
        <v>5</v>
      </c>
      <c r="U61" s="175"/>
      <c r="V61" s="180" t="s">
        <v>95</v>
      </c>
      <c r="W61" s="180">
        <v>39.81</v>
      </c>
      <c r="X61" s="175">
        <v>38.89</v>
      </c>
      <c r="Y61" s="171">
        <f t="shared" si="22"/>
        <v>39.35</v>
      </c>
      <c r="Z61" s="172">
        <f>10^((Y61-'Standard Curve Summaries'!G$9)/'Standard Curve Summaries'!I$9)</f>
        <v>613.84957137904917</v>
      </c>
      <c r="AA61" s="272">
        <f t="shared" si="24"/>
        <v>3.1398922599463862E-4</v>
      </c>
      <c r="AB61" s="175">
        <v>39.89</v>
      </c>
      <c r="AC61" s="175">
        <v>38.14</v>
      </c>
      <c r="AD61" s="175">
        <v>38.47</v>
      </c>
      <c r="AE61" s="171">
        <f t="shared" si="25"/>
        <v>38.833333333333336</v>
      </c>
      <c r="AF61" s="306">
        <f>10^((AE61-'Standard Curve Summaries'!G$6)/'Standard Curve Summaries'!I$6)</f>
        <v>3.3503791218368271</v>
      </c>
      <c r="AG61" s="292">
        <f t="shared" si="26"/>
        <v>0.67007582436736546</v>
      </c>
      <c r="AH61" s="175">
        <v>38.49</v>
      </c>
      <c r="AI61" s="175">
        <v>38.090000000000003</v>
      </c>
      <c r="AJ61" s="175">
        <v>37.78</v>
      </c>
      <c r="AK61" s="171">
        <f t="shared" si="23"/>
        <v>38.120000000000005</v>
      </c>
      <c r="AL61" s="293">
        <f>10^((AK61-'Standard Curve Summaries'!G$8)/'Standard Curve Summaries'!I$8)</f>
        <v>17.131163804058758</v>
      </c>
      <c r="AM61" s="293">
        <f t="shared" si="19"/>
        <v>3.4262327608117515</v>
      </c>
      <c r="AN61" s="292">
        <f t="shared" si="5"/>
        <v>5.1132015754284819</v>
      </c>
      <c r="AO61" s="200" t="s">
        <v>209</v>
      </c>
      <c r="AP61" s="344"/>
    </row>
    <row r="62" spans="2:42" s="288" customFormat="1" x14ac:dyDescent="0.35">
      <c r="B62" s="94"/>
      <c r="C62" s="283"/>
      <c r="D62" s="284"/>
      <c r="E62" s="94"/>
      <c r="F62" s="94"/>
      <c r="G62" s="283"/>
      <c r="H62" s="284"/>
      <c r="I62" s="94"/>
      <c r="J62" s="285"/>
      <c r="K62" s="94"/>
      <c r="L62" s="94"/>
      <c r="M62" s="94"/>
      <c r="N62" s="94"/>
      <c r="O62" s="97"/>
      <c r="P62" s="94"/>
      <c r="Q62" s="284"/>
      <c r="R62" s="94"/>
      <c r="S62" s="94"/>
      <c r="T62" s="286"/>
      <c r="U62" s="94"/>
      <c r="V62" s="100"/>
      <c r="W62" s="100"/>
      <c r="X62" s="94"/>
      <c r="Y62" s="100"/>
      <c r="Z62" s="287"/>
      <c r="AA62" s="99"/>
      <c r="AB62" s="94"/>
      <c r="AC62" s="94"/>
      <c r="AD62" s="94"/>
      <c r="AE62" s="100"/>
      <c r="AF62" s="307"/>
      <c r="AG62" s="308"/>
      <c r="AH62" s="94"/>
      <c r="AI62" s="94"/>
      <c r="AJ62" s="94"/>
      <c r="AK62" s="99"/>
      <c r="AL62" s="310"/>
      <c r="AM62" s="310"/>
      <c r="AN62" s="308"/>
      <c r="AO62" s="98"/>
      <c r="AP62" s="343"/>
    </row>
    <row r="63" spans="2:42" s="174" customFormat="1" x14ac:dyDescent="0.35">
      <c r="B63" s="196">
        <v>44258</v>
      </c>
      <c r="C63" s="170" t="s">
        <v>195</v>
      </c>
      <c r="D63" s="169" t="s">
        <v>196</v>
      </c>
      <c r="E63" s="175"/>
      <c r="F63" s="175"/>
      <c r="G63" s="176"/>
      <c r="H63" s="169">
        <v>50</v>
      </c>
      <c r="I63" s="175"/>
      <c r="J63" s="183"/>
      <c r="K63" s="175"/>
      <c r="L63" s="175"/>
      <c r="M63" s="175"/>
      <c r="N63" s="175"/>
      <c r="O63" s="178"/>
      <c r="P63" s="175"/>
      <c r="Q63" s="169">
        <v>50</v>
      </c>
      <c r="R63" s="175"/>
      <c r="S63" s="196">
        <v>44411</v>
      </c>
      <c r="T63" s="171">
        <v>5</v>
      </c>
      <c r="U63" s="175" t="s">
        <v>109</v>
      </c>
      <c r="V63" s="180">
        <v>25.24</v>
      </c>
      <c r="W63" s="180">
        <v>25.15</v>
      </c>
      <c r="X63" s="175">
        <v>25.09</v>
      </c>
      <c r="Y63" s="173">
        <f t="shared" ref="Y63:Y71" si="27">AVERAGE(V63:X63)</f>
        <v>25.16</v>
      </c>
      <c r="Z63" s="172">
        <f>10^((Y63-'Standard Curve Summaries'!G$9)/'Standard Curve Summaries'!I$9)</f>
        <v>8160999.2489118585</v>
      </c>
      <c r="AA63" s="182">
        <f>Z63*100/Z$71</f>
        <v>6.9260728231030981</v>
      </c>
      <c r="AB63" s="175">
        <v>26.9</v>
      </c>
      <c r="AC63" s="175">
        <v>26.76</v>
      </c>
      <c r="AD63" s="175">
        <v>26.59</v>
      </c>
      <c r="AE63" s="173">
        <f t="shared" ref="AE63:AE71" si="28">AVERAGE(AB63:AD63)</f>
        <v>26.75</v>
      </c>
      <c r="AF63" s="306">
        <f>10^((AE63-'Standard Curve Summaries'!G$6)/'Standard Curve Summaries'!I$6)</f>
        <v>9419.4593017998777</v>
      </c>
      <c r="AG63" s="292">
        <f t="shared" ref="AG63:AG71" si="29">(AF63/T63)*(Q63/H63)</f>
        <v>1883.8918603599755</v>
      </c>
      <c r="AH63" s="175">
        <v>37.031620183900401</v>
      </c>
      <c r="AI63" s="175">
        <v>37.164944257737503</v>
      </c>
      <c r="AJ63" s="175">
        <v>35.860890985540003</v>
      </c>
      <c r="AK63" s="173">
        <f t="shared" ref="AK63:AK71" si="30">AVERAGE(AH63:AJ63)</f>
        <v>36.685818475725966</v>
      </c>
      <c r="AL63" s="293">
        <f>10^((AK63-'Standard Curve Summaries'!G$8)/'Standard Curve Summaries'!I$8)</f>
        <v>44.471997922962046</v>
      </c>
      <c r="AM63" s="293">
        <f t="shared" ref="AM63:AM71" si="31">(AL63/T63)*(Q63/H63)</f>
        <v>8.89439958459241</v>
      </c>
      <c r="AN63" s="292">
        <f t="shared" si="5"/>
        <v>4.721289884915613E-3</v>
      </c>
      <c r="AO63" s="200"/>
      <c r="AP63" s="344"/>
    </row>
    <row r="64" spans="2:42" s="174" customFormat="1" x14ac:dyDescent="0.35">
      <c r="B64" s="196">
        <v>44258</v>
      </c>
      <c r="C64" s="176" t="s">
        <v>195</v>
      </c>
      <c r="D64" s="169" t="s">
        <v>57</v>
      </c>
      <c r="E64" s="175"/>
      <c r="F64" s="175"/>
      <c r="G64" s="175"/>
      <c r="H64" s="169">
        <v>50</v>
      </c>
      <c r="I64" s="175"/>
      <c r="J64" s="183"/>
      <c r="K64" s="175"/>
      <c r="L64" s="175"/>
      <c r="M64" s="175"/>
      <c r="N64" s="175"/>
      <c r="O64" s="178"/>
      <c r="P64" s="175"/>
      <c r="Q64" s="169">
        <v>50</v>
      </c>
      <c r="R64" s="175"/>
      <c r="S64" s="196">
        <v>44411</v>
      </c>
      <c r="T64" s="171">
        <v>5</v>
      </c>
      <c r="U64" s="175"/>
      <c r="V64" s="182">
        <v>23.38</v>
      </c>
      <c r="W64" s="182">
        <v>23.66</v>
      </c>
      <c r="X64" s="175">
        <v>23.34</v>
      </c>
      <c r="Y64" s="173">
        <f t="shared" si="27"/>
        <v>23.459999999999997</v>
      </c>
      <c r="Z64" s="172">
        <f>10^((Y64-'Standard Curve Summaries'!G$9)/'Standard Curve Summaries'!I$9)</f>
        <v>25454900.882772159</v>
      </c>
      <c r="AA64" s="182">
        <f t="shared" ref="AA64:AA71" si="32">Z64*100/Z$71</f>
        <v>21.603052744118131</v>
      </c>
      <c r="AB64" s="175">
        <v>29.31</v>
      </c>
      <c r="AC64" s="175">
        <v>29.52</v>
      </c>
      <c r="AD64" s="175">
        <v>29.29</v>
      </c>
      <c r="AE64" s="173">
        <f t="shared" si="28"/>
        <v>29.373333333333335</v>
      </c>
      <c r="AF64" s="306">
        <f>10^((AE64-'Standard Curve Summaries'!G$6)/'Standard Curve Summaries'!I$6)</f>
        <v>1679.7743275618404</v>
      </c>
      <c r="AG64" s="292">
        <f t="shared" si="29"/>
        <v>335.95486551236809</v>
      </c>
      <c r="AH64" s="175">
        <v>35.79</v>
      </c>
      <c r="AI64" s="175">
        <v>36.89</v>
      </c>
      <c r="AJ64" s="175">
        <v>35.94</v>
      </c>
      <c r="AK64" s="173">
        <f t="shared" si="30"/>
        <v>36.206666666666671</v>
      </c>
      <c r="AL64" s="293">
        <f>10^((AK64-'Standard Curve Summaries'!G$8)/'Standard Curve Summaries'!I$8)</f>
        <v>61.164835928672751</v>
      </c>
      <c r="AM64" s="293">
        <f t="shared" si="31"/>
        <v>12.23296718573455</v>
      </c>
      <c r="AN64" s="292">
        <f t="shared" si="5"/>
        <v>3.6412531686594064E-2</v>
      </c>
      <c r="AO64" s="200"/>
      <c r="AP64" s="344"/>
    </row>
    <row r="65" spans="1:16346" s="174" customFormat="1" x14ac:dyDescent="0.35">
      <c r="B65" s="196">
        <v>44258</v>
      </c>
      <c r="C65" s="176" t="s">
        <v>199</v>
      </c>
      <c r="D65" s="169" t="s">
        <v>196</v>
      </c>
      <c r="E65" s="175"/>
      <c r="F65" s="175"/>
      <c r="G65" s="175"/>
      <c r="H65" s="169">
        <v>50</v>
      </c>
      <c r="I65" s="175"/>
      <c r="J65" s="175"/>
      <c r="K65" s="175"/>
      <c r="L65" s="175"/>
      <c r="M65" s="175"/>
      <c r="N65" s="175"/>
      <c r="O65" s="178"/>
      <c r="P65" s="175"/>
      <c r="Q65" s="169">
        <v>50</v>
      </c>
      <c r="R65" s="175"/>
      <c r="S65" s="196">
        <v>44411</v>
      </c>
      <c r="T65" s="171">
        <v>5</v>
      </c>
      <c r="U65" s="175"/>
      <c r="V65" s="175">
        <v>24.89</v>
      </c>
      <c r="W65" s="175">
        <v>25.01</v>
      </c>
      <c r="X65" s="175">
        <v>24.81</v>
      </c>
      <c r="Y65" s="173">
        <f t="shared" si="27"/>
        <v>24.903333333333336</v>
      </c>
      <c r="Z65" s="172">
        <f>10^((Y65-'Standard Curve Summaries'!G$9)/'Standard Curve Summaries'!I$9)</f>
        <v>9690181.0181361567</v>
      </c>
      <c r="AA65" s="182">
        <f t="shared" si="32"/>
        <v>8.2238580538542596</v>
      </c>
      <c r="AB65" s="175">
        <v>24.95</v>
      </c>
      <c r="AC65" s="175">
        <v>25.08</v>
      </c>
      <c r="AD65" s="175">
        <v>24.96</v>
      </c>
      <c r="AE65" s="173">
        <f t="shared" si="28"/>
        <v>24.99666666666667</v>
      </c>
      <c r="AF65" s="306">
        <f>10^((AE65-'Standard Curve Summaries'!G$6)/'Standard Curve Summaries'!I$6)</f>
        <v>29817.958299684495</v>
      </c>
      <c r="AG65" s="292">
        <f t="shared" si="29"/>
        <v>5963.5916599368993</v>
      </c>
      <c r="AH65" s="175">
        <v>34.15</v>
      </c>
      <c r="AI65" s="175">
        <v>34.42</v>
      </c>
      <c r="AJ65" s="175">
        <v>34.729999999999997</v>
      </c>
      <c r="AK65" s="173">
        <f t="shared" si="30"/>
        <v>34.43333333333333</v>
      </c>
      <c r="AL65" s="293">
        <f>10^((AK65-'Standard Curve Summaries'!G$8)/'Standard Curve Summaries'!I$8)</f>
        <v>198.96386342435937</v>
      </c>
      <c r="AM65" s="293">
        <f t="shared" si="31"/>
        <v>39.792772684871878</v>
      </c>
      <c r="AN65" s="292">
        <f t="shared" si="5"/>
        <v>6.6726186087148901E-3</v>
      </c>
      <c r="AO65" s="200"/>
      <c r="AP65" s="344"/>
    </row>
    <row r="66" spans="1:16346" s="174" customFormat="1" x14ac:dyDescent="0.35">
      <c r="B66" s="196">
        <v>44258</v>
      </c>
      <c r="C66" s="176" t="s">
        <v>199</v>
      </c>
      <c r="D66" s="169" t="s">
        <v>57</v>
      </c>
      <c r="E66" s="175"/>
      <c r="F66" s="175"/>
      <c r="G66" s="176"/>
      <c r="H66" s="169">
        <v>50</v>
      </c>
      <c r="I66" s="175"/>
      <c r="J66" s="175"/>
      <c r="K66" s="175"/>
      <c r="L66" s="175"/>
      <c r="M66" s="175"/>
      <c r="N66" s="175"/>
      <c r="O66" s="178"/>
      <c r="P66" s="175"/>
      <c r="Q66" s="169">
        <v>50</v>
      </c>
      <c r="R66" s="175"/>
      <c r="S66" s="196">
        <v>44411</v>
      </c>
      <c r="T66" s="171">
        <v>5</v>
      </c>
      <c r="U66" s="175"/>
      <c r="V66" s="186">
        <v>22.88</v>
      </c>
      <c r="W66" s="186">
        <v>22.89</v>
      </c>
      <c r="X66" s="175">
        <v>22.87</v>
      </c>
      <c r="Y66" s="173">
        <f t="shared" si="27"/>
        <v>22.88</v>
      </c>
      <c r="Z66" s="172">
        <f>10^((Y66-'Standard Curve Summaries'!G$9)/'Standard Curve Summaries'!I$9)</f>
        <v>37525126.45397269</v>
      </c>
      <c r="AA66" s="182">
        <f t="shared" si="32"/>
        <v>31.846805837045164</v>
      </c>
      <c r="AB66" s="182">
        <v>21.99</v>
      </c>
      <c r="AC66" s="186">
        <v>22.09</v>
      </c>
      <c r="AD66" s="175">
        <v>22.15</v>
      </c>
      <c r="AE66" s="173">
        <f t="shared" si="28"/>
        <v>22.076666666666664</v>
      </c>
      <c r="AF66" s="306">
        <f>10^((AE66-'Standard Curve Summaries'!G$6)/'Standard Curve Summaries'!I$6)</f>
        <v>203203.02324511629</v>
      </c>
      <c r="AG66" s="292">
        <f t="shared" si="29"/>
        <v>40640.604649023255</v>
      </c>
      <c r="AH66" s="186">
        <v>33.18</v>
      </c>
      <c r="AI66" s="175">
        <v>33.299999999999997</v>
      </c>
      <c r="AJ66" s="175">
        <v>33.28</v>
      </c>
      <c r="AK66" s="173">
        <f t="shared" si="30"/>
        <v>33.25333333333333</v>
      </c>
      <c r="AL66" s="293">
        <f>10^((AK66-'Standard Curve Summaries'!G$8)/'Standard Curve Summaries'!I$8)</f>
        <v>436.16135849297922</v>
      </c>
      <c r="AM66" s="293">
        <f t="shared" si="31"/>
        <v>87.232271698595838</v>
      </c>
      <c r="AN66" s="292">
        <f t="shared" si="5"/>
        <v>2.1464314434281517E-3</v>
      </c>
      <c r="AO66" s="200"/>
      <c r="AP66" s="344"/>
    </row>
    <row r="67" spans="1:16346" s="174" customFormat="1" ht="14.25" x14ac:dyDescent="0.45">
      <c r="B67" s="196">
        <v>44258</v>
      </c>
      <c r="C67" s="176" t="s">
        <v>200</v>
      </c>
      <c r="D67" s="169" t="s">
        <v>196</v>
      </c>
      <c r="E67" s="175"/>
      <c r="F67" s="175"/>
      <c r="G67" s="176"/>
      <c r="H67" s="169">
        <v>50</v>
      </c>
      <c r="I67" s="175"/>
      <c r="J67" s="175"/>
      <c r="K67" s="175"/>
      <c r="L67" s="175"/>
      <c r="M67" s="175"/>
      <c r="N67" s="189"/>
      <c r="O67" s="178"/>
      <c r="P67" s="175"/>
      <c r="Q67" s="169">
        <v>50</v>
      </c>
      <c r="R67" s="175"/>
      <c r="S67" s="196">
        <v>44411</v>
      </c>
      <c r="T67" s="171">
        <v>5</v>
      </c>
      <c r="U67" s="175"/>
      <c r="V67" s="182">
        <v>24.17</v>
      </c>
      <c r="W67" s="186">
        <v>24.19</v>
      </c>
      <c r="X67" s="175">
        <v>24.02</v>
      </c>
      <c r="Y67" s="173">
        <f t="shared" si="27"/>
        <v>24.126666666666665</v>
      </c>
      <c r="Z67" s="172">
        <f>10^((Y67-'Standard Curve Summaries'!G$9)/'Standard Curve Summaries'!I$9)</f>
        <v>16294270.109485194</v>
      </c>
      <c r="AA67" s="182">
        <f t="shared" si="32"/>
        <v>13.828613131247872</v>
      </c>
      <c r="AB67" s="175">
        <v>29.18</v>
      </c>
      <c r="AC67" s="175">
        <v>29.2</v>
      </c>
      <c r="AD67" s="175">
        <v>28.96</v>
      </c>
      <c r="AE67" s="173">
        <f t="shared" si="28"/>
        <v>29.113333333333333</v>
      </c>
      <c r="AF67" s="306">
        <f>10^((AE67-'Standard Curve Summaries'!G$6)/'Standard Curve Summaries'!I$6)</f>
        <v>1992.7941623616773</v>
      </c>
      <c r="AG67" s="292">
        <f t="shared" si="29"/>
        <v>398.55883247233544</v>
      </c>
      <c r="AH67" s="175">
        <v>32.44</v>
      </c>
      <c r="AI67" s="175">
        <v>32.56</v>
      </c>
      <c r="AJ67" s="175">
        <v>32.21</v>
      </c>
      <c r="AK67" s="173">
        <f t="shared" si="30"/>
        <v>32.403333333333336</v>
      </c>
      <c r="AL67" s="293">
        <f>10^((AK67-'Standard Curve Summaries'!G$8)/'Standard Curve Summaries'!I$8)</f>
        <v>767.6995458072272</v>
      </c>
      <c r="AM67" s="293">
        <f t="shared" si="31"/>
        <v>153.53990916144545</v>
      </c>
      <c r="AN67" s="292">
        <f t="shared" si="5"/>
        <v>0.38523775325466625</v>
      </c>
      <c r="AO67" s="200"/>
      <c r="AP67" s="344"/>
    </row>
    <row r="68" spans="1:16346" s="190" customFormat="1" x14ac:dyDescent="0.35">
      <c r="B68" s="196">
        <v>44258</v>
      </c>
      <c r="C68" s="176" t="s">
        <v>200</v>
      </c>
      <c r="D68" s="169" t="s">
        <v>57</v>
      </c>
      <c r="E68" s="175"/>
      <c r="F68" s="175"/>
      <c r="G68" s="176"/>
      <c r="H68" s="169">
        <v>50</v>
      </c>
      <c r="I68" s="175"/>
      <c r="J68" s="175"/>
      <c r="K68" s="175"/>
      <c r="L68" s="175"/>
      <c r="M68" s="175"/>
      <c r="N68" s="175"/>
      <c r="O68" s="178"/>
      <c r="P68" s="186"/>
      <c r="Q68" s="169">
        <v>50</v>
      </c>
      <c r="R68" s="175"/>
      <c r="S68" s="196">
        <v>44411</v>
      </c>
      <c r="T68" s="171">
        <v>5</v>
      </c>
      <c r="U68" s="175"/>
      <c r="V68" s="175">
        <v>23.21</v>
      </c>
      <c r="W68" s="175">
        <v>23.17</v>
      </c>
      <c r="X68" s="175">
        <v>23.26</v>
      </c>
      <c r="Y68" s="173">
        <f t="shared" si="27"/>
        <v>23.213333333333335</v>
      </c>
      <c r="Z68" s="172">
        <f>10^((Y68-'Standard Curve Summaries'!G$9)/'Standard Curve Summaries'!I$9)</f>
        <v>30022988.156353794</v>
      </c>
      <c r="AA68" s="182">
        <f t="shared" si="32"/>
        <v>25.479894801582532</v>
      </c>
      <c r="AB68" s="180">
        <v>29.61</v>
      </c>
      <c r="AC68" s="175">
        <v>29.49</v>
      </c>
      <c r="AD68" s="175">
        <v>29.6</v>
      </c>
      <c r="AE68" s="173">
        <f t="shared" si="28"/>
        <v>29.566666666666663</v>
      </c>
      <c r="AF68" s="306">
        <f>10^((AE68-'Standard Curve Summaries'!G$6)/'Standard Curve Summaries'!I$6)</f>
        <v>1479.3400915475977</v>
      </c>
      <c r="AG68" s="292">
        <f t="shared" si="29"/>
        <v>295.86801830951953</v>
      </c>
      <c r="AH68" s="175">
        <v>31.58</v>
      </c>
      <c r="AI68" s="175">
        <v>31.43</v>
      </c>
      <c r="AJ68" s="175">
        <v>31.73</v>
      </c>
      <c r="AK68" s="173">
        <f t="shared" si="30"/>
        <v>31.58</v>
      </c>
      <c r="AL68" s="293">
        <f>10^((AK68-'Standard Curve Summaries'!G$8)/'Standard Curve Summaries'!I$8)</f>
        <v>1327.4923782754263</v>
      </c>
      <c r="AM68" s="293">
        <f t="shared" si="31"/>
        <v>265.49847565508526</v>
      </c>
      <c r="AN68" s="292">
        <f t="shared" si="5"/>
        <v>0.8973544257065883</v>
      </c>
      <c r="AO68" s="200"/>
      <c r="AP68" s="344"/>
    </row>
    <row r="69" spans="1:16346" s="190" customFormat="1" x14ac:dyDescent="0.35">
      <c r="B69" s="196">
        <v>44258</v>
      </c>
      <c r="C69" s="176" t="s">
        <v>201</v>
      </c>
      <c r="D69" s="169" t="s">
        <v>196</v>
      </c>
      <c r="E69" s="175"/>
      <c r="F69" s="175"/>
      <c r="G69" s="176"/>
      <c r="H69" s="169">
        <v>50</v>
      </c>
      <c r="I69" s="175"/>
      <c r="J69" s="175"/>
      <c r="K69" s="175"/>
      <c r="L69" s="175"/>
      <c r="M69" s="175"/>
      <c r="N69" s="175"/>
      <c r="O69" s="178"/>
      <c r="P69" s="186"/>
      <c r="Q69" s="169">
        <v>50</v>
      </c>
      <c r="R69" s="175"/>
      <c r="S69" s="196">
        <v>44411</v>
      </c>
      <c r="T69" s="171">
        <v>5</v>
      </c>
      <c r="U69" s="175"/>
      <c r="V69" s="175">
        <v>22.57</v>
      </c>
      <c r="W69" s="175">
        <v>22.59</v>
      </c>
      <c r="X69" s="175">
        <v>22.53</v>
      </c>
      <c r="Y69" s="173">
        <f t="shared" si="27"/>
        <v>22.563333333333333</v>
      </c>
      <c r="Z69" s="172">
        <f>10^((Y69-'Standard Curve Summaries'!G$9)/'Standard Curve Summaries'!I$9)</f>
        <v>46381736.195970476</v>
      </c>
      <c r="AA69" s="182">
        <f t="shared" si="32"/>
        <v>39.363229030817664</v>
      </c>
      <c r="AB69" s="175">
        <v>23.14</v>
      </c>
      <c r="AC69" s="175">
        <v>23.16</v>
      </c>
      <c r="AD69" s="175">
        <v>23.08</v>
      </c>
      <c r="AE69" s="173">
        <f t="shared" si="28"/>
        <v>23.126666666666665</v>
      </c>
      <c r="AF69" s="306">
        <f>10^((AE69-'Standard Curve Summaries'!G$6)/'Standard Curve Summaries'!I$6)</f>
        <v>101913.06554701513</v>
      </c>
      <c r="AG69" s="292">
        <f t="shared" si="29"/>
        <v>20382.613109403024</v>
      </c>
      <c r="AH69" s="175">
        <v>34.57</v>
      </c>
      <c r="AI69" s="175">
        <v>36.229999999999997</v>
      </c>
      <c r="AJ69" s="175">
        <v>34.619999999999997</v>
      </c>
      <c r="AK69" s="173">
        <f t="shared" si="30"/>
        <v>35.139999999999993</v>
      </c>
      <c r="AL69" s="293">
        <f>10^((AK69-'Standard Curve Summaries'!G$8)/'Standard Curve Summaries'!I$8)</f>
        <v>124.34707780565196</v>
      </c>
      <c r="AM69" s="293">
        <f t="shared" si="31"/>
        <v>24.869415561130392</v>
      </c>
      <c r="AN69" s="292">
        <f t="shared" si="5"/>
        <v>1.2201289122078999E-3</v>
      </c>
      <c r="AO69" s="200"/>
      <c r="AP69" s="344"/>
    </row>
    <row r="70" spans="1:16346" s="190" customFormat="1" x14ac:dyDescent="0.35">
      <c r="B70" s="196">
        <v>44258</v>
      </c>
      <c r="C70" s="176" t="s">
        <v>201</v>
      </c>
      <c r="D70" s="169" t="s">
        <v>57</v>
      </c>
      <c r="E70" s="175"/>
      <c r="F70" s="175"/>
      <c r="G70" s="176"/>
      <c r="H70" s="169">
        <v>50</v>
      </c>
      <c r="I70" s="175"/>
      <c r="J70" s="175"/>
      <c r="K70" s="180"/>
      <c r="L70" s="175"/>
      <c r="M70" s="175"/>
      <c r="N70" s="175"/>
      <c r="O70" s="178"/>
      <c r="P70" s="186"/>
      <c r="Q70" s="169">
        <v>50</v>
      </c>
      <c r="R70" s="175"/>
      <c r="S70" s="196">
        <v>44411</v>
      </c>
      <c r="T70" s="171">
        <v>5</v>
      </c>
      <c r="U70" s="175"/>
      <c r="V70" s="180">
        <v>23.38</v>
      </c>
      <c r="W70" s="175">
        <v>23.32</v>
      </c>
      <c r="X70" s="175">
        <v>23.47</v>
      </c>
      <c r="Y70" s="173">
        <f t="shared" si="27"/>
        <v>23.39</v>
      </c>
      <c r="Z70" s="172">
        <f>10^((Y70-'Standard Curve Summaries'!G$9)/'Standard Curve Summaries'!I$9)</f>
        <v>26675572.122567896</v>
      </c>
      <c r="AA70" s="182">
        <f t="shared" si="32"/>
        <v>22.639011410701769</v>
      </c>
      <c r="AB70" s="190">
        <v>28.9</v>
      </c>
      <c r="AC70" s="175">
        <v>29.01</v>
      </c>
      <c r="AD70" s="175">
        <v>29.17</v>
      </c>
      <c r="AE70" s="173">
        <f t="shared" si="28"/>
        <v>29.026666666666667</v>
      </c>
      <c r="AF70" s="306">
        <f>10^((AE70-'Standard Curve Summaries'!G$6)/'Standard Curve Summaries'!I$6)</f>
        <v>2109.5975378562284</v>
      </c>
      <c r="AG70" s="292">
        <f t="shared" si="29"/>
        <v>421.91950757124567</v>
      </c>
      <c r="AH70" s="175">
        <v>35.200000000000003</v>
      </c>
      <c r="AI70" s="175">
        <v>34.86</v>
      </c>
      <c r="AJ70" s="175">
        <v>35.15</v>
      </c>
      <c r="AK70" s="173">
        <f t="shared" si="30"/>
        <v>35.07</v>
      </c>
      <c r="AL70" s="293">
        <f>10^((AK70-'Standard Curve Summaries'!G$8)/'Standard Curve Summaries'!I$8)</f>
        <v>130.27373425476048</v>
      </c>
      <c r="AM70" s="293">
        <f t="shared" si="31"/>
        <v>26.054746850952096</v>
      </c>
      <c r="AN70" s="292">
        <f t="shared" si="5"/>
        <v>6.1752885048939034E-2</v>
      </c>
      <c r="AO70" s="200"/>
      <c r="AP70" s="344"/>
    </row>
    <row r="71" spans="1:16346" s="190" customFormat="1" x14ac:dyDescent="0.35">
      <c r="B71" s="273">
        <v>44258</v>
      </c>
      <c r="C71" s="275" t="s">
        <v>202</v>
      </c>
      <c r="D71" s="274"/>
      <c r="E71" s="191"/>
      <c r="F71" s="191"/>
      <c r="G71" s="275"/>
      <c r="H71" s="169">
        <v>50</v>
      </c>
      <c r="I71" s="191"/>
      <c r="J71" s="191"/>
      <c r="K71" s="191"/>
      <c r="L71" s="191"/>
      <c r="M71" s="191"/>
      <c r="N71" s="191"/>
      <c r="O71" s="276"/>
      <c r="P71" s="192"/>
      <c r="Q71" s="169">
        <v>50</v>
      </c>
      <c r="R71" s="191"/>
      <c r="S71" s="273">
        <v>44411</v>
      </c>
      <c r="T71" s="171">
        <v>5</v>
      </c>
      <c r="U71" s="191"/>
      <c r="V71" s="191">
        <v>21.21</v>
      </c>
      <c r="W71" s="191">
        <v>21.14</v>
      </c>
      <c r="X71" s="191">
        <v>21.16</v>
      </c>
      <c r="Y71" s="173">
        <f t="shared" si="27"/>
        <v>21.17</v>
      </c>
      <c r="Z71" s="172">
        <f>10^((Y71-'Standard Curve Summaries'!G$9)/'Standard Curve Summaries'!I$9)</f>
        <v>117830110.32874867</v>
      </c>
      <c r="AA71" s="182">
        <f t="shared" si="32"/>
        <v>100</v>
      </c>
      <c r="AB71" s="191">
        <v>36.15</v>
      </c>
      <c r="AC71" s="191">
        <v>36.630000000000003</v>
      </c>
      <c r="AD71" s="191">
        <v>35.630000000000003</v>
      </c>
      <c r="AE71" s="173">
        <f t="shared" si="28"/>
        <v>36.136666666666663</v>
      </c>
      <c r="AF71" s="306">
        <f>10^((AE71-'Standard Curve Summaries'!G$6)/'Standard Curve Summaries'!I$6)</f>
        <v>19.715165977792626</v>
      </c>
      <c r="AG71" s="292">
        <f t="shared" si="29"/>
        <v>3.9430331955585252</v>
      </c>
      <c r="AH71" s="191">
        <v>37.21</v>
      </c>
      <c r="AI71" s="191">
        <v>36.6</v>
      </c>
      <c r="AJ71" s="191">
        <v>36.47</v>
      </c>
      <c r="AK71" s="173">
        <f t="shared" si="30"/>
        <v>36.76</v>
      </c>
      <c r="AL71" s="293">
        <f>10^((AK71-'Standard Curve Summaries'!G$8)/'Standard Curve Summaries'!I$8)</f>
        <v>42.330892252889448</v>
      </c>
      <c r="AM71" s="293">
        <f t="shared" si="31"/>
        <v>8.466178450577889</v>
      </c>
      <c r="AN71" s="292">
        <f t="shared" si="5"/>
        <v>2.1471233009436195</v>
      </c>
      <c r="AO71" s="338"/>
      <c r="AP71" s="344"/>
    </row>
    <row r="72" spans="1:16346" s="300" customFormat="1" x14ac:dyDescent="0.45">
      <c r="A72" s="298" t="s">
        <v>109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86"/>
      <c r="U72" s="299"/>
      <c r="V72" s="299"/>
      <c r="W72" s="299"/>
      <c r="X72" s="299"/>
      <c r="Y72" s="299"/>
      <c r="Z72" s="299"/>
      <c r="AA72" s="299"/>
      <c r="AB72" s="299"/>
      <c r="AC72" s="299"/>
      <c r="AD72" s="299"/>
      <c r="AE72" s="299"/>
      <c r="AF72" s="309"/>
      <c r="AG72" s="308"/>
      <c r="AH72" s="299"/>
      <c r="AI72" s="299"/>
      <c r="AJ72" s="299"/>
      <c r="AK72" s="299"/>
      <c r="AL72" s="311"/>
      <c r="AM72" s="310"/>
      <c r="AN72" s="308"/>
      <c r="AO72" s="299"/>
      <c r="AP72" s="345"/>
      <c r="AQ72" s="299"/>
      <c r="AR72" s="299"/>
      <c r="AS72" s="299"/>
      <c r="AT72" s="299"/>
      <c r="AU72" s="299"/>
      <c r="AV72" s="299"/>
      <c r="AW72" s="299"/>
      <c r="AX72" s="299"/>
      <c r="AY72" s="299"/>
      <c r="AZ72" s="299"/>
      <c r="BA72" s="299"/>
      <c r="BB72" s="299"/>
      <c r="BC72" s="299"/>
      <c r="BD72" s="299"/>
      <c r="BE72" s="299"/>
      <c r="BF72" s="299"/>
      <c r="BG72" s="299"/>
      <c r="BH72" s="299"/>
      <c r="BI72" s="299"/>
      <c r="BJ72" s="299"/>
      <c r="BK72" s="299"/>
      <c r="BL72" s="299"/>
      <c r="BM72" s="299"/>
      <c r="BN72" s="299"/>
      <c r="BO72" s="299"/>
      <c r="BP72" s="299"/>
      <c r="BQ72" s="299"/>
      <c r="BR72" s="299"/>
      <c r="BS72" s="299"/>
      <c r="BT72" s="299"/>
      <c r="BU72" s="299"/>
      <c r="BV72" s="299"/>
      <c r="BW72" s="299"/>
      <c r="BX72" s="299"/>
      <c r="BY72" s="299"/>
      <c r="BZ72" s="299"/>
      <c r="CA72" s="299"/>
      <c r="CB72" s="299"/>
      <c r="CC72" s="299"/>
      <c r="CD72" s="299"/>
      <c r="CE72" s="299"/>
      <c r="CF72" s="299"/>
      <c r="CG72" s="299"/>
      <c r="CH72" s="299"/>
      <c r="CI72" s="299"/>
      <c r="CJ72" s="299"/>
      <c r="CK72" s="299"/>
      <c r="CL72" s="299"/>
      <c r="CM72" s="299"/>
      <c r="CN72" s="299"/>
      <c r="CO72" s="299"/>
      <c r="CP72" s="299"/>
      <c r="CQ72" s="299"/>
      <c r="CR72" s="299"/>
      <c r="CS72" s="299"/>
      <c r="CT72" s="299"/>
      <c r="CU72" s="299"/>
      <c r="CV72" s="299"/>
      <c r="CW72" s="299"/>
      <c r="CX72" s="299"/>
      <c r="CY72" s="299"/>
      <c r="CZ72" s="299"/>
      <c r="DA72" s="299"/>
      <c r="DB72" s="299"/>
      <c r="DC72" s="299"/>
      <c r="DD72" s="299"/>
      <c r="DE72" s="299"/>
      <c r="DF72" s="299"/>
      <c r="DG72" s="299"/>
      <c r="DH72" s="299"/>
      <c r="DI72" s="299"/>
      <c r="DJ72" s="299"/>
      <c r="DK72" s="299"/>
      <c r="DL72" s="299"/>
      <c r="DM72" s="299"/>
      <c r="DN72" s="299"/>
      <c r="DO72" s="299"/>
      <c r="DP72" s="299"/>
      <c r="DQ72" s="299"/>
      <c r="DR72" s="299"/>
      <c r="DS72" s="299"/>
      <c r="DT72" s="299"/>
      <c r="DU72" s="299"/>
      <c r="DV72" s="299"/>
      <c r="DW72" s="299"/>
      <c r="DX72" s="299"/>
      <c r="DY72" s="299"/>
      <c r="DZ72" s="299"/>
      <c r="EA72" s="299"/>
      <c r="EB72" s="299"/>
      <c r="EC72" s="299"/>
      <c r="ED72" s="299"/>
      <c r="EE72" s="299"/>
      <c r="EF72" s="299"/>
      <c r="EG72" s="299"/>
      <c r="EH72" s="299"/>
      <c r="EI72" s="299"/>
      <c r="EJ72" s="299"/>
      <c r="EK72" s="299"/>
      <c r="EL72" s="299"/>
      <c r="EM72" s="299"/>
      <c r="EN72" s="299"/>
      <c r="EO72" s="299"/>
      <c r="EP72" s="299"/>
      <c r="EQ72" s="299"/>
      <c r="ER72" s="299"/>
      <c r="ES72" s="299"/>
      <c r="ET72" s="299"/>
      <c r="EU72" s="299"/>
      <c r="EV72" s="299"/>
      <c r="EW72" s="299"/>
      <c r="EX72" s="299"/>
      <c r="EY72" s="299"/>
      <c r="EZ72" s="299"/>
      <c r="FA72" s="299"/>
      <c r="FB72" s="299"/>
      <c r="FC72" s="299"/>
      <c r="FD72" s="299"/>
      <c r="FE72" s="299"/>
      <c r="FF72" s="299"/>
      <c r="FG72" s="299"/>
      <c r="FH72" s="299"/>
      <c r="FI72" s="299"/>
      <c r="FJ72" s="299"/>
      <c r="FK72" s="299"/>
      <c r="FL72" s="299"/>
      <c r="FM72" s="299"/>
      <c r="FN72" s="299"/>
      <c r="FO72" s="299"/>
      <c r="FP72" s="299"/>
      <c r="FQ72" s="299"/>
      <c r="FR72" s="299"/>
      <c r="FS72" s="299"/>
      <c r="FT72" s="299"/>
      <c r="FU72" s="299"/>
      <c r="FV72" s="299"/>
      <c r="FW72" s="299"/>
      <c r="FX72" s="299"/>
      <c r="FY72" s="299"/>
      <c r="FZ72" s="299"/>
      <c r="GA72" s="299"/>
      <c r="GB72" s="299"/>
      <c r="GC72" s="299"/>
      <c r="GD72" s="299"/>
      <c r="GE72" s="299"/>
      <c r="GF72" s="299"/>
      <c r="GG72" s="299"/>
      <c r="GH72" s="299"/>
      <c r="GI72" s="299"/>
      <c r="GJ72" s="299"/>
      <c r="GK72" s="299"/>
      <c r="GL72" s="299"/>
      <c r="GM72" s="299"/>
      <c r="GN72" s="299"/>
      <c r="GO72" s="299"/>
      <c r="GP72" s="299"/>
      <c r="GQ72" s="299"/>
      <c r="GR72" s="299"/>
      <c r="GS72" s="299"/>
      <c r="GT72" s="299"/>
      <c r="GU72" s="299"/>
      <c r="GV72" s="299"/>
      <c r="GW72" s="299"/>
      <c r="GX72" s="299"/>
      <c r="GY72" s="299"/>
      <c r="GZ72" s="299"/>
      <c r="HA72" s="299"/>
      <c r="HB72" s="299"/>
      <c r="HC72" s="299"/>
      <c r="HD72" s="299"/>
      <c r="HE72" s="299"/>
      <c r="HF72" s="299"/>
      <c r="HG72" s="299"/>
      <c r="HH72" s="299"/>
      <c r="HI72" s="299"/>
      <c r="HJ72" s="299"/>
      <c r="HK72" s="299"/>
      <c r="HL72" s="299"/>
      <c r="HM72" s="299"/>
      <c r="HN72" s="299"/>
      <c r="HO72" s="299"/>
      <c r="HP72" s="299"/>
      <c r="HQ72" s="299"/>
      <c r="HR72" s="299"/>
      <c r="HS72" s="299"/>
      <c r="HT72" s="299"/>
      <c r="HU72" s="299"/>
      <c r="HV72" s="299"/>
      <c r="HW72" s="299"/>
      <c r="HX72" s="299"/>
      <c r="HY72" s="299"/>
      <c r="HZ72" s="299"/>
      <c r="IA72" s="299"/>
      <c r="IB72" s="299"/>
      <c r="IC72" s="299"/>
      <c r="ID72" s="299"/>
      <c r="IE72" s="299"/>
      <c r="IF72" s="299"/>
      <c r="IG72" s="299"/>
      <c r="IH72" s="299"/>
      <c r="II72" s="299"/>
      <c r="IJ72" s="299"/>
      <c r="IK72" s="299"/>
      <c r="IL72" s="299"/>
      <c r="IM72" s="299"/>
      <c r="IN72" s="299"/>
      <c r="IO72" s="299"/>
      <c r="IP72" s="299"/>
      <c r="IQ72" s="299"/>
      <c r="IR72" s="299"/>
      <c r="IS72" s="299"/>
      <c r="IT72" s="299"/>
      <c r="IU72" s="299"/>
      <c r="IV72" s="299"/>
      <c r="IW72" s="299"/>
      <c r="IX72" s="299"/>
      <c r="IY72" s="299"/>
      <c r="IZ72" s="299"/>
      <c r="JA72" s="299"/>
      <c r="JB72" s="299"/>
      <c r="JC72" s="299"/>
      <c r="JD72" s="299"/>
      <c r="JE72" s="299"/>
      <c r="JF72" s="299"/>
      <c r="JG72" s="299"/>
      <c r="JH72" s="299"/>
      <c r="JI72" s="299"/>
      <c r="JJ72" s="299"/>
      <c r="JK72" s="299"/>
      <c r="JL72" s="299"/>
      <c r="JM72" s="299"/>
      <c r="JN72" s="299"/>
      <c r="JO72" s="299"/>
      <c r="JP72" s="299"/>
      <c r="JQ72" s="299"/>
      <c r="JR72" s="299"/>
      <c r="JS72" s="299"/>
      <c r="JT72" s="299"/>
      <c r="JU72" s="299"/>
      <c r="JV72" s="299"/>
      <c r="JW72" s="299"/>
      <c r="JX72" s="299"/>
      <c r="JY72" s="299"/>
      <c r="JZ72" s="299"/>
      <c r="KA72" s="299"/>
      <c r="KB72" s="299"/>
      <c r="KC72" s="299"/>
      <c r="KD72" s="299"/>
      <c r="KE72" s="299"/>
      <c r="KF72" s="299"/>
      <c r="KG72" s="299"/>
      <c r="KH72" s="299"/>
      <c r="KI72" s="299"/>
      <c r="KJ72" s="299"/>
      <c r="KK72" s="299"/>
      <c r="KL72" s="299"/>
      <c r="KM72" s="299"/>
      <c r="KN72" s="299"/>
      <c r="KO72" s="299"/>
      <c r="KP72" s="299"/>
      <c r="KQ72" s="299"/>
      <c r="KR72" s="299"/>
      <c r="KS72" s="299"/>
      <c r="KT72" s="299"/>
      <c r="KU72" s="299"/>
      <c r="KV72" s="299"/>
      <c r="KW72" s="299"/>
      <c r="KX72" s="299"/>
      <c r="KY72" s="299"/>
      <c r="KZ72" s="299"/>
      <c r="LA72" s="299"/>
      <c r="LB72" s="299"/>
      <c r="LC72" s="299"/>
      <c r="LD72" s="299"/>
      <c r="LE72" s="299"/>
      <c r="LF72" s="299"/>
      <c r="LG72" s="299"/>
      <c r="LH72" s="299"/>
      <c r="LI72" s="299"/>
      <c r="LJ72" s="299"/>
      <c r="LK72" s="299"/>
      <c r="LL72" s="299"/>
      <c r="LM72" s="299"/>
      <c r="LN72" s="299"/>
      <c r="LO72" s="299"/>
      <c r="LP72" s="299"/>
      <c r="LQ72" s="299"/>
      <c r="LR72" s="299"/>
      <c r="LS72" s="299"/>
      <c r="LT72" s="299"/>
      <c r="LU72" s="299"/>
      <c r="LV72" s="299"/>
      <c r="LW72" s="299"/>
      <c r="LX72" s="299"/>
      <c r="LY72" s="299"/>
      <c r="LZ72" s="299"/>
      <c r="MA72" s="299"/>
      <c r="MB72" s="299"/>
      <c r="MC72" s="299"/>
      <c r="MD72" s="299"/>
      <c r="ME72" s="299"/>
      <c r="MF72" s="299"/>
      <c r="MG72" s="299"/>
      <c r="MH72" s="299"/>
      <c r="MI72" s="299"/>
      <c r="MJ72" s="299"/>
      <c r="MK72" s="299"/>
      <c r="ML72" s="299"/>
      <c r="MM72" s="299"/>
      <c r="MN72" s="299"/>
      <c r="MO72" s="299"/>
      <c r="MP72" s="299"/>
      <c r="MQ72" s="299"/>
      <c r="MR72" s="299"/>
      <c r="MS72" s="299"/>
      <c r="MT72" s="299"/>
      <c r="MU72" s="299"/>
      <c r="MV72" s="299"/>
      <c r="MW72" s="299"/>
      <c r="MX72" s="299"/>
      <c r="MY72" s="299"/>
      <c r="MZ72" s="299"/>
      <c r="NA72" s="299"/>
      <c r="NB72" s="299"/>
      <c r="NC72" s="299"/>
      <c r="ND72" s="299"/>
      <c r="NE72" s="299"/>
      <c r="NF72" s="299"/>
      <c r="NG72" s="299"/>
      <c r="NH72" s="299"/>
      <c r="NI72" s="299"/>
      <c r="NJ72" s="299"/>
      <c r="NK72" s="299"/>
      <c r="NL72" s="299"/>
      <c r="NM72" s="299"/>
      <c r="NN72" s="299"/>
      <c r="NO72" s="299"/>
      <c r="NP72" s="299"/>
      <c r="NQ72" s="299"/>
      <c r="NR72" s="299"/>
      <c r="NS72" s="299"/>
      <c r="NT72" s="299"/>
      <c r="NU72" s="299"/>
      <c r="NV72" s="299"/>
      <c r="NW72" s="299"/>
      <c r="NX72" s="299"/>
      <c r="NY72" s="299"/>
      <c r="NZ72" s="299"/>
      <c r="OA72" s="299"/>
      <c r="OB72" s="299"/>
      <c r="OC72" s="299"/>
      <c r="OD72" s="299"/>
      <c r="OE72" s="299"/>
      <c r="OF72" s="299"/>
      <c r="OG72" s="299"/>
      <c r="OH72" s="299"/>
      <c r="OI72" s="299"/>
      <c r="OJ72" s="299"/>
      <c r="OK72" s="299"/>
      <c r="OL72" s="299"/>
      <c r="OM72" s="299"/>
      <c r="ON72" s="299"/>
      <c r="OO72" s="299"/>
      <c r="OP72" s="299"/>
      <c r="OQ72" s="299"/>
      <c r="OR72" s="299"/>
      <c r="OS72" s="299"/>
      <c r="OT72" s="299"/>
      <c r="OU72" s="299"/>
      <c r="OV72" s="299"/>
      <c r="OW72" s="299"/>
      <c r="OX72" s="299"/>
      <c r="OY72" s="299"/>
      <c r="OZ72" s="299"/>
      <c r="PA72" s="299"/>
      <c r="PB72" s="299"/>
      <c r="PC72" s="299"/>
      <c r="PD72" s="299"/>
      <c r="PE72" s="299"/>
      <c r="PF72" s="299"/>
      <c r="PG72" s="299"/>
      <c r="PH72" s="299"/>
      <c r="PI72" s="299"/>
      <c r="PJ72" s="299"/>
      <c r="PK72" s="299"/>
      <c r="PL72" s="299"/>
      <c r="PM72" s="299"/>
      <c r="PN72" s="299"/>
      <c r="PO72" s="299"/>
      <c r="PP72" s="299"/>
      <c r="PQ72" s="299"/>
      <c r="PR72" s="299"/>
      <c r="PS72" s="299"/>
      <c r="PT72" s="299"/>
      <c r="PU72" s="299"/>
      <c r="PV72" s="299"/>
      <c r="PW72" s="299"/>
      <c r="PX72" s="299"/>
      <c r="PY72" s="299"/>
      <c r="PZ72" s="299"/>
      <c r="QA72" s="299"/>
      <c r="QB72" s="299"/>
      <c r="QC72" s="299"/>
      <c r="QD72" s="299"/>
      <c r="QE72" s="299"/>
      <c r="QF72" s="299"/>
      <c r="QG72" s="299"/>
      <c r="QH72" s="299"/>
      <c r="QI72" s="299"/>
      <c r="QJ72" s="299"/>
      <c r="QK72" s="299"/>
      <c r="QL72" s="299"/>
      <c r="QM72" s="299"/>
      <c r="QN72" s="299"/>
      <c r="QO72" s="299"/>
      <c r="QP72" s="299"/>
      <c r="QQ72" s="299"/>
      <c r="QR72" s="299"/>
      <c r="QS72" s="299"/>
      <c r="QT72" s="299"/>
      <c r="QU72" s="299"/>
      <c r="QV72" s="299"/>
      <c r="QW72" s="299"/>
      <c r="QX72" s="299"/>
      <c r="QY72" s="299"/>
      <c r="QZ72" s="299"/>
      <c r="RA72" s="299"/>
      <c r="RB72" s="299"/>
      <c r="RC72" s="299"/>
      <c r="RD72" s="299"/>
      <c r="RE72" s="299"/>
      <c r="RF72" s="299"/>
      <c r="RG72" s="299"/>
      <c r="RH72" s="299"/>
      <c r="RI72" s="299"/>
      <c r="RJ72" s="299"/>
      <c r="RK72" s="299"/>
      <c r="RL72" s="299"/>
      <c r="RM72" s="299"/>
      <c r="RN72" s="299"/>
      <c r="RO72" s="299"/>
      <c r="RP72" s="299"/>
      <c r="RQ72" s="299"/>
      <c r="RR72" s="299"/>
      <c r="RS72" s="299"/>
      <c r="RT72" s="299"/>
      <c r="RU72" s="299"/>
      <c r="RV72" s="299"/>
      <c r="RW72" s="299"/>
      <c r="RX72" s="299"/>
      <c r="RY72" s="299"/>
      <c r="RZ72" s="299"/>
      <c r="SA72" s="299"/>
      <c r="SB72" s="299"/>
      <c r="SC72" s="299"/>
      <c r="SD72" s="299"/>
      <c r="SE72" s="299"/>
      <c r="SF72" s="299"/>
      <c r="SG72" s="299"/>
      <c r="SH72" s="299"/>
      <c r="SI72" s="299"/>
      <c r="SJ72" s="299"/>
      <c r="SK72" s="299"/>
      <c r="SL72" s="299"/>
      <c r="SM72" s="299"/>
      <c r="SN72" s="299"/>
      <c r="SO72" s="299"/>
      <c r="SP72" s="299"/>
      <c r="SQ72" s="299"/>
      <c r="SR72" s="299"/>
      <c r="SS72" s="299"/>
      <c r="ST72" s="299"/>
      <c r="SU72" s="299"/>
      <c r="SV72" s="299"/>
      <c r="SW72" s="299"/>
      <c r="SX72" s="299"/>
      <c r="SY72" s="299"/>
      <c r="SZ72" s="299"/>
      <c r="TA72" s="299"/>
      <c r="TB72" s="299"/>
      <c r="TC72" s="299"/>
      <c r="TD72" s="299"/>
      <c r="TE72" s="299"/>
      <c r="TF72" s="299"/>
      <c r="TG72" s="299"/>
      <c r="TH72" s="299"/>
      <c r="TI72" s="299"/>
      <c r="TJ72" s="299"/>
      <c r="TK72" s="299"/>
      <c r="TL72" s="299"/>
      <c r="TM72" s="299"/>
      <c r="TN72" s="299"/>
      <c r="TO72" s="299"/>
      <c r="TP72" s="299"/>
      <c r="TQ72" s="299"/>
      <c r="TR72" s="299"/>
      <c r="TS72" s="299"/>
      <c r="TT72" s="299"/>
      <c r="TU72" s="299"/>
      <c r="TV72" s="299"/>
      <c r="TW72" s="299"/>
      <c r="TX72" s="299"/>
      <c r="TY72" s="299"/>
      <c r="TZ72" s="299"/>
      <c r="UA72" s="299"/>
      <c r="UB72" s="299"/>
      <c r="UC72" s="299"/>
      <c r="UD72" s="299"/>
      <c r="UE72" s="299"/>
      <c r="UF72" s="299"/>
      <c r="UG72" s="299"/>
      <c r="UH72" s="299"/>
      <c r="UI72" s="299"/>
      <c r="UJ72" s="299"/>
      <c r="UK72" s="299"/>
      <c r="UL72" s="299"/>
      <c r="UM72" s="299"/>
      <c r="UN72" s="299"/>
      <c r="UO72" s="299"/>
      <c r="UP72" s="299"/>
      <c r="UQ72" s="299"/>
      <c r="UR72" s="299"/>
      <c r="US72" s="299"/>
      <c r="UT72" s="299"/>
      <c r="UU72" s="299"/>
      <c r="UV72" s="299"/>
      <c r="UW72" s="299"/>
      <c r="UX72" s="299"/>
      <c r="UY72" s="299"/>
      <c r="UZ72" s="299"/>
      <c r="VA72" s="299"/>
      <c r="VB72" s="299"/>
      <c r="VC72" s="299"/>
      <c r="VD72" s="299"/>
      <c r="VE72" s="299"/>
      <c r="VF72" s="299"/>
      <c r="VG72" s="299"/>
      <c r="VH72" s="299"/>
      <c r="VI72" s="299"/>
      <c r="VJ72" s="299"/>
      <c r="VK72" s="299"/>
      <c r="VL72" s="299"/>
      <c r="VM72" s="299"/>
      <c r="VN72" s="299"/>
      <c r="VO72" s="299"/>
      <c r="VP72" s="299"/>
      <c r="VQ72" s="299"/>
      <c r="VR72" s="299"/>
      <c r="VS72" s="299"/>
      <c r="VT72" s="299"/>
      <c r="VU72" s="299"/>
      <c r="VV72" s="299"/>
      <c r="VW72" s="299"/>
      <c r="VX72" s="299"/>
      <c r="VY72" s="299"/>
      <c r="VZ72" s="299"/>
      <c r="WA72" s="299"/>
      <c r="WB72" s="299"/>
      <c r="WC72" s="299"/>
      <c r="WD72" s="299"/>
      <c r="WE72" s="299"/>
      <c r="WF72" s="299"/>
      <c r="WG72" s="299"/>
      <c r="WH72" s="299"/>
      <c r="WI72" s="299"/>
      <c r="WJ72" s="299"/>
      <c r="WK72" s="299"/>
      <c r="WL72" s="299"/>
      <c r="WM72" s="299"/>
      <c r="WN72" s="299"/>
      <c r="WO72" s="299"/>
      <c r="WP72" s="299"/>
      <c r="WQ72" s="299"/>
      <c r="WR72" s="299"/>
      <c r="WS72" s="299"/>
      <c r="WT72" s="299"/>
      <c r="WU72" s="299"/>
      <c r="WV72" s="299"/>
      <c r="WW72" s="299"/>
      <c r="WX72" s="299"/>
      <c r="WY72" s="299"/>
      <c r="WZ72" s="299"/>
      <c r="XA72" s="299"/>
      <c r="XB72" s="299"/>
      <c r="XC72" s="299"/>
      <c r="XD72" s="299"/>
      <c r="XE72" s="299"/>
      <c r="XF72" s="299"/>
      <c r="XG72" s="299"/>
      <c r="XH72" s="299"/>
      <c r="XI72" s="299"/>
      <c r="XJ72" s="299"/>
      <c r="XK72" s="299"/>
      <c r="XL72" s="299"/>
      <c r="XM72" s="299"/>
      <c r="XN72" s="299"/>
      <c r="XO72" s="299"/>
      <c r="XP72" s="299"/>
      <c r="XQ72" s="299"/>
      <c r="XR72" s="299"/>
      <c r="XS72" s="299"/>
      <c r="XT72" s="299"/>
      <c r="XU72" s="299"/>
      <c r="XV72" s="299"/>
      <c r="XW72" s="299"/>
      <c r="XX72" s="299"/>
      <c r="XY72" s="299"/>
      <c r="XZ72" s="299"/>
      <c r="YA72" s="299"/>
      <c r="YB72" s="299"/>
      <c r="YC72" s="299"/>
      <c r="YD72" s="299"/>
      <c r="YE72" s="299"/>
      <c r="YF72" s="299"/>
      <c r="YG72" s="299"/>
      <c r="YH72" s="299"/>
      <c r="YI72" s="299"/>
      <c r="YJ72" s="299"/>
      <c r="YK72" s="299"/>
      <c r="YL72" s="299"/>
      <c r="YM72" s="299"/>
      <c r="YN72" s="299"/>
      <c r="YO72" s="299"/>
      <c r="YP72" s="299"/>
      <c r="YQ72" s="299"/>
      <c r="YR72" s="299"/>
      <c r="YS72" s="299"/>
      <c r="YT72" s="299"/>
      <c r="YU72" s="299"/>
      <c r="YV72" s="299"/>
      <c r="YW72" s="299"/>
      <c r="YX72" s="299"/>
      <c r="YY72" s="299"/>
      <c r="YZ72" s="299"/>
      <c r="ZA72" s="299"/>
      <c r="ZB72" s="299"/>
      <c r="ZC72" s="299"/>
      <c r="ZD72" s="299"/>
      <c r="ZE72" s="299"/>
      <c r="ZF72" s="299"/>
      <c r="ZG72" s="299"/>
      <c r="ZH72" s="299"/>
      <c r="ZI72" s="299"/>
      <c r="ZJ72" s="299"/>
      <c r="ZK72" s="299"/>
      <c r="ZL72" s="299"/>
      <c r="ZM72" s="299"/>
      <c r="ZN72" s="299"/>
      <c r="ZO72" s="299"/>
      <c r="ZP72" s="299"/>
      <c r="ZQ72" s="299"/>
      <c r="ZR72" s="299"/>
      <c r="ZS72" s="299"/>
      <c r="ZT72" s="299"/>
      <c r="ZU72" s="299"/>
      <c r="ZV72" s="299"/>
      <c r="ZW72" s="299"/>
      <c r="ZX72" s="299"/>
      <c r="ZY72" s="299"/>
      <c r="ZZ72" s="299"/>
      <c r="AAA72" s="299"/>
      <c r="AAB72" s="299"/>
      <c r="AAC72" s="299"/>
      <c r="AAD72" s="299"/>
      <c r="AAE72" s="299"/>
      <c r="AAF72" s="299"/>
      <c r="AAG72" s="299"/>
      <c r="AAH72" s="299"/>
      <c r="AAI72" s="299"/>
      <c r="AAJ72" s="299"/>
      <c r="AAK72" s="299"/>
      <c r="AAL72" s="299"/>
      <c r="AAM72" s="299"/>
      <c r="AAN72" s="299"/>
      <c r="AAO72" s="299"/>
      <c r="AAP72" s="299"/>
      <c r="AAQ72" s="299"/>
      <c r="AAR72" s="299"/>
      <c r="AAS72" s="299"/>
      <c r="AAT72" s="299"/>
      <c r="AAU72" s="299"/>
      <c r="AAV72" s="299"/>
      <c r="AAW72" s="299"/>
      <c r="AAX72" s="299"/>
      <c r="AAY72" s="299"/>
      <c r="AAZ72" s="299"/>
      <c r="ABA72" s="299"/>
      <c r="ABB72" s="299"/>
      <c r="ABC72" s="299"/>
      <c r="ABD72" s="299"/>
      <c r="ABE72" s="299"/>
      <c r="ABF72" s="299"/>
      <c r="ABG72" s="299"/>
      <c r="ABH72" s="299"/>
      <c r="ABI72" s="299"/>
      <c r="ABJ72" s="299"/>
      <c r="ABK72" s="299"/>
      <c r="ABL72" s="299"/>
      <c r="ABM72" s="299"/>
      <c r="ABN72" s="299"/>
      <c r="ABO72" s="299"/>
      <c r="ABP72" s="299"/>
      <c r="ABQ72" s="299"/>
      <c r="ABR72" s="299"/>
      <c r="ABS72" s="299"/>
      <c r="ABT72" s="299"/>
      <c r="ABU72" s="299"/>
      <c r="ABV72" s="299"/>
      <c r="ABW72" s="299"/>
      <c r="ABX72" s="299"/>
      <c r="ABY72" s="299"/>
      <c r="ABZ72" s="299"/>
      <c r="ACA72" s="299"/>
      <c r="ACB72" s="299"/>
      <c r="ACC72" s="299"/>
      <c r="ACD72" s="299"/>
      <c r="ACE72" s="299"/>
      <c r="ACF72" s="299"/>
      <c r="ACG72" s="299"/>
      <c r="ACH72" s="299"/>
      <c r="ACI72" s="299"/>
      <c r="ACJ72" s="299"/>
      <c r="ACK72" s="299"/>
      <c r="ACL72" s="299"/>
      <c r="ACM72" s="299"/>
      <c r="ACN72" s="299"/>
      <c r="ACO72" s="299"/>
      <c r="ACP72" s="299"/>
      <c r="ACQ72" s="299"/>
      <c r="ACR72" s="299"/>
      <c r="ACS72" s="299"/>
      <c r="ACT72" s="299"/>
      <c r="ACU72" s="299"/>
      <c r="ACV72" s="299"/>
      <c r="ACW72" s="299"/>
      <c r="ACX72" s="299"/>
      <c r="ACY72" s="299"/>
      <c r="ACZ72" s="299"/>
      <c r="ADA72" s="299"/>
      <c r="ADB72" s="299"/>
      <c r="ADC72" s="299"/>
      <c r="ADD72" s="299"/>
      <c r="ADE72" s="299"/>
      <c r="ADF72" s="299"/>
      <c r="ADG72" s="299"/>
      <c r="ADH72" s="299"/>
      <c r="ADI72" s="299"/>
      <c r="ADJ72" s="299"/>
      <c r="ADK72" s="299"/>
      <c r="ADL72" s="299"/>
      <c r="ADM72" s="299"/>
      <c r="ADN72" s="299"/>
      <c r="ADO72" s="299"/>
      <c r="ADP72" s="299"/>
      <c r="ADQ72" s="299"/>
      <c r="ADR72" s="299"/>
      <c r="ADS72" s="299"/>
      <c r="ADT72" s="299"/>
      <c r="ADU72" s="299"/>
      <c r="ADV72" s="299"/>
      <c r="ADW72" s="299"/>
      <c r="ADX72" s="299"/>
      <c r="ADY72" s="299"/>
      <c r="ADZ72" s="299"/>
      <c r="AEA72" s="299"/>
      <c r="AEB72" s="299"/>
      <c r="AEC72" s="299"/>
      <c r="AED72" s="299"/>
      <c r="AEE72" s="299"/>
      <c r="AEF72" s="299"/>
      <c r="AEG72" s="299"/>
      <c r="AEH72" s="299"/>
      <c r="AEI72" s="299"/>
      <c r="AEJ72" s="299"/>
      <c r="AEK72" s="299"/>
      <c r="AEL72" s="299"/>
      <c r="AEM72" s="299"/>
      <c r="AEN72" s="299"/>
      <c r="AEO72" s="299"/>
      <c r="AEP72" s="299"/>
      <c r="AEQ72" s="299"/>
      <c r="AER72" s="299"/>
      <c r="AES72" s="299"/>
      <c r="AET72" s="299"/>
      <c r="AEU72" s="299"/>
      <c r="AEV72" s="299"/>
      <c r="AEW72" s="299"/>
      <c r="AEX72" s="299"/>
      <c r="AEY72" s="299"/>
      <c r="AEZ72" s="299"/>
      <c r="AFA72" s="299"/>
      <c r="AFB72" s="299"/>
      <c r="AFC72" s="299"/>
      <c r="AFD72" s="299"/>
      <c r="AFE72" s="299"/>
      <c r="AFF72" s="299"/>
      <c r="AFG72" s="299"/>
      <c r="AFH72" s="299"/>
      <c r="AFI72" s="299"/>
      <c r="AFJ72" s="299"/>
      <c r="AFK72" s="299"/>
      <c r="AFL72" s="299"/>
      <c r="AFM72" s="299"/>
      <c r="AFN72" s="299"/>
      <c r="AFO72" s="299"/>
      <c r="AFP72" s="299"/>
      <c r="AFQ72" s="299"/>
      <c r="AFR72" s="299"/>
      <c r="AFS72" s="299"/>
      <c r="AFT72" s="299"/>
      <c r="AFU72" s="299"/>
      <c r="AFV72" s="299"/>
      <c r="AFW72" s="299"/>
      <c r="AFX72" s="299"/>
      <c r="AFY72" s="299"/>
      <c r="AFZ72" s="299"/>
      <c r="AGA72" s="299"/>
      <c r="AGB72" s="299"/>
      <c r="AGC72" s="299"/>
      <c r="AGD72" s="299"/>
      <c r="AGE72" s="299"/>
      <c r="AGF72" s="299"/>
      <c r="AGG72" s="299"/>
      <c r="AGH72" s="299"/>
      <c r="AGI72" s="299"/>
      <c r="AGJ72" s="299"/>
      <c r="AGK72" s="299"/>
      <c r="AGL72" s="299"/>
      <c r="AGM72" s="299"/>
      <c r="AGN72" s="299"/>
      <c r="AGO72" s="299"/>
      <c r="AGP72" s="299"/>
      <c r="AGQ72" s="299"/>
      <c r="AGR72" s="299"/>
      <c r="AGS72" s="299"/>
      <c r="AGT72" s="299"/>
      <c r="AGU72" s="299"/>
      <c r="AGV72" s="299"/>
      <c r="AGW72" s="299"/>
      <c r="AGX72" s="299"/>
      <c r="AGY72" s="299"/>
      <c r="AGZ72" s="299"/>
      <c r="AHA72" s="299"/>
      <c r="AHB72" s="299"/>
      <c r="AHC72" s="299"/>
      <c r="AHD72" s="299"/>
      <c r="AHE72" s="299"/>
      <c r="AHF72" s="299"/>
      <c r="AHG72" s="299"/>
      <c r="AHH72" s="299"/>
      <c r="AHI72" s="299"/>
      <c r="AHJ72" s="299"/>
      <c r="AHK72" s="299"/>
      <c r="AHL72" s="299"/>
      <c r="AHM72" s="299"/>
      <c r="AHN72" s="299"/>
      <c r="AHO72" s="299"/>
      <c r="AHP72" s="299"/>
      <c r="AHQ72" s="299"/>
      <c r="AHR72" s="299"/>
      <c r="AHS72" s="299"/>
      <c r="AHT72" s="299"/>
      <c r="AHU72" s="299"/>
      <c r="AHV72" s="299"/>
      <c r="AHW72" s="299"/>
      <c r="AHX72" s="299"/>
      <c r="AHY72" s="299"/>
      <c r="AHZ72" s="299"/>
      <c r="AIA72" s="299"/>
      <c r="AIB72" s="299"/>
      <c r="AIC72" s="299"/>
      <c r="AID72" s="299"/>
      <c r="AIE72" s="299"/>
      <c r="AIF72" s="299"/>
      <c r="AIG72" s="299"/>
      <c r="AIH72" s="299"/>
      <c r="AII72" s="299"/>
      <c r="AIJ72" s="299"/>
      <c r="AIK72" s="299"/>
      <c r="AIL72" s="299"/>
      <c r="AIM72" s="299"/>
      <c r="AIN72" s="299"/>
      <c r="AIO72" s="299"/>
      <c r="AIP72" s="299"/>
      <c r="AIQ72" s="299"/>
      <c r="AIR72" s="299"/>
      <c r="AIS72" s="299"/>
      <c r="AIT72" s="299"/>
      <c r="AIU72" s="299"/>
      <c r="AIV72" s="299"/>
      <c r="AIW72" s="299"/>
      <c r="AIX72" s="299"/>
      <c r="AIY72" s="299"/>
      <c r="AIZ72" s="299"/>
      <c r="AJA72" s="299"/>
      <c r="AJB72" s="299"/>
      <c r="AJC72" s="299"/>
      <c r="AJD72" s="299"/>
      <c r="AJE72" s="299"/>
      <c r="AJF72" s="299"/>
      <c r="AJG72" s="299"/>
      <c r="AJH72" s="299"/>
      <c r="AJI72" s="299"/>
      <c r="AJJ72" s="299"/>
      <c r="AJK72" s="299"/>
      <c r="AJL72" s="299"/>
      <c r="AJM72" s="299"/>
      <c r="AJN72" s="299"/>
      <c r="AJO72" s="299"/>
      <c r="AJP72" s="299"/>
      <c r="AJQ72" s="299"/>
      <c r="AJR72" s="299"/>
      <c r="AJS72" s="299"/>
      <c r="AJT72" s="299"/>
      <c r="AJU72" s="299"/>
      <c r="AJV72" s="299"/>
      <c r="AJW72" s="299"/>
      <c r="AJX72" s="299"/>
      <c r="AJY72" s="299"/>
      <c r="AJZ72" s="299"/>
      <c r="AKA72" s="299"/>
      <c r="AKB72" s="299"/>
      <c r="AKC72" s="299"/>
      <c r="AKD72" s="299"/>
      <c r="AKE72" s="299"/>
      <c r="AKF72" s="299"/>
      <c r="AKG72" s="299"/>
      <c r="AKH72" s="299"/>
      <c r="AKI72" s="299"/>
      <c r="AKJ72" s="299"/>
      <c r="AKK72" s="299"/>
      <c r="AKL72" s="299"/>
      <c r="AKM72" s="299"/>
      <c r="AKN72" s="299"/>
      <c r="AKO72" s="299"/>
      <c r="AKP72" s="299"/>
      <c r="AKQ72" s="299"/>
      <c r="AKR72" s="299"/>
      <c r="AKS72" s="299"/>
      <c r="AKT72" s="299"/>
      <c r="AKU72" s="299"/>
      <c r="AKV72" s="299"/>
      <c r="AKW72" s="299"/>
      <c r="AKX72" s="299"/>
      <c r="AKY72" s="299"/>
      <c r="AKZ72" s="299"/>
      <c r="ALA72" s="299"/>
      <c r="ALB72" s="299"/>
      <c r="ALC72" s="299"/>
      <c r="ALD72" s="299"/>
      <c r="ALE72" s="299"/>
      <c r="ALF72" s="299"/>
      <c r="ALG72" s="299"/>
      <c r="ALH72" s="299"/>
      <c r="ALI72" s="299"/>
      <c r="ALJ72" s="299"/>
      <c r="ALK72" s="299"/>
      <c r="ALL72" s="299"/>
      <c r="ALM72" s="299"/>
      <c r="ALN72" s="299"/>
      <c r="ALO72" s="299"/>
      <c r="ALP72" s="299"/>
      <c r="ALQ72" s="299"/>
      <c r="ALR72" s="299"/>
      <c r="ALS72" s="299"/>
      <c r="ALT72" s="299"/>
      <c r="ALU72" s="299"/>
      <c r="ALV72" s="299"/>
      <c r="ALW72" s="299"/>
      <c r="ALX72" s="299"/>
      <c r="ALY72" s="299"/>
      <c r="ALZ72" s="299"/>
      <c r="AMA72" s="299"/>
      <c r="AMB72" s="299"/>
      <c r="AMC72" s="299"/>
      <c r="AMD72" s="299"/>
      <c r="AME72" s="299"/>
      <c r="AMF72" s="299"/>
      <c r="AMG72" s="299"/>
      <c r="AMH72" s="299"/>
      <c r="AMI72" s="299"/>
      <c r="AMJ72" s="299"/>
      <c r="AMK72" s="299"/>
      <c r="AML72" s="299"/>
      <c r="AMM72" s="299"/>
      <c r="AMN72" s="299"/>
      <c r="AMO72" s="299"/>
      <c r="AMP72" s="299"/>
      <c r="AMQ72" s="299"/>
      <c r="AMR72" s="299"/>
      <c r="AMS72" s="299"/>
      <c r="AMT72" s="299"/>
      <c r="AMU72" s="299"/>
      <c r="AMV72" s="299"/>
      <c r="AMW72" s="299"/>
      <c r="AMX72" s="299"/>
      <c r="AMY72" s="299"/>
      <c r="AMZ72" s="299"/>
      <c r="ANA72" s="299"/>
      <c r="ANB72" s="299"/>
      <c r="ANC72" s="299"/>
      <c r="AND72" s="299"/>
      <c r="ANE72" s="299"/>
      <c r="ANF72" s="299"/>
      <c r="ANG72" s="299"/>
      <c r="ANH72" s="299"/>
      <c r="ANI72" s="299"/>
      <c r="ANJ72" s="299"/>
      <c r="ANK72" s="299"/>
      <c r="ANL72" s="299"/>
      <c r="ANM72" s="299"/>
      <c r="ANN72" s="299"/>
      <c r="ANO72" s="299"/>
      <c r="ANP72" s="299"/>
      <c r="ANQ72" s="299"/>
      <c r="ANR72" s="299"/>
      <c r="ANS72" s="299"/>
      <c r="ANT72" s="299"/>
      <c r="ANU72" s="299"/>
      <c r="ANV72" s="299"/>
      <c r="ANW72" s="299"/>
      <c r="ANX72" s="299"/>
      <c r="ANY72" s="299"/>
      <c r="ANZ72" s="299"/>
      <c r="AOA72" s="299"/>
      <c r="AOB72" s="299"/>
      <c r="AOC72" s="299"/>
      <c r="AOD72" s="299"/>
      <c r="AOE72" s="299"/>
      <c r="AOF72" s="299"/>
      <c r="AOG72" s="299"/>
      <c r="AOH72" s="299"/>
      <c r="AOI72" s="299"/>
      <c r="AOJ72" s="299"/>
      <c r="AOK72" s="299"/>
      <c r="AOL72" s="299"/>
      <c r="AOM72" s="299"/>
      <c r="AON72" s="299"/>
      <c r="AOO72" s="299"/>
      <c r="AOP72" s="299"/>
      <c r="AOQ72" s="299"/>
      <c r="AOR72" s="299"/>
      <c r="AOS72" s="299"/>
      <c r="AOT72" s="299"/>
      <c r="AOU72" s="299"/>
      <c r="AOV72" s="299"/>
      <c r="AOW72" s="299"/>
      <c r="AOX72" s="299"/>
      <c r="AOY72" s="299"/>
      <c r="AOZ72" s="299"/>
      <c r="APA72" s="299"/>
      <c r="APB72" s="299"/>
      <c r="APC72" s="299"/>
      <c r="APD72" s="299"/>
      <c r="APE72" s="299"/>
      <c r="APF72" s="299"/>
      <c r="APG72" s="299"/>
      <c r="APH72" s="299"/>
      <c r="API72" s="299"/>
      <c r="APJ72" s="299"/>
      <c r="APK72" s="299"/>
      <c r="APL72" s="299"/>
      <c r="APM72" s="299"/>
      <c r="APN72" s="299"/>
      <c r="APO72" s="299"/>
      <c r="APP72" s="299"/>
      <c r="APQ72" s="299"/>
      <c r="APR72" s="299"/>
      <c r="APS72" s="299"/>
      <c r="APT72" s="299"/>
      <c r="APU72" s="299"/>
      <c r="APV72" s="299"/>
      <c r="APW72" s="299"/>
      <c r="APX72" s="299"/>
      <c r="APY72" s="299"/>
      <c r="APZ72" s="299"/>
      <c r="AQA72" s="299"/>
      <c r="AQB72" s="299"/>
      <c r="AQC72" s="299"/>
      <c r="AQD72" s="299"/>
      <c r="AQE72" s="299"/>
      <c r="AQF72" s="299"/>
      <c r="AQG72" s="299"/>
      <c r="AQH72" s="299"/>
      <c r="AQI72" s="299"/>
      <c r="AQJ72" s="299"/>
      <c r="AQK72" s="299"/>
      <c r="AQL72" s="299"/>
      <c r="AQM72" s="299"/>
      <c r="AQN72" s="299"/>
      <c r="AQO72" s="299"/>
      <c r="AQP72" s="299"/>
      <c r="AQQ72" s="299"/>
      <c r="AQR72" s="299"/>
      <c r="AQS72" s="299"/>
      <c r="AQT72" s="299"/>
      <c r="AQU72" s="299"/>
      <c r="AQV72" s="299"/>
      <c r="AQW72" s="299"/>
      <c r="AQX72" s="299"/>
      <c r="AQY72" s="299"/>
      <c r="AQZ72" s="299"/>
      <c r="ARA72" s="299"/>
      <c r="ARB72" s="299"/>
      <c r="ARC72" s="299"/>
      <c r="ARD72" s="299"/>
      <c r="ARE72" s="299"/>
      <c r="ARF72" s="299"/>
      <c r="ARG72" s="299"/>
      <c r="ARH72" s="299"/>
      <c r="ARI72" s="299"/>
      <c r="ARJ72" s="299"/>
      <c r="ARK72" s="299"/>
      <c r="ARL72" s="299"/>
      <c r="ARM72" s="299"/>
      <c r="ARN72" s="299"/>
      <c r="ARO72" s="299"/>
      <c r="ARP72" s="299"/>
      <c r="ARQ72" s="299"/>
      <c r="ARR72" s="299"/>
      <c r="ARS72" s="299"/>
      <c r="ART72" s="299"/>
      <c r="ARU72" s="299"/>
      <c r="ARV72" s="299"/>
      <c r="ARW72" s="299"/>
      <c r="ARX72" s="299"/>
      <c r="ARY72" s="299"/>
      <c r="ARZ72" s="299"/>
      <c r="ASA72" s="299"/>
      <c r="ASB72" s="299"/>
      <c r="ASC72" s="299"/>
      <c r="ASD72" s="299"/>
      <c r="ASE72" s="299"/>
      <c r="ASF72" s="299"/>
      <c r="ASG72" s="299"/>
      <c r="ASH72" s="299"/>
      <c r="ASI72" s="299"/>
      <c r="ASJ72" s="299"/>
      <c r="ASK72" s="299"/>
      <c r="ASL72" s="299"/>
      <c r="ASM72" s="299"/>
      <c r="ASN72" s="299"/>
      <c r="ASO72" s="299"/>
      <c r="ASP72" s="299"/>
      <c r="ASQ72" s="299"/>
      <c r="ASR72" s="299"/>
      <c r="ASS72" s="299"/>
      <c r="AST72" s="299"/>
      <c r="ASU72" s="299"/>
      <c r="ASV72" s="299"/>
      <c r="ASW72" s="299"/>
      <c r="ASX72" s="299"/>
      <c r="ASY72" s="299"/>
      <c r="ASZ72" s="299"/>
      <c r="ATA72" s="299"/>
      <c r="ATB72" s="299"/>
      <c r="ATC72" s="299"/>
      <c r="ATD72" s="299"/>
      <c r="ATE72" s="299"/>
      <c r="ATF72" s="299"/>
      <c r="ATG72" s="299"/>
      <c r="ATH72" s="299"/>
      <c r="ATI72" s="299"/>
      <c r="ATJ72" s="299"/>
      <c r="ATK72" s="299"/>
      <c r="ATL72" s="299"/>
      <c r="ATM72" s="299"/>
      <c r="ATN72" s="299"/>
      <c r="ATO72" s="299"/>
      <c r="ATP72" s="299"/>
      <c r="ATQ72" s="299"/>
      <c r="ATR72" s="299"/>
      <c r="ATS72" s="299"/>
      <c r="ATT72" s="299"/>
      <c r="ATU72" s="299"/>
      <c r="ATV72" s="299"/>
      <c r="ATW72" s="299"/>
      <c r="ATX72" s="299"/>
      <c r="ATY72" s="299"/>
      <c r="ATZ72" s="299"/>
      <c r="AUA72" s="299"/>
      <c r="AUB72" s="299"/>
      <c r="AUC72" s="299"/>
      <c r="AUD72" s="299"/>
      <c r="AUE72" s="299"/>
      <c r="AUF72" s="299"/>
      <c r="AUG72" s="299"/>
      <c r="AUH72" s="299"/>
      <c r="AUI72" s="299"/>
      <c r="AUJ72" s="299"/>
      <c r="AUK72" s="299"/>
      <c r="AUL72" s="299"/>
      <c r="AUM72" s="299"/>
      <c r="AUN72" s="299"/>
      <c r="AUO72" s="299"/>
      <c r="AUP72" s="299"/>
      <c r="AUQ72" s="299"/>
      <c r="AUR72" s="299"/>
      <c r="AUS72" s="299"/>
      <c r="AUT72" s="299"/>
      <c r="AUU72" s="299"/>
      <c r="AUV72" s="299"/>
      <c r="AUW72" s="299"/>
      <c r="AUX72" s="299"/>
      <c r="AUY72" s="299"/>
      <c r="AUZ72" s="299"/>
      <c r="AVA72" s="299"/>
      <c r="AVB72" s="299"/>
      <c r="AVC72" s="299"/>
      <c r="AVD72" s="299"/>
      <c r="AVE72" s="299"/>
      <c r="AVF72" s="299"/>
      <c r="AVG72" s="299"/>
      <c r="AVH72" s="299"/>
      <c r="AVI72" s="299"/>
      <c r="AVJ72" s="299"/>
      <c r="AVK72" s="299"/>
      <c r="AVL72" s="299"/>
      <c r="AVM72" s="299"/>
      <c r="AVN72" s="299"/>
      <c r="AVO72" s="299"/>
      <c r="AVP72" s="299"/>
      <c r="AVQ72" s="299"/>
      <c r="AVR72" s="299"/>
      <c r="AVS72" s="299"/>
      <c r="AVT72" s="299"/>
      <c r="AVU72" s="299"/>
      <c r="AVV72" s="299"/>
      <c r="AVW72" s="299"/>
      <c r="AVX72" s="299"/>
      <c r="AVY72" s="299"/>
      <c r="AVZ72" s="299"/>
      <c r="AWA72" s="299"/>
      <c r="AWB72" s="299"/>
      <c r="AWC72" s="299"/>
      <c r="AWD72" s="299"/>
      <c r="AWE72" s="299"/>
      <c r="AWF72" s="299"/>
      <c r="AWG72" s="299"/>
      <c r="AWH72" s="299"/>
      <c r="AWI72" s="299"/>
      <c r="AWJ72" s="299"/>
      <c r="AWK72" s="299"/>
      <c r="AWL72" s="299"/>
      <c r="AWM72" s="299"/>
      <c r="AWN72" s="299"/>
      <c r="AWO72" s="299"/>
      <c r="AWP72" s="299"/>
      <c r="AWQ72" s="299"/>
      <c r="AWR72" s="299"/>
      <c r="AWS72" s="299"/>
      <c r="AWT72" s="299"/>
      <c r="AWU72" s="299"/>
      <c r="AWV72" s="299"/>
      <c r="AWW72" s="299"/>
      <c r="AWX72" s="299"/>
      <c r="AWY72" s="299"/>
      <c r="AWZ72" s="299"/>
      <c r="AXA72" s="299"/>
      <c r="AXB72" s="299"/>
      <c r="AXC72" s="299"/>
      <c r="AXD72" s="299"/>
      <c r="AXE72" s="299"/>
      <c r="AXF72" s="299"/>
      <c r="AXG72" s="299"/>
      <c r="AXH72" s="299"/>
      <c r="AXI72" s="299"/>
      <c r="AXJ72" s="299"/>
      <c r="AXK72" s="299"/>
      <c r="AXL72" s="299"/>
      <c r="AXM72" s="299"/>
      <c r="AXN72" s="299"/>
      <c r="AXO72" s="299"/>
      <c r="AXP72" s="299"/>
      <c r="AXQ72" s="299"/>
      <c r="AXR72" s="299"/>
      <c r="AXS72" s="299"/>
      <c r="AXT72" s="299"/>
      <c r="AXU72" s="299"/>
      <c r="AXV72" s="299"/>
      <c r="AXW72" s="299"/>
      <c r="AXX72" s="299"/>
      <c r="AXY72" s="299"/>
      <c r="AXZ72" s="299"/>
      <c r="AYA72" s="299"/>
      <c r="AYB72" s="299"/>
      <c r="AYC72" s="299"/>
      <c r="AYD72" s="299"/>
      <c r="AYE72" s="299"/>
      <c r="AYF72" s="299"/>
      <c r="AYG72" s="299"/>
      <c r="AYH72" s="299"/>
      <c r="AYI72" s="299"/>
      <c r="AYJ72" s="299"/>
      <c r="AYK72" s="299"/>
      <c r="AYL72" s="299"/>
      <c r="AYM72" s="299"/>
      <c r="AYN72" s="299"/>
      <c r="AYO72" s="299"/>
      <c r="AYP72" s="299"/>
      <c r="AYQ72" s="299"/>
      <c r="AYR72" s="299"/>
      <c r="AYS72" s="299"/>
      <c r="AYT72" s="299"/>
      <c r="AYU72" s="299"/>
      <c r="AYV72" s="299"/>
      <c r="AYW72" s="299"/>
      <c r="AYX72" s="299"/>
      <c r="AYY72" s="299"/>
      <c r="AYZ72" s="299"/>
      <c r="AZA72" s="299"/>
      <c r="AZB72" s="299"/>
      <c r="AZC72" s="299"/>
      <c r="AZD72" s="299"/>
      <c r="AZE72" s="299"/>
      <c r="AZF72" s="299"/>
      <c r="AZG72" s="299"/>
      <c r="AZH72" s="299"/>
      <c r="AZI72" s="299"/>
      <c r="AZJ72" s="299"/>
      <c r="AZK72" s="299"/>
      <c r="AZL72" s="299"/>
      <c r="AZM72" s="299"/>
      <c r="AZN72" s="299"/>
      <c r="AZO72" s="299"/>
      <c r="AZP72" s="299"/>
      <c r="AZQ72" s="299"/>
      <c r="AZR72" s="299"/>
      <c r="AZS72" s="299"/>
      <c r="AZT72" s="299"/>
      <c r="AZU72" s="299"/>
      <c r="AZV72" s="299"/>
      <c r="AZW72" s="299"/>
      <c r="AZX72" s="299"/>
      <c r="AZY72" s="299"/>
      <c r="AZZ72" s="299"/>
      <c r="BAA72" s="299"/>
      <c r="BAB72" s="299"/>
      <c r="BAC72" s="299"/>
      <c r="BAD72" s="299"/>
      <c r="BAE72" s="299"/>
      <c r="BAF72" s="299"/>
      <c r="BAG72" s="299"/>
      <c r="BAH72" s="299"/>
      <c r="BAI72" s="299"/>
      <c r="BAJ72" s="299"/>
      <c r="BAK72" s="299"/>
      <c r="BAL72" s="299"/>
      <c r="BAM72" s="299"/>
      <c r="BAN72" s="299"/>
      <c r="BAO72" s="299"/>
      <c r="BAP72" s="299"/>
      <c r="BAQ72" s="299"/>
      <c r="BAR72" s="299"/>
      <c r="BAS72" s="299"/>
      <c r="BAT72" s="299"/>
      <c r="BAU72" s="299"/>
      <c r="BAV72" s="299"/>
      <c r="BAW72" s="299"/>
      <c r="BAX72" s="299"/>
      <c r="BAY72" s="299"/>
      <c r="BAZ72" s="299"/>
      <c r="BBA72" s="299"/>
      <c r="BBB72" s="299"/>
      <c r="BBC72" s="299"/>
      <c r="BBD72" s="299"/>
      <c r="BBE72" s="299"/>
      <c r="BBF72" s="299"/>
      <c r="BBG72" s="299"/>
      <c r="BBH72" s="299"/>
      <c r="BBI72" s="299"/>
      <c r="BBJ72" s="299"/>
      <c r="BBK72" s="299"/>
      <c r="BBL72" s="299"/>
      <c r="BBM72" s="299"/>
      <c r="BBN72" s="299"/>
      <c r="BBO72" s="299"/>
      <c r="BBP72" s="299"/>
      <c r="BBQ72" s="299"/>
      <c r="BBR72" s="299"/>
      <c r="BBS72" s="299"/>
      <c r="BBT72" s="299"/>
      <c r="BBU72" s="299"/>
      <c r="BBV72" s="299"/>
      <c r="BBW72" s="299"/>
      <c r="BBX72" s="299"/>
      <c r="BBY72" s="299"/>
      <c r="BBZ72" s="299"/>
      <c r="BCA72" s="299"/>
      <c r="BCB72" s="299"/>
      <c r="BCC72" s="299"/>
      <c r="BCD72" s="299"/>
      <c r="BCE72" s="299"/>
      <c r="BCF72" s="299"/>
      <c r="BCG72" s="299"/>
      <c r="BCH72" s="299"/>
      <c r="BCI72" s="299"/>
      <c r="BCJ72" s="299"/>
      <c r="BCK72" s="299"/>
      <c r="BCL72" s="299"/>
      <c r="BCM72" s="299"/>
      <c r="BCN72" s="299"/>
      <c r="BCO72" s="299"/>
      <c r="BCP72" s="299"/>
      <c r="BCQ72" s="299"/>
      <c r="BCR72" s="299"/>
      <c r="BCS72" s="299"/>
      <c r="BCT72" s="299"/>
      <c r="BCU72" s="299"/>
      <c r="BCV72" s="299"/>
      <c r="BCW72" s="299"/>
      <c r="BCX72" s="299"/>
      <c r="BCY72" s="299"/>
      <c r="BCZ72" s="299"/>
      <c r="BDA72" s="299"/>
      <c r="BDB72" s="299"/>
      <c r="BDC72" s="299"/>
      <c r="BDD72" s="299"/>
      <c r="BDE72" s="299"/>
      <c r="BDF72" s="299"/>
      <c r="BDG72" s="299"/>
      <c r="BDH72" s="299"/>
      <c r="BDI72" s="299"/>
      <c r="BDJ72" s="299"/>
      <c r="BDK72" s="299"/>
      <c r="BDL72" s="299"/>
      <c r="BDM72" s="299"/>
      <c r="BDN72" s="299"/>
      <c r="BDO72" s="299"/>
      <c r="BDP72" s="299"/>
      <c r="BDQ72" s="299"/>
      <c r="BDR72" s="299"/>
      <c r="BDS72" s="299"/>
      <c r="BDT72" s="299"/>
      <c r="BDU72" s="299"/>
      <c r="BDV72" s="299"/>
      <c r="BDW72" s="299"/>
      <c r="BDX72" s="299"/>
      <c r="BDY72" s="299"/>
      <c r="BDZ72" s="299"/>
      <c r="BEA72" s="299"/>
      <c r="BEB72" s="299"/>
      <c r="BEC72" s="299"/>
      <c r="BED72" s="299"/>
      <c r="BEE72" s="299"/>
      <c r="BEF72" s="299"/>
      <c r="BEG72" s="299"/>
      <c r="BEH72" s="299"/>
      <c r="BEI72" s="299"/>
      <c r="BEJ72" s="299"/>
      <c r="BEK72" s="299"/>
      <c r="BEL72" s="299"/>
      <c r="BEM72" s="299"/>
      <c r="BEN72" s="299"/>
      <c r="BEO72" s="299"/>
      <c r="BEP72" s="299"/>
      <c r="BEQ72" s="299"/>
      <c r="BER72" s="299"/>
      <c r="BES72" s="299"/>
      <c r="BET72" s="299"/>
      <c r="BEU72" s="299"/>
      <c r="BEV72" s="299"/>
      <c r="BEW72" s="299"/>
      <c r="BEX72" s="299"/>
      <c r="BEY72" s="299"/>
      <c r="BEZ72" s="299"/>
      <c r="BFA72" s="299"/>
      <c r="BFB72" s="299"/>
      <c r="BFC72" s="299"/>
      <c r="BFD72" s="299"/>
      <c r="BFE72" s="299"/>
      <c r="BFF72" s="299"/>
      <c r="BFG72" s="299"/>
      <c r="BFH72" s="299"/>
      <c r="BFI72" s="299"/>
      <c r="BFJ72" s="299"/>
      <c r="BFK72" s="299"/>
      <c r="BFL72" s="299"/>
      <c r="BFM72" s="299"/>
      <c r="BFN72" s="299"/>
      <c r="BFO72" s="299"/>
      <c r="BFP72" s="299"/>
      <c r="BFQ72" s="299"/>
      <c r="BFR72" s="299"/>
      <c r="BFS72" s="299"/>
      <c r="BFT72" s="299"/>
      <c r="BFU72" s="299"/>
      <c r="BFV72" s="299"/>
      <c r="BFW72" s="299"/>
      <c r="BFX72" s="299"/>
      <c r="BFY72" s="299"/>
      <c r="BFZ72" s="299"/>
      <c r="BGA72" s="299"/>
      <c r="BGB72" s="299"/>
      <c r="BGC72" s="299"/>
      <c r="BGD72" s="299"/>
      <c r="BGE72" s="299"/>
      <c r="BGF72" s="299"/>
      <c r="BGG72" s="299"/>
      <c r="BGH72" s="299"/>
      <c r="BGI72" s="299"/>
      <c r="BGJ72" s="299"/>
      <c r="BGK72" s="299"/>
      <c r="BGL72" s="299"/>
      <c r="BGM72" s="299"/>
      <c r="BGN72" s="299"/>
      <c r="BGO72" s="299"/>
      <c r="BGP72" s="299"/>
      <c r="BGQ72" s="299"/>
      <c r="BGR72" s="299"/>
      <c r="BGS72" s="299"/>
      <c r="BGT72" s="299"/>
      <c r="BGU72" s="299"/>
      <c r="BGV72" s="299"/>
      <c r="BGW72" s="299"/>
      <c r="BGX72" s="299"/>
      <c r="BGY72" s="299"/>
      <c r="BGZ72" s="299"/>
      <c r="BHA72" s="299"/>
      <c r="BHB72" s="299"/>
      <c r="BHC72" s="299"/>
      <c r="BHD72" s="299"/>
      <c r="BHE72" s="299"/>
      <c r="BHF72" s="299"/>
      <c r="BHG72" s="299"/>
      <c r="BHH72" s="299"/>
      <c r="BHI72" s="299"/>
      <c r="BHJ72" s="299"/>
      <c r="BHK72" s="299"/>
      <c r="BHL72" s="299"/>
      <c r="BHM72" s="299"/>
      <c r="BHN72" s="299"/>
      <c r="BHO72" s="299"/>
      <c r="BHP72" s="299"/>
      <c r="BHQ72" s="299"/>
      <c r="BHR72" s="299"/>
      <c r="BHS72" s="299"/>
      <c r="BHT72" s="299"/>
      <c r="BHU72" s="299"/>
      <c r="BHV72" s="299"/>
      <c r="BHW72" s="299"/>
      <c r="BHX72" s="299"/>
      <c r="BHY72" s="299"/>
      <c r="BHZ72" s="299"/>
      <c r="BIA72" s="299"/>
      <c r="BIB72" s="299"/>
      <c r="BIC72" s="299"/>
      <c r="BID72" s="299"/>
      <c r="BIE72" s="299"/>
      <c r="BIF72" s="299"/>
      <c r="BIG72" s="299"/>
      <c r="BIH72" s="299"/>
      <c r="BII72" s="299"/>
      <c r="BIJ72" s="299"/>
      <c r="BIK72" s="299"/>
      <c r="BIL72" s="299"/>
      <c r="BIM72" s="299"/>
      <c r="BIN72" s="299"/>
      <c r="BIO72" s="299"/>
      <c r="BIP72" s="299"/>
      <c r="BIQ72" s="299"/>
      <c r="BIR72" s="299"/>
      <c r="BIS72" s="299"/>
      <c r="BIT72" s="299"/>
      <c r="BIU72" s="299"/>
      <c r="BIV72" s="299"/>
      <c r="BIW72" s="299"/>
      <c r="BIX72" s="299"/>
      <c r="BIY72" s="299"/>
      <c r="BIZ72" s="299"/>
      <c r="BJA72" s="299"/>
      <c r="BJB72" s="299"/>
      <c r="BJC72" s="299"/>
      <c r="BJD72" s="299"/>
      <c r="BJE72" s="299"/>
      <c r="BJF72" s="299"/>
      <c r="BJG72" s="299"/>
      <c r="BJH72" s="299"/>
      <c r="BJI72" s="299"/>
      <c r="BJJ72" s="299"/>
      <c r="BJK72" s="299"/>
      <c r="BJL72" s="299"/>
      <c r="BJM72" s="299"/>
      <c r="BJN72" s="299"/>
      <c r="BJO72" s="299"/>
      <c r="BJP72" s="299"/>
      <c r="BJQ72" s="299"/>
      <c r="BJR72" s="299"/>
      <c r="BJS72" s="299"/>
      <c r="BJT72" s="299"/>
      <c r="BJU72" s="299"/>
      <c r="BJV72" s="299"/>
      <c r="BJW72" s="299"/>
      <c r="BJX72" s="299"/>
      <c r="BJY72" s="299"/>
      <c r="BJZ72" s="299"/>
      <c r="BKA72" s="299"/>
      <c r="BKB72" s="299"/>
      <c r="BKC72" s="299"/>
      <c r="BKD72" s="299"/>
      <c r="BKE72" s="299"/>
      <c r="BKF72" s="299"/>
      <c r="BKG72" s="299"/>
      <c r="BKH72" s="299"/>
      <c r="BKI72" s="299"/>
      <c r="BKJ72" s="299"/>
      <c r="BKK72" s="299"/>
      <c r="BKL72" s="299"/>
      <c r="BKM72" s="299"/>
      <c r="BKN72" s="299"/>
      <c r="BKO72" s="299"/>
      <c r="BKP72" s="299"/>
      <c r="BKQ72" s="299"/>
      <c r="BKR72" s="299"/>
      <c r="BKS72" s="299"/>
      <c r="BKT72" s="299"/>
      <c r="BKU72" s="299"/>
      <c r="BKV72" s="299"/>
      <c r="BKW72" s="299"/>
      <c r="BKX72" s="299"/>
      <c r="BKY72" s="299"/>
      <c r="BKZ72" s="299"/>
      <c r="BLA72" s="299"/>
      <c r="BLB72" s="299"/>
      <c r="BLC72" s="299"/>
      <c r="BLD72" s="299"/>
      <c r="BLE72" s="299"/>
      <c r="BLF72" s="299"/>
      <c r="BLG72" s="299"/>
      <c r="BLH72" s="299"/>
      <c r="BLI72" s="299"/>
      <c r="BLJ72" s="299"/>
      <c r="BLK72" s="299"/>
      <c r="BLL72" s="299"/>
      <c r="BLM72" s="299"/>
      <c r="BLN72" s="299"/>
      <c r="BLO72" s="299"/>
      <c r="BLP72" s="299"/>
      <c r="BLQ72" s="299"/>
      <c r="BLR72" s="299"/>
      <c r="BLS72" s="299"/>
      <c r="BLT72" s="299"/>
      <c r="BLU72" s="299"/>
      <c r="BLV72" s="299"/>
      <c r="BLW72" s="299"/>
      <c r="BLX72" s="299"/>
      <c r="BLY72" s="299"/>
      <c r="BLZ72" s="299"/>
      <c r="BMA72" s="299"/>
      <c r="BMB72" s="299"/>
      <c r="BMC72" s="299"/>
      <c r="BMD72" s="299"/>
      <c r="BME72" s="299"/>
      <c r="BMF72" s="299"/>
      <c r="BMG72" s="299"/>
      <c r="BMH72" s="299"/>
      <c r="BMI72" s="299"/>
      <c r="BMJ72" s="299"/>
      <c r="BMK72" s="299"/>
      <c r="BML72" s="299"/>
      <c r="BMM72" s="299"/>
      <c r="BMN72" s="299"/>
      <c r="BMO72" s="299"/>
      <c r="BMP72" s="299"/>
      <c r="BMQ72" s="299"/>
      <c r="BMR72" s="299"/>
      <c r="BMS72" s="299"/>
      <c r="BMT72" s="299"/>
      <c r="BMU72" s="299"/>
      <c r="BMV72" s="299"/>
      <c r="BMW72" s="299"/>
      <c r="BMX72" s="299"/>
      <c r="BMY72" s="299"/>
      <c r="BMZ72" s="299"/>
      <c r="BNA72" s="299"/>
      <c r="BNB72" s="299"/>
      <c r="BNC72" s="299"/>
      <c r="BND72" s="299"/>
      <c r="BNE72" s="299"/>
      <c r="BNF72" s="299"/>
      <c r="BNG72" s="299"/>
      <c r="BNH72" s="299"/>
      <c r="BNI72" s="299"/>
      <c r="BNJ72" s="299"/>
      <c r="BNK72" s="299"/>
      <c r="BNL72" s="299"/>
      <c r="BNM72" s="299"/>
      <c r="BNN72" s="299"/>
      <c r="BNO72" s="299"/>
      <c r="BNP72" s="299"/>
      <c r="BNQ72" s="299"/>
      <c r="BNR72" s="299"/>
      <c r="BNS72" s="299"/>
      <c r="BNT72" s="299"/>
      <c r="BNU72" s="299"/>
      <c r="BNV72" s="299"/>
      <c r="BNW72" s="299"/>
      <c r="BNX72" s="299"/>
      <c r="BNY72" s="299"/>
      <c r="BNZ72" s="299"/>
      <c r="BOA72" s="299"/>
      <c r="BOB72" s="299"/>
      <c r="BOC72" s="299"/>
      <c r="BOD72" s="299"/>
      <c r="BOE72" s="299"/>
      <c r="BOF72" s="299"/>
      <c r="BOG72" s="299"/>
      <c r="BOH72" s="299"/>
      <c r="BOI72" s="299"/>
      <c r="BOJ72" s="299"/>
      <c r="BOK72" s="299"/>
      <c r="BOL72" s="299"/>
      <c r="BOM72" s="299"/>
      <c r="BON72" s="299"/>
      <c r="BOO72" s="299"/>
      <c r="BOP72" s="299"/>
      <c r="BOQ72" s="299"/>
      <c r="BOR72" s="299"/>
      <c r="BOS72" s="299"/>
      <c r="BOT72" s="299"/>
      <c r="BOU72" s="299"/>
      <c r="BOV72" s="299"/>
      <c r="BOW72" s="299"/>
      <c r="BOX72" s="299"/>
      <c r="BOY72" s="299"/>
      <c r="BOZ72" s="299"/>
      <c r="BPA72" s="299"/>
      <c r="BPB72" s="299"/>
      <c r="BPC72" s="299"/>
      <c r="BPD72" s="299"/>
      <c r="BPE72" s="299"/>
      <c r="BPF72" s="299"/>
      <c r="BPG72" s="299"/>
      <c r="BPH72" s="299"/>
      <c r="BPI72" s="299"/>
      <c r="BPJ72" s="299"/>
      <c r="BPK72" s="299"/>
      <c r="BPL72" s="299"/>
      <c r="BPM72" s="299"/>
      <c r="BPN72" s="299"/>
      <c r="BPO72" s="299"/>
      <c r="BPP72" s="299"/>
      <c r="BPQ72" s="299"/>
      <c r="BPR72" s="299"/>
      <c r="BPS72" s="299"/>
      <c r="BPT72" s="299"/>
      <c r="BPU72" s="299"/>
      <c r="BPV72" s="299"/>
      <c r="BPW72" s="299"/>
      <c r="BPX72" s="299"/>
      <c r="BPY72" s="299"/>
      <c r="BPZ72" s="299"/>
      <c r="BQA72" s="299"/>
      <c r="BQB72" s="299"/>
      <c r="BQC72" s="299"/>
      <c r="BQD72" s="299"/>
      <c r="BQE72" s="299"/>
      <c r="BQF72" s="299"/>
      <c r="BQG72" s="299"/>
      <c r="BQH72" s="299"/>
      <c r="BQI72" s="299"/>
      <c r="BQJ72" s="299"/>
      <c r="BQK72" s="299"/>
      <c r="BQL72" s="299"/>
      <c r="BQM72" s="299"/>
      <c r="BQN72" s="299"/>
      <c r="BQO72" s="299"/>
      <c r="BQP72" s="299"/>
      <c r="BQQ72" s="299"/>
      <c r="BQR72" s="299"/>
      <c r="BQS72" s="299"/>
      <c r="BQT72" s="299"/>
      <c r="BQU72" s="299"/>
      <c r="BQV72" s="299"/>
      <c r="BQW72" s="299"/>
      <c r="BQX72" s="299"/>
      <c r="BQY72" s="299"/>
      <c r="BQZ72" s="299"/>
      <c r="BRA72" s="299"/>
      <c r="BRB72" s="299"/>
      <c r="BRC72" s="299"/>
      <c r="BRD72" s="299"/>
      <c r="BRE72" s="299"/>
      <c r="BRF72" s="299"/>
      <c r="BRG72" s="299"/>
      <c r="BRH72" s="299"/>
      <c r="BRI72" s="299"/>
      <c r="BRJ72" s="299"/>
      <c r="BRK72" s="299"/>
      <c r="BRL72" s="299"/>
      <c r="BRM72" s="299"/>
      <c r="BRN72" s="299"/>
      <c r="BRO72" s="299"/>
      <c r="BRP72" s="299"/>
      <c r="BRQ72" s="299"/>
      <c r="BRR72" s="299"/>
      <c r="BRS72" s="299"/>
      <c r="BRT72" s="299"/>
      <c r="BRU72" s="299"/>
      <c r="BRV72" s="299"/>
      <c r="BRW72" s="299"/>
      <c r="BRX72" s="299"/>
      <c r="BRY72" s="299"/>
      <c r="BRZ72" s="299"/>
      <c r="BSA72" s="299"/>
      <c r="BSB72" s="299"/>
      <c r="BSC72" s="299"/>
      <c r="BSD72" s="299"/>
      <c r="BSE72" s="299"/>
      <c r="BSF72" s="299"/>
      <c r="BSG72" s="299"/>
      <c r="BSH72" s="299"/>
      <c r="BSI72" s="299"/>
      <c r="BSJ72" s="299"/>
      <c r="BSK72" s="299"/>
      <c r="BSL72" s="299"/>
      <c r="BSM72" s="299"/>
      <c r="BSN72" s="299"/>
      <c r="BSO72" s="299"/>
      <c r="BSP72" s="299"/>
      <c r="BSQ72" s="299"/>
      <c r="BSR72" s="299"/>
      <c r="BSS72" s="299"/>
      <c r="BST72" s="299"/>
      <c r="BSU72" s="299"/>
      <c r="BSV72" s="299"/>
      <c r="BSW72" s="299"/>
      <c r="BSX72" s="299"/>
      <c r="BSY72" s="299"/>
      <c r="BSZ72" s="299"/>
      <c r="BTA72" s="299"/>
      <c r="BTB72" s="299"/>
      <c r="BTC72" s="299"/>
      <c r="BTD72" s="299"/>
      <c r="BTE72" s="299"/>
      <c r="BTF72" s="299"/>
      <c r="BTG72" s="299"/>
      <c r="BTH72" s="299"/>
      <c r="BTI72" s="299"/>
      <c r="BTJ72" s="299"/>
      <c r="BTK72" s="299"/>
      <c r="BTL72" s="299"/>
      <c r="BTM72" s="299"/>
      <c r="BTN72" s="299"/>
      <c r="BTO72" s="299"/>
      <c r="BTP72" s="299"/>
      <c r="BTQ72" s="299"/>
      <c r="BTR72" s="299"/>
      <c r="BTS72" s="299"/>
      <c r="BTT72" s="299"/>
      <c r="BTU72" s="299"/>
      <c r="BTV72" s="299"/>
      <c r="BTW72" s="299"/>
      <c r="BTX72" s="299"/>
      <c r="BTY72" s="299"/>
      <c r="BTZ72" s="299"/>
      <c r="BUA72" s="299"/>
      <c r="BUB72" s="299"/>
      <c r="BUC72" s="299"/>
      <c r="BUD72" s="299"/>
      <c r="BUE72" s="299"/>
      <c r="BUF72" s="299"/>
      <c r="BUG72" s="299"/>
      <c r="BUH72" s="299"/>
      <c r="BUI72" s="299"/>
      <c r="BUJ72" s="299"/>
      <c r="BUK72" s="299"/>
      <c r="BUL72" s="299"/>
      <c r="BUM72" s="299"/>
      <c r="BUN72" s="299"/>
      <c r="BUO72" s="299"/>
      <c r="BUP72" s="299"/>
      <c r="BUQ72" s="299"/>
      <c r="BUR72" s="299"/>
      <c r="BUS72" s="299"/>
      <c r="BUT72" s="299"/>
      <c r="BUU72" s="299"/>
      <c r="BUV72" s="299"/>
      <c r="BUW72" s="299"/>
      <c r="BUX72" s="299"/>
      <c r="BUY72" s="299"/>
      <c r="BUZ72" s="299"/>
      <c r="BVA72" s="299"/>
      <c r="BVB72" s="299"/>
      <c r="BVC72" s="299"/>
      <c r="BVD72" s="299"/>
      <c r="BVE72" s="299"/>
      <c r="BVF72" s="299"/>
      <c r="BVG72" s="299"/>
      <c r="BVH72" s="299"/>
      <c r="BVI72" s="299"/>
      <c r="BVJ72" s="299"/>
      <c r="BVK72" s="299"/>
      <c r="BVL72" s="299"/>
      <c r="BVM72" s="299"/>
      <c r="BVN72" s="299"/>
      <c r="BVO72" s="299"/>
      <c r="BVP72" s="299"/>
      <c r="BVQ72" s="299"/>
      <c r="BVR72" s="299"/>
      <c r="BVS72" s="299"/>
      <c r="BVT72" s="299"/>
      <c r="BVU72" s="299"/>
      <c r="BVV72" s="299"/>
      <c r="BVW72" s="299"/>
      <c r="BVX72" s="299"/>
      <c r="BVY72" s="299"/>
      <c r="BVZ72" s="299"/>
      <c r="BWA72" s="299"/>
      <c r="BWB72" s="299"/>
      <c r="BWC72" s="299"/>
      <c r="BWD72" s="299"/>
      <c r="BWE72" s="299"/>
      <c r="BWF72" s="299"/>
      <c r="BWG72" s="299"/>
      <c r="BWH72" s="299"/>
      <c r="BWI72" s="299"/>
      <c r="BWJ72" s="299"/>
      <c r="BWK72" s="299"/>
      <c r="BWL72" s="299"/>
      <c r="BWM72" s="299"/>
      <c r="BWN72" s="299"/>
      <c r="BWO72" s="299"/>
      <c r="BWP72" s="299"/>
      <c r="BWQ72" s="299"/>
      <c r="BWR72" s="299"/>
      <c r="BWS72" s="299"/>
      <c r="BWT72" s="299"/>
      <c r="BWU72" s="299"/>
      <c r="BWV72" s="299"/>
      <c r="BWW72" s="299"/>
      <c r="BWX72" s="299"/>
      <c r="BWY72" s="299"/>
      <c r="BWZ72" s="299"/>
      <c r="BXA72" s="299"/>
      <c r="BXB72" s="299"/>
      <c r="BXC72" s="299"/>
      <c r="BXD72" s="299"/>
      <c r="BXE72" s="299"/>
      <c r="BXF72" s="299"/>
      <c r="BXG72" s="299"/>
      <c r="BXH72" s="299"/>
      <c r="BXI72" s="299"/>
      <c r="BXJ72" s="299"/>
      <c r="BXK72" s="299"/>
      <c r="BXL72" s="299"/>
      <c r="BXM72" s="299"/>
      <c r="BXN72" s="299"/>
      <c r="BXO72" s="299"/>
      <c r="BXP72" s="299"/>
      <c r="BXQ72" s="299"/>
      <c r="BXR72" s="299"/>
      <c r="BXS72" s="299"/>
      <c r="BXT72" s="299"/>
      <c r="BXU72" s="299"/>
      <c r="BXV72" s="299"/>
      <c r="BXW72" s="299"/>
      <c r="BXX72" s="299"/>
      <c r="BXY72" s="299"/>
      <c r="BXZ72" s="299"/>
      <c r="BYA72" s="299"/>
      <c r="BYB72" s="299"/>
      <c r="BYC72" s="299"/>
      <c r="BYD72" s="299"/>
      <c r="BYE72" s="299"/>
      <c r="BYF72" s="299"/>
      <c r="BYG72" s="299"/>
      <c r="BYH72" s="299"/>
      <c r="BYI72" s="299"/>
      <c r="BYJ72" s="299"/>
      <c r="BYK72" s="299"/>
      <c r="BYL72" s="299"/>
      <c r="BYM72" s="299"/>
      <c r="BYN72" s="299"/>
      <c r="BYO72" s="299"/>
      <c r="BYP72" s="299"/>
      <c r="BYQ72" s="299"/>
      <c r="BYR72" s="299"/>
      <c r="BYS72" s="299"/>
      <c r="BYT72" s="299"/>
      <c r="BYU72" s="299"/>
      <c r="BYV72" s="299"/>
      <c r="BYW72" s="299"/>
      <c r="BYX72" s="299"/>
      <c r="BYY72" s="299"/>
      <c r="BYZ72" s="299"/>
      <c r="BZA72" s="299"/>
      <c r="BZB72" s="299"/>
      <c r="BZC72" s="299"/>
      <c r="BZD72" s="299"/>
      <c r="BZE72" s="299"/>
      <c r="BZF72" s="299"/>
      <c r="BZG72" s="299"/>
      <c r="BZH72" s="299"/>
      <c r="BZI72" s="299"/>
      <c r="BZJ72" s="299"/>
      <c r="BZK72" s="299"/>
      <c r="BZL72" s="299"/>
      <c r="BZM72" s="299"/>
      <c r="BZN72" s="299"/>
      <c r="BZO72" s="299"/>
      <c r="BZP72" s="299"/>
      <c r="BZQ72" s="299"/>
      <c r="BZR72" s="299"/>
      <c r="BZS72" s="299"/>
      <c r="BZT72" s="299"/>
      <c r="BZU72" s="299"/>
      <c r="BZV72" s="299"/>
      <c r="BZW72" s="299"/>
      <c r="BZX72" s="299"/>
      <c r="BZY72" s="299"/>
      <c r="BZZ72" s="299"/>
      <c r="CAA72" s="299"/>
      <c r="CAB72" s="299"/>
      <c r="CAC72" s="299"/>
      <c r="CAD72" s="299"/>
      <c r="CAE72" s="299"/>
      <c r="CAF72" s="299"/>
      <c r="CAG72" s="299"/>
      <c r="CAH72" s="299"/>
      <c r="CAI72" s="299"/>
      <c r="CAJ72" s="299"/>
      <c r="CAK72" s="299"/>
      <c r="CAL72" s="299"/>
      <c r="CAM72" s="299"/>
      <c r="CAN72" s="299"/>
      <c r="CAO72" s="299"/>
      <c r="CAP72" s="299"/>
      <c r="CAQ72" s="299"/>
      <c r="CAR72" s="299"/>
      <c r="CAS72" s="299"/>
      <c r="CAT72" s="299"/>
      <c r="CAU72" s="299"/>
      <c r="CAV72" s="299"/>
      <c r="CAW72" s="299"/>
      <c r="CAX72" s="299"/>
      <c r="CAY72" s="299"/>
      <c r="CAZ72" s="299"/>
      <c r="CBA72" s="299"/>
      <c r="CBB72" s="299"/>
      <c r="CBC72" s="299"/>
      <c r="CBD72" s="299"/>
      <c r="CBE72" s="299"/>
      <c r="CBF72" s="299"/>
      <c r="CBG72" s="299"/>
      <c r="CBH72" s="299"/>
      <c r="CBI72" s="299"/>
      <c r="CBJ72" s="299"/>
      <c r="CBK72" s="299"/>
      <c r="CBL72" s="299"/>
      <c r="CBM72" s="299"/>
      <c r="CBN72" s="299"/>
      <c r="CBO72" s="299"/>
      <c r="CBP72" s="299"/>
      <c r="CBQ72" s="299"/>
      <c r="CBR72" s="299"/>
      <c r="CBS72" s="299"/>
      <c r="CBT72" s="299"/>
      <c r="CBU72" s="299"/>
      <c r="CBV72" s="299"/>
      <c r="CBW72" s="299"/>
      <c r="CBX72" s="299"/>
      <c r="CBY72" s="299"/>
      <c r="CBZ72" s="299"/>
      <c r="CCA72" s="299"/>
      <c r="CCB72" s="299"/>
      <c r="CCC72" s="299"/>
      <c r="CCD72" s="299"/>
      <c r="CCE72" s="299"/>
      <c r="CCF72" s="299"/>
      <c r="CCG72" s="299"/>
      <c r="CCH72" s="299"/>
      <c r="CCI72" s="299"/>
      <c r="CCJ72" s="299"/>
      <c r="CCK72" s="299"/>
      <c r="CCL72" s="299"/>
      <c r="CCM72" s="299"/>
      <c r="CCN72" s="299"/>
      <c r="CCO72" s="299"/>
      <c r="CCP72" s="299"/>
      <c r="CCQ72" s="299"/>
      <c r="CCR72" s="299"/>
      <c r="CCS72" s="299"/>
      <c r="CCT72" s="299"/>
      <c r="CCU72" s="299"/>
      <c r="CCV72" s="299"/>
      <c r="CCW72" s="299"/>
      <c r="CCX72" s="299"/>
      <c r="CCY72" s="299"/>
      <c r="CCZ72" s="299"/>
      <c r="CDA72" s="299"/>
      <c r="CDB72" s="299"/>
      <c r="CDC72" s="299"/>
      <c r="CDD72" s="299"/>
      <c r="CDE72" s="299"/>
      <c r="CDF72" s="299"/>
      <c r="CDG72" s="299"/>
      <c r="CDH72" s="299"/>
      <c r="CDI72" s="299"/>
      <c r="CDJ72" s="299"/>
      <c r="CDK72" s="299"/>
      <c r="CDL72" s="299"/>
      <c r="CDM72" s="299"/>
      <c r="CDN72" s="299"/>
      <c r="CDO72" s="299"/>
      <c r="CDP72" s="299"/>
      <c r="CDQ72" s="299"/>
      <c r="CDR72" s="299"/>
      <c r="CDS72" s="299"/>
      <c r="CDT72" s="299"/>
      <c r="CDU72" s="299"/>
      <c r="CDV72" s="299"/>
      <c r="CDW72" s="299"/>
      <c r="CDX72" s="299"/>
      <c r="CDY72" s="299"/>
      <c r="CDZ72" s="299"/>
      <c r="CEA72" s="299"/>
      <c r="CEB72" s="299"/>
      <c r="CEC72" s="299"/>
      <c r="CED72" s="299"/>
      <c r="CEE72" s="299"/>
      <c r="CEF72" s="299"/>
      <c r="CEG72" s="299"/>
      <c r="CEH72" s="299"/>
      <c r="CEI72" s="299"/>
      <c r="CEJ72" s="299"/>
      <c r="CEK72" s="299"/>
      <c r="CEL72" s="299"/>
      <c r="CEM72" s="299"/>
      <c r="CEN72" s="299"/>
      <c r="CEO72" s="299"/>
      <c r="CEP72" s="299"/>
      <c r="CEQ72" s="299"/>
      <c r="CER72" s="299"/>
      <c r="CES72" s="299"/>
      <c r="CET72" s="299"/>
      <c r="CEU72" s="299"/>
      <c r="CEV72" s="299"/>
      <c r="CEW72" s="299"/>
      <c r="CEX72" s="299"/>
      <c r="CEY72" s="299"/>
      <c r="CEZ72" s="299"/>
      <c r="CFA72" s="299"/>
      <c r="CFB72" s="299"/>
      <c r="CFC72" s="299"/>
      <c r="CFD72" s="299"/>
      <c r="CFE72" s="299"/>
      <c r="CFF72" s="299"/>
      <c r="CFG72" s="299"/>
      <c r="CFH72" s="299"/>
      <c r="CFI72" s="299"/>
      <c r="CFJ72" s="299"/>
      <c r="CFK72" s="299"/>
      <c r="CFL72" s="299"/>
      <c r="CFM72" s="299"/>
      <c r="CFN72" s="299"/>
      <c r="CFO72" s="299"/>
      <c r="CFP72" s="299"/>
      <c r="CFQ72" s="299"/>
      <c r="CFR72" s="299"/>
      <c r="CFS72" s="299"/>
      <c r="CFT72" s="299"/>
      <c r="CFU72" s="299"/>
      <c r="CFV72" s="299"/>
      <c r="CFW72" s="299"/>
      <c r="CFX72" s="299"/>
      <c r="CFY72" s="299"/>
      <c r="CFZ72" s="299"/>
      <c r="CGA72" s="299"/>
      <c r="CGB72" s="299"/>
      <c r="CGC72" s="299"/>
      <c r="CGD72" s="299"/>
      <c r="CGE72" s="299"/>
      <c r="CGF72" s="299"/>
      <c r="CGG72" s="299"/>
      <c r="CGH72" s="299"/>
      <c r="CGI72" s="299"/>
      <c r="CGJ72" s="299"/>
      <c r="CGK72" s="299"/>
      <c r="CGL72" s="299"/>
      <c r="CGM72" s="299"/>
      <c r="CGN72" s="299"/>
      <c r="CGO72" s="299"/>
      <c r="CGP72" s="299"/>
      <c r="CGQ72" s="299"/>
      <c r="CGR72" s="299"/>
      <c r="CGS72" s="299"/>
      <c r="CGT72" s="299"/>
      <c r="CGU72" s="299"/>
      <c r="CGV72" s="299"/>
      <c r="CGW72" s="299"/>
      <c r="CGX72" s="299"/>
      <c r="CGY72" s="299"/>
      <c r="CGZ72" s="299"/>
      <c r="CHA72" s="299"/>
      <c r="CHB72" s="299"/>
      <c r="CHC72" s="299"/>
      <c r="CHD72" s="299"/>
      <c r="CHE72" s="299"/>
      <c r="CHF72" s="299"/>
      <c r="CHG72" s="299"/>
      <c r="CHH72" s="299"/>
      <c r="CHI72" s="299"/>
      <c r="CHJ72" s="299"/>
      <c r="CHK72" s="299"/>
      <c r="CHL72" s="299"/>
      <c r="CHM72" s="299"/>
      <c r="CHN72" s="299"/>
      <c r="CHO72" s="299"/>
      <c r="CHP72" s="299"/>
      <c r="CHQ72" s="299"/>
      <c r="CHR72" s="299"/>
      <c r="CHS72" s="299"/>
      <c r="CHT72" s="299"/>
      <c r="CHU72" s="299"/>
      <c r="CHV72" s="299"/>
      <c r="CHW72" s="299"/>
      <c r="CHX72" s="299"/>
      <c r="CHY72" s="299"/>
      <c r="CHZ72" s="299"/>
      <c r="CIA72" s="299"/>
      <c r="CIB72" s="299"/>
      <c r="CIC72" s="299"/>
      <c r="CID72" s="299"/>
      <c r="CIE72" s="299"/>
      <c r="CIF72" s="299"/>
      <c r="CIG72" s="299"/>
      <c r="CIH72" s="299"/>
      <c r="CII72" s="299"/>
      <c r="CIJ72" s="299"/>
      <c r="CIK72" s="299"/>
      <c r="CIL72" s="299"/>
      <c r="CIM72" s="299"/>
      <c r="CIN72" s="299"/>
      <c r="CIO72" s="299"/>
      <c r="CIP72" s="299"/>
      <c r="CIQ72" s="299"/>
      <c r="CIR72" s="299"/>
      <c r="CIS72" s="299"/>
      <c r="CIT72" s="299"/>
      <c r="CIU72" s="299"/>
      <c r="CIV72" s="299"/>
      <c r="CIW72" s="299"/>
      <c r="CIX72" s="299"/>
      <c r="CIY72" s="299"/>
      <c r="CIZ72" s="299"/>
      <c r="CJA72" s="299"/>
      <c r="CJB72" s="299"/>
      <c r="CJC72" s="299"/>
      <c r="CJD72" s="299"/>
      <c r="CJE72" s="299"/>
      <c r="CJF72" s="299"/>
      <c r="CJG72" s="299"/>
      <c r="CJH72" s="299"/>
      <c r="CJI72" s="299"/>
      <c r="CJJ72" s="299"/>
      <c r="CJK72" s="299"/>
      <c r="CJL72" s="299"/>
      <c r="CJM72" s="299"/>
      <c r="CJN72" s="299"/>
      <c r="CJO72" s="299"/>
      <c r="CJP72" s="299"/>
      <c r="CJQ72" s="299"/>
      <c r="CJR72" s="299"/>
      <c r="CJS72" s="299"/>
      <c r="CJT72" s="299"/>
      <c r="CJU72" s="299"/>
      <c r="CJV72" s="299"/>
      <c r="CJW72" s="299"/>
      <c r="CJX72" s="299"/>
      <c r="CJY72" s="299"/>
      <c r="CJZ72" s="299"/>
      <c r="CKA72" s="299"/>
      <c r="CKB72" s="299"/>
      <c r="CKC72" s="299"/>
      <c r="CKD72" s="299"/>
      <c r="CKE72" s="299"/>
      <c r="CKF72" s="299"/>
      <c r="CKG72" s="299"/>
      <c r="CKH72" s="299"/>
      <c r="CKI72" s="299"/>
      <c r="CKJ72" s="299"/>
      <c r="CKK72" s="299"/>
      <c r="CKL72" s="299"/>
      <c r="CKM72" s="299"/>
      <c r="CKN72" s="299"/>
      <c r="CKO72" s="299"/>
      <c r="CKP72" s="299"/>
      <c r="CKQ72" s="299"/>
      <c r="CKR72" s="299"/>
      <c r="CKS72" s="299"/>
      <c r="CKT72" s="299"/>
      <c r="CKU72" s="299"/>
      <c r="CKV72" s="299"/>
      <c r="CKW72" s="299"/>
      <c r="CKX72" s="299"/>
      <c r="CKY72" s="299"/>
      <c r="CKZ72" s="299"/>
      <c r="CLA72" s="299"/>
      <c r="CLB72" s="299"/>
      <c r="CLC72" s="299"/>
      <c r="CLD72" s="299"/>
      <c r="CLE72" s="299"/>
      <c r="CLF72" s="299"/>
      <c r="CLG72" s="299"/>
      <c r="CLH72" s="299"/>
      <c r="CLI72" s="299"/>
      <c r="CLJ72" s="299"/>
      <c r="CLK72" s="299"/>
      <c r="CLL72" s="299"/>
      <c r="CLM72" s="299"/>
      <c r="CLN72" s="299"/>
      <c r="CLO72" s="299"/>
      <c r="CLP72" s="299"/>
      <c r="CLQ72" s="299"/>
      <c r="CLR72" s="299"/>
      <c r="CLS72" s="299"/>
      <c r="CLT72" s="299"/>
      <c r="CLU72" s="299"/>
      <c r="CLV72" s="299"/>
      <c r="CLW72" s="299"/>
      <c r="CLX72" s="299"/>
      <c r="CLY72" s="299"/>
      <c r="CLZ72" s="299"/>
      <c r="CMA72" s="299"/>
      <c r="CMB72" s="299"/>
      <c r="CMC72" s="299"/>
      <c r="CMD72" s="299"/>
      <c r="CME72" s="299"/>
      <c r="CMF72" s="299"/>
      <c r="CMG72" s="299"/>
      <c r="CMH72" s="299"/>
      <c r="CMI72" s="299"/>
      <c r="CMJ72" s="299"/>
      <c r="CMK72" s="299"/>
      <c r="CML72" s="299"/>
      <c r="CMM72" s="299"/>
      <c r="CMN72" s="299"/>
      <c r="CMO72" s="299"/>
      <c r="CMP72" s="299"/>
      <c r="CMQ72" s="299"/>
      <c r="CMR72" s="299"/>
      <c r="CMS72" s="299"/>
      <c r="CMT72" s="299"/>
      <c r="CMU72" s="299"/>
      <c r="CMV72" s="299"/>
      <c r="CMW72" s="299"/>
      <c r="CMX72" s="299"/>
      <c r="CMY72" s="299"/>
      <c r="CMZ72" s="299"/>
      <c r="CNA72" s="299"/>
      <c r="CNB72" s="299"/>
      <c r="CNC72" s="299"/>
      <c r="CND72" s="299"/>
      <c r="CNE72" s="299"/>
      <c r="CNF72" s="299"/>
      <c r="CNG72" s="299"/>
      <c r="CNH72" s="299"/>
      <c r="CNI72" s="299"/>
      <c r="CNJ72" s="299"/>
      <c r="CNK72" s="299"/>
      <c r="CNL72" s="299"/>
      <c r="CNM72" s="299"/>
      <c r="CNN72" s="299"/>
      <c r="CNO72" s="299"/>
      <c r="CNP72" s="299"/>
      <c r="CNQ72" s="299"/>
      <c r="CNR72" s="299"/>
      <c r="CNS72" s="299"/>
      <c r="CNT72" s="299"/>
      <c r="CNU72" s="299"/>
      <c r="CNV72" s="299"/>
      <c r="CNW72" s="299"/>
      <c r="CNX72" s="299"/>
      <c r="CNY72" s="299"/>
      <c r="CNZ72" s="299"/>
      <c r="COA72" s="299"/>
      <c r="COB72" s="299"/>
      <c r="COC72" s="299"/>
      <c r="COD72" s="299"/>
      <c r="COE72" s="299"/>
      <c r="COF72" s="299"/>
      <c r="COG72" s="299"/>
      <c r="COH72" s="299"/>
      <c r="COI72" s="299"/>
      <c r="COJ72" s="299"/>
      <c r="COK72" s="299"/>
      <c r="COL72" s="299"/>
      <c r="COM72" s="299"/>
      <c r="CON72" s="299"/>
      <c r="COO72" s="299"/>
      <c r="COP72" s="299"/>
      <c r="COQ72" s="299"/>
      <c r="COR72" s="299"/>
      <c r="COS72" s="299"/>
      <c r="COT72" s="299"/>
      <c r="COU72" s="299"/>
      <c r="COV72" s="299"/>
      <c r="COW72" s="299"/>
      <c r="COX72" s="299"/>
      <c r="COY72" s="299"/>
      <c r="COZ72" s="299"/>
      <c r="CPA72" s="299"/>
      <c r="CPB72" s="299"/>
      <c r="CPC72" s="299"/>
      <c r="CPD72" s="299"/>
      <c r="CPE72" s="299"/>
      <c r="CPF72" s="299"/>
      <c r="CPG72" s="299"/>
      <c r="CPH72" s="299"/>
      <c r="CPI72" s="299"/>
      <c r="CPJ72" s="299"/>
      <c r="CPK72" s="299"/>
      <c r="CPL72" s="299"/>
      <c r="CPM72" s="299"/>
      <c r="CPN72" s="299"/>
      <c r="CPO72" s="299"/>
      <c r="CPP72" s="299"/>
      <c r="CPQ72" s="299"/>
      <c r="CPR72" s="299"/>
      <c r="CPS72" s="299"/>
      <c r="CPT72" s="299"/>
      <c r="CPU72" s="299"/>
      <c r="CPV72" s="299"/>
      <c r="CPW72" s="299"/>
      <c r="CPX72" s="299"/>
      <c r="CPY72" s="299"/>
      <c r="CPZ72" s="299"/>
      <c r="CQA72" s="299"/>
      <c r="CQB72" s="299"/>
      <c r="CQC72" s="299"/>
      <c r="CQD72" s="299"/>
      <c r="CQE72" s="299"/>
      <c r="CQF72" s="299"/>
      <c r="CQG72" s="299"/>
      <c r="CQH72" s="299"/>
      <c r="CQI72" s="299"/>
      <c r="CQJ72" s="299"/>
      <c r="CQK72" s="299"/>
      <c r="CQL72" s="299"/>
      <c r="CQM72" s="299"/>
      <c r="CQN72" s="299"/>
      <c r="CQO72" s="299"/>
      <c r="CQP72" s="299"/>
      <c r="CQQ72" s="299"/>
      <c r="CQR72" s="299"/>
      <c r="CQS72" s="299"/>
      <c r="CQT72" s="299"/>
      <c r="CQU72" s="299"/>
      <c r="CQV72" s="299"/>
      <c r="CQW72" s="299"/>
      <c r="CQX72" s="299"/>
      <c r="CQY72" s="299"/>
      <c r="CQZ72" s="299"/>
      <c r="CRA72" s="299"/>
      <c r="CRB72" s="299"/>
      <c r="CRC72" s="299"/>
      <c r="CRD72" s="299"/>
      <c r="CRE72" s="299"/>
      <c r="CRF72" s="299"/>
      <c r="CRG72" s="299"/>
      <c r="CRH72" s="299"/>
      <c r="CRI72" s="299"/>
      <c r="CRJ72" s="299"/>
      <c r="CRK72" s="299"/>
      <c r="CRL72" s="299"/>
      <c r="CRM72" s="299"/>
      <c r="CRN72" s="299"/>
      <c r="CRO72" s="299"/>
      <c r="CRP72" s="299"/>
      <c r="CRQ72" s="299"/>
      <c r="CRR72" s="299"/>
      <c r="CRS72" s="299"/>
      <c r="CRT72" s="299"/>
      <c r="CRU72" s="299"/>
      <c r="CRV72" s="299"/>
      <c r="CRW72" s="299"/>
      <c r="CRX72" s="299"/>
      <c r="CRY72" s="299"/>
      <c r="CRZ72" s="299"/>
      <c r="CSA72" s="299"/>
      <c r="CSB72" s="299"/>
      <c r="CSC72" s="299"/>
      <c r="CSD72" s="299"/>
      <c r="CSE72" s="299"/>
      <c r="CSF72" s="299"/>
      <c r="CSG72" s="299"/>
      <c r="CSH72" s="299"/>
      <c r="CSI72" s="299"/>
      <c r="CSJ72" s="299"/>
      <c r="CSK72" s="299"/>
      <c r="CSL72" s="299"/>
      <c r="CSM72" s="299"/>
      <c r="CSN72" s="299"/>
      <c r="CSO72" s="299"/>
      <c r="CSP72" s="299"/>
      <c r="CSQ72" s="299"/>
      <c r="CSR72" s="299"/>
      <c r="CSS72" s="299"/>
      <c r="CST72" s="299"/>
      <c r="CSU72" s="299"/>
      <c r="CSV72" s="299"/>
      <c r="CSW72" s="299"/>
      <c r="CSX72" s="299"/>
      <c r="CSY72" s="299"/>
      <c r="CSZ72" s="299"/>
      <c r="CTA72" s="299"/>
      <c r="CTB72" s="299"/>
      <c r="CTC72" s="299"/>
      <c r="CTD72" s="299"/>
      <c r="CTE72" s="299"/>
      <c r="CTF72" s="299"/>
      <c r="CTG72" s="299"/>
      <c r="CTH72" s="299"/>
      <c r="CTI72" s="299"/>
      <c r="CTJ72" s="299"/>
      <c r="CTK72" s="299"/>
      <c r="CTL72" s="299"/>
      <c r="CTM72" s="299"/>
      <c r="CTN72" s="299"/>
      <c r="CTO72" s="299"/>
      <c r="CTP72" s="299"/>
      <c r="CTQ72" s="299"/>
      <c r="CTR72" s="299"/>
      <c r="CTS72" s="299"/>
      <c r="CTT72" s="299"/>
      <c r="CTU72" s="299"/>
      <c r="CTV72" s="299"/>
      <c r="CTW72" s="299"/>
      <c r="CTX72" s="299"/>
      <c r="CTY72" s="299"/>
      <c r="CTZ72" s="299"/>
      <c r="CUA72" s="299"/>
      <c r="CUB72" s="299"/>
      <c r="CUC72" s="299"/>
      <c r="CUD72" s="299"/>
      <c r="CUE72" s="299"/>
      <c r="CUF72" s="299"/>
      <c r="CUG72" s="299"/>
      <c r="CUH72" s="299"/>
      <c r="CUI72" s="299"/>
      <c r="CUJ72" s="299"/>
      <c r="CUK72" s="299"/>
      <c r="CUL72" s="299"/>
      <c r="CUM72" s="299"/>
      <c r="CUN72" s="299"/>
      <c r="CUO72" s="299"/>
      <c r="CUP72" s="299"/>
      <c r="CUQ72" s="299"/>
      <c r="CUR72" s="299"/>
      <c r="CUS72" s="299"/>
      <c r="CUT72" s="299"/>
      <c r="CUU72" s="299"/>
      <c r="CUV72" s="299"/>
      <c r="CUW72" s="299"/>
      <c r="CUX72" s="299"/>
      <c r="CUY72" s="299"/>
      <c r="CUZ72" s="299"/>
      <c r="CVA72" s="299"/>
      <c r="CVB72" s="299"/>
      <c r="CVC72" s="299"/>
      <c r="CVD72" s="299"/>
      <c r="CVE72" s="299"/>
      <c r="CVF72" s="299"/>
      <c r="CVG72" s="299"/>
      <c r="CVH72" s="299"/>
      <c r="CVI72" s="299"/>
      <c r="CVJ72" s="299"/>
      <c r="CVK72" s="299"/>
      <c r="CVL72" s="299"/>
      <c r="CVM72" s="299"/>
      <c r="CVN72" s="299"/>
      <c r="CVO72" s="299"/>
      <c r="CVP72" s="299"/>
      <c r="CVQ72" s="299"/>
      <c r="CVR72" s="299"/>
      <c r="CVS72" s="299"/>
      <c r="CVT72" s="299"/>
      <c r="CVU72" s="299"/>
      <c r="CVV72" s="299"/>
      <c r="CVW72" s="299"/>
      <c r="CVX72" s="299"/>
      <c r="CVY72" s="299"/>
      <c r="CVZ72" s="299"/>
      <c r="CWA72" s="299"/>
      <c r="CWB72" s="299"/>
      <c r="CWC72" s="299"/>
      <c r="CWD72" s="299"/>
      <c r="CWE72" s="299"/>
      <c r="CWF72" s="299"/>
      <c r="CWG72" s="299"/>
      <c r="CWH72" s="299"/>
      <c r="CWI72" s="299"/>
      <c r="CWJ72" s="299"/>
      <c r="CWK72" s="299"/>
      <c r="CWL72" s="299"/>
      <c r="CWM72" s="299"/>
      <c r="CWN72" s="299"/>
      <c r="CWO72" s="299"/>
      <c r="CWP72" s="299"/>
      <c r="CWQ72" s="299"/>
      <c r="CWR72" s="299"/>
      <c r="CWS72" s="299"/>
      <c r="CWT72" s="299"/>
      <c r="CWU72" s="299"/>
      <c r="CWV72" s="299"/>
      <c r="CWW72" s="299"/>
      <c r="CWX72" s="299"/>
      <c r="CWY72" s="299"/>
      <c r="CWZ72" s="299"/>
      <c r="CXA72" s="299"/>
      <c r="CXB72" s="299"/>
      <c r="CXC72" s="299"/>
      <c r="CXD72" s="299"/>
      <c r="CXE72" s="299"/>
      <c r="CXF72" s="299"/>
      <c r="CXG72" s="299"/>
      <c r="CXH72" s="299"/>
      <c r="CXI72" s="299"/>
      <c r="CXJ72" s="299"/>
      <c r="CXK72" s="299"/>
      <c r="CXL72" s="299"/>
      <c r="CXM72" s="299"/>
      <c r="CXN72" s="299"/>
      <c r="CXO72" s="299"/>
      <c r="CXP72" s="299"/>
      <c r="CXQ72" s="299"/>
      <c r="CXR72" s="299"/>
      <c r="CXS72" s="299"/>
      <c r="CXT72" s="299"/>
      <c r="CXU72" s="299"/>
      <c r="CXV72" s="299"/>
      <c r="CXW72" s="299"/>
      <c r="CXX72" s="299"/>
      <c r="CXY72" s="299"/>
      <c r="CXZ72" s="299"/>
      <c r="CYA72" s="299"/>
      <c r="CYB72" s="299"/>
      <c r="CYC72" s="299"/>
      <c r="CYD72" s="299"/>
      <c r="CYE72" s="299"/>
      <c r="CYF72" s="299"/>
      <c r="CYG72" s="299"/>
      <c r="CYH72" s="299"/>
      <c r="CYI72" s="299"/>
      <c r="CYJ72" s="299"/>
      <c r="CYK72" s="299"/>
      <c r="CYL72" s="299"/>
      <c r="CYM72" s="299"/>
      <c r="CYN72" s="299"/>
      <c r="CYO72" s="299"/>
      <c r="CYP72" s="299"/>
      <c r="CYQ72" s="299"/>
      <c r="CYR72" s="299"/>
      <c r="CYS72" s="299"/>
      <c r="CYT72" s="299"/>
      <c r="CYU72" s="299"/>
      <c r="CYV72" s="299"/>
      <c r="CYW72" s="299"/>
      <c r="CYX72" s="299"/>
      <c r="CYY72" s="299"/>
      <c r="CYZ72" s="299"/>
      <c r="CZA72" s="299"/>
      <c r="CZB72" s="299"/>
      <c r="CZC72" s="299"/>
      <c r="CZD72" s="299"/>
      <c r="CZE72" s="299"/>
      <c r="CZF72" s="299"/>
      <c r="CZG72" s="299"/>
      <c r="CZH72" s="299"/>
      <c r="CZI72" s="299"/>
      <c r="CZJ72" s="299"/>
      <c r="CZK72" s="299"/>
      <c r="CZL72" s="299"/>
      <c r="CZM72" s="299"/>
      <c r="CZN72" s="299"/>
      <c r="CZO72" s="299"/>
      <c r="CZP72" s="299"/>
      <c r="CZQ72" s="299"/>
      <c r="CZR72" s="299"/>
      <c r="CZS72" s="299"/>
      <c r="CZT72" s="299"/>
      <c r="CZU72" s="299"/>
      <c r="CZV72" s="299"/>
      <c r="CZW72" s="299"/>
      <c r="CZX72" s="299"/>
      <c r="CZY72" s="299"/>
      <c r="CZZ72" s="299"/>
      <c r="DAA72" s="299"/>
      <c r="DAB72" s="299"/>
      <c r="DAC72" s="299"/>
      <c r="DAD72" s="299"/>
      <c r="DAE72" s="299"/>
      <c r="DAF72" s="299"/>
      <c r="DAG72" s="299"/>
      <c r="DAH72" s="299"/>
      <c r="DAI72" s="299"/>
      <c r="DAJ72" s="299"/>
      <c r="DAK72" s="299"/>
      <c r="DAL72" s="299"/>
      <c r="DAM72" s="299"/>
      <c r="DAN72" s="299"/>
      <c r="DAO72" s="299"/>
      <c r="DAP72" s="299"/>
      <c r="DAQ72" s="299"/>
      <c r="DAR72" s="299"/>
      <c r="DAS72" s="299"/>
      <c r="DAT72" s="299"/>
      <c r="DAU72" s="299"/>
      <c r="DAV72" s="299"/>
      <c r="DAW72" s="299"/>
      <c r="DAX72" s="299"/>
      <c r="DAY72" s="299"/>
      <c r="DAZ72" s="299"/>
      <c r="DBA72" s="299"/>
      <c r="DBB72" s="299"/>
      <c r="DBC72" s="299"/>
      <c r="DBD72" s="299"/>
      <c r="DBE72" s="299"/>
      <c r="DBF72" s="299"/>
      <c r="DBG72" s="299"/>
      <c r="DBH72" s="299"/>
      <c r="DBI72" s="299"/>
      <c r="DBJ72" s="299"/>
      <c r="DBK72" s="299"/>
      <c r="DBL72" s="299"/>
      <c r="DBM72" s="299"/>
      <c r="DBN72" s="299"/>
      <c r="DBO72" s="299"/>
      <c r="DBP72" s="299"/>
      <c r="DBQ72" s="299"/>
      <c r="DBR72" s="299"/>
      <c r="DBS72" s="299"/>
      <c r="DBT72" s="299"/>
      <c r="DBU72" s="299"/>
      <c r="DBV72" s="299"/>
      <c r="DBW72" s="299"/>
      <c r="DBX72" s="299"/>
      <c r="DBY72" s="299"/>
      <c r="DBZ72" s="299"/>
      <c r="DCA72" s="299"/>
      <c r="DCB72" s="299"/>
      <c r="DCC72" s="299"/>
      <c r="DCD72" s="299"/>
      <c r="DCE72" s="299"/>
      <c r="DCF72" s="299"/>
      <c r="DCG72" s="299"/>
      <c r="DCH72" s="299"/>
      <c r="DCI72" s="299"/>
      <c r="DCJ72" s="299"/>
      <c r="DCK72" s="299"/>
      <c r="DCL72" s="299"/>
      <c r="DCM72" s="299"/>
      <c r="DCN72" s="299"/>
      <c r="DCO72" s="299"/>
      <c r="DCP72" s="299"/>
      <c r="DCQ72" s="299"/>
      <c r="DCR72" s="299"/>
      <c r="DCS72" s="299"/>
      <c r="DCT72" s="299"/>
      <c r="DCU72" s="299"/>
      <c r="DCV72" s="299"/>
      <c r="DCW72" s="299"/>
      <c r="DCX72" s="299"/>
      <c r="DCY72" s="299"/>
      <c r="DCZ72" s="299"/>
      <c r="DDA72" s="299"/>
      <c r="DDB72" s="299"/>
      <c r="DDC72" s="299"/>
      <c r="DDD72" s="299"/>
      <c r="DDE72" s="299"/>
      <c r="DDF72" s="299"/>
      <c r="DDG72" s="299"/>
      <c r="DDH72" s="299"/>
      <c r="DDI72" s="299"/>
      <c r="DDJ72" s="299"/>
      <c r="DDK72" s="299"/>
      <c r="DDL72" s="299"/>
      <c r="DDM72" s="299"/>
      <c r="DDN72" s="299"/>
      <c r="DDO72" s="299"/>
      <c r="DDP72" s="299"/>
      <c r="DDQ72" s="299"/>
      <c r="DDR72" s="299"/>
      <c r="DDS72" s="299"/>
      <c r="DDT72" s="299"/>
      <c r="DDU72" s="299"/>
      <c r="DDV72" s="299"/>
      <c r="DDW72" s="299"/>
      <c r="DDX72" s="299"/>
      <c r="DDY72" s="299"/>
      <c r="DDZ72" s="299"/>
      <c r="DEA72" s="299"/>
      <c r="DEB72" s="299"/>
      <c r="DEC72" s="299"/>
      <c r="DED72" s="299"/>
      <c r="DEE72" s="299"/>
      <c r="DEF72" s="299"/>
      <c r="DEG72" s="299"/>
      <c r="DEH72" s="299"/>
      <c r="DEI72" s="299"/>
      <c r="DEJ72" s="299"/>
      <c r="DEK72" s="299"/>
      <c r="DEL72" s="299"/>
      <c r="DEM72" s="299"/>
      <c r="DEN72" s="299"/>
      <c r="DEO72" s="299"/>
      <c r="DEP72" s="299"/>
      <c r="DEQ72" s="299"/>
      <c r="DER72" s="299"/>
      <c r="DES72" s="299"/>
      <c r="DET72" s="299"/>
      <c r="DEU72" s="299"/>
      <c r="DEV72" s="299"/>
      <c r="DEW72" s="299"/>
      <c r="DEX72" s="299"/>
      <c r="DEY72" s="299"/>
      <c r="DEZ72" s="299"/>
      <c r="DFA72" s="299"/>
      <c r="DFB72" s="299"/>
      <c r="DFC72" s="299"/>
      <c r="DFD72" s="299"/>
      <c r="DFE72" s="299"/>
      <c r="DFF72" s="299"/>
      <c r="DFG72" s="299"/>
      <c r="DFH72" s="299"/>
      <c r="DFI72" s="299"/>
      <c r="DFJ72" s="299"/>
      <c r="DFK72" s="299"/>
      <c r="DFL72" s="299"/>
      <c r="DFM72" s="299"/>
      <c r="DFN72" s="299"/>
      <c r="DFO72" s="299"/>
      <c r="DFP72" s="299"/>
      <c r="DFQ72" s="299"/>
      <c r="DFR72" s="299"/>
      <c r="DFS72" s="299"/>
      <c r="DFT72" s="299"/>
      <c r="DFU72" s="299"/>
      <c r="DFV72" s="299"/>
      <c r="DFW72" s="299"/>
      <c r="DFX72" s="299"/>
      <c r="DFY72" s="299"/>
      <c r="DFZ72" s="299"/>
      <c r="DGA72" s="299"/>
      <c r="DGB72" s="299"/>
      <c r="DGC72" s="299"/>
      <c r="DGD72" s="299"/>
      <c r="DGE72" s="299"/>
      <c r="DGF72" s="299"/>
      <c r="DGG72" s="299"/>
      <c r="DGH72" s="299"/>
      <c r="DGI72" s="299"/>
      <c r="DGJ72" s="299"/>
      <c r="DGK72" s="299"/>
      <c r="DGL72" s="299"/>
      <c r="DGM72" s="299"/>
      <c r="DGN72" s="299"/>
      <c r="DGO72" s="299"/>
      <c r="DGP72" s="299"/>
      <c r="DGQ72" s="299"/>
      <c r="DGR72" s="299"/>
      <c r="DGS72" s="299"/>
      <c r="DGT72" s="299"/>
      <c r="DGU72" s="299"/>
      <c r="DGV72" s="299"/>
      <c r="DGW72" s="299"/>
      <c r="DGX72" s="299"/>
      <c r="DGY72" s="299"/>
      <c r="DGZ72" s="299"/>
      <c r="DHA72" s="299"/>
      <c r="DHB72" s="299"/>
      <c r="DHC72" s="299"/>
      <c r="DHD72" s="299"/>
      <c r="DHE72" s="299"/>
      <c r="DHF72" s="299"/>
      <c r="DHG72" s="299"/>
      <c r="DHH72" s="299"/>
      <c r="DHI72" s="299"/>
      <c r="DHJ72" s="299"/>
      <c r="DHK72" s="299"/>
      <c r="DHL72" s="299"/>
      <c r="DHM72" s="299"/>
      <c r="DHN72" s="299"/>
      <c r="DHO72" s="299"/>
      <c r="DHP72" s="299"/>
      <c r="DHQ72" s="299"/>
      <c r="DHR72" s="299"/>
      <c r="DHS72" s="299"/>
      <c r="DHT72" s="299"/>
      <c r="DHU72" s="299"/>
      <c r="DHV72" s="299"/>
      <c r="DHW72" s="299"/>
      <c r="DHX72" s="299"/>
      <c r="DHY72" s="299"/>
      <c r="DHZ72" s="299"/>
      <c r="DIA72" s="299"/>
      <c r="DIB72" s="299"/>
      <c r="DIC72" s="299"/>
      <c r="DID72" s="299"/>
      <c r="DIE72" s="299"/>
      <c r="DIF72" s="299"/>
      <c r="DIG72" s="299"/>
      <c r="DIH72" s="299"/>
      <c r="DII72" s="299"/>
      <c r="DIJ72" s="299"/>
      <c r="DIK72" s="299"/>
      <c r="DIL72" s="299"/>
      <c r="DIM72" s="299"/>
      <c r="DIN72" s="299"/>
      <c r="DIO72" s="299"/>
      <c r="DIP72" s="299"/>
      <c r="DIQ72" s="299"/>
      <c r="DIR72" s="299"/>
      <c r="DIS72" s="299"/>
      <c r="DIT72" s="299"/>
      <c r="DIU72" s="299"/>
      <c r="DIV72" s="299"/>
      <c r="DIW72" s="299"/>
      <c r="DIX72" s="299"/>
      <c r="DIY72" s="299"/>
      <c r="DIZ72" s="299"/>
      <c r="DJA72" s="299"/>
      <c r="DJB72" s="299"/>
      <c r="DJC72" s="299"/>
      <c r="DJD72" s="299"/>
      <c r="DJE72" s="299"/>
      <c r="DJF72" s="299"/>
      <c r="DJG72" s="299"/>
      <c r="DJH72" s="299"/>
      <c r="DJI72" s="299"/>
      <c r="DJJ72" s="299"/>
      <c r="DJK72" s="299"/>
      <c r="DJL72" s="299"/>
      <c r="DJM72" s="299"/>
      <c r="DJN72" s="299"/>
      <c r="DJO72" s="299"/>
      <c r="DJP72" s="299"/>
      <c r="DJQ72" s="299"/>
      <c r="DJR72" s="299"/>
      <c r="DJS72" s="299"/>
      <c r="DJT72" s="299"/>
      <c r="DJU72" s="299"/>
      <c r="DJV72" s="299"/>
      <c r="DJW72" s="299"/>
      <c r="DJX72" s="299"/>
      <c r="DJY72" s="299"/>
      <c r="DJZ72" s="299"/>
      <c r="DKA72" s="299"/>
      <c r="DKB72" s="299"/>
      <c r="DKC72" s="299"/>
      <c r="DKD72" s="299"/>
      <c r="DKE72" s="299"/>
      <c r="DKF72" s="299"/>
      <c r="DKG72" s="299"/>
      <c r="DKH72" s="299"/>
      <c r="DKI72" s="299"/>
      <c r="DKJ72" s="299"/>
      <c r="DKK72" s="299"/>
      <c r="DKL72" s="299"/>
      <c r="DKM72" s="299"/>
      <c r="DKN72" s="299"/>
      <c r="DKO72" s="299"/>
      <c r="DKP72" s="299"/>
      <c r="DKQ72" s="299"/>
      <c r="DKR72" s="299"/>
      <c r="DKS72" s="299"/>
      <c r="DKT72" s="299"/>
      <c r="DKU72" s="299"/>
      <c r="DKV72" s="299"/>
      <c r="DKW72" s="299"/>
      <c r="DKX72" s="299"/>
      <c r="DKY72" s="299"/>
      <c r="DKZ72" s="299"/>
      <c r="DLA72" s="299"/>
      <c r="DLB72" s="299"/>
      <c r="DLC72" s="299"/>
      <c r="DLD72" s="299"/>
      <c r="DLE72" s="299"/>
      <c r="DLF72" s="299"/>
      <c r="DLG72" s="299"/>
      <c r="DLH72" s="299"/>
      <c r="DLI72" s="299"/>
      <c r="DLJ72" s="299"/>
      <c r="DLK72" s="299"/>
      <c r="DLL72" s="299"/>
      <c r="DLM72" s="299"/>
      <c r="DLN72" s="299"/>
      <c r="DLO72" s="299"/>
      <c r="DLP72" s="299"/>
      <c r="DLQ72" s="299"/>
      <c r="DLR72" s="299"/>
      <c r="DLS72" s="299"/>
      <c r="DLT72" s="299"/>
      <c r="DLU72" s="299"/>
      <c r="DLV72" s="299"/>
      <c r="DLW72" s="299"/>
      <c r="DLX72" s="299"/>
      <c r="DLY72" s="299"/>
      <c r="DLZ72" s="299"/>
      <c r="DMA72" s="299"/>
      <c r="DMB72" s="299"/>
      <c r="DMC72" s="299"/>
      <c r="DMD72" s="299"/>
      <c r="DME72" s="299"/>
      <c r="DMF72" s="299"/>
      <c r="DMG72" s="299"/>
      <c r="DMH72" s="299"/>
      <c r="DMI72" s="299"/>
      <c r="DMJ72" s="299"/>
      <c r="DMK72" s="299"/>
      <c r="DML72" s="299"/>
      <c r="DMM72" s="299"/>
      <c r="DMN72" s="299"/>
      <c r="DMO72" s="299"/>
      <c r="DMP72" s="299"/>
      <c r="DMQ72" s="299"/>
      <c r="DMR72" s="299"/>
      <c r="DMS72" s="299"/>
      <c r="DMT72" s="299"/>
      <c r="DMU72" s="299"/>
      <c r="DMV72" s="299"/>
      <c r="DMW72" s="299"/>
      <c r="DMX72" s="299"/>
      <c r="DMY72" s="299"/>
      <c r="DMZ72" s="299"/>
      <c r="DNA72" s="299"/>
      <c r="DNB72" s="299"/>
      <c r="DNC72" s="299"/>
      <c r="DND72" s="299"/>
      <c r="DNE72" s="299"/>
      <c r="DNF72" s="299"/>
      <c r="DNG72" s="299"/>
      <c r="DNH72" s="299"/>
      <c r="DNI72" s="299"/>
      <c r="DNJ72" s="299"/>
      <c r="DNK72" s="299"/>
      <c r="DNL72" s="299"/>
      <c r="DNM72" s="299"/>
      <c r="DNN72" s="299"/>
      <c r="DNO72" s="299"/>
      <c r="DNP72" s="299"/>
      <c r="DNQ72" s="299"/>
      <c r="DNR72" s="299"/>
      <c r="DNS72" s="299"/>
      <c r="DNT72" s="299"/>
      <c r="DNU72" s="299"/>
      <c r="DNV72" s="299"/>
      <c r="DNW72" s="299"/>
      <c r="DNX72" s="299"/>
      <c r="DNY72" s="299"/>
      <c r="DNZ72" s="299"/>
      <c r="DOA72" s="299"/>
      <c r="DOB72" s="299"/>
      <c r="DOC72" s="299"/>
      <c r="DOD72" s="299"/>
      <c r="DOE72" s="299"/>
      <c r="DOF72" s="299"/>
      <c r="DOG72" s="299"/>
      <c r="DOH72" s="299"/>
      <c r="DOI72" s="299"/>
      <c r="DOJ72" s="299"/>
      <c r="DOK72" s="299"/>
      <c r="DOL72" s="299"/>
      <c r="DOM72" s="299"/>
      <c r="DON72" s="299"/>
      <c r="DOO72" s="299"/>
      <c r="DOP72" s="299"/>
      <c r="DOQ72" s="299"/>
      <c r="DOR72" s="299"/>
      <c r="DOS72" s="299"/>
      <c r="DOT72" s="299"/>
      <c r="DOU72" s="299"/>
      <c r="DOV72" s="299"/>
      <c r="DOW72" s="299"/>
      <c r="DOX72" s="299"/>
      <c r="DOY72" s="299"/>
      <c r="DOZ72" s="299"/>
      <c r="DPA72" s="299"/>
      <c r="DPB72" s="299"/>
      <c r="DPC72" s="299"/>
      <c r="DPD72" s="299"/>
      <c r="DPE72" s="299"/>
      <c r="DPF72" s="299"/>
      <c r="DPG72" s="299"/>
      <c r="DPH72" s="299"/>
      <c r="DPI72" s="299"/>
      <c r="DPJ72" s="299"/>
      <c r="DPK72" s="299"/>
      <c r="DPL72" s="299"/>
      <c r="DPM72" s="299"/>
      <c r="DPN72" s="299"/>
      <c r="DPO72" s="299"/>
      <c r="DPP72" s="299"/>
      <c r="DPQ72" s="299"/>
      <c r="DPR72" s="299"/>
      <c r="DPS72" s="299"/>
      <c r="DPT72" s="299"/>
      <c r="DPU72" s="299"/>
      <c r="DPV72" s="299"/>
      <c r="DPW72" s="299"/>
      <c r="DPX72" s="299"/>
      <c r="DPY72" s="299"/>
      <c r="DPZ72" s="299"/>
      <c r="DQA72" s="299"/>
      <c r="DQB72" s="299"/>
      <c r="DQC72" s="299"/>
      <c r="DQD72" s="299"/>
      <c r="DQE72" s="299"/>
      <c r="DQF72" s="299"/>
      <c r="DQG72" s="299"/>
      <c r="DQH72" s="299"/>
      <c r="DQI72" s="299"/>
      <c r="DQJ72" s="299"/>
      <c r="DQK72" s="299"/>
      <c r="DQL72" s="299"/>
      <c r="DQM72" s="299"/>
      <c r="DQN72" s="299"/>
      <c r="DQO72" s="299"/>
      <c r="DQP72" s="299"/>
      <c r="DQQ72" s="299"/>
      <c r="DQR72" s="299"/>
      <c r="DQS72" s="299"/>
      <c r="DQT72" s="299"/>
      <c r="DQU72" s="299"/>
      <c r="DQV72" s="299"/>
      <c r="DQW72" s="299"/>
      <c r="DQX72" s="299"/>
      <c r="DQY72" s="299"/>
      <c r="DQZ72" s="299"/>
      <c r="DRA72" s="299"/>
      <c r="DRB72" s="299"/>
      <c r="DRC72" s="299"/>
      <c r="DRD72" s="299"/>
      <c r="DRE72" s="299"/>
      <c r="DRF72" s="299"/>
      <c r="DRG72" s="299"/>
      <c r="DRH72" s="299"/>
      <c r="DRI72" s="299"/>
      <c r="DRJ72" s="299"/>
      <c r="DRK72" s="299"/>
      <c r="DRL72" s="299"/>
      <c r="DRM72" s="299"/>
      <c r="DRN72" s="299"/>
      <c r="DRO72" s="299"/>
      <c r="DRP72" s="299"/>
      <c r="DRQ72" s="299"/>
      <c r="DRR72" s="299"/>
      <c r="DRS72" s="299"/>
      <c r="DRT72" s="299"/>
      <c r="DRU72" s="299"/>
      <c r="DRV72" s="299"/>
      <c r="DRW72" s="299"/>
      <c r="DRX72" s="299"/>
      <c r="DRY72" s="299"/>
      <c r="DRZ72" s="299"/>
      <c r="DSA72" s="299"/>
      <c r="DSB72" s="299"/>
      <c r="DSC72" s="299"/>
      <c r="DSD72" s="299"/>
      <c r="DSE72" s="299"/>
      <c r="DSF72" s="299"/>
      <c r="DSG72" s="299"/>
      <c r="DSH72" s="299"/>
      <c r="DSI72" s="299"/>
      <c r="DSJ72" s="299"/>
      <c r="DSK72" s="299"/>
      <c r="DSL72" s="299"/>
      <c r="DSM72" s="299"/>
      <c r="DSN72" s="299"/>
      <c r="DSO72" s="299"/>
      <c r="DSP72" s="299"/>
      <c r="DSQ72" s="299"/>
      <c r="DSR72" s="299"/>
      <c r="DSS72" s="299"/>
      <c r="DST72" s="299"/>
      <c r="DSU72" s="299"/>
      <c r="DSV72" s="299"/>
      <c r="DSW72" s="299"/>
      <c r="DSX72" s="299"/>
      <c r="DSY72" s="299"/>
      <c r="DSZ72" s="299"/>
      <c r="DTA72" s="299"/>
      <c r="DTB72" s="299"/>
      <c r="DTC72" s="299"/>
      <c r="DTD72" s="299"/>
      <c r="DTE72" s="299"/>
      <c r="DTF72" s="299"/>
      <c r="DTG72" s="299"/>
      <c r="DTH72" s="299"/>
      <c r="DTI72" s="299"/>
      <c r="DTJ72" s="299"/>
      <c r="DTK72" s="299"/>
      <c r="DTL72" s="299"/>
      <c r="DTM72" s="299"/>
      <c r="DTN72" s="299"/>
      <c r="DTO72" s="299"/>
      <c r="DTP72" s="299"/>
      <c r="DTQ72" s="299"/>
      <c r="DTR72" s="299"/>
      <c r="DTS72" s="299"/>
      <c r="DTT72" s="299"/>
      <c r="DTU72" s="299"/>
      <c r="DTV72" s="299"/>
      <c r="DTW72" s="299"/>
      <c r="DTX72" s="299"/>
      <c r="DTY72" s="299"/>
      <c r="DTZ72" s="299"/>
      <c r="DUA72" s="299"/>
      <c r="DUB72" s="299"/>
      <c r="DUC72" s="299"/>
      <c r="DUD72" s="299"/>
      <c r="DUE72" s="299"/>
      <c r="DUF72" s="299"/>
      <c r="DUG72" s="299"/>
      <c r="DUH72" s="299"/>
      <c r="DUI72" s="299"/>
      <c r="DUJ72" s="299"/>
      <c r="DUK72" s="299"/>
      <c r="DUL72" s="299"/>
      <c r="DUM72" s="299"/>
      <c r="DUN72" s="299"/>
      <c r="DUO72" s="299"/>
      <c r="DUP72" s="299"/>
      <c r="DUQ72" s="299"/>
      <c r="DUR72" s="299"/>
      <c r="DUS72" s="299"/>
      <c r="DUT72" s="299"/>
      <c r="DUU72" s="299"/>
      <c r="DUV72" s="299"/>
      <c r="DUW72" s="299"/>
      <c r="DUX72" s="299"/>
      <c r="DUY72" s="299"/>
      <c r="DUZ72" s="299"/>
      <c r="DVA72" s="299"/>
      <c r="DVB72" s="299"/>
      <c r="DVC72" s="299"/>
      <c r="DVD72" s="299"/>
      <c r="DVE72" s="299"/>
      <c r="DVF72" s="299"/>
      <c r="DVG72" s="299"/>
      <c r="DVH72" s="299"/>
      <c r="DVI72" s="299"/>
      <c r="DVJ72" s="299"/>
      <c r="DVK72" s="299"/>
      <c r="DVL72" s="299"/>
      <c r="DVM72" s="299"/>
      <c r="DVN72" s="299"/>
      <c r="DVO72" s="299"/>
      <c r="DVP72" s="299"/>
      <c r="DVQ72" s="299"/>
      <c r="DVR72" s="299"/>
      <c r="DVS72" s="299"/>
      <c r="DVT72" s="299"/>
      <c r="DVU72" s="299"/>
      <c r="DVV72" s="299"/>
      <c r="DVW72" s="299"/>
      <c r="DVX72" s="299"/>
      <c r="DVY72" s="299"/>
      <c r="DVZ72" s="299"/>
      <c r="DWA72" s="299"/>
      <c r="DWB72" s="299"/>
      <c r="DWC72" s="299"/>
      <c r="DWD72" s="299"/>
      <c r="DWE72" s="299"/>
      <c r="DWF72" s="299"/>
      <c r="DWG72" s="299"/>
      <c r="DWH72" s="299"/>
      <c r="DWI72" s="299"/>
      <c r="DWJ72" s="299"/>
      <c r="DWK72" s="299"/>
      <c r="DWL72" s="299"/>
      <c r="DWM72" s="299"/>
      <c r="DWN72" s="299"/>
      <c r="DWO72" s="299"/>
      <c r="DWP72" s="299"/>
      <c r="DWQ72" s="299"/>
      <c r="DWR72" s="299"/>
      <c r="DWS72" s="299"/>
      <c r="DWT72" s="299"/>
      <c r="DWU72" s="299"/>
      <c r="DWV72" s="299"/>
      <c r="DWW72" s="299"/>
      <c r="DWX72" s="299"/>
      <c r="DWY72" s="299"/>
      <c r="DWZ72" s="299"/>
      <c r="DXA72" s="299"/>
      <c r="DXB72" s="299"/>
      <c r="DXC72" s="299"/>
      <c r="DXD72" s="299"/>
      <c r="DXE72" s="299"/>
      <c r="DXF72" s="299"/>
      <c r="DXG72" s="299"/>
      <c r="DXH72" s="299"/>
      <c r="DXI72" s="299"/>
      <c r="DXJ72" s="299"/>
      <c r="DXK72" s="299"/>
      <c r="DXL72" s="299"/>
      <c r="DXM72" s="299"/>
      <c r="DXN72" s="299"/>
      <c r="DXO72" s="299"/>
      <c r="DXP72" s="299"/>
      <c r="DXQ72" s="299"/>
      <c r="DXR72" s="299"/>
      <c r="DXS72" s="299"/>
      <c r="DXT72" s="299"/>
      <c r="DXU72" s="299"/>
      <c r="DXV72" s="299"/>
      <c r="DXW72" s="299"/>
      <c r="DXX72" s="299"/>
      <c r="DXY72" s="299"/>
      <c r="DXZ72" s="299"/>
      <c r="DYA72" s="299"/>
      <c r="DYB72" s="299"/>
      <c r="DYC72" s="299"/>
      <c r="DYD72" s="299"/>
      <c r="DYE72" s="299"/>
      <c r="DYF72" s="299"/>
      <c r="DYG72" s="299"/>
      <c r="DYH72" s="299"/>
      <c r="DYI72" s="299"/>
      <c r="DYJ72" s="299"/>
      <c r="DYK72" s="299"/>
      <c r="DYL72" s="299"/>
      <c r="DYM72" s="299"/>
      <c r="DYN72" s="299"/>
      <c r="DYO72" s="299"/>
      <c r="DYP72" s="299"/>
      <c r="DYQ72" s="299"/>
      <c r="DYR72" s="299"/>
      <c r="DYS72" s="299"/>
      <c r="DYT72" s="299"/>
      <c r="DYU72" s="299"/>
      <c r="DYV72" s="299"/>
      <c r="DYW72" s="299"/>
      <c r="DYX72" s="299"/>
      <c r="DYY72" s="299"/>
      <c r="DYZ72" s="299"/>
      <c r="DZA72" s="299"/>
      <c r="DZB72" s="299"/>
      <c r="DZC72" s="299"/>
      <c r="DZD72" s="299"/>
      <c r="DZE72" s="299"/>
      <c r="DZF72" s="299"/>
      <c r="DZG72" s="299"/>
      <c r="DZH72" s="299"/>
      <c r="DZI72" s="299"/>
      <c r="DZJ72" s="299"/>
      <c r="DZK72" s="299"/>
      <c r="DZL72" s="299"/>
      <c r="DZM72" s="299"/>
      <c r="DZN72" s="299"/>
      <c r="DZO72" s="299"/>
      <c r="DZP72" s="299"/>
      <c r="DZQ72" s="299"/>
      <c r="DZR72" s="299"/>
      <c r="DZS72" s="299"/>
      <c r="DZT72" s="299"/>
      <c r="DZU72" s="299"/>
      <c r="DZV72" s="299"/>
      <c r="DZW72" s="299"/>
      <c r="DZX72" s="299"/>
      <c r="DZY72" s="299"/>
      <c r="DZZ72" s="299"/>
      <c r="EAA72" s="299"/>
      <c r="EAB72" s="299"/>
      <c r="EAC72" s="299"/>
      <c r="EAD72" s="299"/>
      <c r="EAE72" s="299"/>
      <c r="EAF72" s="299"/>
      <c r="EAG72" s="299"/>
      <c r="EAH72" s="299"/>
      <c r="EAI72" s="299"/>
      <c r="EAJ72" s="299"/>
      <c r="EAK72" s="299"/>
      <c r="EAL72" s="299"/>
      <c r="EAM72" s="299"/>
      <c r="EAN72" s="299"/>
      <c r="EAO72" s="299"/>
      <c r="EAP72" s="299"/>
      <c r="EAQ72" s="299"/>
      <c r="EAR72" s="299"/>
      <c r="EAS72" s="299"/>
      <c r="EAT72" s="299"/>
      <c r="EAU72" s="299"/>
      <c r="EAV72" s="299"/>
      <c r="EAW72" s="299"/>
      <c r="EAX72" s="299"/>
      <c r="EAY72" s="299"/>
      <c r="EAZ72" s="299"/>
      <c r="EBA72" s="299"/>
      <c r="EBB72" s="299"/>
      <c r="EBC72" s="299"/>
      <c r="EBD72" s="299"/>
      <c r="EBE72" s="299"/>
      <c r="EBF72" s="299"/>
      <c r="EBG72" s="299"/>
      <c r="EBH72" s="299"/>
      <c r="EBI72" s="299"/>
      <c r="EBJ72" s="299"/>
      <c r="EBK72" s="299"/>
      <c r="EBL72" s="299"/>
      <c r="EBM72" s="299"/>
      <c r="EBN72" s="299"/>
      <c r="EBO72" s="299"/>
      <c r="EBP72" s="299"/>
      <c r="EBQ72" s="299"/>
      <c r="EBR72" s="299"/>
      <c r="EBS72" s="299"/>
      <c r="EBT72" s="299"/>
      <c r="EBU72" s="299"/>
      <c r="EBV72" s="299"/>
      <c r="EBW72" s="299"/>
      <c r="EBX72" s="299"/>
      <c r="EBY72" s="299"/>
      <c r="EBZ72" s="299"/>
      <c r="ECA72" s="299"/>
      <c r="ECB72" s="299"/>
      <c r="ECC72" s="299"/>
      <c r="ECD72" s="299"/>
      <c r="ECE72" s="299"/>
      <c r="ECF72" s="299"/>
      <c r="ECG72" s="299"/>
      <c r="ECH72" s="299"/>
      <c r="ECI72" s="299"/>
      <c r="ECJ72" s="299"/>
      <c r="ECK72" s="299"/>
      <c r="ECL72" s="299"/>
      <c r="ECM72" s="299"/>
      <c r="ECN72" s="299"/>
      <c r="ECO72" s="299"/>
      <c r="ECP72" s="299"/>
      <c r="ECQ72" s="299"/>
      <c r="ECR72" s="299"/>
      <c r="ECS72" s="299"/>
      <c r="ECT72" s="299"/>
      <c r="ECU72" s="299"/>
      <c r="ECV72" s="299"/>
      <c r="ECW72" s="299"/>
      <c r="ECX72" s="299"/>
      <c r="ECY72" s="299"/>
      <c r="ECZ72" s="299"/>
      <c r="EDA72" s="299"/>
      <c r="EDB72" s="299"/>
      <c r="EDC72" s="299"/>
      <c r="EDD72" s="299"/>
      <c r="EDE72" s="299"/>
      <c r="EDF72" s="299"/>
      <c r="EDG72" s="299"/>
      <c r="EDH72" s="299"/>
      <c r="EDI72" s="299"/>
      <c r="EDJ72" s="299"/>
      <c r="EDK72" s="299"/>
      <c r="EDL72" s="299"/>
      <c r="EDM72" s="299"/>
      <c r="EDN72" s="299"/>
      <c r="EDO72" s="299"/>
      <c r="EDP72" s="299"/>
      <c r="EDQ72" s="299"/>
      <c r="EDR72" s="299"/>
      <c r="EDS72" s="299"/>
      <c r="EDT72" s="299"/>
      <c r="EDU72" s="299"/>
      <c r="EDV72" s="299"/>
      <c r="EDW72" s="299"/>
      <c r="EDX72" s="299"/>
      <c r="EDY72" s="299"/>
      <c r="EDZ72" s="299"/>
      <c r="EEA72" s="299"/>
      <c r="EEB72" s="299"/>
      <c r="EEC72" s="299"/>
      <c r="EED72" s="299"/>
      <c r="EEE72" s="299"/>
      <c r="EEF72" s="299"/>
      <c r="EEG72" s="299"/>
      <c r="EEH72" s="299"/>
      <c r="EEI72" s="299"/>
      <c r="EEJ72" s="299"/>
      <c r="EEK72" s="299"/>
      <c r="EEL72" s="299"/>
      <c r="EEM72" s="299"/>
      <c r="EEN72" s="299"/>
      <c r="EEO72" s="299"/>
      <c r="EEP72" s="299"/>
      <c r="EEQ72" s="299"/>
      <c r="EER72" s="299"/>
      <c r="EES72" s="299"/>
      <c r="EET72" s="299"/>
      <c r="EEU72" s="299"/>
      <c r="EEV72" s="299"/>
      <c r="EEW72" s="299"/>
      <c r="EEX72" s="299"/>
      <c r="EEY72" s="299"/>
      <c r="EEZ72" s="299"/>
      <c r="EFA72" s="299"/>
      <c r="EFB72" s="299"/>
      <c r="EFC72" s="299"/>
      <c r="EFD72" s="299"/>
      <c r="EFE72" s="299"/>
      <c r="EFF72" s="299"/>
      <c r="EFG72" s="299"/>
      <c r="EFH72" s="299"/>
      <c r="EFI72" s="299"/>
      <c r="EFJ72" s="299"/>
      <c r="EFK72" s="299"/>
      <c r="EFL72" s="299"/>
      <c r="EFM72" s="299"/>
      <c r="EFN72" s="299"/>
      <c r="EFO72" s="299"/>
      <c r="EFP72" s="299"/>
      <c r="EFQ72" s="299"/>
      <c r="EFR72" s="299"/>
      <c r="EFS72" s="299"/>
      <c r="EFT72" s="299"/>
      <c r="EFU72" s="299"/>
      <c r="EFV72" s="299"/>
      <c r="EFW72" s="299"/>
      <c r="EFX72" s="299"/>
      <c r="EFY72" s="299"/>
      <c r="EFZ72" s="299"/>
      <c r="EGA72" s="299"/>
      <c r="EGB72" s="299"/>
      <c r="EGC72" s="299"/>
      <c r="EGD72" s="299"/>
      <c r="EGE72" s="299"/>
      <c r="EGF72" s="299"/>
      <c r="EGG72" s="299"/>
      <c r="EGH72" s="299"/>
      <c r="EGI72" s="299"/>
      <c r="EGJ72" s="299"/>
      <c r="EGK72" s="299"/>
      <c r="EGL72" s="299"/>
      <c r="EGM72" s="299"/>
      <c r="EGN72" s="299"/>
      <c r="EGO72" s="299"/>
      <c r="EGP72" s="299"/>
      <c r="EGQ72" s="299"/>
      <c r="EGR72" s="299"/>
      <c r="EGS72" s="299"/>
      <c r="EGT72" s="299"/>
      <c r="EGU72" s="299"/>
      <c r="EGV72" s="299"/>
      <c r="EGW72" s="299"/>
      <c r="EGX72" s="299"/>
      <c r="EGY72" s="299"/>
      <c r="EGZ72" s="299"/>
      <c r="EHA72" s="299"/>
      <c r="EHB72" s="299"/>
      <c r="EHC72" s="299"/>
      <c r="EHD72" s="299"/>
      <c r="EHE72" s="299"/>
      <c r="EHF72" s="299"/>
      <c r="EHG72" s="299"/>
      <c r="EHH72" s="299"/>
      <c r="EHI72" s="299"/>
      <c r="EHJ72" s="299"/>
      <c r="EHK72" s="299"/>
      <c r="EHL72" s="299"/>
      <c r="EHM72" s="299"/>
      <c r="EHN72" s="299"/>
      <c r="EHO72" s="299"/>
      <c r="EHP72" s="299"/>
      <c r="EHQ72" s="299"/>
      <c r="EHR72" s="299"/>
      <c r="EHS72" s="299"/>
      <c r="EHT72" s="299"/>
      <c r="EHU72" s="299"/>
      <c r="EHV72" s="299"/>
      <c r="EHW72" s="299"/>
      <c r="EHX72" s="299"/>
      <c r="EHY72" s="299"/>
      <c r="EHZ72" s="299"/>
      <c r="EIA72" s="299"/>
      <c r="EIB72" s="299"/>
      <c r="EIC72" s="299"/>
      <c r="EID72" s="299"/>
      <c r="EIE72" s="299"/>
      <c r="EIF72" s="299"/>
      <c r="EIG72" s="299"/>
      <c r="EIH72" s="299"/>
      <c r="EII72" s="299"/>
      <c r="EIJ72" s="299"/>
      <c r="EIK72" s="299"/>
      <c r="EIL72" s="299"/>
      <c r="EIM72" s="299"/>
      <c r="EIN72" s="299"/>
      <c r="EIO72" s="299"/>
      <c r="EIP72" s="299"/>
      <c r="EIQ72" s="299"/>
      <c r="EIR72" s="299"/>
      <c r="EIS72" s="299"/>
      <c r="EIT72" s="299"/>
      <c r="EIU72" s="299"/>
      <c r="EIV72" s="299"/>
      <c r="EIW72" s="299"/>
      <c r="EIX72" s="299"/>
      <c r="EIY72" s="299"/>
      <c r="EIZ72" s="299"/>
      <c r="EJA72" s="299"/>
      <c r="EJB72" s="299"/>
      <c r="EJC72" s="299"/>
      <c r="EJD72" s="299"/>
      <c r="EJE72" s="299"/>
      <c r="EJF72" s="299"/>
      <c r="EJG72" s="299"/>
      <c r="EJH72" s="299"/>
      <c r="EJI72" s="299"/>
      <c r="EJJ72" s="299"/>
      <c r="EJK72" s="299"/>
      <c r="EJL72" s="299"/>
      <c r="EJM72" s="299"/>
      <c r="EJN72" s="299"/>
      <c r="EJO72" s="299"/>
      <c r="EJP72" s="299"/>
      <c r="EJQ72" s="299"/>
      <c r="EJR72" s="299"/>
      <c r="EJS72" s="299"/>
      <c r="EJT72" s="299"/>
      <c r="EJU72" s="299"/>
      <c r="EJV72" s="299"/>
      <c r="EJW72" s="299"/>
      <c r="EJX72" s="299"/>
      <c r="EJY72" s="299"/>
      <c r="EJZ72" s="299"/>
      <c r="EKA72" s="299"/>
      <c r="EKB72" s="299"/>
      <c r="EKC72" s="299"/>
      <c r="EKD72" s="299"/>
      <c r="EKE72" s="299"/>
      <c r="EKF72" s="299"/>
      <c r="EKG72" s="299"/>
      <c r="EKH72" s="299"/>
      <c r="EKI72" s="299"/>
      <c r="EKJ72" s="299"/>
      <c r="EKK72" s="299"/>
      <c r="EKL72" s="299"/>
      <c r="EKM72" s="299"/>
      <c r="EKN72" s="299"/>
      <c r="EKO72" s="299"/>
      <c r="EKP72" s="299"/>
      <c r="EKQ72" s="299"/>
      <c r="EKR72" s="299"/>
      <c r="EKS72" s="299"/>
      <c r="EKT72" s="299"/>
      <c r="EKU72" s="299"/>
      <c r="EKV72" s="299"/>
      <c r="EKW72" s="299"/>
      <c r="EKX72" s="299"/>
      <c r="EKY72" s="299"/>
      <c r="EKZ72" s="299"/>
      <c r="ELA72" s="299"/>
      <c r="ELB72" s="299"/>
      <c r="ELC72" s="299"/>
      <c r="ELD72" s="299"/>
      <c r="ELE72" s="299"/>
      <c r="ELF72" s="299"/>
      <c r="ELG72" s="299"/>
      <c r="ELH72" s="299"/>
      <c r="ELI72" s="299"/>
      <c r="ELJ72" s="299"/>
      <c r="ELK72" s="299"/>
      <c r="ELL72" s="299"/>
      <c r="ELM72" s="299"/>
      <c r="ELN72" s="299"/>
      <c r="ELO72" s="299"/>
      <c r="ELP72" s="299"/>
      <c r="ELQ72" s="299"/>
      <c r="ELR72" s="299"/>
      <c r="ELS72" s="299"/>
      <c r="ELT72" s="299"/>
      <c r="ELU72" s="299"/>
      <c r="ELV72" s="299"/>
      <c r="ELW72" s="299"/>
      <c r="ELX72" s="299"/>
      <c r="ELY72" s="299"/>
      <c r="ELZ72" s="299"/>
      <c r="EMA72" s="299"/>
      <c r="EMB72" s="299"/>
      <c r="EMC72" s="299"/>
      <c r="EMD72" s="299"/>
      <c r="EME72" s="299"/>
      <c r="EMF72" s="299"/>
      <c r="EMG72" s="299"/>
      <c r="EMH72" s="299"/>
      <c r="EMI72" s="299"/>
      <c r="EMJ72" s="299"/>
      <c r="EMK72" s="299"/>
      <c r="EML72" s="299"/>
      <c r="EMM72" s="299"/>
      <c r="EMN72" s="299"/>
      <c r="EMO72" s="299"/>
      <c r="EMP72" s="299"/>
      <c r="EMQ72" s="299"/>
      <c r="EMR72" s="299"/>
      <c r="EMS72" s="299"/>
      <c r="EMT72" s="299"/>
      <c r="EMU72" s="299"/>
      <c r="EMV72" s="299"/>
      <c r="EMW72" s="299"/>
      <c r="EMX72" s="299"/>
      <c r="EMY72" s="299"/>
      <c r="EMZ72" s="299"/>
      <c r="ENA72" s="299"/>
      <c r="ENB72" s="299"/>
      <c r="ENC72" s="299"/>
      <c r="END72" s="299"/>
      <c r="ENE72" s="299"/>
      <c r="ENF72" s="299"/>
      <c r="ENG72" s="299"/>
      <c r="ENH72" s="299"/>
      <c r="ENI72" s="299"/>
      <c r="ENJ72" s="299"/>
      <c r="ENK72" s="299"/>
      <c r="ENL72" s="299"/>
      <c r="ENM72" s="299"/>
      <c r="ENN72" s="299"/>
      <c r="ENO72" s="299"/>
      <c r="ENP72" s="299"/>
      <c r="ENQ72" s="299"/>
      <c r="ENR72" s="299"/>
      <c r="ENS72" s="299"/>
      <c r="ENT72" s="299"/>
      <c r="ENU72" s="299"/>
      <c r="ENV72" s="299"/>
      <c r="ENW72" s="299"/>
      <c r="ENX72" s="299"/>
      <c r="ENY72" s="299"/>
      <c r="ENZ72" s="299"/>
      <c r="EOA72" s="299"/>
      <c r="EOB72" s="299"/>
      <c r="EOC72" s="299"/>
      <c r="EOD72" s="299"/>
      <c r="EOE72" s="299"/>
      <c r="EOF72" s="299"/>
      <c r="EOG72" s="299"/>
      <c r="EOH72" s="299"/>
      <c r="EOI72" s="299"/>
      <c r="EOJ72" s="299"/>
      <c r="EOK72" s="299"/>
      <c r="EOL72" s="299"/>
      <c r="EOM72" s="299"/>
      <c r="EON72" s="299"/>
      <c r="EOO72" s="299"/>
      <c r="EOP72" s="299"/>
      <c r="EOQ72" s="299"/>
      <c r="EOR72" s="299"/>
      <c r="EOS72" s="299"/>
      <c r="EOT72" s="299"/>
      <c r="EOU72" s="299"/>
      <c r="EOV72" s="299"/>
      <c r="EOW72" s="299"/>
      <c r="EOX72" s="299"/>
      <c r="EOY72" s="299"/>
      <c r="EOZ72" s="299"/>
      <c r="EPA72" s="299"/>
      <c r="EPB72" s="299"/>
      <c r="EPC72" s="299"/>
      <c r="EPD72" s="299"/>
      <c r="EPE72" s="299"/>
      <c r="EPF72" s="299"/>
      <c r="EPG72" s="299"/>
      <c r="EPH72" s="299"/>
      <c r="EPI72" s="299"/>
      <c r="EPJ72" s="299"/>
      <c r="EPK72" s="299"/>
      <c r="EPL72" s="299"/>
      <c r="EPM72" s="299"/>
      <c r="EPN72" s="299"/>
      <c r="EPO72" s="299"/>
      <c r="EPP72" s="299"/>
      <c r="EPQ72" s="299"/>
      <c r="EPR72" s="299"/>
      <c r="EPS72" s="299"/>
      <c r="EPT72" s="299"/>
      <c r="EPU72" s="299"/>
      <c r="EPV72" s="299"/>
      <c r="EPW72" s="299"/>
      <c r="EPX72" s="299"/>
      <c r="EPY72" s="299"/>
      <c r="EPZ72" s="299"/>
      <c r="EQA72" s="299"/>
      <c r="EQB72" s="299"/>
      <c r="EQC72" s="299"/>
      <c r="EQD72" s="299"/>
      <c r="EQE72" s="299"/>
      <c r="EQF72" s="299"/>
      <c r="EQG72" s="299"/>
      <c r="EQH72" s="299"/>
      <c r="EQI72" s="299"/>
      <c r="EQJ72" s="299"/>
      <c r="EQK72" s="299"/>
      <c r="EQL72" s="299"/>
      <c r="EQM72" s="299"/>
      <c r="EQN72" s="299"/>
      <c r="EQO72" s="299"/>
      <c r="EQP72" s="299"/>
      <c r="EQQ72" s="299"/>
      <c r="EQR72" s="299"/>
      <c r="EQS72" s="299"/>
      <c r="EQT72" s="299"/>
      <c r="EQU72" s="299"/>
      <c r="EQV72" s="299"/>
      <c r="EQW72" s="299"/>
      <c r="EQX72" s="299"/>
      <c r="EQY72" s="299"/>
      <c r="EQZ72" s="299"/>
      <c r="ERA72" s="299"/>
      <c r="ERB72" s="299"/>
      <c r="ERC72" s="299"/>
      <c r="ERD72" s="299"/>
      <c r="ERE72" s="299"/>
      <c r="ERF72" s="299"/>
      <c r="ERG72" s="299"/>
      <c r="ERH72" s="299"/>
      <c r="ERI72" s="299"/>
      <c r="ERJ72" s="299"/>
      <c r="ERK72" s="299"/>
      <c r="ERL72" s="299"/>
      <c r="ERM72" s="299"/>
      <c r="ERN72" s="299"/>
      <c r="ERO72" s="299"/>
      <c r="ERP72" s="299"/>
      <c r="ERQ72" s="299"/>
      <c r="ERR72" s="299"/>
      <c r="ERS72" s="299"/>
      <c r="ERT72" s="299"/>
      <c r="ERU72" s="299"/>
      <c r="ERV72" s="299"/>
      <c r="ERW72" s="299"/>
      <c r="ERX72" s="299"/>
      <c r="ERY72" s="299"/>
      <c r="ERZ72" s="299"/>
      <c r="ESA72" s="299"/>
      <c r="ESB72" s="299"/>
      <c r="ESC72" s="299"/>
      <c r="ESD72" s="299"/>
      <c r="ESE72" s="299"/>
      <c r="ESF72" s="299"/>
      <c r="ESG72" s="299"/>
      <c r="ESH72" s="299"/>
      <c r="ESI72" s="299"/>
      <c r="ESJ72" s="299"/>
      <c r="ESK72" s="299"/>
      <c r="ESL72" s="299"/>
      <c r="ESM72" s="299"/>
      <c r="ESN72" s="299"/>
      <c r="ESO72" s="299"/>
      <c r="ESP72" s="299"/>
      <c r="ESQ72" s="299"/>
      <c r="ESR72" s="299"/>
      <c r="ESS72" s="299"/>
      <c r="EST72" s="299"/>
      <c r="ESU72" s="299"/>
      <c r="ESV72" s="299"/>
      <c r="ESW72" s="299"/>
      <c r="ESX72" s="299"/>
      <c r="ESY72" s="299"/>
      <c r="ESZ72" s="299"/>
      <c r="ETA72" s="299"/>
      <c r="ETB72" s="299"/>
      <c r="ETC72" s="299"/>
      <c r="ETD72" s="299"/>
      <c r="ETE72" s="299"/>
      <c r="ETF72" s="299"/>
      <c r="ETG72" s="299"/>
      <c r="ETH72" s="299"/>
      <c r="ETI72" s="299"/>
      <c r="ETJ72" s="299"/>
      <c r="ETK72" s="299"/>
      <c r="ETL72" s="299"/>
      <c r="ETM72" s="299"/>
      <c r="ETN72" s="299"/>
      <c r="ETO72" s="299"/>
      <c r="ETP72" s="299"/>
      <c r="ETQ72" s="299"/>
      <c r="ETR72" s="299"/>
      <c r="ETS72" s="299"/>
      <c r="ETT72" s="299"/>
      <c r="ETU72" s="299"/>
      <c r="ETV72" s="299"/>
      <c r="ETW72" s="299"/>
      <c r="ETX72" s="299"/>
      <c r="ETY72" s="299"/>
      <c r="ETZ72" s="299"/>
      <c r="EUA72" s="299"/>
      <c r="EUB72" s="299"/>
      <c r="EUC72" s="299"/>
      <c r="EUD72" s="299"/>
      <c r="EUE72" s="299"/>
      <c r="EUF72" s="299"/>
      <c r="EUG72" s="299"/>
      <c r="EUH72" s="299"/>
      <c r="EUI72" s="299"/>
      <c r="EUJ72" s="299"/>
      <c r="EUK72" s="299"/>
      <c r="EUL72" s="299"/>
      <c r="EUM72" s="299"/>
      <c r="EUN72" s="299"/>
      <c r="EUO72" s="299"/>
      <c r="EUP72" s="299"/>
      <c r="EUQ72" s="299"/>
      <c r="EUR72" s="299"/>
      <c r="EUS72" s="299"/>
      <c r="EUT72" s="299"/>
      <c r="EUU72" s="299"/>
      <c r="EUV72" s="299"/>
      <c r="EUW72" s="299"/>
      <c r="EUX72" s="299"/>
      <c r="EUY72" s="299"/>
      <c r="EUZ72" s="299"/>
      <c r="EVA72" s="299"/>
      <c r="EVB72" s="299"/>
      <c r="EVC72" s="299"/>
      <c r="EVD72" s="299"/>
      <c r="EVE72" s="299"/>
      <c r="EVF72" s="299"/>
      <c r="EVG72" s="299"/>
      <c r="EVH72" s="299"/>
      <c r="EVI72" s="299"/>
      <c r="EVJ72" s="299"/>
      <c r="EVK72" s="299"/>
      <c r="EVL72" s="299"/>
      <c r="EVM72" s="299"/>
      <c r="EVN72" s="299"/>
      <c r="EVO72" s="299"/>
      <c r="EVP72" s="299"/>
      <c r="EVQ72" s="299"/>
      <c r="EVR72" s="299"/>
      <c r="EVS72" s="299"/>
      <c r="EVT72" s="299"/>
      <c r="EVU72" s="299"/>
      <c r="EVV72" s="299"/>
      <c r="EVW72" s="299"/>
      <c r="EVX72" s="299"/>
      <c r="EVY72" s="299"/>
      <c r="EVZ72" s="299"/>
      <c r="EWA72" s="299"/>
      <c r="EWB72" s="299"/>
      <c r="EWC72" s="299"/>
      <c r="EWD72" s="299"/>
      <c r="EWE72" s="299"/>
      <c r="EWF72" s="299"/>
      <c r="EWG72" s="299"/>
      <c r="EWH72" s="299"/>
      <c r="EWI72" s="299"/>
      <c r="EWJ72" s="299"/>
      <c r="EWK72" s="299"/>
      <c r="EWL72" s="299"/>
      <c r="EWM72" s="299"/>
      <c r="EWN72" s="299"/>
      <c r="EWO72" s="299"/>
      <c r="EWP72" s="299"/>
      <c r="EWQ72" s="299"/>
      <c r="EWR72" s="299"/>
      <c r="EWS72" s="299"/>
      <c r="EWT72" s="299"/>
      <c r="EWU72" s="299"/>
      <c r="EWV72" s="299"/>
      <c r="EWW72" s="299"/>
      <c r="EWX72" s="299"/>
      <c r="EWY72" s="299"/>
      <c r="EWZ72" s="299"/>
      <c r="EXA72" s="299"/>
      <c r="EXB72" s="299"/>
      <c r="EXC72" s="299"/>
      <c r="EXD72" s="299"/>
      <c r="EXE72" s="299"/>
      <c r="EXF72" s="299"/>
      <c r="EXG72" s="299"/>
      <c r="EXH72" s="299"/>
      <c r="EXI72" s="299"/>
      <c r="EXJ72" s="299"/>
      <c r="EXK72" s="299"/>
      <c r="EXL72" s="299"/>
      <c r="EXM72" s="299"/>
      <c r="EXN72" s="299"/>
      <c r="EXO72" s="299"/>
      <c r="EXP72" s="299"/>
      <c r="EXQ72" s="299"/>
      <c r="EXR72" s="299"/>
      <c r="EXS72" s="299"/>
      <c r="EXT72" s="299"/>
      <c r="EXU72" s="299"/>
      <c r="EXV72" s="299"/>
      <c r="EXW72" s="299"/>
      <c r="EXX72" s="299"/>
      <c r="EXY72" s="299"/>
      <c r="EXZ72" s="299"/>
      <c r="EYA72" s="299"/>
      <c r="EYB72" s="299"/>
      <c r="EYC72" s="299"/>
      <c r="EYD72" s="299"/>
      <c r="EYE72" s="299"/>
      <c r="EYF72" s="299"/>
      <c r="EYG72" s="299"/>
      <c r="EYH72" s="299"/>
      <c r="EYI72" s="299"/>
      <c r="EYJ72" s="299"/>
      <c r="EYK72" s="299"/>
      <c r="EYL72" s="299"/>
      <c r="EYM72" s="299"/>
      <c r="EYN72" s="299"/>
      <c r="EYO72" s="299"/>
      <c r="EYP72" s="299"/>
      <c r="EYQ72" s="299"/>
      <c r="EYR72" s="299"/>
      <c r="EYS72" s="299"/>
      <c r="EYT72" s="299"/>
      <c r="EYU72" s="299"/>
      <c r="EYV72" s="299"/>
      <c r="EYW72" s="299"/>
      <c r="EYX72" s="299"/>
      <c r="EYY72" s="299"/>
      <c r="EYZ72" s="299"/>
      <c r="EZA72" s="299"/>
      <c r="EZB72" s="299"/>
      <c r="EZC72" s="299"/>
      <c r="EZD72" s="299"/>
      <c r="EZE72" s="299"/>
      <c r="EZF72" s="299"/>
      <c r="EZG72" s="299"/>
      <c r="EZH72" s="299"/>
      <c r="EZI72" s="299"/>
      <c r="EZJ72" s="299"/>
      <c r="EZK72" s="299"/>
      <c r="EZL72" s="299"/>
      <c r="EZM72" s="299"/>
      <c r="EZN72" s="299"/>
      <c r="EZO72" s="299"/>
      <c r="EZP72" s="299"/>
      <c r="EZQ72" s="299"/>
      <c r="EZR72" s="299"/>
      <c r="EZS72" s="299"/>
      <c r="EZT72" s="299"/>
      <c r="EZU72" s="299"/>
      <c r="EZV72" s="299"/>
      <c r="EZW72" s="299"/>
      <c r="EZX72" s="299"/>
      <c r="EZY72" s="299"/>
      <c r="EZZ72" s="299"/>
      <c r="FAA72" s="299"/>
      <c r="FAB72" s="299"/>
      <c r="FAC72" s="299"/>
      <c r="FAD72" s="299"/>
      <c r="FAE72" s="299"/>
      <c r="FAF72" s="299"/>
      <c r="FAG72" s="299"/>
      <c r="FAH72" s="299"/>
      <c r="FAI72" s="299"/>
      <c r="FAJ72" s="299"/>
      <c r="FAK72" s="299"/>
      <c r="FAL72" s="299"/>
      <c r="FAM72" s="299"/>
      <c r="FAN72" s="299"/>
      <c r="FAO72" s="299"/>
      <c r="FAP72" s="299"/>
      <c r="FAQ72" s="299"/>
      <c r="FAR72" s="299"/>
      <c r="FAS72" s="299"/>
      <c r="FAT72" s="299"/>
      <c r="FAU72" s="299"/>
      <c r="FAV72" s="299"/>
      <c r="FAW72" s="299"/>
      <c r="FAX72" s="299"/>
      <c r="FAY72" s="299"/>
      <c r="FAZ72" s="299"/>
      <c r="FBA72" s="299"/>
      <c r="FBB72" s="299"/>
      <c r="FBC72" s="299"/>
      <c r="FBD72" s="299"/>
      <c r="FBE72" s="299"/>
      <c r="FBF72" s="299"/>
      <c r="FBG72" s="299"/>
      <c r="FBH72" s="299"/>
      <c r="FBI72" s="299"/>
      <c r="FBJ72" s="299"/>
      <c r="FBK72" s="299"/>
      <c r="FBL72" s="299"/>
      <c r="FBM72" s="299"/>
      <c r="FBN72" s="299"/>
      <c r="FBO72" s="299"/>
      <c r="FBP72" s="299"/>
      <c r="FBQ72" s="299"/>
      <c r="FBR72" s="299"/>
      <c r="FBS72" s="299"/>
      <c r="FBT72" s="299"/>
      <c r="FBU72" s="299"/>
      <c r="FBV72" s="299"/>
      <c r="FBW72" s="299"/>
      <c r="FBX72" s="299"/>
      <c r="FBY72" s="299"/>
      <c r="FBZ72" s="299"/>
      <c r="FCA72" s="299"/>
      <c r="FCB72" s="299"/>
      <c r="FCC72" s="299"/>
      <c r="FCD72" s="299"/>
      <c r="FCE72" s="299"/>
      <c r="FCF72" s="299"/>
      <c r="FCG72" s="299"/>
      <c r="FCH72" s="299"/>
      <c r="FCI72" s="299"/>
      <c r="FCJ72" s="299"/>
      <c r="FCK72" s="299"/>
      <c r="FCL72" s="299"/>
      <c r="FCM72" s="299"/>
      <c r="FCN72" s="299"/>
      <c r="FCO72" s="299"/>
      <c r="FCP72" s="299"/>
      <c r="FCQ72" s="299"/>
      <c r="FCR72" s="299"/>
      <c r="FCS72" s="299"/>
      <c r="FCT72" s="299"/>
      <c r="FCU72" s="299"/>
      <c r="FCV72" s="299"/>
      <c r="FCW72" s="299"/>
      <c r="FCX72" s="299"/>
      <c r="FCY72" s="299"/>
      <c r="FCZ72" s="299"/>
      <c r="FDA72" s="299"/>
      <c r="FDB72" s="299"/>
      <c r="FDC72" s="299"/>
      <c r="FDD72" s="299"/>
      <c r="FDE72" s="299"/>
      <c r="FDF72" s="299"/>
      <c r="FDG72" s="299"/>
      <c r="FDH72" s="299"/>
      <c r="FDI72" s="299"/>
      <c r="FDJ72" s="299"/>
      <c r="FDK72" s="299"/>
      <c r="FDL72" s="299"/>
      <c r="FDM72" s="299"/>
      <c r="FDN72" s="299"/>
      <c r="FDO72" s="299"/>
      <c r="FDP72" s="299"/>
      <c r="FDQ72" s="299"/>
      <c r="FDR72" s="299"/>
      <c r="FDS72" s="299"/>
      <c r="FDT72" s="299"/>
      <c r="FDU72" s="299"/>
      <c r="FDV72" s="299"/>
      <c r="FDW72" s="299"/>
      <c r="FDX72" s="299"/>
      <c r="FDY72" s="299"/>
      <c r="FDZ72" s="299"/>
      <c r="FEA72" s="299"/>
      <c r="FEB72" s="299"/>
      <c r="FEC72" s="299"/>
      <c r="FED72" s="299"/>
      <c r="FEE72" s="299"/>
      <c r="FEF72" s="299"/>
      <c r="FEG72" s="299"/>
      <c r="FEH72" s="299"/>
      <c r="FEI72" s="299"/>
      <c r="FEJ72" s="299"/>
      <c r="FEK72" s="299"/>
      <c r="FEL72" s="299"/>
      <c r="FEM72" s="299"/>
      <c r="FEN72" s="299"/>
      <c r="FEO72" s="299"/>
      <c r="FEP72" s="299"/>
      <c r="FEQ72" s="299"/>
      <c r="FER72" s="299"/>
      <c r="FES72" s="299"/>
      <c r="FET72" s="299"/>
      <c r="FEU72" s="299"/>
      <c r="FEV72" s="299"/>
      <c r="FEW72" s="299"/>
      <c r="FEX72" s="299"/>
      <c r="FEY72" s="299"/>
      <c r="FEZ72" s="299"/>
      <c r="FFA72" s="299"/>
      <c r="FFB72" s="299"/>
      <c r="FFC72" s="299"/>
      <c r="FFD72" s="299"/>
      <c r="FFE72" s="299"/>
      <c r="FFF72" s="299"/>
      <c r="FFG72" s="299"/>
      <c r="FFH72" s="299"/>
      <c r="FFI72" s="299"/>
      <c r="FFJ72" s="299"/>
      <c r="FFK72" s="299"/>
      <c r="FFL72" s="299"/>
      <c r="FFM72" s="299"/>
      <c r="FFN72" s="299"/>
      <c r="FFO72" s="299"/>
      <c r="FFP72" s="299"/>
      <c r="FFQ72" s="299"/>
      <c r="FFR72" s="299"/>
      <c r="FFS72" s="299"/>
      <c r="FFT72" s="299"/>
      <c r="FFU72" s="299"/>
      <c r="FFV72" s="299"/>
      <c r="FFW72" s="299"/>
      <c r="FFX72" s="299"/>
      <c r="FFY72" s="299"/>
      <c r="FFZ72" s="299"/>
      <c r="FGA72" s="299"/>
      <c r="FGB72" s="299"/>
      <c r="FGC72" s="299"/>
      <c r="FGD72" s="299"/>
      <c r="FGE72" s="299"/>
      <c r="FGF72" s="299"/>
      <c r="FGG72" s="299"/>
      <c r="FGH72" s="299"/>
      <c r="FGI72" s="299"/>
      <c r="FGJ72" s="299"/>
      <c r="FGK72" s="299"/>
      <c r="FGL72" s="299"/>
      <c r="FGM72" s="299"/>
      <c r="FGN72" s="299"/>
      <c r="FGO72" s="299"/>
      <c r="FGP72" s="299"/>
      <c r="FGQ72" s="299"/>
      <c r="FGR72" s="299"/>
      <c r="FGS72" s="299"/>
      <c r="FGT72" s="299"/>
      <c r="FGU72" s="299"/>
      <c r="FGV72" s="299"/>
      <c r="FGW72" s="299"/>
      <c r="FGX72" s="299"/>
      <c r="FGY72" s="299"/>
      <c r="FGZ72" s="299"/>
      <c r="FHA72" s="299"/>
      <c r="FHB72" s="299"/>
      <c r="FHC72" s="299"/>
      <c r="FHD72" s="299"/>
      <c r="FHE72" s="299"/>
      <c r="FHF72" s="299"/>
      <c r="FHG72" s="299"/>
      <c r="FHH72" s="299"/>
      <c r="FHI72" s="299"/>
      <c r="FHJ72" s="299"/>
      <c r="FHK72" s="299"/>
      <c r="FHL72" s="299"/>
      <c r="FHM72" s="299"/>
      <c r="FHN72" s="299"/>
      <c r="FHO72" s="299"/>
      <c r="FHP72" s="299"/>
      <c r="FHQ72" s="299"/>
      <c r="FHR72" s="299"/>
      <c r="FHS72" s="299"/>
      <c r="FHT72" s="299"/>
      <c r="FHU72" s="299"/>
      <c r="FHV72" s="299"/>
      <c r="FHW72" s="299"/>
      <c r="FHX72" s="299"/>
      <c r="FHY72" s="299"/>
      <c r="FHZ72" s="299"/>
      <c r="FIA72" s="299"/>
      <c r="FIB72" s="299"/>
      <c r="FIC72" s="299"/>
      <c r="FID72" s="299"/>
      <c r="FIE72" s="299"/>
      <c r="FIF72" s="299"/>
      <c r="FIG72" s="299"/>
      <c r="FIH72" s="299"/>
      <c r="FII72" s="299"/>
      <c r="FIJ72" s="299"/>
      <c r="FIK72" s="299"/>
      <c r="FIL72" s="299"/>
      <c r="FIM72" s="299"/>
      <c r="FIN72" s="299"/>
      <c r="FIO72" s="299"/>
      <c r="FIP72" s="299"/>
      <c r="FIQ72" s="299"/>
      <c r="FIR72" s="299"/>
      <c r="FIS72" s="299"/>
      <c r="FIT72" s="299"/>
      <c r="FIU72" s="299"/>
      <c r="FIV72" s="299"/>
      <c r="FIW72" s="299"/>
      <c r="FIX72" s="299"/>
      <c r="FIY72" s="299"/>
      <c r="FIZ72" s="299"/>
      <c r="FJA72" s="299"/>
      <c r="FJB72" s="299"/>
      <c r="FJC72" s="299"/>
      <c r="FJD72" s="299"/>
      <c r="FJE72" s="299"/>
      <c r="FJF72" s="299"/>
      <c r="FJG72" s="299"/>
      <c r="FJH72" s="299"/>
      <c r="FJI72" s="299"/>
      <c r="FJJ72" s="299"/>
      <c r="FJK72" s="299"/>
      <c r="FJL72" s="299"/>
      <c r="FJM72" s="299"/>
      <c r="FJN72" s="299"/>
      <c r="FJO72" s="299"/>
      <c r="FJP72" s="299"/>
      <c r="FJQ72" s="299"/>
      <c r="FJR72" s="299"/>
      <c r="FJS72" s="299"/>
      <c r="FJT72" s="299"/>
      <c r="FJU72" s="299"/>
      <c r="FJV72" s="299"/>
      <c r="FJW72" s="299"/>
      <c r="FJX72" s="299"/>
      <c r="FJY72" s="299"/>
      <c r="FJZ72" s="299"/>
      <c r="FKA72" s="299"/>
      <c r="FKB72" s="299"/>
      <c r="FKC72" s="299"/>
      <c r="FKD72" s="299"/>
      <c r="FKE72" s="299"/>
      <c r="FKF72" s="299"/>
      <c r="FKG72" s="299"/>
      <c r="FKH72" s="299"/>
      <c r="FKI72" s="299"/>
      <c r="FKJ72" s="299"/>
      <c r="FKK72" s="299"/>
      <c r="FKL72" s="299"/>
      <c r="FKM72" s="299"/>
      <c r="FKN72" s="299"/>
      <c r="FKO72" s="299"/>
      <c r="FKP72" s="299"/>
      <c r="FKQ72" s="299"/>
      <c r="FKR72" s="299"/>
      <c r="FKS72" s="299"/>
      <c r="FKT72" s="299"/>
      <c r="FKU72" s="299"/>
      <c r="FKV72" s="299"/>
      <c r="FKW72" s="299"/>
      <c r="FKX72" s="299"/>
      <c r="FKY72" s="299"/>
      <c r="FKZ72" s="299"/>
      <c r="FLA72" s="299"/>
      <c r="FLB72" s="299"/>
      <c r="FLC72" s="299"/>
      <c r="FLD72" s="299"/>
      <c r="FLE72" s="299"/>
      <c r="FLF72" s="299"/>
      <c r="FLG72" s="299"/>
      <c r="FLH72" s="299"/>
      <c r="FLI72" s="299"/>
      <c r="FLJ72" s="299"/>
      <c r="FLK72" s="299"/>
      <c r="FLL72" s="299"/>
      <c r="FLM72" s="299"/>
      <c r="FLN72" s="299"/>
      <c r="FLO72" s="299"/>
      <c r="FLP72" s="299"/>
      <c r="FLQ72" s="299"/>
      <c r="FLR72" s="299"/>
      <c r="FLS72" s="299"/>
      <c r="FLT72" s="299"/>
      <c r="FLU72" s="299"/>
      <c r="FLV72" s="299"/>
      <c r="FLW72" s="299"/>
      <c r="FLX72" s="299"/>
      <c r="FLY72" s="299"/>
      <c r="FLZ72" s="299"/>
      <c r="FMA72" s="299"/>
      <c r="FMB72" s="299"/>
      <c r="FMC72" s="299"/>
      <c r="FMD72" s="299"/>
      <c r="FME72" s="299"/>
      <c r="FMF72" s="299"/>
      <c r="FMG72" s="299"/>
      <c r="FMH72" s="299"/>
      <c r="FMI72" s="299"/>
      <c r="FMJ72" s="299"/>
      <c r="FMK72" s="299"/>
      <c r="FML72" s="299"/>
      <c r="FMM72" s="299"/>
      <c r="FMN72" s="299"/>
      <c r="FMO72" s="299"/>
      <c r="FMP72" s="299"/>
      <c r="FMQ72" s="299"/>
      <c r="FMR72" s="299"/>
      <c r="FMS72" s="299"/>
      <c r="FMT72" s="299"/>
      <c r="FMU72" s="299"/>
      <c r="FMV72" s="299"/>
      <c r="FMW72" s="299"/>
      <c r="FMX72" s="299"/>
      <c r="FMY72" s="299"/>
      <c r="FMZ72" s="299"/>
      <c r="FNA72" s="299"/>
      <c r="FNB72" s="299"/>
      <c r="FNC72" s="299"/>
      <c r="FND72" s="299"/>
      <c r="FNE72" s="299"/>
      <c r="FNF72" s="299"/>
      <c r="FNG72" s="299"/>
      <c r="FNH72" s="299"/>
      <c r="FNI72" s="299"/>
      <c r="FNJ72" s="299"/>
      <c r="FNK72" s="299"/>
      <c r="FNL72" s="299"/>
      <c r="FNM72" s="299"/>
      <c r="FNN72" s="299"/>
      <c r="FNO72" s="299"/>
      <c r="FNP72" s="299"/>
      <c r="FNQ72" s="299"/>
      <c r="FNR72" s="299"/>
      <c r="FNS72" s="299"/>
      <c r="FNT72" s="299"/>
      <c r="FNU72" s="299"/>
      <c r="FNV72" s="299"/>
      <c r="FNW72" s="299"/>
      <c r="FNX72" s="299"/>
      <c r="FNY72" s="299"/>
      <c r="FNZ72" s="299"/>
      <c r="FOA72" s="299"/>
      <c r="FOB72" s="299"/>
      <c r="FOC72" s="299"/>
      <c r="FOD72" s="299"/>
      <c r="FOE72" s="299"/>
      <c r="FOF72" s="299"/>
      <c r="FOG72" s="299"/>
      <c r="FOH72" s="299"/>
      <c r="FOI72" s="299"/>
      <c r="FOJ72" s="299"/>
      <c r="FOK72" s="299"/>
      <c r="FOL72" s="299"/>
      <c r="FOM72" s="299"/>
      <c r="FON72" s="299"/>
      <c r="FOO72" s="299"/>
      <c r="FOP72" s="299"/>
      <c r="FOQ72" s="299"/>
      <c r="FOR72" s="299"/>
      <c r="FOS72" s="299"/>
      <c r="FOT72" s="299"/>
      <c r="FOU72" s="299"/>
      <c r="FOV72" s="299"/>
      <c r="FOW72" s="299"/>
      <c r="FOX72" s="299"/>
      <c r="FOY72" s="299"/>
      <c r="FOZ72" s="299"/>
      <c r="FPA72" s="299"/>
      <c r="FPB72" s="299"/>
      <c r="FPC72" s="299"/>
      <c r="FPD72" s="299"/>
      <c r="FPE72" s="299"/>
      <c r="FPF72" s="299"/>
      <c r="FPG72" s="299"/>
      <c r="FPH72" s="299"/>
      <c r="FPI72" s="299"/>
      <c r="FPJ72" s="299"/>
      <c r="FPK72" s="299"/>
      <c r="FPL72" s="299"/>
      <c r="FPM72" s="299"/>
      <c r="FPN72" s="299"/>
      <c r="FPO72" s="299"/>
      <c r="FPP72" s="299"/>
      <c r="FPQ72" s="299"/>
      <c r="FPR72" s="299"/>
      <c r="FPS72" s="299"/>
      <c r="FPT72" s="299"/>
      <c r="FPU72" s="299"/>
      <c r="FPV72" s="299"/>
      <c r="FPW72" s="299"/>
      <c r="FPX72" s="299"/>
      <c r="FPY72" s="299"/>
      <c r="FPZ72" s="299"/>
      <c r="FQA72" s="299"/>
      <c r="FQB72" s="299"/>
      <c r="FQC72" s="299"/>
      <c r="FQD72" s="299"/>
      <c r="FQE72" s="299"/>
      <c r="FQF72" s="299"/>
      <c r="FQG72" s="299"/>
      <c r="FQH72" s="299"/>
      <c r="FQI72" s="299"/>
      <c r="FQJ72" s="299"/>
      <c r="FQK72" s="299"/>
      <c r="FQL72" s="299"/>
      <c r="FQM72" s="299"/>
      <c r="FQN72" s="299"/>
      <c r="FQO72" s="299"/>
      <c r="FQP72" s="299"/>
      <c r="FQQ72" s="299"/>
      <c r="FQR72" s="299"/>
      <c r="FQS72" s="299"/>
      <c r="FQT72" s="299"/>
      <c r="FQU72" s="299"/>
      <c r="FQV72" s="299"/>
      <c r="FQW72" s="299"/>
      <c r="FQX72" s="299"/>
      <c r="FQY72" s="299"/>
      <c r="FQZ72" s="299"/>
      <c r="FRA72" s="299"/>
      <c r="FRB72" s="299"/>
      <c r="FRC72" s="299"/>
      <c r="FRD72" s="299"/>
      <c r="FRE72" s="299"/>
      <c r="FRF72" s="299"/>
      <c r="FRG72" s="299"/>
      <c r="FRH72" s="299"/>
      <c r="FRI72" s="299"/>
      <c r="FRJ72" s="299"/>
      <c r="FRK72" s="299"/>
      <c r="FRL72" s="299"/>
      <c r="FRM72" s="299"/>
      <c r="FRN72" s="299"/>
      <c r="FRO72" s="299"/>
      <c r="FRP72" s="299"/>
      <c r="FRQ72" s="299"/>
      <c r="FRR72" s="299"/>
      <c r="FRS72" s="299"/>
      <c r="FRT72" s="299"/>
      <c r="FRU72" s="299"/>
      <c r="FRV72" s="299"/>
      <c r="FRW72" s="299"/>
      <c r="FRX72" s="299"/>
      <c r="FRY72" s="299"/>
      <c r="FRZ72" s="299"/>
      <c r="FSA72" s="299"/>
      <c r="FSB72" s="299"/>
      <c r="FSC72" s="299"/>
      <c r="FSD72" s="299"/>
      <c r="FSE72" s="299"/>
      <c r="FSF72" s="299"/>
      <c r="FSG72" s="299"/>
      <c r="FSH72" s="299"/>
      <c r="FSI72" s="299"/>
      <c r="FSJ72" s="299"/>
      <c r="FSK72" s="299"/>
      <c r="FSL72" s="299"/>
      <c r="FSM72" s="299"/>
      <c r="FSN72" s="299"/>
      <c r="FSO72" s="299"/>
      <c r="FSP72" s="299"/>
      <c r="FSQ72" s="299"/>
      <c r="FSR72" s="299"/>
      <c r="FSS72" s="299"/>
      <c r="FST72" s="299"/>
      <c r="FSU72" s="299"/>
      <c r="FSV72" s="299"/>
      <c r="FSW72" s="299"/>
      <c r="FSX72" s="299"/>
      <c r="FSY72" s="299"/>
      <c r="FSZ72" s="299"/>
      <c r="FTA72" s="299"/>
      <c r="FTB72" s="299"/>
      <c r="FTC72" s="299"/>
      <c r="FTD72" s="299"/>
      <c r="FTE72" s="299"/>
      <c r="FTF72" s="299"/>
      <c r="FTG72" s="299"/>
      <c r="FTH72" s="299"/>
      <c r="FTI72" s="299"/>
      <c r="FTJ72" s="299"/>
      <c r="FTK72" s="299"/>
      <c r="FTL72" s="299"/>
      <c r="FTM72" s="299"/>
      <c r="FTN72" s="299"/>
      <c r="FTO72" s="299"/>
      <c r="FTP72" s="299"/>
      <c r="FTQ72" s="299"/>
      <c r="FTR72" s="299"/>
      <c r="FTS72" s="299"/>
      <c r="FTT72" s="299"/>
      <c r="FTU72" s="299"/>
      <c r="FTV72" s="299"/>
      <c r="FTW72" s="299"/>
      <c r="FTX72" s="299"/>
      <c r="FTY72" s="299"/>
      <c r="FTZ72" s="299"/>
      <c r="FUA72" s="299"/>
      <c r="FUB72" s="299"/>
      <c r="FUC72" s="299"/>
      <c r="FUD72" s="299"/>
      <c r="FUE72" s="299"/>
      <c r="FUF72" s="299"/>
      <c r="FUG72" s="299"/>
      <c r="FUH72" s="299"/>
      <c r="FUI72" s="299"/>
      <c r="FUJ72" s="299"/>
      <c r="FUK72" s="299"/>
      <c r="FUL72" s="299"/>
      <c r="FUM72" s="299"/>
      <c r="FUN72" s="299"/>
      <c r="FUO72" s="299"/>
      <c r="FUP72" s="299"/>
      <c r="FUQ72" s="299"/>
      <c r="FUR72" s="299"/>
      <c r="FUS72" s="299"/>
      <c r="FUT72" s="299"/>
      <c r="FUU72" s="299"/>
      <c r="FUV72" s="299"/>
      <c r="FUW72" s="299"/>
      <c r="FUX72" s="299"/>
      <c r="FUY72" s="299"/>
      <c r="FUZ72" s="299"/>
      <c r="FVA72" s="299"/>
      <c r="FVB72" s="299"/>
      <c r="FVC72" s="299"/>
      <c r="FVD72" s="299"/>
      <c r="FVE72" s="299"/>
      <c r="FVF72" s="299"/>
      <c r="FVG72" s="299"/>
      <c r="FVH72" s="299"/>
      <c r="FVI72" s="299"/>
      <c r="FVJ72" s="299"/>
      <c r="FVK72" s="299"/>
      <c r="FVL72" s="299"/>
      <c r="FVM72" s="299"/>
      <c r="FVN72" s="299"/>
      <c r="FVO72" s="299"/>
      <c r="FVP72" s="299"/>
      <c r="FVQ72" s="299"/>
      <c r="FVR72" s="299"/>
      <c r="FVS72" s="299"/>
      <c r="FVT72" s="299"/>
      <c r="FVU72" s="299"/>
      <c r="FVV72" s="299"/>
      <c r="FVW72" s="299"/>
      <c r="FVX72" s="299"/>
      <c r="FVY72" s="299"/>
      <c r="FVZ72" s="299"/>
      <c r="FWA72" s="299"/>
      <c r="FWB72" s="299"/>
      <c r="FWC72" s="299"/>
      <c r="FWD72" s="299"/>
      <c r="FWE72" s="299"/>
      <c r="FWF72" s="299"/>
      <c r="FWG72" s="299"/>
      <c r="FWH72" s="299"/>
      <c r="FWI72" s="299"/>
      <c r="FWJ72" s="299"/>
      <c r="FWK72" s="299"/>
      <c r="FWL72" s="299"/>
      <c r="FWM72" s="299"/>
      <c r="FWN72" s="299"/>
      <c r="FWO72" s="299"/>
      <c r="FWP72" s="299"/>
      <c r="FWQ72" s="299"/>
      <c r="FWR72" s="299"/>
      <c r="FWS72" s="299"/>
      <c r="FWT72" s="299"/>
      <c r="FWU72" s="299"/>
      <c r="FWV72" s="299"/>
      <c r="FWW72" s="299"/>
      <c r="FWX72" s="299"/>
      <c r="FWY72" s="299"/>
      <c r="FWZ72" s="299"/>
      <c r="FXA72" s="299"/>
      <c r="FXB72" s="299"/>
      <c r="FXC72" s="299"/>
      <c r="FXD72" s="299"/>
      <c r="FXE72" s="299"/>
      <c r="FXF72" s="299"/>
      <c r="FXG72" s="299"/>
      <c r="FXH72" s="299"/>
      <c r="FXI72" s="299"/>
      <c r="FXJ72" s="299"/>
      <c r="FXK72" s="299"/>
      <c r="FXL72" s="299"/>
      <c r="FXM72" s="299"/>
      <c r="FXN72" s="299"/>
      <c r="FXO72" s="299"/>
      <c r="FXP72" s="299"/>
      <c r="FXQ72" s="299"/>
      <c r="FXR72" s="299"/>
      <c r="FXS72" s="299"/>
      <c r="FXT72" s="299"/>
      <c r="FXU72" s="299"/>
      <c r="FXV72" s="299"/>
      <c r="FXW72" s="299"/>
      <c r="FXX72" s="299"/>
      <c r="FXY72" s="299"/>
      <c r="FXZ72" s="299"/>
      <c r="FYA72" s="299"/>
      <c r="FYB72" s="299"/>
      <c r="FYC72" s="299"/>
      <c r="FYD72" s="299"/>
      <c r="FYE72" s="299"/>
      <c r="FYF72" s="299"/>
      <c r="FYG72" s="299"/>
      <c r="FYH72" s="299"/>
      <c r="FYI72" s="299"/>
      <c r="FYJ72" s="299"/>
      <c r="FYK72" s="299"/>
      <c r="FYL72" s="299"/>
      <c r="FYM72" s="299"/>
      <c r="FYN72" s="299"/>
      <c r="FYO72" s="299"/>
      <c r="FYP72" s="299"/>
      <c r="FYQ72" s="299"/>
      <c r="FYR72" s="299"/>
      <c r="FYS72" s="299"/>
      <c r="FYT72" s="299"/>
      <c r="FYU72" s="299"/>
      <c r="FYV72" s="299"/>
      <c r="FYW72" s="299"/>
      <c r="FYX72" s="299"/>
      <c r="FYY72" s="299"/>
      <c r="FYZ72" s="299"/>
      <c r="FZA72" s="299"/>
      <c r="FZB72" s="299"/>
      <c r="FZC72" s="299"/>
      <c r="FZD72" s="299"/>
      <c r="FZE72" s="299"/>
      <c r="FZF72" s="299"/>
      <c r="FZG72" s="299"/>
      <c r="FZH72" s="299"/>
      <c r="FZI72" s="299"/>
      <c r="FZJ72" s="299"/>
      <c r="FZK72" s="299"/>
      <c r="FZL72" s="299"/>
      <c r="FZM72" s="299"/>
      <c r="FZN72" s="299"/>
      <c r="FZO72" s="299"/>
      <c r="FZP72" s="299"/>
      <c r="FZQ72" s="299"/>
      <c r="FZR72" s="299"/>
      <c r="FZS72" s="299"/>
      <c r="FZT72" s="299"/>
      <c r="FZU72" s="299"/>
      <c r="FZV72" s="299"/>
      <c r="FZW72" s="299"/>
      <c r="FZX72" s="299"/>
      <c r="FZY72" s="299"/>
      <c r="FZZ72" s="299"/>
      <c r="GAA72" s="299"/>
      <c r="GAB72" s="299"/>
      <c r="GAC72" s="299"/>
      <c r="GAD72" s="299"/>
      <c r="GAE72" s="299"/>
      <c r="GAF72" s="299"/>
      <c r="GAG72" s="299"/>
      <c r="GAH72" s="299"/>
      <c r="GAI72" s="299"/>
      <c r="GAJ72" s="299"/>
      <c r="GAK72" s="299"/>
      <c r="GAL72" s="299"/>
      <c r="GAM72" s="299"/>
      <c r="GAN72" s="299"/>
      <c r="GAO72" s="299"/>
      <c r="GAP72" s="299"/>
      <c r="GAQ72" s="299"/>
      <c r="GAR72" s="299"/>
      <c r="GAS72" s="299"/>
      <c r="GAT72" s="299"/>
      <c r="GAU72" s="299"/>
      <c r="GAV72" s="299"/>
      <c r="GAW72" s="299"/>
      <c r="GAX72" s="299"/>
      <c r="GAY72" s="299"/>
      <c r="GAZ72" s="299"/>
      <c r="GBA72" s="299"/>
      <c r="GBB72" s="299"/>
      <c r="GBC72" s="299"/>
      <c r="GBD72" s="299"/>
      <c r="GBE72" s="299"/>
      <c r="GBF72" s="299"/>
      <c r="GBG72" s="299"/>
      <c r="GBH72" s="299"/>
      <c r="GBI72" s="299"/>
      <c r="GBJ72" s="299"/>
      <c r="GBK72" s="299"/>
      <c r="GBL72" s="299"/>
      <c r="GBM72" s="299"/>
      <c r="GBN72" s="299"/>
      <c r="GBO72" s="299"/>
      <c r="GBP72" s="299"/>
      <c r="GBQ72" s="299"/>
      <c r="GBR72" s="299"/>
      <c r="GBS72" s="299"/>
      <c r="GBT72" s="299"/>
      <c r="GBU72" s="299"/>
      <c r="GBV72" s="299"/>
      <c r="GBW72" s="299"/>
      <c r="GBX72" s="299"/>
      <c r="GBY72" s="299"/>
      <c r="GBZ72" s="299"/>
      <c r="GCA72" s="299"/>
      <c r="GCB72" s="299"/>
      <c r="GCC72" s="299"/>
      <c r="GCD72" s="299"/>
      <c r="GCE72" s="299"/>
      <c r="GCF72" s="299"/>
      <c r="GCG72" s="299"/>
      <c r="GCH72" s="299"/>
      <c r="GCI72" s="299"/>
      <c r="GCJ72" s="299"/>
      <c r="GCK72" s="299"/>
      <c r="GCL72" s="299"/>
      <c r="GCM72" s="299"/>
      <c r="GCN72" s="299"/>
      <c r="GCO72" s="299"/>
      <c r="GCP72" s="299"/>
      <c r="GCQ72" s="299"/>
      <c r="GCR72" s="299"/>
      <c r="GCS72" s="299"/>
      <c r="GCT72" s="299"/>
      <c r="GCU72" s="299"/>
      <c r="GCV72" s="299"/>
      <c r="GCW72" s="299"/>
      <c r="GCX72" s="299"/>
      <c r="GCY72" s="299"/>
      <c r="GCZ72" s="299"/>
      <c r="GDA72" s="299"/>
      <c r="GDB72" s="299"/>
      <c r="GDC72" s="299"/>
      <c r="GDD72" s="299"/>
      <c r="GDE72" s="299"/>
      <c r="GDF72" s="299"/>
      <c r="GDG72" s="299"/>
      <c r="GDH72" s="299"/>
      <c r="GDI72" s="299"/>
      <c r="GDJ72" s="299"/>
      <c r="GDK72" s="299"/>
      <c r="GDL72" s="299"/>
      <c r="GDM72" s="299"/>
      <c r="GDN72" s="299"/>
      <c r="GDO72" s="299"/>
      <c r="GDP72" s="299"/>
      <c r="GDQ72" s="299"/>
      <c r="GDR72" s="299"/>
      <c r="GDS72" s="299"/>
      <c r="GDT72" s="299"/>
      <c r="GDU72" s="299"/>
      <c r="GDV72" s="299"/>
      <c r="GDW72" s="299"/>
      <c r="GDX72" s="299"/>
      <c r="GDY72" s="299"/>
      <c r="GDZ72" s="299"/>
      <c r="GEA72" s="299"/>
      <c r="GEB72" s="299"/>
      <c r="GEC72" s="299"/>
      <c r="GED72" s="299"/>
      <c r="GEE72" s="299"/>
      <c r="GEF72" s="299"/>
      <c r="GEG72" s="299"/>
      <c r="GEH72" s="299"/>
      <c r="GEI72" s="299"/>
      <c r="GEJ72" s="299"/>
      <c r="GEK72" s="299"/>
      <c r="GEL72" s="299"/>
      <c r="GEM72" s="299"/>
      <c r="GEN72" s="299"/>
      <c r="GEO72" s="299"/>
      <c r="GEP72" s="299"/>
      <c r="GEQ72" s="299"/>
      <c r="GER72" s="299"/>
      <c r="GES72" s="299"/>
      <c r="GET72" s="299"/>
      <c r="GEU72" s="299"/>
      <c r="GEV72" s="299"/>
      <c r="GEW72" s="299"/>
      <c r="GEX72" s="299"/>
      <c r="GEY72" s="299"/>
      <c r="GEZ72" s="299"/>
      <c r="GFA72" s="299"/>
      <c r="GFB72" s="299"/>
      <c r="GFC72" s="299"/>
      <c r="GFD72" s="299"/>
      <c r="GFE72" s="299"/>
      <c r="GFF72" s="299"/>
      <c r="GFG72" s="299"/>
      <c r="GFH72" s="299"/>
      <c r="GFI72" s="299"/>
      <c r="GFJ72" s="299"/>
      <c r="GFK72" s="299"/>
      <c r="GFL72" s="299"/>
      <c r="GFM72" s="299"/>
      <c r="GFN72" s="299"/>
      <c r="GFO72" s="299"/>
      <c r="GFP72" s="299"/>
      <c r="GFQ72" s="299"/>
      <c r="GFR72" s="299"/>
      <c r="GFS72" s="299"/>
      <c r="GFT72" s="299"/>
      <c r="GFU72" s="299"/>
      <c r="GFV72" s="299"/>
      <c r="GFW72" s="299"/>
      <c r="GFX72" s="299"/>
      <c r="GFY72" s="299"/>
      <c r="GFZ72" s="299"/>
      <c r="GGA72" s="299"/>
      <c r="GGB72" s="299"/>
      <c r="GGC72" s="299"/>
      <c r="GGD72" s="299"/>
      <c r="GGE72" s="299"/>
      <c r="GGF72" s="299"/>
      <c r="GGG72" s="299"/>
      <c r="GGH72" s="299"/>
      <c r="GGI72" s="299"/>
      <c r="GGJ72" s="299"/>
      <c r="GGK72" s="299"/>
      <c r="GGL72" s="299"/>
      <c r="GGM72" s="299"/>
      <c r="GGN72" s="299"/>
      <c r="GGO72" s="299"/>
      <c r="GGP72" s="299"/>
      <c r="GGQ72" s="299"/>
      <c r="GGR72" s="299"/>
      <c r="GGS72" s="299"/>
      <c r="GGT72" s="299"/>
      <c r="GGU72" s="299"/>
      <c r="GGV72" s="299"/>
      <c r="GGW72" s="299"/>
      <c r="GGX72" s="299"/>
      <c r="GGY72" s="299"/>
      <c r="GGZ72" s="299"/>
      <c r="GHA72" s="299"/>
      <c r="GHB72" s="299"/>
      <c r="GHC72" s="299"/>
      <c r="GHD72" s="299"/>
      <c r="GHE72" s="299"/>
      <c r="GHF72" s="299"/>
      <c r="GHG72" s="299"/>
      <c r="GHH72" s="299"/>
      <c r="GHI72" s="299"/>
      <c r="GHJ72" s="299"/>
      <c r="GHK72" s="299"/>
      <c r="GHL72" s="299"/>
      <c r="GHM72" s="299"/>
      <c r="GHN72" s="299"/>
      <c r="GHO72" s="299"/>
      <c r="GHP72" s="299"/>
      <c r="GHQ72" s="299"/>
      <c r="GHR72" s="299"/>
      <c r="GHS72" s="299"/>
      <c r="GHT72" s="299"/>
      <c r="GHU72" s="299"/>
      <c r="GHV72" s="299"/>
      <c r="GHW72" s="299"/>
      <c r="GHX72" s="299"/>
      <c r="GHY72" s="299"/>
      <c r="GHZ72" s="299"/>
      <c r="GIA72" s="299"/>
      <c r="GIB72" s="299"/>
      <c r="GIC72" s="299"/>
      <c r="GID72" s="299"/>
      <c r="GIE72" s="299"/>
      <c r="GIF72" s="299"/>
      <c r="GIG72" s="299"/>
      <c r="GIH72" s="299"/>
      <c r="GII72" s="299"/>
      <c r="GIJ72" s="299"/>
      <c r="GIK72" s="299"/>
      <c r="GIL72" s="299"/>
      <c r="GIM72" s="299"/>
      <c r="GIN72" s="299"/>
      <c r="GIO72" s="299"/>
      <c r="GIP72" s="299"/>
      <c r="GIQ72" s="299"/>
      <c r="GIR72" s="299"/>
      <c r="GIS72" s="299"/>
      <c r="GIT72" s="299"/>
      <c r="GIU72" s="299"/>
      <c r="GIV72" s="299"/>
      <c r="GIW72" s="299"/>
      <c r="GIX72" s="299"/>
      <c r="GIY72" s="299"/>
      <c r="GIZ72" s="299"/>
      <c r="GJA72" s="299"/>
      <c r="GJB72" s="299"/>
      <c r="GJC72" s="299"/>
      <c r="GJD72" s="299"/>
      <c r="GJE72" s="299"/>
      <c r="GJF72" s="299"/>
      <c r="GJG72" s="299"/>
      <c r="GJH72" s="299"/>
      <c r="GJI72" s="299"/>
      <c r="GJJ72" s="299"/>
      <c r="GJK72" s="299"/>
      <c r="GJL72" s="299"/>
      <c r="GJM72" s="299"/>
      <c r="GJN72" s="299"/>
      <c r="GJO72" s="299"/>
      <c r="GJP72" s="299"/>
      <c r="GJQ72" s="299"/>
      <c r="GJR72" s="299"/>
      <c r="GJS72" s="299"/>
      <c r="GJT72" s="299"/>
      <c r="GJU72" s="299"/>
      <c r="GJV72" s="299"/>
      <c r="GJW72" s="299"/>
      <c r="GJX72" s="299"/>
      <c r="GJY72" s="299"/>
      <c r="GJZ72" s="299"/>
      <c r="GKA72" s="299"/>
      <c r="GKB72" s="299"/>
      <c r="GKC72" s="299"/>
      <c r="GKD72" s="299"/>
      <c r="GKE72" s="299"/>
      <c r="GKF72" s="299"/>
      <c r="GKG72" s="299"/>
      <c r="GKH72" s="299"/>
      <c r="GKI72" s="299"/>
      <c r="GKJ72" s="299"/>
      <c r="GKK72" s="299"/>
      <c r="GKL72" s="299"/>
      <c r="GKM72" s="299"/>
      <c r="GKN72" s="299"/>
      <c r="GKO72" s="299"/>
      <c r="GKP72" s="299"/>
      <c r="GKQ72" s="299"/>
      <c r="GKR72" s="299"/>
      <c r="GKS72" s="299"/>
      <c r="GKT72" s="299"/>
      <c r="GKU72" s="299"/>
      <c r="GKV72" s="299"/>
      <c r="GKW72" s="299"/>
      <c r="GKX72" s="299"/>
      <c r="GKY72" s="299"/>
      <c r="GKZ72" s="299"/>
      <c r="GLA72" s="299"/>
      <c r="GLB72" s="299"/>
      <c r="GLC72" s="299"/>
      <c r="GLD72" s="299"/>
      <c r="GLE72" s="299"/>
      <c r="GLF72" s="299"/>
      <c r="GLG72" s="299"/>
      <c r="GLH72" s="299"/>
      <c r="GLI72" s="299"/>
      <c r="GLJ72" s="299"/>
      <c r="GLK72" s="299"/>
      <c r="GLL72" s="299"/>
      <c r="GLM72" s="299"/>
      <c r="GLN72" s="299"/>
      <c r="GLO72" s="299"/>
      <c r="GLP72" s="299"/>
      <c r="GLQ72" s="299"/>
      <c r="GLR72" s="299"/>
      <c r="GLS72" s="299"/>
      <c r="GLT72" s="299"/>
      <c r="GLU72" s="299"/>
      <c r="GLV72" s="299"/>
      <c r="GLW72" s="299"/>
      <c r="GLX72" s="299"/>
      <c r="GLY72" s="299"/>
      <c r="GLZ72" s="299"/>
      <c r="GMA72" s="299"/>
      <c r="GMB72" s="299"/>
      <c r="GMC72" s="299"/>
      <c r="GMD72" s="299"/>
      <c r="GME72" s="299"/>
      <c r="GMF72" s="299"/>
      <c r="GMG72" s="299"/>
      <c r="GMH72" s="299"/>
      <c r="GMI72" s="299"/>
      <c r="GMJ72" s="299"/>
      <c r="GMK72" s="299"/>
      <c r="GML72" s="299"/>
      <c r="GMM72" s="299"/>
      <c r="GMN72" s="299"/>
      <c r="GMO72" s="299"/>
      <c r="GMP72" s="299"/>
      <c r="GMQ72" s="299"/>
      <c r="GMR72" s="299"/>
      <c r="GMS72" s="299"/>
      <c r="GMT72" s="299"/>
      <c r="GMU72" s="299"/>
      <c r="GMV72" s="299"/>
      <c r="GMW72" s="299"/>
      <c r="GMX72" s="299"/>
      <c r="GMY72" s="299"/>
      <c r="GMZ72" s="299"/>
      <c r="GNA72" s="299"/>
      <c r="GNB72" s="299"/>
      <c r="GNC72" s="299"/>
      <c r="GND72" s="299"/>
      <c r="GNE72" s="299"/>
      <c r="GNF72" s="299"/>
      <c r="GNG72" s="299"/>
      <c r="GNH72" s="299"/>
      <c r="GNI72" s="299"/>
      <c r="GNJ72" s="299"/>
      <c r="GNK72" s="299"/>
      <c r="GNL72" s="299"/>
      <c r="GNM72" s="299"/>
      <c r="GNN72" s="299"/>
      <c r="GNO72" s="299"/>
      <c r="GNP72" s="299"/>
      <c r="GNQ72" s="299"/>
      <c r="GNR72" s="299"/>
      <c r="GNS72" s="299"/>
      <c r="GNT72" s="299"/>
      <c r="GNU72" s="299"/>
      <c r="GNV72" s="299"/>
      <c r="GNW72" s="299"/>
      <c r="GNX72" s="299"/>
      <c r="GNY72" s="299"/>
      <c r="GNZ72" s="299"/>
      <c r="GOA72" s="299"/>
      <c r="GOB72" s="299"/>
      <c r="GOC72" s="299"/>
      <c r="GOD72" s="299"/>
      <c r="GOE72" s="299"/>
      <c r="GOF72" s="299"/>
      <c r="GOG72" s="299"/>
      <c r="GOH72" s="299"/>
      <c r="GOI72" s="299"/>
      <c r="GOJ72" s="299"/>
      <c r="GOK72" s="299"/>
      <c r="GOL72" s="299"/>
      <c r="GOM72" s="299"/>
      <c r="GON72" s="299"/>
      <c r="GOO72" s="299"/>
      <c r="GOP72" s="299"/>
      <c r="GOQ72" s="299"/>
      <c r="GOR72" s="299"/>
      <c r="GOS72" s="299"/>
      <c r="GOT72" s="299"/>
      <c r="GOU72" s="299"/>
      <c r="GOV72" s="299"/>
      <c r="GOW72" s="299"/>
      <c r="GOX72" s="299"/>
      <c r="GOY72" s="299"/>
      <c r="GOZ72" s="299"/>
      <c r="GPA72" s="299"/>
      <c r="GPB72" s="299"/>
      <c r="GPC72" s="299"/>
      <c r="GPD72" s="299"/>
      <c r="GPE72" s="299"/>
      <c r="GPF72" s="299"/>
      <c r="GPG72" s="299"/>
      <c r="GPH72" s="299"/>
      <c r="GPI72" s="299"/>
      <c r="GPJ72" s="299"/>
      <c r="GPK72" s="299"/>
      <c r="GPL72" s="299"/>
      <c r="GPM72" s="299"/>
      <c r="GPN72" s="299"/>
      <c r="GPO72" s="299"/>
      <c r="GPP72" s="299"/>
      <c r="GPQ72" s="299"/>
      <c r="GPR72" s="299"/>
      <c r="GPS72" s="299"/>
      <c r="GPT72" s="299"/>
      <c r="GPU72" s="299"/>
      <c r="GPV72" s="299"/>
      <c r="GPW72" s="299"/>
      <c r="GPX72" s="299"/>
      <c r="GPY72" s="299"/>
      <c r="GPZ72" s="299"/>
      <c r="GQA72" s="299"/>
      <c r="GQB72" s="299"/>
      <c r="GQC72" s="299"/>
      <c r="GQD72" s="299"/>
      <c r="GQE72" s="299"/>
      <c r="GQF72" s="299"/>
      <c r="GQG72" s="299"/>
      <c r="GQH72" s="299"/>
      <c r="GQI72" s="299"/>
      <c r="GQJ72" s="299"/>
      <c r="GQK72" s="299"/>
      <c r="GQL72" s="299"/>
      <c r="GQM72" s="299"/>
      <c r="GQN72" s="299"/>
      <c r="GQO72" s="299"/>
      <c r="GQP72" s="299"/>
      <c r="GQQ72" s="299"/>
      <c r="GQR72" s="299"/>
      <c r="GQS72" s="299"/>
      <c r="GQT72" s="299"/>
      <c r="GQU72" s="299"/>
      <c r="GQV72" s="299"/>
      <c r="GQW72" s="299"/>
      <c r="GQX72" s="299"/>
      <c r="GQY72" s="299"/>
      <c r="GQZ72" s="299"/>
      <c r="GRA72" s="299"/>
      <c r="GRB72" s="299"/>
      <c r="GRC72" s="299"/>
      <c r="GRD72" s="299"/>
      <c r="GRE72" s="299"/>
      <c r="GRF72" s="299"/>
      <c r="GRG72" s="299"/>
      <c r="GRH72" s="299"/>
      <c r="GRI72" s="299"/>
      <c r="GRJ72" s="299"/>
      <c r="GRK72" s="299"/>
      <c r="GRL72" s="299"/>
      <c r="GRM72" s="299"/>
      <c r="GRN72" s="299"/>
      <c r="GRO72" s="299"/>
      <c r="GRP72" s="299"/>
      <c r="GRQ72" s="299"/>
      <c r="GRR72" s="299"/>
      <c r="GRS72" s="299"/>
      <c r="GRT72" s="299"/>
      <c r="GRU72" s="299"/>
      <c r="GRV72" s="299"/>
      <c r="GRW72" s="299"/>
      <c r="GRX72" s="299"/>
      <c r="GRY72" s="299"/>
      <c r="GRZ72" s="299"/>
      <c r="GSA72" s="299"/>
      <c r="GSB72" s="299"/>
      <c r="GSC72" s="299"/>
      <c r="GSD72" s="299"/>
      <c r="GSE72" s="299"/>
      <c r="GSF72" s="299"/>
      <c r="GSG72" s="299"/>
      <c r="GSH72" s="299"/>
      <c r="GSI72" s="299"/>
      <c r="GSJ72" s="299"/>
      <c r="GSK72" s="299"/>
      <c r="GSL72" s="299"/>
      <c r="GSM72" s="299"/>
      <c r="GSN72" s="299"/>
      <c r="GSO72" s="299"/>
      <c r="GSP72" s="299"/>
      <c r="GSQ72" s="299"/>
      <c r="GSR72" s="299"/>
      <c r="GSS72" s="299"/>
      <c r="GST72" s="299"/>
      <c r="GSU72" s="299"/>
      <c r="GSV72" s="299"/>
      <c r="GSW72" s="299"/>
      <c r="GSX72" s="299"/>
      <c r="GSY72" s="299"/>
      <c r="GSZ72" s="299"/>
      <c r="GTA72" s="299"/>
      <c r="GTB72" s="299"/>
      <c r="GTC72" s="299"/>
      <c r="GTD72" s="299"/>
      <c r="GTE72" s="299"/>
      <c r="GTF72" s="299"/>
      <c r="GTG72" s="299"/>
      <c r="GTH72" s="299"/>
      <c r="GTI72" s="299"/>
      <c r="GTJ72" s="299"/>
      <c r="GTK72" s="299"/>
      <c r="GTL72" s="299"/>
      <c r="GTM72" s="299"/>
      <c r="GTN72" s="299"/>
      <c r="GTO72" s="299"/>
      <c r="GTP72" s="299"/>
      <c r="GTQ72" s="299"/>
      <c r="GTR72" s="299"/>
      <c r="GTS72" s="299"/>
      <c r="GTT72" s="299"/>
      <c r="GTU72" s="299"/>
      <c r="GTV72" s="299"/>
      <c r="GTW72" s="299"/>
      <c r="GTX72" s="299"/>
      <c r="GTY72" s="299"/>
      <c r="GTZ72" s="299"/>
      <c r="GUA72" s="299"/>
      <c r="GUB72" s="299"/>
      <c r="GUC72" s="299"/>
      <c r="GUD72" s="299"/>
      <c r="GUE72" s="299"/>
      <c r="GUF72" s="299"/>
      <c r="GUG72" s="299"/>
      <c r="GUH72" s="299"/>
      <c r="GUI72" s="299"/>
      <c r="GUJ72" s="299"/>
      <c r="GUK72" s="299"/>
      <c r="GUL72" s="299"/>
      <c r="GUM72" s="299"/>
      <c r="GUN72" s="299"/>
      <c r="GUO72" s="299"/>
      <c r="GUP72" s="299"/>
      <c r="GUQ72" s="299"/>
      <c r="GUR72" s="299"/>
      <c r="GUS72" s="299"/>
      <c r="GUT72" s="299"/>
      <c r="GUU72" s="299"/>
      <c r="GUV72" s="299"/>
      <c r="GUW72" s="299"/>
      <c r="GUX72" s="299"/>
      <c r="GUY72" s="299"/>
      <c r="GUZ72" s="299"/>
      <c r="GVA72" s="299"/>
      <c r="GVB72" s="299"/>
      <c r="GVC72" s="299"/>
      <c r="GVD72" s="299"/>
      <c r="GVE72" s="299"/>
      <c r="GVF72" s="299"/>
      <c r="GVG72" s="299"/>
      <c r="GVH72" s="299"/>
      <c r="GVI72" s="299"/>
      <c r="GVJ72" s="299"/>
      <c r="GVK72" s="299"/>
      <c r="GVL72" s="299"/>
      <c r="GVM72" s="299"/>
      <c r="GVN72" s="299"/>
      <c r="GVO72" s="299"/>
      <c r="GVP72" s="299"/>
      <c r="GVQ72" s="299"/>
      <c r="GVR72" s="299"/>
      <c r="GVS72" s="299"/>
      <c r="GVT72" s="299"/>
      <c r="GVU72" s="299"/>
      <c r="GVV72" s="299"/>
      <c r="GVW72" s="299"/>
      <c r="GVX72" s="299"/>
      <c r="GVY72" s="299"/>
      <c r="GVZ72" s="299"/>
      <c r="GWA72" s="299"/>
      <c r="GWB72" s="299"/>
      <c r="GWC72" s="299"/>
      <c r="GWD72" s="299"/>
      <c r="GWE72" s="299"/>
      <c r="GWF72" s="299"/>
      <c r="GWG72" s="299"/>
      <c r="GWH72" s="299"/>
      <c r="GWI72" s="299"/>
      <c r="GWJ72" s="299"/>
      <c r="GWK72" s="299"/>
      <c r="GWL72" s="299"/>
      <c r="GWM72" s="299"/>
      <c r="GWN72" s="299"/>
      <c r="GWO72" s="299"/>
      <c r="GWP72" s="299"/>
      <c r="GWQ72" s="299"/>
      <c r="GWR72" s="299"/>
      <c r="GWS72" s="299"/>
      <c r="GWT72" s="299"/>
      <c r="GWU72" s="299"/>
      <c r="GWV72" s="299"/>
      <c r="GWW72" s="299"/>
      <c r="GWX72" s="299"/>
      <c r="GWY72" s="299"/>
      <c r="GWZ72" s="299"/>
      <c r="GXA72" s="299"/>
      <c r="GXB72" s="299"/>
      <c r="GXC72" s="299"/>
      <c r="GXD72" s="299"/>
      <c r="GXE72" s="299"/>
      <c r="GXF72" s="299"/>
      <c r="GXG72" s="299"/>
      <c r="GXH72" s="299"/>
      <c r="GXI72" s="299"/>
      <c r="GXJ72" s="299"/>
      <c r="GXK72" s="299"/>
      <c r="GXL72" s="299"/>
      <c r="GXM72" s="299"/>
      <c r="GXN72" s="299"/>
      <c r="GXO72" s="299"/>
      <c r="GXP72" s="299"/>
      <c r="GXQ72" s="299"/>
      <c r="GXR72" s="299"/>
      <c r="GXS72" s="299"/>
      <c r="GXT72" s="299"/>
      <c r="GXU72" s="299"/>
      <c r="GXV72" s="299"/>
      <c r="GXW72" s="299"/>
      <c r="GXX72" s="299"/>
      <c r="GXY72" s="299"/>
      <c r="GXZ72" s="299"/>
      <c r="GYA72" s="299"/>
      <c r="GYB72" s="299"/>
      <c r="GYC72" s="299"/>
      <c r="GYD72" s="299"/>
      <c r="GYE72" s="299"/>
      <c r="GYF72" s="299"/>
      <c r="GYG72" s="299"/>
      <c r="GYH72" s="299"/>
      <c r="GYI72" s="299"/>
      <c r="GYJ72" s="299"/>
      <c r="GYK72" s="299"/>
      <c r="GYL72" s="299"/>
      <c r="GYM72" s="299"/>
      <c r="GYN72" s="299"/>
      <c r="GYO72" s="299"/>
      <c r="GYP72" s="299"/>
      <c r="GYQ72" s="299"/>
      <c r="GYR72" s="299"/>
      <c r="GYS72" s="299"/>
      <c r="GYT72" s="299"/>
      <c r="GYU72" s="299"/>
      <c r="GYV72" s="299"/>
      <c r="GYW72" s="299"/>
      <c r="GYX72" s="299"/>
      <c r="GYY72" s="299"/>
      <c r="GYZ72" s="299"/>
      <c r="GZA72" s="299"/>
      <c r="GZB72" s="299"/>
      <c r="GZC72" s="299"/>
      <c r="GZD72" s="299"/>
      <c r="GZE72" s="299"/>
      <c r="GZF72" s="299"/>
      <c r="GZG72" s="299"/>
      <c r="GZH72" s="299"/>
      <c r="GZI72" s="299"/>
      <c r="GZJ72" s="299"/>
      <c r="GZK72" s="299"/>
      <c r="GZL72" s="299"/>
      <c r="GZM72" s="299"/>
      <c r="GZN72" s="299"/>
      <c r="GZO72" s="299"/>
      <c r="GZP72" s="299"/>
      <c r="GZQ72" s="299"/>
      <c r="GZR72" s="299"/>
      <c r="GZS72" s="299"/>
      <c r="GZT72" s="299"/>
      <c r="GZU72" s="299"/>
      <c r="GZV72" s="299"/>
      <c r="GZW72" s="299"/>
      <c r="GZX72" s="299"/>
      <c r="GZY72" s="299"/>
      <c r="GZZ72" s="299"/>
      <c r="HAA72" s="299"/>
      <c r="HAB72" s="299"/>
      <c r="HAC72" s="299"/>
      <c r="HAD72" s="299"/>
      <c r="HAE72" s="299"/>
      <c r="HAF72" s="299"/>
      <c r="HAG72" s="299"/>
      <c r="HAH72" s="299"/>
      <c r="HAI72" s="299"/>
      <c r="HAJ72" s="299"/>
      <c r="HAK72" s="299"/>
      <c r="HAL72" s="299"/>
      <c r="HAM72" s="299"/>
      <c r="HAN72" s="299"/>
      <c r="HAO72" s="299"/>
      <c r="HAP72" s="299"/>
      <c r="HAQ72" s="299"/>
      <c r="HAR72" s="299"/>
      <c r="HAS72" s="299"/>
      <c r="HAT72" s="299"/>
      <c r="HAU72" s="299"/>
      <c r="HAV72" s="299"/>
      <c r="HAW72" s="299"/>
      <c r="HAX72" s="299"/>
      <c r="HAY72" s="299"/>
      <c r="HAZ72" s="299"/>
      <c r="HBA72" s="299"/>
      <c r="HBB72" s="299"/>
      <c r="HBC72" s="299"/>
      <c r="HBD72" s="299"/>
      <c r="HBE72" s="299"/>
      <c r="HBF72" s="299"/>
      <c r="HBG72" s="299"/>
      <c r="HBH72" s="299"/>
      <c r="HBI72" s="299"/>
      <c r="HBJ72" s="299"/>
      <c r="HBK72" s="299"/>
      <c r="HBL72" s="299"/>
      <c r="HBM72" s="299"/>
      <c r="HBN72" s="299"/>
      <c r="HBO72" s="299"/>
      <c r="HBP72" s="299"/>
      <c r="HBQ72" s="299"/>
      <c r="HBR72" s="299"/>
      <c r="HBS72" s="299"/>
      <c r="HBT72" s="299"/>
      <c r="HBU72" s="299"/>
      <c r="HBV72" s="299"/>
      <c r="HBW72" s="299"/>
      <c r="HBX72" s="299"/>
      <c r="HBY72" s="299"/>
      <c r="HBZ72" s="299"/>
      <c r="HCA72" s="299"/>
      <c r="HCB72" s="299"/>
      <c r="HCC72" s="299"/>
      <c r="HCD72" s="299"/>
      <c r="HCE72" s="299"/>
      <c r="HCF72" s="299"/>
      <c r="HCG72" s="299"/>
      <c r="HCH72" s="299"/>
      <c r="HCI72" s="299"/>
      <c r="HCJ72" s="299"/>
      <c r="HCK72" s="299"/>
      <c r="HCL72" s="299"/>
      <c r="HCM72" s="299"/>
      <c r="HCN72" s="299"/>
      <c r="HCO72" s="299"/>
      <c r="HCP72" s="299"/>
      <c r="HCQ72" s="299"/>
      <c r="HCR72" s="299"/>
      <c r="HCS72" s="299"/>
      <c r="HCT72" s="299"/>
      <c r="HCU72" s="299"/>
      <c r="HCV72" s="299"/>
      <c r="HCW72" s="299"/>
      <c r="HCX72" s="299"/>
      <c r="HCY72" s="299"/>
      <c r="HCZ72" s="299"/>
      <c r="HDA72" s="299"/>
      <c r="HDB72" s="299"/>
      <c r="HDC72" s="299"/>
      <c r="HDD72" s="299"/>
      <c r="HDE72" s="299"/>
      <c r="HDF72" s="299"/>
      <c r="HDG72" s="299"/>
      <c r="HDH72" s="299"/>
      <c r="HDI72" s="299"/>
      <c r="HDJ72" s="299"/>
      <c r="HDK72" s="299"/>
      <c r="HDL72" s="299"/>
      <c r="HDM72" s="299"/>
      <c r="HDN72" s="299"/>
      <c r="HDO72" s="299"/>
      <c r="HDP72" s="299"/>
      <c r="HDQ72" s="299"/>
      <c r="HDR72" s="299"/>
      <c r="HDS72" s="299"/>
      <c r="HDT72" s="299"/>
      <c r="HDU72" s="299"/>
      <c r="HDV72" s="299"/>
      <c r="HDW72" s="299"/>
      <c r="HDX72" s="299"/>
      <c r="HDY72" s="299"/>
      <c r="HDZ72" s="299"/>
      <c r="HEA72" s="299"/>
      <c r="HEB72" s="299"/>
      <c r="HEC72" s="299"/>
      <c r="HED72" s="299"/>
      <c r="HEE72" s="299"/>
      <c r="HEF72" s="299"/>
      <c r="HEG72" s="299"/>
      <c r="HEH72" s="299"/>
      <c r="HEI72" s="299"/>
      <c r="HEJ72" s="299"/>
      <c r="HEK72" s="299"/>
      <c r="HEL72" s="299"/>
      <c r="HEM72" s="299"/>
      <c r="HEN72" s="299"/>
      <c r="HEO72" s="299"/>
      <c r="HEP72" s="299"/>
      <c r="HEQ72" s="299"/>
      <c r="HER72" s="299"/>
      <c r="HES72" s="299"/>
      <c r="HET72" s="299"/>
      <c r="HEU72" s="299"/>
      <c r="HEV72" s="299"/>
      <c r="HEW72" s="299"/>
      <c r="HEX72" s="299"/>
      <c r="HEY72" s="299"/>
      <c r="HEZ72" s="299"/>
      <c r="HFA72" s="299"/>
      <c r="HFB72" s="299"/>
      <c r="HFC72" s="299"/>
      <c r="HFD72" s="299"/>
      <c r="HFE72" s="299"/>
      <c r="HFF72" s="299"/>
      <c r="HFG72" s="299"/>
      <c r="HFH72" s="299"/>
      <c r="HFI72" s="299"/>
      <c r="HFJ72" s="299"/>
      <c r="HFK72" s="299"/>
      <c r="HFL72" s="299"/>
      <c r="HFM72" s="299"/>
      <c r="HFN72" s="299"/>
      <c r="HFO72" s="299"/>
      <c r="HFP72" s="299"/>
      <c r="HFQ72" s="299"/>
      <c r="HFR72" s="299"/>
      <c r="HFS72" s="299"/>
      <c r="HFT72" s="299"/>
      <c r="HFU72" s="299"/>
      <c r="HFV72" s="299"/>
      <c r="HFW72" s="299"/>
      <c r="HFX72" s="299"/>
      <c r="HFY72" s="299"/>
      <c r="HFZ72" s="299"/>
      <c r="HGA72" s="299"/>
      <c r="HGB72" s="299"/>
      <c r="HGC72" s="299"/>
      <c r="HGD72" s="299"/>
      <c r="HGE72" s="299"/>
      <c r="HGF72" s="299"/>
      <c r="HGG72" s="299"/>
      <c r="HGH72" s="299"/>
      <c r="HGI72" s="299"/>
      <c r="HGJ72" s="299"/>
      <c r="HGK72" s="299"/>
      <c r="HGL72" s="299"/>
      <c r="HGM72" s="299"/>
      <c r="HGN72" s="299"/>
      <c r="HGO72" s="299"/>
      <c r="HGP72" s="299"/>
      <c r="HGQ72" s="299"/>
      <c r="HGR72" s="299"/>
      <c r="HGS72" s="299"/>
      <c r="HGT72" s="299"/>
      <c r="HGU72" s="299"/>
      <c r="HGV72" s="299"/>
      <c r="HGW72" s="299"/>
      <c r="HGX72" s="299"/>
      <c r="HGY72" s="299"/>
      <c r="HGZ72" s="299"/>
      <c r="HHA72" s="299"/>
      <c r="HHB72" s="299"/>
      <c r="HHC72" s="299"/>
      <c r="HHD72" s="299"/>
      <c r="HHE72" s="299"/>
      <c r="HHF72" s="299"/>
      <c r="HHG72" s="299"/>
      <c r="HHH72" s="299"/>
      <c r="HHI72" s="299"/>
      <c r="HHJ72" s="299"/>
      <c r="HHK72" s="299"/>
      <c r="HHL72" s="299"/>
      <c r="HHM72" s="299"/>
      <c r="HHN72" s="299"/>
      <c r="HHO72" s="299"/>
      <c r="HHP72" s="299"/>
      <c r="HHQ72" s="299"/>
      <c r="HHR72" s="299"/>
      <c r="HHS72" s="299"/>
      <c r="HHT72" s="299"/>
      <c r="HHU72" s="299"/>
      <c r="HHV72" s="299"/>
      <c r="HHW72" s="299"/>
      <c r="HHX72" s="299"/>
      <c r="HHY72" s="299"/>
      <c r="HHZ72" s="299"/>
      <c r="HIA72" s="299"/>
      <c r="HIB72" s="299"/>
      <c r="HIC72" s="299"/>
      <c r="HID72" s="299"/>
      <c r="HIE72" s="299"/>
      <c r="HIF72" s="299"/>
      <c r="HIG72" s="299"/>
      <c r="HIH72" s="299"/>
      <c r="HII72" s="299"/>
      <c r="HIJ72" s="299"/>
      <c r="HIK72" s="299"/>
      <c r="HIL72" s="299"/>
      <c r="HIM72" s="299"/>
      <c r="HIN72" s="299"/>
      <c r="HIO72" s="299"/>
      <c r="HIP72" s="299"/>
      <c r="HIQ72" s="299"/>
      <c r="HIR72" s="299"/>
      <c r="HIS72" s="299"/>
      <c r="HIT72" s="299"/>
      <c r="HIU72" s="299"/>
      <c r="HIV72" s="299"/>
      <c r="HIW72" s="299"/>
      <c r="HIX72" s="299"/>
      <c r="HIY72" s="299"/>
      <c r="HIZ72" s="299"/>
      <c r="HJA72" s="299"/>
      <c r="HJB72" s="299"/>
      <c r="HJC72" s="299"/>
      <c r="HJD72" s="299"/>
      <c r="HJE72" s="299"/>
      <c r="HJF72" s="299"/>
      <c r="HJG72" s="299"/>
      <c r="HJH72" s="299"/>
      <c r="HJI72" s="299"/>
      <c r="HJJ72" s="299"/>
      <c r="HJK72" s="299"/>
      <c r="HJL72" s="299"/>
      <c r="HJM72" s="299"/>
      <c r="HJN72" s="299"/>
      <c r="HJO72" s="299"/>
      <c r="HJP72" s="299"/>
      <c r="HJQ72" s="299"/>
      <c r="HJR72" s="299"/>
      <c r="HJS72" s="299"/>
      <c r="HJT72" s="299"/>
      <c r="HJU72" s="299"/>
      <c r="HJV72" s="299"/>
      <c r="HJW72" s="299"/>
      <c r="HJX72" s="299"/>
      <c r="HJY72" s="299"/>
      <c r="HJZ72" s="299"/>
      <c r="HKA72" s="299"/>
      <c r="HKB72" s="299"/>
      <c r="HKC72" s="299"/>
      <c r="HKD72" s="299"/>
      <c r="HKE72" s="299"/>
      <c r="HKF72" s="299"/>
      <c r="HKG72" s="299"/>
      <c r="HKH72" s="299"/>
      <c r="HKI72" s="299"/>
      <c r="HKJ72" s="299"/>
      <c r="HKK72" s="299"/>
      <c r="HKL72" s="299"/>
      <c r="HKM72" s="299"/>
      <c r="HKN72" s="299"/>
      <c r="HKO72" s="299"/>
      <c r="HKP72" s="299"/>
      <c r="HKQ72" s="299"/>
      <c r="HKR72" s="299"/>
      <c r="HKS72" s="299"/>
      <c r="HKT72" s="299"/>
      <c r="HKU72" s="299"/>
      <c r="HKV72" s="299"/>
      <c r="HKW72" s="299"/>
      <c r="HKX72" s="299"/>
      <c r="HKY72" s="299"/>
      <c r="HKZ72" s="299"/>
      <c r="HLA72" s="299"/>
      <c r="HLB72" s="299"/>
      <c r="HLC72" s="299"/>
      <c r="HLD72" s="299"/>
      <c r="HLE72" s="299"/>
      <c r="HLF72" s="299"/>
      <c r="HLG72" s="299"/>
      <c r="HLH72" s="299"/>
      <c r="HLI72" s="299"/>
      <c r="HLJ72" s="299"/>
      <c r="HLK72" s="299"/>
      <c r="HLL72" s="299"/>
      <c r="HLM72" s="299"/>
      <c r="HLN72" s="299"/>
      <c r="HLO72" s="299"/>
      <c r="HLP72" s="299"/>
      <c r="HLQ72" s="299"/>
      <c r="HLR72" s="299"/>
      <c r="HLS72" s="299"/>
      <c r="HLT72" s="299"/>
      <c r="HLU72" s="299"/>
      <c r="HLV72" s="299"/>
      <c r="HLW72" s="299"/>
      <c r="HLX72" s="299"/>
      <c r="HLY72" s="299"/>
      <c r="HLZ72" s="299"/>
      <c r="HMA72" s="299"/>
      <c r="HMB72" s="299"/>
      <c r="HMC72" s="299"/>
      <c r="HMD72" s="299"/>
      <c r="HME72" s="299"/>
      <c r="HMF72" s="299"/>
      <c r="HMG72" s="299"/>
      <c r="HMH72" s="299"/>
      <c r="HMI72" s="299"/>
      <c r="HMJ72" s="299"/>
      <c r="HMK72" s="299"/>
      <c r="HML72" s="299"/>
      <c r="HMM72" s="299"/>
      <c r="HMN72" s="299"/>
      <c r="HMO72" s="299"/>
      <c r="HMP72" s="299"/>
      <c r="HMQ72" s="299"/>
      <c r="HMR72" s="299"/>
      <c r="HMS72" s="299"/>
      <c r="HMT72" s="299"/>
      <c r="HMU72" s="299"/>
      <c r="HMV72" s="299"/>
      <c r="HMW72" s="299"/>
      <c r="HMX72" s="299"/>
      <c r="HMY72" s="299"/>
      <c r="HMZ72" s="299"/>
      <c r="HNA72" s="299"/>
      <c r="HNB72" s="299"/>
      <c r="HNC72" s="299"/>
      <c r="HND72" s="299"/>
      <c r="HNE72" s="299"/>
      <c r="HNF72" s="299"/>
      <c r="HNG72" s="299"/>
      <c r="HNH72" s="299"/>
      <c r="HNI72" s="299"/>
      <c r="HNJ72" s="299"/>
      <c r="HNK72" s="299"/>
      <c r="HNL72" s="299"/>
      <c r="HNM72" s="299"/>
      <c r="HNN72" s="299"/>
      <c r="HNO72" s="299"/>
      <c r="HNP72" s="299"/>
      <c r="HNQ72" s="299"/>
      <c r="HNR72" s="299"/>
      <c r="HNS72" s="299"/>
      <c r="HNT72" s="299"/>
      <c r="HNU72" s="299"/>
      <c r="HNV72" s="299"/>
      <c r="HNW72" s="299"/>
      <c r="HNX72" s="299"/>
      <c r="HNY72" s="299"/>
      <c r="HNZ72" s="299"/>
      <c r="HOA72" s="299"/>
      <c r="HOB72" s="299"/>
      <c r="HOC72" s="299"/>
      <c r="HOD72" s="299"/>
      <c r="HOE72" s="299"/>
      <c r="HOF72" s="299"/>
      <c r="HOG72" s="299"/>
      <c r="HOH72" s="299"/>
      <c r="HOI72" s="299"/>
      <c r="HOJ72" s="299"/>
      <c r="HOK72" s="299"/>
      <c r="HOL72" s="299"/>
      <c r="HOM72" s="299"/>
      <c r="HON72" s="299"/>
      <c r="HOO72" s="299"/>
      <c r="HOP72" s="299"/>
      <c r="HOQ72" s="299"/>
      <c r="HOR72" s="299"/>
      <c r="HOS72" s="299"/>
      <c r="HOT72" s="299"/>
      <c r="HOU72" s="299"/>
      <c r="HOV72" s="299"/>
      <c r="HOW72" s="299"/>
      <c r="HOX72" s="299"/>
      <c r="HOY72" s="299"/>
      <c r="HOZ72" s="299"/>
      <c r="HPA72" s="299"/>
      <c r="HPB72" s="299"/>
      <c r="HPC72" s="299"/>
      <c r="HPD72" s="299"/>
      <c r="HPE72" s="299"/>
      <c r="HPF72" s="299"/>
      <c r="HPG72" s="299"/>
      <c r="HPH72" s="299"/>
      <c r="HPI72" s="299"/>
      <c r="HPJ72" s="299"/>
      <c r="HPK72" s="299"/>
      <c r="HPL72" s="299"/>
      <c r="HPM72" s="299"/>
      <c r="HPN72" s="299"/>
      <c r="HPO72" s="299"/>
      <c r="HPP72" s="299"/>
      <c r="HPQ72" s="299"/>
      <c r="HPR72" s="299"/>
      <c r="HPS72" s="299"/>
      <c r="HPT72" s="299"/>
      <c r="HPU72" s="299"/>
      <c r="HPV72" s="299"/>
      <c r="HPW72" s="299"/>
      <c r="HPX72" s="299"/>
      <c r="HPY72" s="299"/>
      <c r="HPZ72" s="299"/>
      <c r="HQA72" s="299"/>
      <c r="HQB72" s="299"/>
      <c r="HQC72" s="299"/>
      <c r="HQD72" s="299"/>
      <c r="HQE72" s="299"/>
      <c r="HQF72" s="299"/>
      <c r="HQG72" s="299"/>
      <c r="HQH72" s="299"/>
      <c r="HQI72" s="299"/>
      <c r="HQJ72" s="299"/>
      <c r="HQK72" s="299"/>
      <c r="HQL72" s="299"/>
      <c r="HQM72" s="299"/>
      <c r="HQN72" s="299"/>
      <c r="HQO72" s="299"/>
      <c r="HQP72" s="299"/>
      <c r="HQQ72" s="299"/>
      <c r="HQR72" s="299"/>
      <c r="HQS72" s="299"/>
      <c r="HQT72" s="299"/>
      <c r="HQU72" s="299"/>
      <c r="HQV72" s="299"/>
      <c r="HQW72" s="299"/>
      <c r="HQX72" s="299"/>
      <c r="HQY72" s="299"/>
      <c r="HQZ72" s="299"/>
      <c r="HRA72" s="299"/>
      <c r="HRB72" s="299"/>
      <c r="HRC72" s="299"/>
      <c r="HRD72" s="299"/>
      <c r="HRE72" s="299"/>
      <c r="HRF72" s="299"/>
      <c r="HRG72" s="299"/>
      <c r="HRH72" s="299"/>
      <c r="HRI72" s="299"/>
      <c r="HRJ72" s="299"/>
      <c r="HRK72" s="299"/>
      <c r="HRL72" s="299"/>
      <c r="HRM72" s="299"/>
      <c r="HRN72" s="299"/>
      <c r="HRO72" s="299"/>
      <c r="HRP72" s="299"/>
      <c r="HRQ72" s="299"/>
      <c r="HRR72" s="299"/>
      <c r="HRS72" s="299"/>
      <c r="HRT72" s="299"/>
      <c r="HRU72" s="299"/>
      <c r="HRV72" s="299"/>
      <c r="HRW72" s="299"/>
      <c r="HRX72" s="299"/>
      <c r="HRY72" s="299"/>
      <c r="HRZ72" s="299"/>
      <c r="HSA72" s="299"/>
      <c r="HSB72" s="299"/>
      <c r="HSC72" s="299"/>
      <c r="HSD72" s="299"/>
      <c r="HSE72" s="299"/>
      <c r="HSF72" s="299"/>
      <c r="HSG72" s="299"/>
      <c r="HSH72" s="299"/>
      <c r="HSI72" s="299"/>
      <c r="HSJ72" s="299"/>
      <c r="HSK72" s="299"/>
      <c r="HSL72" s="299"/>
      <c r="HSM72" s="299"/>
      <c r="HSN72" s="299"/>
      <c r="HSO72" s="299"/>
      <c r="HSP72" s="299"/>
      <c r="HSQ72" s="299"/>
      <c r="HSR72" s="299"/>
      <c r="HSS72" s="299"/>
      <c r="HST72" s="299"/>
      <c r="HSU72" s="299"/>
      <c r="HSV72" s="299"/>
      <c r="HSW72" s="299"/>
      <c r="HSX72" s="299"/>
      <c r="HSY72" s="299"/>
      <c r="HSZ72" s="299"/>
      <c r="HTA72" s="299"/>
      <c r="HTB72" s="299"/>
      <c r="HTC72" s="299"/>
      <c r="HTD72" s="299"/>
      <c r="HTE72" s="299"/>
      <c r="HTF72" s="299"/>
      <c r="HTG72" s="299"/>
      <c r="HTH72" s="299"/>
      <c r="HTI72" s="299"/>
      <c r="HTJ72" s="299"/>
      <c r="HTK72" s="299"/>
      <c r="HTL72" s="299"/>
      <c r="HTM72" s="299"/>
      <c r="HTN72" s="299"/>
      <c r="HTO72" s="299"/>
      <c r="HTP72" s="299"/>
      <c r="HTQ72" s="299"/>
      <c r="HTR72" s="299"/>
      <c r="HTS72" s="299"/>
      <c r="HTT72" s="299"/>
      <c r="HTU72" s="299"/>
      <c r="HTV72" s="299"/>
      <c r="HTW72" s="299"/>
      <c r="HTX72" s="299"/>
      <c r="HTY72" s="299"/>
      <c r="HTZ72" s="299"/>
      <c r="HUA72" s="299"/>
      <c r="HUB72" s="299"/>
      <c r="HUC72" s="299"/>
      <c r="HUD72" s="299"/>
      <c r="HUE72" s="299"/>
      <c r="HUF72" s="299"/>
      <c r="HUG72" s="299"/>
      <c r="HUH72" s="299"/>
      <c r="HUI72" s="299"/>
      <c r="HUJ72" s="299"/>
      <c r="HUK72" s="299"/>
      <c r="HUL72" s="299"/>
      <c r="HUM72" s="299"/>
      <c r="HUN72" s="299"/>
      <c r="HUO72" s="299"/>
      <c r="HUP72" s="299"/>
      <c r="HUQ72" s="299"/>
      <c r="HUR72" s="299"/>
      <c r="HUS72" s="299"/>
      <c r="HUT72" s="299"/>
      <c r="HUU72" s="299"/>
      <c r="HUV72" s="299"/>
      <c r="HUW72" s="299"/>
      <c r="HUX72" s="299"/>
      <c r="HUY72" s="299"/>
      <c r="HUZ72" s="299"/>
      <c r="HVA72" s="299"/>
      <c r="HVB72" s="299"/>
      <c r="HVC72" s="299"/>
      <c r="HVD72" s="299"/>
      <c r="HVE72" s="299"/>
      <c r="HVF72" s="299"/>
      <c r="HVG72" s="299"/>
      <c r="HVH72" s="299"/>
      <c r="HVI72" s="299"/>
      <c r="HVJ72" s="299"/>
      <c r="HVK72" s="299"/>
      <c r="HVL72" s="299"/>
      <c r="HVM72" s="299"/>
      <c r="HVN72" s="299"/>
      <c r="HVO72" s="299"/>
      <c r="HVP72" s="299"/>
      <c r="HVQ72" s="299"/>
      <c r="HVR72" s="299"/>
      <c r="HVS72" s="299"/>
      <c r="HVT72" s="299"/>
      <c r="HVU72" s="299"/>
      <c r="HVV72" s="299"/>
      <c r="HVW72" s="299"/>
      <c r="HVX72" s="299"/>
      <c r="HVY72" s="299"/>
      <c r="HVZ72" s="299"/>
      <c r="HWA72" s="299"/>
      <c r="HWB72" s="299"/>
      <c r="HWC72" s="299"/>
      <c r="HWD72" s="299"/>
      <c r="HWE72" s="299"/>
      <c r="HWF72" s="299"/>
      <c r="HWG72" s="299"/>
      <c r="HWH72" s="299"/>
      <c r="HWI72" s="299"/>
      <c r="HWJ72" s="299"/>
      <c r="HWK72" s="299"/>
      <c r="HWL72" s="299"/>
      <c r="HWM72" s="299"/>
      <c r="HWN72" s="299"/>
      <c r="HWO72" s="299"/>
      <c r="HWP72" s="299"/>
      <c r="HWQ72" s="299"/>
      <c r="HWR72" s="299"/>
      <c r="HWS72" s="299"/>
      <c r="HWT72" s="299"/>
      <c r="HWU72" s="299"/>
      <c r="HWV72" s="299"/>
      <c r="HWW72" s="299"/>
      <c r="HWX72" s="299"/>
      <c r="HWY72" s="299"/>
      <c r="HWZ72" s="299"/>
      <c r="HXA72" s="299"/>
      <c r="HXB72" s="299"/>
      <c r="HXC72" s="299"/>
      <c r="HXD72" s="299"/>
      <c r="HXE72" s="299"/>
      <c r="HXF72" s="299"/>
      <c r="HXG72" s="299"/>
      <c r="HXH72" s="299"/>
      <c r="HXI72" s="299"/>
      <c r="HXJ72" s="299"/>
      <c r="HXK72" s="299"/>
      <c r="HXL72" s="299"/>
      <c r="HXM72" s="299"/>
      <c r="HXN72" s="299"/>
      <c r="HXO72" s="299"/>
      <c r="HXP72" s="299"/>
      <c r="HXQ72" s="299"/>
      <c r="HXR72" s="299"/>
      <c r="HXS72" s="299"/>
      <c r="HXT72" s="299"/>
      <c r="HXU72" s="299"/>
      <c r="HXV72" s="299"/>
      <c r="HXW72" s="299"/>
      <c r="HXX72" s="299"/>
      <c r="HXY72" s="299"/>
      <c r="HXZ72" s="299"/>
      <c r="HYA72" s="299"/>
      <c r="HYB72" s="299"/>
      <c r="HYC72" s="299"/>
      <c r="HYD72" s="299"/>
      <c r="HYE72" s="299"/>
      <c r="HYF72" s="299"/>
      <c r="HYG72" s="299"/>
      <c r="HYH72" s="299"/>
      <c r="HYI72" s="299"/>
      <c r="HYJ72" s="299"/>
      <c r="HYK72" s="299"/>
      <c r="HYL72" s="299"/>
      <c r="HYM72" s="299"/>
      <c r="HYN72" s="299"/>
      <c r="HYO72" s="299"/>
      <c r="HYP72" s="299"/>
      <c r="HYQ72" s="299"/>
      <c r="HYR72" s="299"/>
      <c r="HYS72" s="299"/>
      <c r="HYT72" s="299"/>
      <c r="HYU72" s="299"/>
      <c r="HYV72" s="299"/>
      <c r="HYW72" s="299"/>
      <c r="HYX72" s="299"/>
      <c r="HYY72" s="299"/>
      <c r="HYZ72" s="299"/>
      <c r="HZA72" s="299"/>
      <c r="HZB72" s="299"/>
      <c r="HZC72" s="299"/>
      <c r="HZD72" s="299"/>
      <c r="HZE72" s="299"/>
      <c r="HZF72" s="299"/>
      <c r="HZG72" s="299"/>
      <c r="HZH72" s="299"/>
      <c r="HZI72" s="299"/>
      <c r="HZJ72" s="299"/>
      <c r="HZK72" s="299"/>
      <c r="HZL72" s="299"/>
      <c r="HZM72" s="299"/>
      <c r="HZN72" s="299"/>
      <c r="HZO72" s="299"/>
      <c r="HZP72" s="299"/>
      <c r="HZQ72" s="299"/>
      <c r="HZR72" s="299"/>
      <c r="HZS72" s="299"/>
      <c r="HZT72" s="299"/>
      <c r="HZU72" s="299"/>
      <c r="HZV72" s="299"/>
      <c r="HZW72" s="299"/>
      <c r="HZX72" s="299"/>
      <c r="HZY72" s="299"/>
      <c r="HZZ72" s="299"/>
      <c r="IAA72" s="299"/>
      <c r="IAB72" s="299"/>
      <c r="IAC72" s="299"/>
      <c r="IAD72" s="299"/>
      <c r="IAE72" s="299"/>
      <c r="IAF72" s="299"/>
      <c r="IAG72" s="299"/>
      <c r="IAH72" s="299"/>
      <c r="IAI72" s="299"/>
      <c r="IAJ72" s="299"/>
      <c r="IAK72" s="299"/>
      <c r="IAL72" s="299"/>
      <c r="IAM72" s="299"/>
      <c r="IAN72" s="299"/>
      <c r="IAO72" s="299"/>
      <c r="IAP72" s="299"/>
      <c r="IAQ72" s="299"/>
      <c r="IAR72" s="299"/>
      <c r="IAS72" s="299"/>
      <c r="IAT72" s="299"/>
      <c r="IAU72" s="299"/>
      <c r="IAV72" s="299"/>
      <c r="IAW72" s="299"/>
      <c r="IAX72" s="299"/>
      <c r="IAY72" s="299"/>
      <c r="IAZ72" s="299"/>
      <c r="IBA72" s="299"/>
      <c r="IBB72" s="299"/>
      <c r="IBC72" s="299"/>
      <c r="IBD72" s="299"/>
      <c r="IBE72" s="299"/>
      <c r="IBF72" s="299"/>
      <c r="IBG72" s="299"/>
      <c r="IBH72" s="299"/>
      <c r="IBI72" s="299"/>
      <c r="IBJ72" s="299"/>
      <c r="IBK72" s="299"/>
      <c r="IBL72" s="299"/>
      <c r="IBM72" s="299"/>
      <c r="IBN72" s="299"/>
      <c r="IBO72" s="299"/>
      <c r="IBP72" s="299"/>
      <c r="IBQ72" s="299"/>
      <c r="IBR72" s="299"/>
      <c r="IBS72" s="299"/>
      <c r="IBT72" s="299"/>
      <c r="IBU72" s="299"/>
      <c r="IBV72" s="299"/>
      <c r="IBW72" s="299"/>
      <c r="IBX72" s="299"/>
      <c r="IBY72" s="299"/>
      <c r="IBZ72" s="299"/>
      <c r="ICA72" s="299"/>
      <c r="ICB72" s="299"/>
      <c r="ICC72" s="299"/>
      <c r="ICD72" s="299"/>
      <c r="ICE72" s="299"/>
      <c r="ICF72" s="299"/>
      <c r="ICG72" s="299"/>
      <c r="ICH72" s="299"/>
      <c r="ICI72" s="299"/>
      <c r="ICJ72" s="299"/>
      <c r="ICK72" s="299"/>
      <c r="ICL72" s="299"/>
      <c r="ICM72" s="299"/>
      <c r="ICN72" s="299"/>
      <c r="ICO72" s="299"/>
      <c r="ICP72" s="299"/>
      <c r="ICQ72" s="299"/>
      <c r="ICR72" s="299"/>
      <c r="ICS72" s="299"/>
      <c r="ICT72" s="299"/>
      <c r="ICU72" s="299"/>
      <c r="ICV72" s="299"/>
      <c r="ICW72" s="299"/>
      <c r="ICX72" s="299"/>
      <c r="ICY72" s="299"/>
      <c r="ICZ72" s="299"/>
      <c r="IDA72" s="299"/>
      <c r="IDB72" s="299"/>
      <c r="IDC72" s="299"/>
      <c r="IDD72" s="299"/>
      <c r="IDE72" s="299"/>
      <c r="IDF72" s="299"/>
      <c r="IDG72" s="299"/>
      <c r="IDH72" s="299"/>
      <c r="IDI72" s="299"/>
      <c r="IDJ72" s="299"/>
      <c r="IDK72" s="299"/>
      <c r="IDL72" s="299"/>
      <c r="IDM72" s="299"/>
      <c r="IDN72" s="299"/>
      <c r="IDO72" s="299"/>
      <c r="IDP72" s="299"/>
      <c r="IDQ72" s="299"/>
      <c r="IDR72" s="299"/>
      <c r="IDS72" s="299"/>
      <c r="IDT72" s="299"/>
      <c r="IDU72" s="299"/>
      <c r="IDV72" s="299"/>
      <c r="IDW72" s="299"/>
      <c r="IDX72" s="299"/>
      <c r="IDY72" s="299"/>
      <c r="IDZ72" s="299"/>
      <c r="IEA72" s="299"/>
      <c r="IEB72" s="299"/>
      <c r="IEC72" s="299"/>
      <c r="IED72" s="299"/>
      <c r="IEE72" s="299"/>
      <c r="IEF72" s="299"/>
      <c r="IEG72" s="299"/>
      <c r="IEH72" s="299"/>
      <c r="IEI72" s="299"/>
      <c r="IEJ72" s="299"/>
      <c r="IEK72" s="299"/>
      <c r="IEL72" s="299"/>
      <c r="IEM72" s="299"/>
      <c r="IEN72" s="299"/>
      <c r="IEO72" s="299"/>
      <c r="IEP72" s="299"/>
      <c r="IEQ72" s="299"/>
      <c r="IER72" s="299"/>
      <c r="IES72" s="299"/>
      <c r="IET72" s="299"/>
      <c r="IEU72" s="299"/>
      <c r="IEV72" s="299"/>
      <c r="IEW72" s="299"/>
      <c r="IEX72" s="299"/>
      <c r="IEY72" s="299"/>
      <c r="IEZ72" s="299"/>
      <c r="IFA72" s="299"/>
      <c r="IFB72" s="299"/>
      <c r="IFC72" s="299"/>
      <c r="IFD72" s="299"/>
      <c r="IFE72" s="299"/>
      <c r="IFF72" s="299"/>
      <c r="IFG72" s="299"/>
      <c r="IFH72" s="299"/>
      <c r="IFI72" s="299"/>
      <c r="IFJ72" s="299"/>
      <c r="IFK72" s="299"/>
      <c r="IFL72" s="299"/>
      <c r="IFM72" s="299"/>
      <c r="IFN72" s="299"/>
      <c r="IFO72" s="299"/>
      <c r="IFP72" s="299"/>
      <c r="IFQ72" s="299"/>
      <c r="IFR72" s="299"/>
      <c r="IFS72" s="299"/>
      <c r="IFT72" s="299"/>
      <c r="IFU72" s="299"/>
      <c r="IFV72" s="299"/>
      <c r="IFW72" s="299"/>
      <c r="IFX72" s="299"/>
      <c r="IFY72" s="299"/>
      <c r="IFZ72" s="299"/>
      <c r="IGA72" s="299"/>
      <c r="IGB72" s="299"/>
      <c r="IGC72" s="299"/>
      <c r="IGD72" s="299"/>
      <c r="IGE72" s="299"/>
      <c r="IGF72" s="299"/>
      <c r="IGG72" s="299"/>
      <c r="IGH72" s="299"/>
      <c r="IGI72" s="299"/>
      <c r="IGJ72" s="299"/>
      <c r="IGK72" s="299"/>
      <c r="IGL72" s="299"/>
      <c r="IGM72" s="299"/>
      <c r="IGN72" s="299"/>
      <c r="IGO72" s="299"/>
      <c r="IGP72" s="299"/>
      <c r="IGQ72" s="299"/>
      <c r="IGR72" s="299"/>
      <c r="IGS72" s="299"/>
      <c r="IGT72" s="299"/>
      <c r="IGU72" s="299"/>
      <c r="IGV72" s="299"/>
      <c r="IGW72" s="299"/>
      <c r="IGX72" s="299"/>
      <c r="IGY72" s="299"/>
      <c r="IGZ72" s="299"/>
      <c r="IHA72" s="299"/>
      <c r="IHB72" s="299"/>
      <c r="IHC72" s="299"/>
      <c r="IHD72" s="299"/>
      <c r="IHE72" s="299"/>
      <c r="IHF72" s="299"/>
      <c r="IHG72" s="299"/>
      <c r="IHH72" s="299"/>
      <c r="IHI72" s="299"/>
      <c r="IHJ72" s="299"/>
      <c r="IHK72" s="299"/>
      <c r="IHL72" s="299"/>
      <c r="IHM72" s="299"/>
      <c r="IHN72" s="299"/>
      <c r="IHO72" s="299"/>
      <c r="IHP72" s="299"/>
      <c r="IHQ72" s="299"/>
      <c r="IHR72" s="299"/>
      <c r="IHS72" s="299"/>
      <c r="IHT72" s="299"/>
      <c r="IHU72" s="299"/>
      <c r="IHV72" s="299"/>
      <c r="IHW72" s="299"/>
      <c r="IHX72" s="299"/>
      <c r="IHY72" s="299"/>
      <c r="IHZ72" s="299"/>
      <c r="IIA72" s="299"/>
      <c r="IIB72" s="299"/>
      <c r="IIC72" s="299"/>
      <c r="IID72" s="299"/>
      <c r="IIE72" s="299"/>
      <c r="IIF72" s="299"/>
      <c r="IIG72" s="299"/>
      <c r="IIH72" s="299"/>
      <c r="III72" s="299"/>
      <c r="IIJ72" s="299"/>
      <c r="IIK72" s="299"/>
      <c r="IIL72" s="299"/>
      <c r="IIM72" s="299"/>
      <c r="IIN72" s="299"/>
      <c r="IIO72" s="299"/>
      <c r="IIP72" s="299"/>
      <c r="IIQ72" s="299"/>
      <c r="IIR72" s="299"/>
      <c r="IIS72" s="299"/>
      <c r="IIT72" s="299"/>
      <c r="IIU72" s="299"/>
      <c r="IIV72" s="299"/>
      <c r="IIW72" s="299"/>
      <c r="IIX72" s="299"/>
      <c r="IIY72" s="299"/>
      <c r="IIZ72" s="299"/>
      <c r="IJA72" s="299"/>
      <c r="IJB72" s="299"/>
      <c r="IJC72" s="299"/>
      <c r="IJD72" s="299"/>
      <c r="IJE72" s="299"/>
      <c r="IJF72" s="299"/>
      <c r="IJG72" s="299"/>
      <c r="IJH72" s="299"/>
      <c r="IJI72" s="299"/>
      <c r="IJJ72" s="299"/>
      <c r="IJK72" s="299"/>
      <c r="IJL72" s="299"/>
      <c r="IJM72" s="299"/>
      <c r="IJN72" s="299"/>
      <c r="IJO72" s="299"/>
      <c r="IJP72" s="299"/>
      <c r="IJQ72" s="299"/>
      <c r="IJR72" s="299"/>
      <c r="IJS72" s="299"/>
      <c r="IJT72" s="299"/>
      <c r="IJU72" s="299"/>
      <c r="IJV72" s="299"/>
      <c r="IJW72" s="299"/>
      <c r="IJX72" s="299"/>
      <c r="IJY72" s="299"/>
      <c r="IJZ72" s="299"/>
      <c r="IKA72" s="299"/>
      <c r="IKB72" s="299"/>
      <c r="IKC72" s="299"/>
      <c r="IKD72" s="299"/>
      <c r="IKE72" s="299"/>
      <c r="IKF72" s="299"/>
      <c r="IKG72" s="299"/>
      <c r="IKH72" s="299"/>
      <c r="IKI72" s="299"/>
      <c r="IKJ72" s="299"/>
      <c r="IKK72" s="299"/>
      <c r="IKL72" s="299"/>
      <c r="IKM72" s="299"/>
      <c r="IKN72" s="299"/>
      <c r="IKO72" s="299"/>
      <c r="IKP72" s="299"/>
      <c r="IKQ72" s="299"/>
      <c r="IKR72" s="299"/>
      <c r="IKS72" s="299"/>
      <c r="IKT72" s="299"/>
      <c r="IKU72" s="299"/>
      <c r="IKV72" s="299"/>
      <c r="IKW72" s="299"/>
      <c r="IKX72" s="299"/>
      <c r="IKY72" s="299"/>
      <c r="IKZ72" s="299"/>
      <c r="ILA72" s="299"/>
      <c r="ILB72" s="299"/>
      <c r="ILC72" s="299"/>
      <c r="ILD72" s="299"/>
      <c r="ILE72" s="299"/>
      <c r="ILF72" s="299"/>
      <c r="ILG72" s="299"/>
      <c r="ILH72" s="299"/>
      <c r="ILI72" s="299"/>
      <c r="ILJ72" s="299"/>
      <c r="ILK72" s="299"/>
      <c r="ILL72" s="299"/>
      <c r="ILM72" s="299"/>
      <c r="ILN72" s="299"/>
      <c r="ILO72" s="299"/>
      <c r="ILP72" s="299"/>
      <c r="ILQ72" s="299"/>
      <c r="ILR72" s="299"/>
      <c r="ILS72" s="299"/>
      <c r="ILT72" s="299"/>
      <c r="ILU72" s="299"/>
      <c r="ILV72" s="299"/>
      <c r="ILW72" s="299"/>
      <c r="ILX72" s="299"/>
      <c r="ILY72" s="299"/>
      <c r="ILZ72" s="299"/>
      <c r="IMA72" s="299"/>
      <c r="IMB72" s="299"/>
      <c r="IMC72" s="299"/>
      <c r="IMD72" s="299"/>
      <c r="IME72" s="299"/>
      <c r="IMF72" s="299"/>
      <c r="IMG72" s="299"/>
      <c r="IMH72" s="299"/>
      <c r="IMI72" s="299"/>
      <c r="IMJ72" s="299"/>
      <c r="IMK72" s="299"/>
      <c r="IML72" s="299"/>
      <c r="IMM72" s="299"/>
      <c r="IMN72" s="299"/>
      <c r="IMO72" s="299"/>
      <c r="IMP72" s="299"/>
      <c r="IMQ72" s="299"/>
      <c r="IMR72" s="299"/>
      <c r="IMS72" s="299"/>
      <c r="IMT72" s="299"/>
      <c r="IMU72" s="299"/>
      <c r="IMV72" s="299"/>
      <c r="IMW72" s="299"/>
      <c r="IMX72" s="299"/>
      <c r="IMY72" s="299"/>
      <c r="IMZ72" s="299"/>
      <c r="INA72" s="299"/>
      <c r="INB72" s="299"/>
      <c r="INC72" s="299"/>
      <c r="IND72" s="299"/>
      <c r="INE72" s="299"/>
      <c r="INF72" s="299"/>
      <c r="ING72" s="299"/>
      <c r="INH72" s="299"/>
      <c r="INI72" s="299"/>
      <c r="INJ72" s="299"/>
      <c r="INK72" s="299"/>
      <c r="INL72" s="299"/>
      <c r="INM72" s="299"/>
      <c r="INN72" s="299"/>
      <c r="INO72" s="299"/>
      <c r="INP72" s="299"/>
      <c r="INQ72" s="299"/>
      <c r="INR72" s="299"/>
      <c r="INS72" s="299"/>
      <c r="INT72" s="299"/>
      <c r="INU72" s="299"/>
      <c r="INV72" s="299"/>
      <c r="INW72" s="299"/>
      <c r="INX72" s="299"/>
      <c r="INY72" s="299"/>
      <c r="INZ72" s="299"/>
      <c r="IOA72" s="299"/>
      <c r="IOB72" s="299"/>
      <c r="IOC72" s="299"/>
      <c r="IOD72" s="299"/>
      <c r="IOE72" s="299"/>
      <c r="IOF72" s="299"/>
      <c r="IOG72" s="299"/>
      <c r="IOH72" s="299"/>
      <c r="IOI72" s="299"/>
      <c r="IOJ72" s="299"/>
      <c r="IOK72" s="299"/>
      <c r="IOL72" s="299"/>
      <c r="IOM72" s="299"/>
      <c r="ION72" s="299"/>
      <c r="IOO72" s="299"/>
      <c r="IOP72" s="299"/>
      <c r="IOQ72" s="299"/>
      <c r="IOR72" s="299"/>
      <c r="IOS72" s="299"/>
      <c r="IOT72" s="299"/>
      <c r="IOU72" s="299"/>
      <c r="IOV72" s="299"/>
      <c r="IOW72" s="299"/>
      <c r="IOX72" s="299"/>
      <c r="IOY72" s="299"/>
      <c r="IOZ72" s="299"/>
      <c r="IPA72" s="299"/>
      <c r="IPB72" s="299"/>
      <c r="IPC72" s="299"/>
      <c r="IPD72" s="299"/>
      <c r="IPE72" s="299"/>
      <c r="IPF72" s="299"/>
      <c r="IPG72" s="299"/>
      <c r="IPH72" s="299"/>
      <c r="IPI72" s="299"/>
      <c r="IPJ72" s="299"/>
      <c r="IPK72" s="299"/>
      <c r="IPL72" s="299"/>
      <c r="IPM72" s="299"/>
      <c r="IPN72" s="299"/>
      <c r="IPO72" s="299"/>
      <c r="IPP72" s="299"/>
      <c r="IPQ72" s="299"/>
      <c r="IPR72" s="299"/>
      <c r="IPS72" s="299"/>
      <c r="IPT72" s="299"/>
      <c r="IPU72" s="299"/>
      <c r="IPV72" s="299"/>
      <c r="IPW72" s="299"/>
      <c r="IPX72" s="299"/>
      <c r="IPY72" s="299"/>
      <c r="IPZ72" s="299"/>
      <c r="IQA72" s="299"/>
      <c r="IQB72" s="299"/>
      <c r="IQC72" s="299"/>
      <c r="IQD72" s="299"/>
      <c r="IQE72" s="299"/>
      <c r="IQF72" s="299"/>
      <c r="IQG72" s="299"/>
      <c r="IQH72" s="299"/>
      <c r="IQI72" s="299"/>
      <c r="IQJ72" s="299"/>
      <c r="IQK72" s="299"/>
      <c r="IQL72" s="299"/>
      <c r="IQM72" s="299"/>
      <c r="IQN72" s="299"/>
      <c r="IQO72" s="299"/>
      <c r="IQP72" s="299"/>
      <c r="IQQ72" s="299"/>
      <c r="IQR72" s="299"/>
      <c r="IQS72" s="299"/>
      <c r="IQT72" s="299"/>
      <c r="IQU72" s="299"/>
      <c r="IQV72" s="299"/>
      <c r="IQW72" s="299"/>
      <c r="IQX72" s="299"/>
      <c r="IQY72" s="299"/>
      <c r="IQZ72" s="299"/>
      <c r="IRA72" s="299"/>
      <c r="IRB72" s="299"/>
      <c r="IRC72" s="299"/>
      <c r="IRD72" s="299"/>
      <c r="IRE72" s="299"/>
      <c r="IRF72" s="299"/>
      <c r="IRG72" s="299"/>
      <c r="IRH72" s="299"/>
      <c r="IRI72" s="299"/>
      <c r="IRJ72" s="299"/>
      <c r="IRK72" s="299"/>
      <c r="IRL72" s="299"/>
      <c r="IRM72" s="299"/>
      <c r="IRN72" s="299"/>
      <c r="IRO72" s="299"/>
      <c r="IRP72" s="299"/>
      <c r="IRQ72" s="299"/>
      <c r="IRR72" s="299"/>
      <c r="IRS72" s="299"/>
      <c r="IRT72" s="299"/>
      <c r="IRU72" s="299"/>
      <c r="IRV72" s="299"/>
      <c r="IRW72" s="299"/>
      <c r="IRX72" s="299"/>
      <c r="IRY72" s="299"/>
      <c r="IRZ72" s="299"/>
      <c r="ISA72" s="299"/>
      <c r="ISB72" s="299"/>
      <c r="ISC72" s="299"/>
      <c r="ISD72" s="299"/>
      <c r="ISE72" s="299"/>
      <c r="ISF72" s="299"/>
      <c r="ISG72" s="299"/>
      <c r="ISH72" s="299"/>
      <c r="ISI72" s="299"/>
      <c r="ISJ72" s="299"/>
      <c r="ISK72" s="299"/>
      <c r="ISL72" s="299"/>
      <c r="ISM72" s="299"/>
      <c r="ISN72" s="299"/>
      <c r="ISO72" s="299"/>
      <c r="ISP72" s="299"/>
      <c r="ISQ72" s="299"/>
      <c r="ISR72" s="299"/>
      <c r="ISS72" s="299"/>
      <c r="IST72" s="299"/>
      <c r="ISU72" s="299"/>
      <c r="ISV72" s="299"/>
      <c r="ISW72" s="299"/>
      <c r="ISX72" s="299"/>
      <c r="ISY72" s="299"/>
      <c r="ISZ72" s="299"/>
      <c r="ITA72" s="299"/>
      <c r="ITB72" s="299"/>
      <c r="ITC72" s="299"/>
      <c r="ITD72" s="299"/>
      <c r="ITE72" s="299"/>
      <c r="ITF72" s="299"/>
      <c r="ITG72" s="299"/>
      <c r="ITH72" s="299"/>
      <c r="ITI72" s="299"/>
      <c r="ITJ72" s="299"/>
      <c r="ITK72" s="299"/>
      <c r="ITL72" s="299"/>
      <c r="ITM72" s="299"/>
      <c r="ITN72" s="299"/>
      <c r="ITO72" s="299"/>
      <c r="ITP72" s="299"/>
      <c r="ITQ72" s="299"/>
      <c r="ITR72" s="299"/>
      <c r="ITS72" s="299"/>
      <c r="ITT72" s="299"/>
      <c r="ITU72" s="299"/>
      <c r="ITV72" s="299"/>
      <c r="ITW72" s="299"/>
      <c r="ITX72" s="299"/>
      <c r="ITY72" s="299"/>
      <c r="ITZ72" s="299"/>
      <c r="IUA72" s="299"/>
      <c r="IUB72" s="299"/>
      <c r="IUC72" s="299"/>
      <c r="IUD72" s="299"/>
      <c r="IUE72" s="299"/>
      <c r="IUF72" s="299"/>
      <c r="IUG72" s="299"/>
      <c r="IUH72" s="299"/>
      <c r="IUI72" s="299"/>
      <c r="IUJ72" s="299"/>
      <c r="IUK72" s="299"/>
      <c r="IUL72" s="299"/>
      <c r="IUM72" s="299"/>
      <c r="IUN72" s="299"/>
      <c r="IUO72" s="299"/>
      <c r="IUP72" s="299"/>
      <c r="IUQ72" s="299"/>
      <c r="IUR72" s="299"/>
      <c r="IUS72" s="299"/>
      <c r="IUT72" s="299"/>
      <c r="IUU72" s="299"/>
      <c r="IUV72" s="299"/>
      <c r="IUW72" s="299"/>
      <c r="IUX72" s="299"/>
      <c r="IUY72" s="299"/>
      <c r="IUZ72" s="299"/>
      <c r="IVA72" s="299"/>
      <c r="IVB72" s="299"/>
      <c r="IVC72" s="299"/>
      <c r="IVD72" s="299"/>
      <c r="IVE72" s="299"/>
      <c r="IVF72" s="299"/>
      <c r="IVG72" s="299"/>
      <c r="IVH72" s="299"/>
      <c r="IVI72" s="299"/>
      <c r="IVJ72" s="299"/>
      <c r="IVK72" s="299"/>
      <c r="IVL72" s="299"/>
      <c r="IVM72" s="299"/>
      <c r="IVN72" s="299"/>
      <c r="IVO72" s="299"/>
      <c r="IVP72" s="299"/>
      <c r="IVQ72" s="299"/>
      <c r="IVR72" s="299"/>
      <c r="IVS72" s="299"/>
      <c r="IVT72" s="299"/>
      <c r="IVU72" s="299"/>
      <c r="IVV72" s="299"/>
      <c r="IVW72" s="299"/>
      <c r="IVX72" s="299"/>
      <c r="IVY72" s="299"/>
      <c r="IVZ72" s="299"/>
      <c r="IWA72" s="299"/>
      <c r="IWB72" s="299"/>
      <c r="IWC72" s="299"/>
      <c r="IWD72" s="299"/>
      <c r="IWE72" s="299"/>
      <c r="IWF72" s="299"/>
      <c r="IWG72" s="299"/>
      <c r="IWH72" s="299"/>
      <c r="IWI72" s="299"/>
      <c r="IWJ72" s="299"/>
      <c r="IWK72" s="299"/>
      <c r="IWL72" s="299"/>
      <c r="IWM72" s="299"/>
      <c r="IWN72" s="299"/>
      <c r="IWO72" s="299"/>
      <c r="IWP72" s="299"/>
      <c r="IWQ72" s="299"/>
      <c r="IWR72" s="299"/>
      <c r="IWS72" s="299"/>
      <c r="IWT72" s="299"/>
      <c r="IWU72" s="299"/>
      <c r="IWV72" s="299"/>
      <c r="IWW72" s="299"/>
      <c r="IWX72" s="299"/>
      <c r="IWY72" s="299"/>
      <c r="IWZ72" s="299"/>
      <c r="IXA72" s="299"/>
      <c r="IXB72" s="299"/>
      <c r="IXC72" s="299"/>
      <c r="IXD72" s="299"/>
      <c r="IXE72" s="299"/>
      <c r="IXF72" s="299"/>
      <c r="IXG72" s="299"/>
      <c r="IXH72" s="299"/>
      <c r="IXI72" s="299"/>
      <c r="IXJ72" s="299"/>
      <c r="IXK72" s="299"/>
      <c r="IXL72" s="299"/>
      <c r="IXM72" s="299"/>
      <c r="IXN72" s="299"/>
      <c r="IXO72" s="299"/>
      <c r="IXP72" s="299"/>
      <c r="IXQ72" s="299"/>
      <c r="IXR72" s="299"/>
      <c r="IXS72" s="299"/>
      <c r="IXT72" s="299"/>
      <c r="IXU72" s="299"/>
      <c r="IXV72" s="299"/>
      <c r="IXW72" s="299"/>
      <c r="IXX72" s="299"/>
      <c r="IXY72" s="299"/>
      <c r="IXZ72" s="299"/>
      <c r="IYA72" s="299"/>
      <c r="IYB72" s="299"/>
      <c r="IYC72" s="299"/>
      <c r="IYD72" s="299"/>
      <c r="IYE72" s="299"/>
      <c r="IYF72" s="299"/>
      <c r="IYG72" s="299"/>
      <c r="IYH72" s="299"/>
      <c r="IYI72" s="299"/>
      <c r="IYJ72" s="299"/>
      <c r="IYK72" s="299"/>
      <c r="IYL72" s="299"/>
      <c r="IYM72" s="299"/>
      <c r="IYN72" s="299"/>
      <c r="IYO72" s="299"/>
      <c r="IYP72" s="299"/>
      <c r="IYQ72" s="299"/>
      <c r="IYR72" s="299"/>
      <c r="IYS72" s="299"/>
      <c r="IYT72" s="299"/>
      <c r="IYU72" s="299"/>
      <c r="IYV72" s="299"/>
      <c r="IYW72" s="299"/>
      <c r="IYX72" s="299"/>
      <c r="IYY72" s="299"/>
      <c r="IYZ72" s="299"/>
      <c r="IZA72" s="299"/>
      <c r="IZB72" s="299"/>
      <c r="IZC72" s="299"/>
      <c r="IZD72" s="299"/>
      <c r="IZE72" s="299"/>
      <c r="IZF72" s="299"/>
      <c r="IZG72" s="299"/>
      <c r="IZH72" s="299"/>
      <c r="IZI72" s="299"/>
      <c r="IZJ72" s="299"/>
      <c r="IZK72" s="299"/>
      <c r="IZL72" s="299"/>
      <c r="IZM72" s="299"/>
      <c r="IZN72" s="299"/>
      <c r="IZO72" s="299"/>
      <c r="IZP72" s="299"/>
      <c r="IZQ72" s="299"/>
      <c r="IZR72" s="299"/>
      <c r="IZS72" s="299"/>
      <c r="IZT72" s="299"/>
      <c r="IZU72" s="299"/>
      <c r="IZV72" s="299"/>
      <c r="IZW72" s="299"/>
      <c r="IZX72" s="299"/>
      <c r="IZY72" s="299"/>
      <c r="IZZ72" s="299"/>
      <c r="JAA72" s="299"/>
      <c r="JAB72" s="299"/>
      <c r="JAC72" s="299"/>
      <c r="JAD72" s="299"/>
      <c r="JAE72" s="299"/>
      <c r="JAF72" s="299"/>
      <c r="JAG72" s="299"/>
      <c r="JAH72" s="299"/>
      <c r="JAI72" s="299"/>
      <c r="JAJ72" s="299"/>
      <c r="JAK72" s="299"/>
      <c r="JAL72" s="299"/>
      <c r="JAM72" s="299"/>
      <c r="JAN72" s="299"/>
      <c r="JAO72" s="299"/>
      <c r="JAP72" s="299"/>
      <c r="JAQ72" s="299"/>
      <c r="JAR72" s="299"/>
      <c r="JAS72" s="299"/>
      <c r="JAT72" s="299"/>
      <c r="JAU72" s="299"/>
      <c r="JAV72" s="299"/>
      <c r="JAW72" s="299"/>
      <c r="JAX72" s="299"/>
      <c r="JAY72" s="299"/>
      <c r="JAZ72" s="299"/>
      <c r="JBA72" s="299"/>
      <c r="JBB72" s="299"/>
      <c r="JBC72" s="299"/>
      <c r="JBD72" s="299"/>
      <c r="JBE72" s="299"/>
      <c r="JBF72" s="299"/>
      <c r="JBG72" s="299"/>
      <c r="JBH72" s="299"/>
      <c r="JBI72" s="299"/>
      <c r="JBJ72" s="299"/>
      <c r="JBK72" s="299"/>
      <c r="JBL72" s="299"/>
      <c r="JBM72" s="299"/>
      <c r="JBN72" s="299"/>
      <c r="JBO72" s="299"/>
      <c r="JBP72" s="299"/>
      <c r="JBQ72" s="299"/>
      <c r="JBR72" s="299"/>
      <c r="JBS72" s="299"/>
      <c r="JBT72" s="299"/>
      <c r="JBU72" s="299"/>
      <c r="JBV72" s="299"/>
      <c r="JBW72" s="299"/>
      <c r="JBX72" s="299"/>
      <c r="JBY72" s="299"/>
      <c r="JBZ72" s="299"/>
      <c r="JCA72" s="299"/>
      <c r="JCB72" s="299"/>
      <c r="JCC72" s="299"/>
      <c r="JCD72" s="299"/>
      <c r="JCE72" s="299"/>
      <c r="JCF72" s="299"/>
      <c r="JCG72" s="299"/>
      <c r="JCH72" s="299"/>
      <c r="JCI72" s="299"/>
      <c r="JCJ72" s="299"/>
      <c r="JCK72" s="299"/>
      <c r="JCL72" s="299"/>
      <c r="JCM72" s="299"/>
      <c r="JCN72" s="299"/>
      <c r="JCO72" s="299"/>
      <c r="JCP72" s="299"/>
      <c r="JCQ72" s="299"/>
      <c r="JCR72" s="299"/>
      <c r="JCS72" s="299"/>
      <c r="JCT72" s="299"/>
      <c r="JCU72" s="299"/>
      <c r="JCV72" s="299"/>
      <c r="JCW72" s="299"/>
      <c r="JCX72" s="299"/>
      <c r="JCY72" s="299"/>
      <c r="JCZ72" s="299"/>
      <c r="JDA72" s="299"/>
      <c r="JDB72" s="299"/>
      <c r="JDC72" s="299"/>
      <c r="JDD72" s="299"/>
      <c r="JDE72" s="299"/>
      <c r="JDF72" s="299"/>
      <c r="JDG72" s="299"/>
      <c r="JDH72" s="299"/>
      <c r="JDI72" s="299"/>
      <c r="JDJ72" s="299"/>
      <c r="JDK72" s="299"/>
      <c r="JDL72" s="299"/>
      <c r="JDM72" s="299"/>
      <c r="JDN72" s="299"/>
      <c r="JDO72" s="299"/>
      <c r="JDP72" s="299"/>
      <c r="JDQ72" s="299"/>
      <c r="JDR72" s="299"/>
      <c r="JDS72" s="299"/>
      <c r="JDT72" s="299"/>
      <c r="JDU72" s="299"/>
      <c r="JDV72" s="299"/>
      <c r="JDW72" s="299"/>
      <c r="JDX72" s="299"/>
      <c r="JDY72" s="299"/>
      <c r="JDZ72" s="299"/>
      <c r="JEA72" s="299"/>
      <c r="JEB72" s="299"/>
      <c r="JEC72" s="299"/>
      <c r="JED72" s="299"/>
      <c r="JEE72" s="299"/>
      <c r="JEF72" s="299"/>
      <c r="JEG72" s="299"/>
      <c r="JEH72" s="299"/>
      <c r="JEI72" s="299"/>
      <c r="JEJ72" s="299"/>
      <c r="JEK72" s="299"/>
      <c r="JEL72" s="299"/>
      <c r="JEM72" s="299"/>
      <c r="JEN72" s="299"/>
      <c r="JEO72" s="299"/>
      <c r="JEP72" s="299"/>
      <c r="JEQ72" s="299"/>
      <c r="JER72" s="299"/>
      <c r="JES72" s="299"/>
      <c r="JET72" s="299"/>
      <c r="JEU72" s="299"/>
      <c r="JEV72" s="299"/>
      <c r="JEW72" s="299"/>
      <c r="JEX72" s="299"/>
      <c r="JEY72" s="299"/>
      <c r="JEZ72" s="299"/>
      <c r="JFA72" s="299"/>
      <c r="JFB72" s="299"/>
      <c r="JFC72" s="299"/>
      <c r="JFD72" s="299"/>
      <c r="JFE72" s="299"/>
      <c r="JFF72" s="299"/>
      <c r="JFG72" s="299"/>
      <c r="JFH72" s="299"/>
      <c r="JFI72" s="299"/>
      <c r="JFJ72" s="299"/>
      <c r="JFK72" s="299"/>
      <c r="JFL72" s="299"/>
      <c r="JFM72" s="299"/>
      <c r="JFN72" s="299"/>
      <c r="JFO72" s="299"/>
      <c r="JFP72" s="299"/>
      <c r="JFQ72" s="299"/>
      <c r="JFR72" s="299"/>
      <c r="JFS72" s="299"/>
      <c r="JFT72" s="299"/>
      <c r="JFU72" s="299"/>
      <c r="JFV72" s="299"/>
      <c r="JFW72" s="299"/>
      <c r="JFX72" s="299"/>
      <c r="JFY72" s="299"/>
      <c r="JFZ72" s="299"/>
      <c r="JGA72" s="299"/>
      <c r="JGB72" s="299"/>
      <c r="JGC72" s="299"/>
      <c r="JGD72" s="299"/>
      <c r="JGE72" s="299"/>
      <c r="JGF72" s="299"/>
      <c r="JGG72" s="299"/>
      <c r="JGH72" s="299"/>
      <c r="JGI72" s="299"/>
      <c r="JGJ72" s="299"/>
      <c r="JGK72" s="299"/>
      <c r="JGL72" s="299"/>
      <c r="JGM72" s="299"/>
      <c r="JGN72" s="299"/>
      <c r="JGO72" s="299"/>
      <c r="JGP72" s="299"/>
      <c r="JGQ72" s="299"/>
      <c r="JGR72" s="299"/>
      <c r="JGS72" s="299"/>
      <c r="JGT72" s="299"/>
      <c r="JGU72" s="299"/>
      <c r="JGV72" s="299"/>
      <c r="JGW72" s="299"/>
      <c r="JGX72" s="299"/>
      <c r="JGY72" s="299"/>
      <c r="JGZ72" s="299"/>
      <c r="JHA72" s="299"/>
      <c r="JHB72" s="299"/>
      <c r="JHC72" s="299"/>
      <c r="JHD72" s="299"/>
      <c r="JHE72" s="299"/>
      <c r="JHF72" s="299"/>
      <c r="JHG72" s="299"/>
      <c r="JHH72" s="299"/>
      <c r="JHI72" s="299"/>
      <c r="JHJ72" s="299"/>
      <c r="JHK72" s="299"/>
      <c r="JHL72" s="299"/>
      <c r="JHM72" s="299"/>
      <c r="JHN72" s="299"/>
      <c r="JHO72" s="299"/>
      <c r="JHP72" s="299"/>
      <c r="JHQ72" s="299"/>
      <c r="JHR72" s="299"/>
      <c r="JHS72" s="299"/>
      <c r="JHT72" s="299"/>
      <c r="JHU72" s="299"/>
      <c r="JHV72" s="299"/>
      <c r="JHW72" s="299"/>
      <c r="JHX72" s="299"/>
      <c r="JHY72" s="299"/>
      <c r="JHZ72" s="299"/>
      <c r="JIA72" s="299"/>
      <c r="JIB72" s="299"/>
      <c r="JIC72" s="299"/>
      <c r="JID72" s="299"/>
      <c r="JIE72" s="299"/>
      <c r="JIF72" s="299"/>
      <c r="JIG72" s="299"/>
      <c r="JIH72" s="299"/>
      <c r="JII72" s="299"/>
      <c r="JIJ72" s="299"/>
      <c r="JIK72" s="299"/>
      <c r="JIL72" s="299"/>
      <c r="JIM72" s="299"/>
      <c r="JIN72" s="299"/>
      <c r="JIO72" s="299"/>
      <c r="JIP72" s="299"/>
      <c r="JIQ72" s="299"/>
      <c r="JIR72" s="299"/>
      <c r="JIS72" s="299"/>
      <c r="JIT72" s="299"/>
      <c r="JIU72" s="299"/>
      <c r="JIV72" s="299"/>
      <c r="JIW72" s="299"/>
      <c r="JIX72" s="299"/>
      <c r="JIY72" s="299"/>
      <c r="JIZ72" s="299"/>
      <c r="JJA72" s="299"/>
      <c r="JJB72" s="299"/>
      <c r="JJC72" s="299"/>
      <c r="JJD72" s="299"/>
      <c r="JJE72" s="299"/>
      <c r="JJF72" s="299"/>
      <c r="JJG72" s="299"/>
      <c r="JJH72" s="299"/>
      <c r="JJI72" s="299"/>
      <c r="JJJ72" s="299"/>
      <c r="JJK72" s="299"/>
      <c r="JJL72" s="299"/>
      <c r="JJM72" s="299"/>
      <c r="JJN72" s="299"/>
      <c r="JJO72" s="299"/>
      <c r="JJP72" s="299"/>
      <c r="JJQ72" s="299"/>
      <c r="JJR72" s="299"/>
      <c r="JJS72" s="299"/>
      <c r="JJT72" s="299"/>
      <c r="JJU72" s="299"/>
      <c r="JJV72" s="299"/>
      <c r="JJW72" s="299"/>
      <c r="JJX72" s="299"/>
      <c r="JJY72" s="299"/>
      <c r="JJZ72" s="299"/>
      <c r="JKA72" s="299"/>
      <c r="JKB72" s="299"/>
      <c r="JKC72" s="299"/>
      <c r="JKD72" s="299"/>
      <c r="JKE72" s="299"/>
      <c r="JKF72" s="299"/>
      <c r="JKG72" s="299"/>
      <c r="JKH72" s="299"/>
      <c r="JKI72" s="299"/>
      <c r="JKJ72" s="299"/>
      <c r="JKK72" s="299"/>
      <c r="JKL72" s="299"/>
      <c r="JKM72" s="299"/>
      <c r="JKN72" s="299"/>
      <c r="JKO72" s="299"/>
      <c r="JKP72" s="299"/>
      <c r="JKQ72" s="299"/>
      <c r="JKR72" s="299"/>
      <c r="JKS72" s="299"/>
      <c r="JKT72" s="299"/>
      <c r="JKU72" s="299"/>
      <c r="JKV72" s="299"/>
      <c r="JKW72" s="299"/>
      <c r="JKX72" s="299"/>
      <c r="JKY72" s="299"/>
      <c r="JKZ72" s="299"/>
      <c r="JLA72" s="299"/>
      <c r="JLB72" s="299"/>
      <c r="JLC72" s="299"/>
      <c r="JLD72" s="299"/>
      <c r="JLE72" s="299"/>
      <c r="JLF72" s="299"/>
      <c r="JLG72" s="299"/>
      <c r="JLH72" s="299"/>
      <c r="JLI72" s="299"/>
      <c r="JLJ72" s="299"/>
      <c r="JLK72" s="299"/>
      <c r="JLL72" s="299"/>
      <c r="JLM72" s="299"/>
      <c r="JLN72" s="299"/>
      <c r="JLO72" s="299"/>
      <c r="JLP72" s="299"/>
      <c r="JLQ72" s="299"/>
      <c r="JLR72" s="299"/>
      <c r="JLS72" s="299"/>
      <c r="JLT72" s="299"/>
      <c r="JLU72" s="299"/>
      <c r="JLV72" s="299"/>
      <c r="JLW72" s="299"/>
      <c r="JLX72" s="299"/>
      <c r="JLY72" s="299"/>
      <c r="JLZ72" s="299"/>
      <c r="JMA72" s="299"/>
      <c r="JMB72" s="299"/>
      <c r="JMC72" s="299"/>
      <c r="JMD72" s="299"/>
      <c r="JME72" s="299"/>
      <c r="JMF72" s="299"/>
      <c r="JMG72" s="299"/>
      <c r="JMH72" s="299"/>
      <c r="JMI72" s="299"/>
      <c r="JMJ72" s="299"/>
      <c r="JMK72" s="299"/>
      <c r="JML72" s="299"/>
      <c r="JMM72" s="299"/>
      <c r="JMN72" s="299"/>
      <c r="JMO72" s="299"/>
      <c r="JMP72" s="299"/>
      <c r="JMQ72" s="299"/>
      <c r="JMR72" s="299"/>
      <c r="JMS72" s="299"/>
      <c r="JMT72" s="299"/>
      <c r="JMU72" s="299"/>
      <c r="JMV72" s="299"/>
      <c r="JMW72" s="299"/>
      <c r="JMX72" s="299"/>
      <c r="JMY72" s="299"/>
      <c r="JMZ72" s="299"/>
      <c r="JNA72" s="299"/>
      <c r="JNB72" s="299"/>
      <c r="JNC72" s="299"/>
      <c r="JND72" s="299"/>
      <c r="JNE72" s="299"/>
      <c r="JNF72" s="299"/>
      <c r="JNG72" s="299"/>
      <c r="JNH72" s="299"/>
      <c r="JNI72" s="299"/>
      <c r="JNJ72" s="299"/>
      <c r="JNK72" s="299"/>
      <c r="JNL72" s="299"/>
      <c r="JNM72" s="299"/>
      <c r="JNN72" s="299"/>
      <c r="JNO72" s="299"/>
      <c r="JNP72" s="299"/>
      <c r="JNQ72" s="299"/>
      <c r="JNR72" s="299"/>
      <c r="JNS72" s="299"/>
      <c r="JNT72" s="299"/>
      <c r="JNU72" s="299"/>
      <c r="JNV72" s="299"/>
      <c r="JNW72" s="299"/>
      <c r="JNX72" s="299"/>
      <c r="JNY72" s="299"/>
      <c r="JNZ72" s="299"/>
      <c r="JOA72" s="299"/>
      <c r="JOB72" s="299"/>
      <c r="JOC72" s="299"/>
      <c r="JOD72" s="299"/>
      <c r="JOE72" s="299"/>
      <c r="JOF72" s="299"/>
      <c r="JOG72" s="299"/>
      <c r="JOH72" s="299"/>
      <c r="JOI72" s="299"/>
      <c r="JOJ72" s="299"/>
      <c r="JOK72" s="299"/>
      <c r="JOL72" s="299"/>
      <c r="JOM72" s="299"/>
      <c r="JON72" s="299"/>
      <c r="JOO72" s="299"/>
      <c r="JOP72" s="299"/>
      <c r="JOQ72" s="299"/>
      <c r="JOR72" s="299"/>
      <c r="JOS72" s="299"/>
      <c r="JOT72" s="299"/>
      <c r="JOU72" s="299"/>
      <c r="JOV72" s="299"/>
      <c r="JOW72" s="299"/>
      <c r="JOX72" s="299"/>
      <c r="JOY72" s="299"/>
      <c r="JOZ72" s="299"/>
      <c r="JPA72" s="299"/>
      <c r="JPB72" s="299"/>
      <c r="JPC72" s="299"/>
      <c r="JPD72" s="299"/>
      <c r="JPE72" s="299"/>
      <c r="JPF72" s="299"/>
      <c r="JPG72" s="299"/>
      <c r="JPH72" s="299"/>
      <c r="JPI72" s="299"/>
      <c r="JPJ72" s="299"/>
      <c r="JPK72" s="299"/>
      <c r="JPL72" s="299"/>
      <c r="JPM72" s="299"/>
      <c r="JPN72" s="299"/>
      <c r="JPO72" s="299"/>
      <c r="JPP72" s="299"/>
      <c r="JPQ72" s="299"/>
      <c r="JPR72" s="299"/>
      <c r="JPS72" s="299"/>
      <c r="JPT72" s="299"/>
      <c r="JPU72" s="299"/>
      <c r="JPV72" s="299"/>
      <c r="JPW72" s="299"/>
      <c r="JPX72" s="299"/>
      <c r="JPY72" s="299"/>
      <c r="JPZ72" s="299"/>
      <c r="JQA72" s="299"/>
      <c r="JQB72" s="299"/>
      <c r="JQC72" s="299"/>
      <c r="JQD72" s="299"/>
      <c r="JQE72" s="299"/>
      <c r="JQF72" s="299"/>
      <c r="JQG72" s="299"/>
      <c r="JQH72" s="299"/>
      <c r="JQI72" s="299"/>
      <c r="JQJ72" s="299"/>
      <c r="JQK72" s="299"/>
      <c r="JQL72" s="299"/>
      <c r="JQM72" s="299"/>
      <c r="JQN72" s="299"/>
      <c r="JQO72" s="299"/>
      <c r="JQP72" s="299"/>
      <c r="JQQ72" s="299"/>
      <c r="JQR72" s="299"/>
      <c r="JQS72" s="299"/>
      <c r="JQT72" s="299"/>
      <c r="JQU72" s="299"/>
      <c r="JQV72" s="299"/>
      <c r="JQW72" s="299"/>
      <c r="JQX72" s="299"/>
      <c r="JQY72" s="299"/>
      <c r="JQZ72" s="299"/>
      <c r="JRA72" s="299"/>
      <c r="JRB72" s="299"/>
      <c r="JRC72" s="299"/>
      <c r="JRD72" s="299"/>
      <c r="JRE72" s="299"/>
      <c r="JRF72" s="299"/>
      <c r="JRG72" s="299"/>
      <c r="JRH72" s="299"/>
      <c r="JRI72" s="299"/>
      <c r="JRJ72" s="299"/>
      <c r="JRK72" s="299"/>
      <c r="JRL72" s="299"/>
      <c r="JRM72" s="299"/>
      <c r="JRN72" s="299"/>
      <c r="JRO72" s="299"/>
      <c r="JRP72" s="299"/>
      <c r="JRQ72" s="299"/>
      <c r="JRR72" s="299"/>
      <c r="JRS72" s="299"/>
      <c r="JRT72" s="299"/>
      <c r="JRU72" s="299"/>
      <c r="JRV72" s="299"/>
      <c r="JRW72" s="299"/>
      <c r="JRX72" s="299"/>
      <c r="JRY72" s="299"/>
      <c r="JRZ72" s="299"/>
      <c r="JSA72" s="299"/>
      <c r="JSB72" s="299"/>
      <c r="JSC72" s="299"/>
      <c r="JSD72" s="299"/>
      <c r="JSE72" s="299"/>
      <c r="JSF72" s="299"/>
      <c r="JSG72" s="299"/>
      <c r="JSH72" s="299"/>
      <c r="JSI72" s="299"/>
      <c r="JSJ72" s="299"/>
      <c r="JSK72" s="299"/>
      <c r="JSL72" s="299"/>
      <c r="JSM72" s="299"/>
      <c r="JSN72" s="299"/>
      <c r="JSO72" s="299"/>
      <c r="JSP72" s="299"/>
      <c r="JSQ72" s="299"/>
      <c r="JSR72" s="299"/>
      <c r="JSS72" s="299"/>
      <c r="JST72" s="299"/>
      <c r="JSU72" s="299"/>
      <c r="JSV72" s="299"/>
      <c r="JSW72" s="299"/>
      <c r="JSX72" s="299"/>
      <c r="JSY72" s="299"/>
      <c r="JSZ72" s="299"/>
      <c r="JTA72" s="299"/>
      <c r="JTB72" s="299"/>
      <c r="JTC72" s="299"/>
      <c r="JTD72" s="299"/>
      <c r="JTE72" s="299"/>
      <c r="JTF72" s="299"/>
      <c r="JTG72" s="299"/>
      <c r="JTH72" s="299"/>
      <c r="JTI72" s="299"/>
      <c r="JTJ72" s="299"/>
      <c r="JTK72" s="299"/>
      <c r="JTL72" s="299"/>
      <c r="JTM72" s="299"/>
      <c r="JTN72" s="299"/>
      <c r="JTO72" s="299"/>
      <c r="JTP72" s="299"/>
      <c r="JTQ72" s="299"/>
      <c r="JTR72" s="299"/>
      <c r="JTS72" s="299"/>
      <c r="JTT72" s="299"/>
      <c r="JTU72" s="299"/>
      <c r="JTV72" s="299"/>
      <c r="JTW72" s="299"/>
      <c r="JTX72" s="299"/>
      <c r="JTY72" s="299"/>
      <c r="JTZ72" s="299"/>
      <c r="JUA72" s="299"/>
      <c r="JUB72" s="299"/>
      <c r="JUC72" s="299"/>
      <c r="JUD72" s="299"/>
      <c r="JUE72" s="299"/>
      <c r="JUF72" s="299"/>
      <c r="JUG72" s="299"/>
      <c r="JUH72" s="299"/>
      <c r="JUI72" s="299"/>
      <c r="JUJ72" s="299"/>
      <c r="JUK72" s="299"/>
      <c r="JUL72" s="299"/>
      <c r="JUM72" s="299"/>
      <c r="JUN72" s="299"/>
      <c r="JUO72" s="299"/>
      <c r="JUP72" s="299"/>
      <c r="JUQ72" s="299"/>
      <c r="JUR72" s="299"/>
      <c r="JUS72" s="299"/>
      <c r="JUT72" s="299"/>
      <c r="JUU72" s="299"/>
      <c r="JUV72" s="299"/>
      <c r="JUW72" s="299"/>
      <c r="JUX72" s="299"/>
      <c r="JUY72" s="299"/>
      <c r="JUZ72" s="299"/>
      <c r="JVA72" s="299"/>
      <c r="JVB72" s="299"/>
      <c r="JVC72" s="299"/>
      <c r="JVD72" s="299"/>
      <c r="JVE72" s="299"/>
      <c r="JVF72" s="299"/>
      <c r="JVG72" s="299"/>
      <c r="JVH72" s="299"/>
      <c r="JVI72" s="299"/>
      <c r="JVJ72" s="299"/>
      <c r="JVK72" s="299"/>
      <c r="JVL72" s="299"/>
      <c r="JVM72" s="299"/>
      <c r="JVN72" s="299"/>
      <c r="JVO72" s="299"/>
      <c r="JVP72" s="299"/>
      <c r="JVQ72" s="299"/>
      <c r="JVR72" s="299"/>
      <c r="JVS72" s="299"/>
      <c r="JVT72" s="299"/>
      <c r="JVU72" s="299"/>
      <c r="JVV72" s="299"/>
      <c r="JVW72" s="299"/>
      <c r="JVX72" s="299"/>
      <c r="JVY72" s="299"/>
      <c r="JVZ72" s="299"/>
      <c r="JWA72" s="299"/>
      <c r="JWB72" s="299"/>
      <c r="JWC72" s="299"/>
      <c r="JWD72" s="299"/>
      <c r="JWE72" s="299"/>
      <c r="JWF72" s="299"/>
      <c r="JWG72" s="299"/>
      <c r="JWH72" s="299"/>
      <c r="JWI72" s="299"/>
      <c r="JWJ72" s="299"/>
      <c r="JWK72" s="299"/>
      <c r="JWL72" s="299"/>
      <c r="JWM72" s="299"/>
      <c r="JWN72" s="299"/>
      <c r="JWO72" s="299"/>
      <c r="JWP72" s="299"/>
      <c r="JWQ72" s="299"/>
      <c r="JWR72" s="299"/>
      <c r="JWS72" s="299"/>
      <c r="JWT72" s="299"/>
      <c r="JWU72" s="299"/>
      <c r="JWV72" s="299"/>
      <c r="JWW72" s="299"/>
      <c r="JWX72" s="299"/>
      <c r="JWY72" s="299"/>
      <c r="JWZ72" s="299"/>
      <c r="JXA72" s="299"/>
      <c r="JXB72" s="299"/>
      <c r="JXC72" s="299"/>
      <c r="JXD72" s="299"/>
      <c r="JXE72" s="299"/>
      <c r="JXF72" s="299"/>
      <c r="JXG72" s="299"/>
      <c r="JXH72" s="299"/>
      <c r="JXI72" s="299"/>
      <c r="JXJ72" s="299"/>
      <c r="JXK72" s="299"/>
      <c r="JXL72" s="299"/>
      <c r="JXM72" s="299"/>
      <c r="JXN72" s="299"/>
      <c r="JXO72" s="299"/>
      <c r="JXP72" s="299"/>
      <c r="JXQ72" s="299"/>
      <c r="JXR72" s="299"/>
      <c r="JXS72" s="299"/>
      <c r="JXT72" s="299"/>
      <c r="JXU72" s="299"/>
      <c r="JXV72" s="299"/>
      <c r="JXW72" s="299"/>
      <c r="JXX72" s="299"/>
      <c r="JXY72" s="299"/>
      <c r="JXZ72" s="299"/>
      <c r="JYA72" s="299"/>
      <c r="JYB72" s="299"/>
      <c r="JYC72" s="299"/>
      <c r="JYD72" s="299"/>
      <c r="JYE72" s="299"/>
      <c r="JYF72" s="299"/>
      <c r="JYG72" s="299"/>
      <c r="JYH72" s="299"/>
      <c r="JYI72" s="299"/>
      <c r="JYJ72" s="299"/>
      <c r="JYK72" s="299"/>
      <c r="JYL72" s="299"/>
      <c r="JYM72" s="299"/>
      <c r="JYN72" s="299"/>
      <c r="JYO72" s="299"/>
      <c r="JYP72" s="299"/>
      <c r="JYQ72" s="299"/>
      <c r="JYR72" s="299"/>
      <c r="JYS72" s="299"/>
      <c r="JYT72" s="299"/>
      <c r="JYU72" s="299"/>
      <c r="JYV72" s="299"/>
      <c r="JYW72" s="299"/>
      <c r="JYX72" s="299"/>
      <c r="JYY72" s="299"/>
      <c r="JYZ72" s="299"/>
      <c r="JZA72" s="299"/>
      <c r="JZB72" s="299"/>
      <c r="JZC72" s="299"/>
      <c r="JZD72" s="299"/>
      <c r="JZE72" s="299"/>
      <c r="JZF72" s="299"/>
      <c r="JZG72" s="299"/>
      <c r="JZH72" s="299"/>
      <c r="JZI72" s="299"/>
      <c r="JZJ72" s="299"/>
      <c r="JZK72" s="299"/>
      <c r="JZL72" s="299"/>
      <c r="JZM72" s="299"/>
      <c r="JZN72" s="299"/>
      <c r="JZO72" s="299"/>
      <c r="JZP72" s="299"/>
      <c r="JZQ72" s="299"/>
      <c r="JZR72" s="299"/>
      <c r="JZS72" s="299"/>
      <c r="JZT72" s="299"/>
      <c r="JZU72" s="299"/>
      <c r="JZV72" s="299"/>
      <c r="JZW72" s="299"/>
      <c r="JZX72" s="299"/>
      <c r="JZY72" s="299"/>
      <c r="JZZ72" s="299"/>
      <c r="KAA72" s="299"/>
      <c r="KAB72" s="299"/>
      <c r="KAC72" s="299"/>
      <c r="KAD72" s="299"/>
      <c r="KAE72" s="299"/>
      <c r="KAF72" s="299"/>
      <c r="KAG72" s="299"/>
      <c r="KAH72" s="299"/>
      <c r="KAI72" s="299"/>
      <c r="KAJ72" s="299"/>
      <c r="KAK72" s="299"/>
      <c r="KAL72" s="299"/>
      <c r="KAM72" s="299"/>
      <c r="KAN72" s="299"/>
      <c r="KAO72" s="299"/>
      <c r="KAP72" s="299"/>
      <c r="KAQ72" s="299"/>
      <c r="KAR72" s="299"/>
      <c r="KAS72" s="299"/>
      <c r="KAT72" s="299"/>
      <c r="KAU72" s="299"/>
      <c r="KAV72" s="299"/>
      <c r="KAW72" s="299"/>
      <c r="KAX72" s="299"/>
      <c r="KAY72" s="299"/>
      <c r="KAZ72" s="299"/>
      <c r="KBA72" s="299"/>
      <c r="KBB72" s="299"/>
      <c r="KBC72" s="299"/>
      <c r="KBD72" s="299"/>
      <c r="KBE72" s="299"/>
      <c r="KBF72" s="299"/>
      <c r="KBG72" s="299"/>
      <c r="KBH72" s="299"/>
      <c r="KBI72" s="299"/>
      <c r="KBJ72" s="299"/>
      <c r="KBK72" s="299"/>
      <c r="KBL72" s="299"/>
      <c r="KBM72" s="299"/>
      <c r="KBN72" s="299"/>
      <c r="KBO72" s="299"/>
      <c r="KBP72" s="299"/>
      <c r="KBQ72" s="299"/>
      <c r="KBR72" s="299"/>
      <c r="KBS72" s="299"/>
      <c r="KBT72" s="299"/>
      <c r="KBU72" s="299"/>
      <c r="KBV72" s="299"/>
      <c r="KBW72" s="299"/>
      <c r="KBX72" s="299"/>
      <c r="KBY72" s="299"/>
      <c r="KBZ72" s="299"/>
      <c r="KCA72" s="299"/>
      <c r="KCB72" s="299"/>
      <c r="KCC72" s="299"/>
      <c r="KCD72" s="299"/>
      <c r="KCE72" s="299"/>
      <c r="KCF72" s="299"/>
      <c r="KCG72" s="299"/>
      <c r="KCH72" s="299"/>
      <c r="KCI72" s="299"/>
      <c r="KCJ72" s="299"/>
      <c r="KCK72" s="299"/>
      <c r="KCL72" s="299"/>
      <c r="KCM72" s="299"/>
      <c r="KCN72" s="299"/>
      <c r="KCO72" s="299"/>
      <c r="KCP72" s="299"/>
      <c r="KCQ72" s="299"/>
      <c r="KCR72" s="299"/>
      <c r="KCS72" s="299"/>
      <c r="KCT72" s="299"/>
      <c r="KCU72" s="299"/>
      <c r="KCV72" s="299"/>
      <c r="KCW72" s="299"/>
      <c r="KCX72" s="299"/>
      <c r="KCY72" s="299"/>
      <c r="KCZ72" s="299"/>
      <c r="KDA72" s="299"/>
      <c r="KDB72" s="299"/>
      <c r="KDC72" s="299"/>
      <c r="KDD72" s="299"/>
      <c r="KDE72" s="299"/>
      <c r="KDF72" s="299"/>
      <c r="KDG72" s="299"/>
      <c r="KDH72" s="299"/>
      <c r="KDI72" s="299"/>
      <c r="KDJ72" s="299"/>
      <c r="KDK72" s="299"/>
      <c r="KDL72" s="299"/>
      <c r="KDM72" s="299"/>
      <c r="KDN72" s="299"/>
      <c r="KDO72" s="299"/>
      <c r="KDP72" s="299"/>
      <c r="KDQ72" s="299"/>
      <c r="KDR72" s="299"/>
      <c r="KDS72" s="299"/>
      <c r="KDT72" s="299"/>
      <c r="KDU72" s="299"/>
      <c r="KDV72" s="299"/>
      <c r="KDW72" s="299"/>
      <c r="KDX72" s="299"/>
      <c r="KDY72" s="299"/>
      <c r="KDZ72" s="299"/>
      <c r="KEA72" s="299"/>
      <c r="KEB72" s="299"/>
      <c r="KEC72" s="299"/>
      <c r="KED72" s="299"/>
      <c r="KEE72" s="299"/>
      <c r="KEF72" s="299"/>
      <c r="KEG72" s="299"/>
      <c r="KEH72" s="299"/>
      <c r="KEI72" s="299"/>
      <c r="KEJ72" s="299"/>
      <c r="KEK72" s="299"/>
      <c r="KEL72" s="299"/>
      <c r="KEM72" s="299"/>
      <c r="KEN72" s="299"/>
      <c r="KEO72" s="299"/>
      <c r="KEP72" s="299"/>
      <c r="KEQ72" s="299"/>
      <c r="KER72" s="299"/>
      <c r="KES72" s="299"/>
      <c r="KET72" s="299"/>
      <c r="KEU72" s="299"/>
      <c r="KEV72" s="299"/>
      <c r="KEW72" s="299"/>
      <c r="KEX72" s="299"/>
      <c r="KEY72" s="299"/>
      <c r="KEZ72" s="299"/>
      <c r="KFA72" s="299"/>
      <c r="KFB72" s="299"/>
      <c r="KFC72" s="299"/>
      <c r="KFD72" s="299"/>
      <c r="KFE72" s="299"/>
      <c r="KFF72" s="299"/>
      <c r="KFG72" s="299"/>
      <c r="KFH72" s="299"/>
      <c r="KFI72" s="299"/>
      <c r="KFJ72" s="299"/>
      <c r="KFK72" s="299"/>
      <c r="KFL72" s="299"/>
      <c r="KFM72" s="299"/>
      <c r="KFN72" s="299"/>
      <c r="KFO72" s="299"/>
      <c r="KFP72" s="299"/>
      <c r="KFQ72" s="299"/>
      <c r="KFR72" s="299"/>
      <c r="KFS72" s="299"/>
      <c r="KFT72" s="299"/>
      <c r="KFU72" s="299"/>
      <c r="KFV72" s="299"/>
      <c r="KFW72" s="299"/>
      <c r="KFX72" s="299"/>
      <c r="KFY72" s="299"/>
      <c r="KFZ72" s="299"/>
      <c r="KGA72" s="299"/>
      <c r="KGB72" s="299"/>
      <c r="KGC72" s="299"/>
      <c r="KGD72" s="299"/>
      <c r="KGE72" s="299"/>
      <c r="KGF72" s="299"/>
      <c r="KGG72" s="299"/>
      <c r="KGH72" s="299"/>
      <c r="KGI72" s="299"/>
      <c r="KGJ72" s="299"/>
      <c r="KGK72" s="299"/>
      <c r="KGL72" s="299"/>
      <c r="KGM72" s="299"/>
      <c r="KGN72" s="299"/>
      <c r="KGO72" s="299"/>
      <c r="KGP72" s="299"/>
      <c r="KGQ72" s="299"/>
      <c r="KGR72" s="299"/>
      <c r="KGS72" s="299"/>
      <c r="KGT72" s="299"/>
      <c r="KGU72" s="299"/>
      <c r="KGV72" s="299"/>
      <c r="KGW72" s="299"/>
      <c r="KGX72" s="299"/>
      <c r="KGY72" s="299"/>
      <c r="KGZ72" s="299"/>
      <c r="KHA72" s="299"/>
      <c r="KHB72" s="299"/>
      <c r="KHC72" s="299"/>
      <c r="KHD72" s="299"/>
      <c r="KHE72" s="299"/>
      <c r="KHF72" s="299"/>
      <c r="KHG72" s="299"/>
      <c r="KHH72" s="299"/>
      <c r="KHI72" s="299"/>
      <c r="KHJ72" s="299"/>
      <c r="KHK72" s="299"/>
      <c r="KHL72" s="299"/>
      <c r="KHM72" s="299"/>
      <c r="KHN72" s="299"/>
      <c r="KHO72" s="299"/>
      <c r="KHP72" s="299"/>
      <c r="KHQ72" s="299"/>
      <c r="KHR72" s="299"/>
      <c r="KHS72" s="299"/>
      <c r="KHT72" s="299"/>
      <c r="KHU72" s="299"/>
      <c r="KHV72" s="299"/>
      <c r="KHW72" s="299"/>
      <c r="KHX72" s="299"/>
      <c r="KHY72" s="299"/>
      <c r="KHZ72" s="299"/>
      <c r="KIA72" s="299"/>
      <c r="KIB72" s="299"/>
      <c r="KIC72" s="299"/>
      <c r="KID72" s="299"/>
      <c r="KIE72" s="299"/>
      <c r="KIF72" s="299"/>
      <c r="KIG72" s="299"/>
      <c r="KIH72" s="299"/>
      <c r="KII72" s="299"/>
      <c r="KIJ72" s="299"/>
      <c r="KIK72" s="299"/>
      <c r="KIL72" s="299"/>
      <c r="KIM72" s="299"/>
      <c r="KIN72" s="299"/>
      <c r="KIO72" s="299"/>
      <c r="KIP72" s="299"/>
      <c r="KIQ72" s="299"/>
      <c r="KIR72" s="299"/>
      <c r="KIS72" s="299"/>
      <c r="KIT72" s="299"/>
      <c r="KIU72" s="299"/>
      <c r="KIV72" s="299"/>
      <c r="KIW72" s="299"/>
      <c r="KIX72" s="299"/>
      <c r="KIY72" s="299"/>
      <c r="KIZ72" s="299"/>
      <c r="KJA72" s="299"/>
      <c r="KJB72" s="299"/>
      <c r="KJC72" s="299"/>
      <c r="KJD72" s="299"/>
      <c r="KJE72" s="299"/>
      <c r="KJF72" s="299"/>
      <c r="KJG72" s="299"/>
      <c r="KJH72" s="299"/>
      <c r="KJI72" s="299"/>
      <c r="KJJ72" s="299"/>
      <c r="KJK72" s="299"/>
      <c r="KJL72" s="299"/>
      <c r="KJM72" s="299"/>
      <c r="KJN72" s="299"/>
      <c r="KJO72" s="299"/>
      <c r="KJP72" s="299"/>
      <c r="KJQ72" s="299"/>
      <c r="KJR72" s="299"/>
      <c r="KJS72" s="299"/>
      <c r="KJT72" s="299"/>
      <c r="KJU72" s="299"/>
      <c r="KJV72" s="299"/>
      <c r="KJW72" s="299"/>
      <c r="KJX72" s="299"/>
      <c r="KJY72" s="299"/>
      <c r="KJZ72" s="299"/>
      <c r="KKA72" s="299"/>
      <c r="KKB72" s="299"/>
      <c r="KKC72" s="299"/>
      <c r="KKD72" s="299"/>
      <c r="KKE72" s="299"/>
      <c r="KKF72" s="299"/>
      <c r="KKG72" s="299"/>
      <c r="KKH72" s="299"/>
      <c r="KKI72" s="299"/>
      <c r="KKJ72" s="299"/>
      <c r="KKK72" s="299"/>
      <c r="KKL72" s="299"/>
      <c r="KKM72" s="299"/>
      <c r="KKN72" s="299"/>
      <c r="KKO72" s="299"/>
      <c r="KKP72" s="299"/>
      <c r="KKQ72" s="299"/>
      <c r="KKR72" s="299"/>
      <c r="KKS72" s="299"/>
      <c r="KKT72" s="299"/>
      <c r="KKU72" s="299"/>
      <c r="KKV72" s="299"/>
      <c r="KKW72" s="299"/>
      <c r="KKX72" s="299"/>
      <c r="KKY72" s="299"/>
      <c r="KKZ72" s="299"/>
      <c r="KLA72" s="299"/>
      <c r="KLB72" s="299"/>
      <c r="KLC72" s="299"/>
      <c r="KLD72" s="299"/>
      <c r="KLE72" s="299"/>
      <c r="KLF72" s="299"/>
      <c r="KLG72" s="299"/>
      <c r="KLH72" s="299"/>
      <c r="KLI72" s="299"/>
      <c r="KLJ72" s="299"/>
      <c r="KLK72" s="299"/>
      <c r="KLL72" s="299"/>
      <c r="KLM72" s="299"/>
      <c r="KLN72" s="299"/>
      <c r="KLO72" s="299"/>
      <c r="KLP72" s="299"/>
      <c r="KLQ72" s="299"/>
      <c r="KLR72" s="299"/>
      <c r="KLS72" s="299"/>
      <c r="KLT72" s="299"/>
      <c r="KLU72" s="299"/>
      <c r="KLV72" s="299"/>
      <c r="KLW72" s="299"/>
      <c r="KLX72" s="299"/>
      <c r="KLY72" s="299"/>
      <c r="KLZ72" s="299"/>
      <c r="KMA72" s="299"/>
      <c r="KMB72" s="299"/>
      <c r="KMC72" s="299"/>
      <c r="KMD72" s="299"/>
      <c r="KME72" s="299"/>
      <c r="KMF72" s="299"/>
      <c r="KMG72" s="299"/>
      <c r="KMH72" s="299"/>
      <c r="KMI72" s="299"/>
      <c r="KMJ72" s="299"/>
      <c r="KMK72" s="299"/>
      <c r="KML72" s="299"/>
      <c r="KMM72" s="299"/>
      <c r="KMN72" s="299"/>
      <c r="KMO72" s="299"/>
      <c r="KMP72" s="299"/>
      <c r="KMQ72" s="299"/>
      <c r="KMR72" s="299"/>
      <c r="KMS72" s="299"/>
      <c r="KMT72" s="299"/>
      <c r="KMU72" s="299"/>
      <c r="KMV72" s="299"/>
      <c r="KMW72" s="299"/>
      <c r="KMX72" s="299"/>
      <c r="KMY72" s="299"/>
      <c r="KMZ72" s="299"/>
      <c r="KNA72" s="299"/>
      <c r="KNB72" s="299"/>
      <c r="KNC72" s="299"/>
      <c r="KND72" s="299"/>
      <c r="KNE72" s="299"/>
      <c r="KNF72" s="299"/>
      <c r="KNG72" s="299"/>
      <c r="KNH72" s="299"/>
      <c r="KNI72" s="299"/>
      <c r="KNJ72" s="299"/>
      <c r="KNK72" s="299"/>
      <c r="KNL72" s="299"/>
      <c r="KNM72" s="299"/>
      <c r="KNN72" s="299"/>
      <c r="KNO72" s="299"/>
      <c r="KNP72" s="299"/>
      <c r="KNQ72" s="299"/>
      <c r="KNR72" s="299"/>
      <c r="KNS72" s="299"/>
      <c r="KNT72" s="299"/>
      <c r="KNU72" s="299"/>
      <c r="KNV72" s="299"/>
      <c r="KNW72" s="299"/>
      <c r="KNX72" s="299"/>
      <c r="KNY72" s="299"/>
      <c r="KNZ72" s="299"/>
      <c r="KOA72" s="299"/>
      <c r="KOB72" s="299"/>
      <c r="KOC72" s="299"/>
      <c r="KOD72" s="299"/>
      <c r="KOE72" s="299"/>
      <c r="KOF72" s="299"/>
      <c r="KOG72" s="299"/>
      <c r="KOH72" s="299"/>
      <c r="KOI72" s="299"/>
      <c r="KOJ72" s="299"/>
      <c r="KOK72" s="299"/>
      <c r="KOL72" s="299"/>
      <c r="KOM72" s="299"/>
      <c r="KON72" s="299"/>
      <c r="KOO72" s="299"/>
      <c r="KOP72" s="299"/>
      <c r="KOQ72" s="299"/>
      <c r="KOR72" s="299"/>
      <c r="KOS72" s="299"/>
      <c r="KOT72" s="299"/>
      <c r="KOU72" s="299"/>
      <c r="KOV72" s="299"/>
      <c r="KOW72" s="299"/>
      <c r="KOX72" s="299"/>
      <c r="KOY72" s="299"/>
      <c r="KOZ72" s="299"/>
      <c r="KPA72" s="299"/>
      <c r="KPB72" s="299"/>
      <c r="KPC72" s="299"/>
      <c r="KPD72" s="299"/>
      <c r="KPE72" s="299"/>
      <c r="KPF72" s="299"/>
      <c r="KPG72" s="299"/>
      <c r="KPH72" s="299"/>
      <c r="KPI72" s="299"/>
      <c r="KPJ72" s="299"/>
      <c r="KPK72" s="299"/>
      <c r="KPL72" s="299"/>
      <c r="KPM72" s="299"/>
      <c r="KPN72" s="299"/>
      <c r="KPO72" s="299"/>
      <c r="KPP72" s="299"/>
      <c r="KPQ72" s="299"/>
      <c r="KPR72" s="299"/>
      <c r="KPS72" s="299"/>
      <c r="KPT72" s="299"/>
      <c r="KPU72" s="299"/>
      <c r="KPV72" s="299"/>
      <c r="KPW72" s="299"/>
      <c r="KPX72" s="299"/>
      <c r="KPY72" s="299"/>
      <c r="KPZ72" s="299"/>
      <c r="KQA72" s="299"/>
      <c r="KQB72" s="299"/>
      <c r="KQC72" s="299"/>
      <c r="KQD72" s="299"/>
      <c r="KQE72" s="299"/>
      <c r="KQF72" s="299"/>
      <c r="KQG72" s="299"/>
      <c r="KQH72" s="299"/>
      <c r="KQI72" s="299"/>
      <c r="KQJ72" s="299"/>
      <c r="KQK72" s="299"/>
      <c r="KQL72" s="299"/>
      <c r="KQM72" s="299"/>
      <c r="KQN72" s="299"/>
      <c r="KQO72" s="299"/>
      <c r="KQP72" s="299"/>
      <c r="KQQ72" s="299"/>
      <c r="KQR72" s="299"/>
      <c r="KQS72" s="299"/>
      <c r="KQT72" s="299"/>
      <c r="KQU72" s="299"/>
      <c r="KQV72" s="299"/>
      <c r="KQW72" s="299"/>
      <c r="KQX72" s="299"/>
      <c r="KQY72" s="299"/>
      <c r="KQZ72" s="299"/>
      <c r="KRA72" s="299"/>
      <c r="KRB72" s="299"/>
      <c r="KRC72" s="299"/>
      <c r="KRD72" s="299"/>
      <c r="KRE72" s="299"/>
      <c r="KRF72" s="299"/>
      <c r="KRG72" s="299"/>
      <c r="KRH72" s="299"/>
      <c r="KRI72" s="299"/>
      <c r="KRJ72" s="299"/>
      <c r="KRK72" s="299"/>
      <c r="KRL72" s="299"/>
      <c r="KRM72" s="299"/>
      <c r="KRN72" s="299"/>
      <c r="KRO72" s="299"/>
      <c r="KRP72" s="299"/>
      <c r="KRQ72" s="299"/>
      <c r="KRR72" s="299"/>
      <c r="KRS72" s="299"/>
      <c r="KRT72" s="299"/>
      <c r="KRU72" s="299"/>
      <c r="KRV72" s="299"/>
      <c r="KRW72" s="299"/>
      <c r="KRX72" s="299"/>
      <c r="KRY72" s="299"/>
      <c r="KRZ72" s="299"/>
      <c r="KSA72" s="299"/>
      <c r="KSB72" s="299"/>
      <c r="KSC72" s="299"/>
      <c r="KSD72" s="299"/>
      <c r="KSE72" s="299"/>
      <c r="KSF72" s="299"/>
      <c r="KSG72" s="299"/>
      <c r="KSH72" s="299"/>
      <c r="KSI72" s="299"/>
      <c r="KSJ72" s="299"/>
      <c r="KSK72" s="299"/>
      <c r="KSL72" s="299"/>
      <c r="KSM72" s="299"/>
      <c r="KSN72" s="299"/>
      <c r="KSO72" s="299"/>
      <c r="KSP72" s="299"/>
      <c r="KSQ72" s="299"/>
      <c r="KSR72" s="299"/>
      <c r="KSS72" s="299"/>
      <c r="KST72" s="299"/>
      <c r="KSU72" s="299"/>
      <c r="KSV72" s="299"/>
      <c r="KSW72" s="299"/>
      <c r="KSX72" s="299"/>
      <c r="KSY72" s="299"/>
      <c r="KSZ72" s="299"/>
      <c r="KTA72" s="299"/>
      <c r="KTB72" s="299"/>
      <c r="KTC72" s="299"/>
      <c r="KTD72" s="299"/>
      <c r="KTE72" s="299"/>
      <c r="KTF72" s="299"/>
      <c r="KTG72" s="299"/>
      <c r="KTH72" s="299"/>
      <c r="KTI72" s="299"/>
      <c r="KTJ72" s="299"/>
      <c r="KTK72" s="299"/>
      <c r="KTL72" s="299"/>
      <c r="KTM72" s="299"/>
      <c r="KTN72" s="299"/>
      <c r="KTO72" s="299"/>
      <c r="KTP72" s="299"/>
      <c r="KTQ72" s="299"/>
      <c r="KTR72" s="299"/>
      <c r="KTS72" s="299"/>
      <c r="KTT72" s="299"/>
      <c r="KTU72" s="299"/>
      <c r="KTV72" s="299"/>
      <c r="KTW72" s="299"/>
      <c r="KTX72" s="299"/>
      <c r="KTY72" s="299"/>
      <c r="KTZ72" s="299"/>
      <c r="KUA72" s="299"/>
      <c r="KUB72" s="299"/>
      <c r="KUC72" s="299"/>
      <c r="KUD72" s="299"/>
      <c r="KUE72" s="299"/>
      <c r="KUF72" s="299"/>
      <c r="KUG72" s="299"/>
      <c r="KUH72" s="299"/>
      <c r="KUI72" s="299"/>
      <c r="KUJ72" s="299"/>
      <c r="KUK72" s="299"/>
      <c r="KUL72" s="299"/>
      <c r="KUM72" s="299"/>
      <c r="KUN72" s="299"/>
      <c r="KUO72" s="299"/>
      <c r="KUP72" s="299"/>
      <c r="KUQ72" s="299"/>
      <c r="KUR72" s="299"/>
      <c r="KUS72" s="299"/>
      <c r="KUT72" s="299"/>
      <c r="KUU72" s="299"/>
      <c r="KUV72" s="299"/>
      <c r="KUW72" s="299"/>
      <c r="KUX72" s="299"/>
      <c r="KUY72" s="299"/>
      <c r="KUZ72" s="299"/>
      <c r="KVA72" s="299"/>
      <c r="KVB72" s="299"/>
      <c r="KVC72" s="299"/>
      <c r="KVD72" s="299"/>
      <c r="KVE72" s="299"/>
      <c r="KVF72" s="299"/>
      <c r="KVG72" s="299"/>
      <c r="KVH72" s="299"/>
      <c r="KVI72" s="299"/>
      <c r="KVJ72" s="299"/>
      <c r="KVK72" s="299"/>
      <c r="KVL72" s="299"/>
      <c r="KVM72" s="299"/>
      <c r="KVN72" s="299"/>
      <c r="KVO72" s="299"/>
      <c r="KVP72" s="299"/>
      <c r="KVQ72" s="299"/>
      <c r="KVR72" s="299"/>
      <c r="KVS72" s="299"/>
      <c r="KVT72" s="299"/>
      <c r="KVU72" s="299"/>
      <c r="KVV72" s="299"/>
      <c r="KVW72" s="299"/>
      <c r="KVX72" s="299"/>
      <c r="KVY72" s="299"/>
      <c r="KVZ72" s="299"/>
      <c r="KWA72" s="299"/>
      <c r="KWB72" s="299"/>
      <c r="KWC72" s="299"/>
      <c r="KWD72" s="299"/>
      <c r="KWE72" s="299"/>
      <c r="KWF72" s="299"/>
      <c r="KWG72" s="299"/>
      <c r="KWH72" s="299"/>
      <c r="KWI72" s="299"/>
      <c r="KWJ72" s="299"/>
      <c r="KWK72" s="299"/>
      <c r="KWL72" s="299"/>
      <c r="KWM72" s="299"/>
      <c r="KWN72" s="299"/>
      <c r="KWO72" s="299"/>
      <c r="KWP72" s="299"/>
      <c r="KWQ72" s="299"/>
      <c r="KWR72" s="299"/>
      <c r="KWS72" s="299"/>
      <c r="KWT72" s="299"/>
      <c r="KWU72" s="299"/>
      <c r="KWV72" s="299"/>
      <c r="KWW72" s="299"/>
      <c r="KWX72" s="299"/>
      <c r="KWY72" s="299"/>
      <c r="KWZ72" s="299"/>
      <c r="KXA72" s="299"/>
      <c r="KXB72" s="299"/>
      <c r="KXC72" s="299"/>
      <c r="KXD72" s="299"/>
      <c r="KXE72" s="299"/>
      <c r="KXF72" s="299"/>
      <c r="KXG72" s="299"/>
      <c r="KXH72" s="299"/>
      <c r="KXI72" s="299"/>
      <c r="KXJ72" s="299"/>
      <c r="KXK72" s="299"/>
      <c r="KXL72" s="299"/>
      <c r="KXM72" s="299"/>
      <c r="KXN72" s="299"/>
      <c r="KXO72" s="299"/>
      <c r="KXP72" s="299"/>
      <c r="KXQ72" s="299"/>
      <c r="KXR72" s="299"/>
      <c r="KXS72" s="299"/>
      <c r="KXT72" s="299"/>
      <c r="KXU72" s="299"/>
      <c r="KXV72" s="299"/>
      <c r="KXW72" s="299"/>
      <c r="KXX72" s="299"/>
      <c r="KXY72" s="299"/>
      <c r="KXZ72" s="299"/>
      <c r="KYA72" s="299"/>
      <c r="KYB72" s="299"/>
      <c r="KYC72" s="299"/>
      <c r="KYD72" s="299"/>
      <c r="KYE72" s="299"/>
      <c r="KYF72" s="299"/>
      <c r="KYG72" s="299"/>
      <c r="KYH72" s="299"/>
      <c r="KYI72" s="299"/>
      <c r="KYJ72" s="299"/>
      <c r="KYK72" s="299"/>
      <c r="KYL72" s="299"/>
      <c r="KYM72" s="299"/>
      <c r="KYN72" s="299"/>
      <c r="KYO72" s="299"/>
      <c r="KYP72" s="299"/>
      <c r="KYQ72" s="299"/>
      <c r="KYR72" s="299"/>
      <c r="KYS72" s="299"/>
      <c r="KYT72" s="299"/>
      <c r="KYU72" s="299"/>
      <c r="KYV72" s="299"/>
      <c r="KYW72" s="299"/>
      <c r="KYX72" s="299"/>
      <c r="KYY72" s="299"/>
      <c r="KYZ72" s="299"/>
      <c r="KZA72" s="299"/>
      <c r="KZB72" s="299"/>
      <c r="KZC72" s="299"/>
      <c r="KZD72" s="299"/>
      <c r="KZE72" s="299"/>
      <c r="KZF72" s="299"/>
      <c r="KZG72" s="299"/>
      <c r="KZH72" s="299"/>
      <c r="KZI72" s="299"/>
      <c r="KZJ72" s="299"/>
      <c r="KZK72" s="299"/>
      <c r="KZL72" s="299"/>
      <c r="KZM72" s="299"/>
      <c r="KZN72" s="299"/>
      <c r="KZO72" s="299"/>
      <c r="KZP72" s="299"/>
      <c r="KZQ72" s="299"/>
      <c r="KZR72" s="299"/>
      <c r="KZS72" s="299"/>
      <c r="KZT72" s="299"/>
      <c r="KZU72" s="299"/>
      <c r="KZV72" s="299"/>
      <c r="KZW72" s="299"/>
      <c r="KZX72" s="299"/>
      <c r="KZY72" s="299"/>
      <c r="KZZ72" s="299"/>
      <c r="LAA72" s="299"/>
      <c r="LAB72" s="299"/>
      <c r="LAC72" s="299"/>
      <c r="LAD72" s="299"/>
      <c r="LAE72" s="299"/>
      <c r="LAF72" s="299"/>
      <c r="LAG72" s="299"/>
      <c r="LAH72" s="299"/>
      <c r="LAI72" s="299"/>
      <c r="LAJ72" s="299"/>
      <c r="LAK72" s="299"/>
      <c r="LAL72" s="299"/>
      <c r="LAM72" s="299"/>
      <c r="LAN72" s="299"/>
      <c r="LAO72" s="299"/>
      <c r="LAP72" s="299"/>
      <c r="LAQ72" s="299"/>
      <c r="LAR72" s="299"/>
      <c r="LAS72" s="299"/>
      <c r="LAT72" s="299"/>
      <c r="LAU72" s="299"/>
      <c r="LAV72" s="299"/>
      <c r="LAW72" s="299"/>
      <c r="LAX72" s="299"/>
      <c r="LAY72" s="299"/>
      <c r="LAZ72" s="299"/>
      <c r="LBA72" s="299"/>
      <c r="LBB72" s="299"/>
      <c r="LBC72" s="299"/>
      <c r="LBD72" s="299"/>
      <c r="LBE72" s="299"/>
      <c r="LBF72" s="299"/>
      <c r="LBG72" s="299"/>
      <c r="LBH72" s="299"/>
      <c r="LBI72" s="299"/>
      <c r="LBJ72" s="299"/>
      <c r="LBK72" s="299"/>
      <c r="LBL72" s="299"/>
      <c r="LBM72" s="299"/>
      <c r="LBN72" s="299"/>
      <c r="LBO72" s="299"/>
      <c r="LBP72" s="299"/>
      <c r="LBQ72" s="299"/>
      <c r="LBR72" s="299"/>
      <c r="LBS72" s="299"/>
      <c r="LBT72" s="299"/>
      <c r="LBU72" s="299"/>
      <c r="LBV72" s="299"/>
      <c r="LBW72" s="299"/>
      <c r="LBX72" s="299"/>
      <c r="LBY72" s="299"/>
      <c r="LBZ72" s="299"/>
      <c r="LCA72" s="299"/>
      <c r="LCB72" s="299"/>
      <c r="LCC72" s="299"/>
      <c r="LCD72" s="299"/>
      <c r="LCE72" s="299"/>
      <c r="LCF72" s="299"/>
      <c r="LCG72" s="299"/>
      <c r="LCH72" s="299"/>
      <c r="LCI72" s="299"/>
      <c r="LCJ72" s="299"/>
      <c r="LCK72" s="299"/>
      <c r="LCL72" s="299"/>
      <c r="LCM72" s="299"/>
      <c r="LCN72" s="299"/>
      <c r="LCO72" s="299"/>
      <c r="LCP72" s="299"/>
      <c r="LCQ72" s="299"/>
      <c r="LCR72" s="299"/>
      <c r="LCS72" s="299"/>
      <c r="LCT72" s="299"/>
      <c r="LCU72" s="299"/>
      <c r="LCV72" s="299"/>
      <c r="LCW72" s="299"/>
      <c r="LCX72" s="299"/>
      <c r="LCY72" s="299"/>
      <c r="LCZ72" s="299"/>
      <c r="LDA72" s="299"/>
      <c r="LDB72" s="299"/>
      <c r="LDC72" s="299"/>
      <c r="LDD72" s="299"/>
      <c r="LDE72" s="299"/>
      <c r="LDF72" s="299"/>
      <c r="LDG72" s="299"/>
      <c r="LDH72" s="299"/>
      <c r="LDI72" s="299"/>
      <c r="LDJ72" s="299"/>
      <c r="LDK72" s="299"/>
      <c r="LDL72" s="299"/>
      <c r="LDM72" s="299"/>
      <c r="LDN72" s="299"/>
      <c r="LDO72" s="299"/>
      <c r="LDP72" s="299"/>
      <c r="LDQ72" s="299"/>
      <c r="LDR72" s="299"/>
      <c r="LDS72" s="299"/>
      <c r="LDT72" s="299"/>
      <c r="LDU72" s="299"/>
      <c r="LDV72" s="299"/>
      <c r="LDW72" s="299"/>
      <c r="LDX72" s="299"/>
      <c r="LDY72" s="299"/>
      <c r="LDZ72" s="299"/>
      <c r="LEA72" s="299"/>
      <c r="LEB72" s="299"/>
      <c r="LEC72" s="299"/>
      <c r="LED72" s="299"/>
      <c r="LEE72" s="299"/>
      <c r="LEF72" s="299"/>
      <c r="LEG72" s="299"/>
      <c r="LEH72" s="299"/>
      <c r="LEI72" s="299"/>
      <c r="LEJ72" s="299"/>
      <c r="LEK72" s="299"/>
      <c r="LEL72" s="299"/>
      <c r="LEM72" s="299"/>
      <c r="LEN72" s="299"/>
      <c r="LEO72" s="299"/>
      <c r="LEP72" s="299"/>
      <c r="LEQ72" s="299"/>
      <c r="LER72" s="299"/>
      <c r="LES72" s="299"/>
      <c r="LET72" s="299"/>
      <c r="LEU72" s="299"/>
      <c r="LEV72" s="299"/>
      <c r="LEW72" s="299"/>
      <c r="LEX72" s="299"/>
      <c r="LEY72" s="299"/>
      <c r="LEZ72" s="299"/>
      <c r="LFA72" s="299"/>
      <c r="LFB72" s="299"/>
      <c r="LFC72" s="299"/>
      <c r="LFD72" s="299"/>
      <c r="LFE72" s="299"/>
      <c r="LFF72" s="299"/>
      <c r="LFG72" s="299"/>
      <c r="LFH72" s="299"/>
      <c r="LFI72" s="299"/>
      <c r="LFJ72" s="299"/>
      <c r="LFK72" s="299"/>
      <c r="LFL72" s="299"/>
      <c r="LFM72" s="299"/>
      <c r="LFN72" s="299"/>
      <c r="LFO72" s="299"/>
      <c r="LFP72" s="299"/>
      <c r="LFQ72" s="299"/>
      <c r="LFR72" s="299"/>
      <c r="LFS72" s="299"/>
      <c r="LFT72" s="299"/>
      <c r="LFU72" s="299"/>
      <c r="LFV72" s="299"/>
      <c r="LFW72" s="299"/>
      <c r="LFX72" s="299"/>
      <c r="LFY72" s="299"/>
      <c r="LFZ72" s="299"/>
      <c r="LGA72" s="299"/>
      <c r="LGB72" s="299"/>
      <c r="LGC72" s="299"/>
      <c r="LGD72" s="299"/>
      <c r="LGE72" s="299"/>
      <c r="LGF72" s="299"/>
      <c r="LGG72" s="299"/>
      <c r="LGH72" s="299"/>
      <c r="LGI72" s="299"/>
      <c r="LGJ72" s="299"/>
      <c r="LGK72" s="299"/>
      <c r="LGL72" s="299"/>
      <c r="LGM72" s="299"/>
      <c r="LGN72" s="299"/>
      <c r="LGO72" s="299"/>
      <c r="LGP72" s="299"/>
      <c r="LGQ72" s="299"/>
      <c r="LGR72" s="299"/>
      <c r="LGS72" s="299"/>
      <c r="LGT72" s="299"/>
      <c r="LGU72" s="299"/>
      <c r="LGV72" s="299"/>
      <c r="LGW72" s="299"/>
      <c r="LGX72" s="299"/>
      <c r="LGY72" s="299"/>
      <c r="LGZ72" s="299"/>
      <c r="LHA72" s="299"/>
      <c r="LHB72" s="299"/>
      <c r="LHC72" s="299"/>
      <c r="LHD72" s="299"/>
      <c r="LHE72" s="299"/>
      <c r="LHF72" s="299"/>
      <c r="LHG72" s="299"/>
      <c r="LHH72" s="299"/>
      <c r="LHI72" s="299"/>
      <c r="LHJ72" s="299"/>
      <c r="LHK72" s="299"/>
      <c r="LHL72" s="299"/>
      <c r="LHM72" s="299"/>
      <c r="LHN72" s="299"/>
      <c r="LHO72" s="299"/>
      <c r="LHP72" s="299"/>
      <c r="LHQ72" s="299"/>
      <c r="LHR72" s="299"/>
      <c r="LHS72" s="299"/>
      <c r="LHT72" s="299"/>
      <c r="LHU72" s="299"/>
      <c r="LHV72" s="299"/>
      <c r="LHW72" s="299"/>
      <c r="LHX72" s="299"/>
      <c r="LHY72" s="299"/>
      <c r="LHZ72" s="299"/>
      <c r="LIA72" s="299"/>
      <c r="LIB72" s="299"/>
      <c r="LIC72" s="299"/>
      <c r="LID72" s="299"/>
      <c r="LIE72" s="299"/>
      <c r="LIF72" s="299"/>
      <c r="LIG72" s="299"/>
      <c r="LIH72" s="299"/>
      <c r="LII72" s="299"/>
      <c r="LIJ72" s="299"/>
      <c r="LIK72" s="299"/>
      <c r="LIL72" s="299"/>
      <c r="LIM72" s="299"/>
      <c r="LIN72" s="299"/>
      <c r="LIO72" s="299"/>
      <c r="LIP72" s="299"/>
      <c r="LIQ72" s="299"/>
      <c r="LIR72" s="299"/>
      <c r="LIS72" s="299"/>
      <c r="LIT72" s="299"/>
      <c r="LIU72" s="299"/>
      <c r="LIV72" s="299"/>
      <c r="LIW72" s="299"/>
      <c r="LIX72" s="299"/>
      <c r="LIY72" s="299"/>
      <c r="LIZ72" s="299"/>
      <c r="LJA72" s="299"/>
      <c r="LJB72" s="299"/>
      <c r="LJC72" s="299"/>
      <c r="LJD72" s="299"/>
      <c r="LJE72" s="299"/>
      <c r="LJF72" s="299"/>
      <c r="LJG72" s="299"/>
      <c r="LJH72" s="299"/>
      <c r="LJI72" s="299"/>
      <c r="LJJ72" s="299"/>
      <c r="LJK72" s="299"/>
      <c r="LJL72" s="299"/>
      <c r="LJM72" s="299"/>
      <c r="LJN72" s="299"/>
      <c r="LJO72" s="299"/>
      <c r="LJP72" s="299"/>
      <c r="LJQ72" s="299"/>
      <c r="LJR72" s="299"/>
      <c r="LJS72" s="299"/>
      <c r="LJT72" s="299"/>
      <c r="LJU72" s="299"/>
      <c r="LJV72" s="299"/>
      <c r="LJW72" s="299"/>
      <c r="LJX72" s="299"/>
      <c r="LJY72" s="299"/>
      <c r="LJZ72" s="299"/>
      <c r="LKA72" s="299"/>
      <c r="LKB72" s="299"/>
      <c r="LKC72" s="299"/>
      <c r="LKD72" s="299"/>
      <c r="LKE72" s="299"/>
      <c r="LKF72" s="299"/>
      <c r="LKG72" s="299"/>
      <c r="LKH72" s="299"/>
      <c r="LKI72" s="299"/>
      <c r="LKJ72" s="299"/>
      <c r="LKK72" s="299"/>
      <c r="LKL72" s="299"/>
      <c r="LKM72" s="299"/>
      <c r="LKN72" s="299"/>
      <c r="LKO72" s="299"/>
      <c r="LKP72" s="299"/>
      <c r="LKQ72" s="299"/>
      <c r="LKR72" s="299"/>
      <c r="LKS72" s="299"/>
      <c r="LKT72" s="299"/>
      <c r="LKU72" s="299"/>
      <c r="LKV72" s="299"/>
      <c r="LKW72" s="299"/>
      <c r="LKX72" s="299"/>
      <c r="LKY72" s="299"/>
      <c r="LKZ72" s="299"/>
      <c r="LLA72" s="299"/>
      <c r="LLB72" s="299"/>
      <c r="LLC72" s="299"/>
      <c r="LLD72" s="299"/>
      <c r="LLE72" s="299"/>
      <c r="LLF72" s="299"/>
      <c r="LLG72" s="299"/>
      <c r="LLH72" s="299"/>
      <c r="LLI72" s="299"/>
      <c r="LLJ72" s="299"/>
      <c r="LLK72" s="299"/>
      <c r="LLL72" s="299"/>
      <c r="LLM72" s="299"/>
      <c r="LLN72" s="299"/>
      <c r="LLO72" s="299"/>
      <c r="LLP72" s="299"/>
      <c r="LLQ72" s="299"/>
      <c r="LLR72" s="299"/>
      <c r="LLS72" s="299"/>
      <c r="LLT72" s="299"/>
      <c r="LLU72" s="299"/>
      <c r="LLV72" s="299"/>
      <c r="LLW72" s="299"/>
      <c r="LLX72" s="299"/>
      <c r="LLY72" s="299"/>
      <c r="LLZ72" s="299"/>
      <c r="LMA72" s="299"/>
      <c r="LMB72" s="299"/>
      <c r="LMC72" s="299"/>
      <c r="LMD72" s="299"/>
      <c r="LME72" s="299"/>
      <c r="LMF72" s="299"/>
      <c r="LMG72" s="299"/>
      <c r="LMH72" s="299"/>
      <c r="LMI72" s="299"/>
      <c r="LMJ72" s="299"/>
      <c r="LMK72" s="299"/>
      <c r="LML72" s="299"/>
      <c r="LMM72" s="299"/>
      <c r="LMN72" s="299"/>
      <c r="LMO72" s="299"/>
      <c r="LMP72" s="299"/>
      <c r="LMQ72" s="299"/>
      <c r="LMR72" s="299"/>
      <c r="LMS72" s="299"/>
      <c r="LMT72" s="299"/>
      <c r="LMU72" s="299"/>
      <c r="LMV72" s="299"/>
      <c r="LMW72" s="299"/>
      <c r="LMX72" s="299"/>
      <c r="LMY72" s="299"/>
      <c r="LMZ72" s="299"/>
      <c r="LNA72" s="299"/>
      <c r="LNB72" s="299"/>
      <c r="LNC72" s="299"/>
      <c r="LND72" s="299"/>
      <c r="LNE72" s="299"/>
      <c r="LNF72" s="299"/>
      <c r="LNG72" s="299"/>
      <c r="LNH72" s="299"/>
      <c r="LNI72" s="299"/>
      <c r="LNJ72" s="299"/>
      <c r="LNK72" s="299"/>
      <c r="LNL72" s="299"/>
      <c r="LNM72" s="299"/>
      <c r="LNN72" s="299"/>
      <c r="LNO72" s="299"/>
      <c r="LNP72" s="299"/>
      <c r="LNQ72" s="299"/>
      <c r="LNR72" s="299"/>
      <c r="LNS72" s="299"/>
      <c r="LNT72" s="299"/>
      <c r="LNU72" s="299"/>
      <c r="LNV72" s="299"/>
      <c r="LNW72" s="299"/>
      <c r="LNX72" s="299"/>
      <c r="LNY72" s="299"/>
      <c r="LNZ72" s="299"/>
      <c r="LOA72" s="299"/>
      <c r="LOB72" s="299"/>
      <c r="LOC72" s="299"/>
      <c r="LOD72" s="299"/>
      <c r="LOE72" s="299"/>
      <c r="LOF72" s="299"/>
      <c r="LOG72" s="299"/>
      <c r="LOH72" s="299"/>
      <c r="LOI72" s="299"/>
      <c r="LOJ72" s="299"/>
      <c r="LOK72" s="299"/>
      <c r="LOL72" s="299"/>
      <c r="LOM72" s="299"/>
      <c r="LON72" s="299"/>
      <c r="LOO72" s="299"/>
      <c r="LOP72" s="299"/>
      <c r="LOQ72" s="299"/>
      <c r="LOR72" s="299"/>
      <c r="LOS72" s="299"/>
      <c r="LOT72" s="299"/>
      <c r="LOU72" s="299"/>
      <c r="LOV72" s="299"/>
      <c r="LOW72" s="299"/>
      <c r="LOX72" s="299"/>
      <c r="LOY72" s="299"/>
      <c r="LOZ72" s="299"/>
      <c r="LPA72" s="299"/>
      <c r="LPB72" s="299"/>
      <c r="LPC72" s="299"/>
      <c r="LPD72" s="299"/>
      <c r="LPE72" s="299"/>
      <c r="LPF72" s="299"/>
      <c r="LPG72" s="299"/>
      <c r="LPH72" s="299"/>
      <c r="LPI72" s="299"/>
      <c r="LPJ72" s="299"/>
      <c r="LPK72" s="299"/>
      <c r="LPL72" s="299"/>
      <c r="LPM72" s="299"/>
      <c r="LPN72" s="299"/>
      <c r="LPO72" s="299"/>
      <c r="LPP72" s="299"/>
      <c r="LPQ72" s="299"/>
      <c r="LPR72" s="299"/>
      <c r="LPS72" s="299"/>
      <c r="LPT72" s="299"/>
      <c r="LPU72" s="299"/>
      <c r="LPV72" s="299"/>
      <c r="LPW72" s="299"/>
      <c r="LPX72" s="299"/>
      <c r="LPY72" s="299"/>
      <c r="LPZ72" s="299"/>
      <c r="LQA72" s="299"/>
      <c r="LQB72" s="299"/>
      <c r="LQC72" s="299"/>
      <c r="LQD72" s="299"/>
      <c r="LQE72" s="299"/>
      <c r="LQF72" s="299"/>
      <c r="LQG72" s="299"/>
      <c r="LQH72" s="299"/>
      <c r="LQI72" s="299"/>
      <c r="LQJ72" s="299"/>
      <c r="LQK72" s="299"/>
      <c r="LQL72" s="299"/>
      <c r="LQM72" s="299"/>
      <c r="LQN72" s="299"/>
      <c r="LQO72" s="299"/>
      <c r="LQP72" s="299"/>
      <c r="LQQ72" s="299"/>
      <c r="LQR72" s="299"/>
      <c r="LQS72" s="299"/>
      <c r="LQT72" s="299"/>
      <c r="LQU72" s="299"/>
      <c r="LQV72" s="299"/>
      <c r="LQW72" s="299"/>
      <c r="LQX72" s="299"/>
      <c r="LQY72" s="299"/>
      <c r="LQZ72" s="299"/>
      <c r="LRA72" s="299"/>
      <c r="LRB72" s="299"/>
      <c r="LRC72" s="299"/>
      <c r="LRD72" s="299"/>
      <c r="LRE72" s="299"/>
      <c r="LRF72" s="299"/>
      <c r="LRG72" s="299"/>
      <c r="LRH72" s="299"/>
      <c r="LRI72" s="299"/>
      <c r="LRJ72" s="299"/>
      <c r="LRK72" s="299"/>
      <c r="LRL72" s="299"/>
      <c r="LRM72" s="299"/>
      <c r="LRN72" s="299"/>
      <c r="LRO72" s="299"/>
      <c r="LRP72" s="299"/>
      <c r="LRQ72" s="299"/>
      <c r="LRR72" s="299"/>
      <c r="LRS72" s="299"/>
      <c r="LRT72" s="299"/>
      <c r="LRU72" s="299"/>
      <c r="LRV72" s="299"/>
      <c r="LRW72" s="299"/>
      <c r="LRX72" s="299"/>
      <c r="LRY72" s="299"/>
      <c r="LRZ72" s="299"/>
      <c r="LSA72" s="299"/>
      <c r="LSB72" s="299"/>
      <c r="LSC72" s="299"/>
      <c r="LSD72" s="299"/>
      <c r="LSE72" s="299"/>
      <c r="LSF72" s="299"/>
      <c r="LSG72" s="299"/>
      <c r="LSH72" s="299"/>
      <c r="LSI72" s="299"/>
      <c r="LSJ72" s="299"/>
      <c r="LSK72" s="299"/>
      <c r="LSL72" s="299"/>
      <c r="LSM72" s="299"/>
      <c r="LSN72" s="299"/>
      <c r="LSO72" s="299"/>
      <c r="LSP72" s="299"/>
      <c r="LSQ72" s="299"/>
      <c r="LSR72" s="299"/>
      <c r="LSS72" s="299"/>
      <c r="LST72" s="299"/>
      <c r="LSU72" s="299"/>
      <c r="LSV72" s="299"/>
      <c r="LSW72" s="299"/>
      <c r="LSX72" s="299"/>
      <c r="LSY72" s="299"/>
      <c r="LSZ72" s="299"/>
      <c r="LTA72" s="299"/>
      <c r="LTB72" s="299"/>
      <c r="LTC72" s="299"/>
      <c r="LTD72" s="299"/>
      <c r="LTE72" s="299"/>
      <c r="LTF72" s="299"/>
      <c r="LTG72" s="299"/>
      <c r="LTH72" s="299"/>
      <c r="LTI72" s="299"/>
      <c r="LTJ72" s="299"/>
      <c r="LTK72" s="299"/>
      <c r="LTL72" s="299"/>
      <c r="LTM72" s="299"/>
      <c r="LTN72" s="299"/>
      <c r="LTO72" s="299"/>
      <c r="LTP72" s="299"/>
      <c r="LTQ72" s="299"/>
      <c r="LTR72" s="299"/>
      <c r="LTS72" s="299"/>
      <c r="LTT72" s="299"/>
      <c r="LTU72" s="299"/>
      <c r="LTV72" s="299"/>
      <c r="LTW72" s="299"/>
      <c r="LTX72" s="299"/>
      <c r="LTY72" s="299"/>
      <c r="LTZ72" s="299"/>
      <c r="LUA72" s="299"/>
      <c r="LUB72" s="299"/>
      <c r="LUC72" s="299"/>
      <c r="LUD72" s="299"/>
      <c r="LUE72" s="299"/>
      <c r="LUF72" s="299"/>
      <c r="LUG72" s="299"/>
      <c r="LUH72" s="299"/>
      <c r="LUI72" s="299"/>
      <c r="LUJ72" s="299"/>
      <c r="LUK72" s="299"/>
      <c r="LUL72" s="299"/>
      <c r="LUM72" s="299"/>
      <c r="LUN72" s="299"/>
      <c r="LUO72" s="299"/>
      <c r="LUP72" s="299"/>
      <c r="LUQ72" s="299"/>
      <c r="LUR72" s="299"/>
      <c r="LUS72" s="299"/>
      <c r="LUT72" s="299"/>
      <c r="LUU72" s="299"/>
      <c r="LUV72" s="299"/>
      <c r="LUW72" s="299"/>
      <c r="LUX72" s="299"/>
      <c r="LUY72" s="299"/>
      <c r="LUZ72" s="299"/>
      <c r="LVA72" s="299"/>
      <c r="LVB72" s="299"/>
      <c r="LVC72" s="299"/>
      <c r="LVD72" s="299"/>
      <c r="LVE72" s="299"/>
      <c r="LVF72" s="299"/>
      <c r="LVG72" s="299"/>
      <c r="LVH72" s="299"/>
      <c r="LVI72" s="299"/>
      <c r="LVJ72" s="299"/>
      <c r="LVK72" s="299"/>
      <c r="LVL72" s="299"/>
      <c r="LVM72" s="299"/>
      <c r="LVN72" s="299"/>
      <c r="LVO72" s="299"/>
      <c r="LVP72" s="299"/>
      <c r="LVQ72" s="299"/>
      <c r="LVR72" s="299"/>
      <c r="LVS72" s="299"/>
      <c r="LVT72" s="299"/>
      <c r="LVU72" s="299"/>
      <c r="LVV72" s="299"/>
      <c r="LVW72" s="299"/>
      <c r="LVX72" s="299"/>
      <c r="LVY72" s="299"/>
      <c r="LVZ72" s="299"/>
      <c r="LWA72" s="299"/>
      <c r="LWB72" s="299"/>
      <c r="LWC72" s="299"/>
      <c r="LWD72" s="299"/>
      <c r="LWE72" s="299"/>
      <c r="LWF72" s="299"/>
      <c r="LWG72" s="299"/>
      <c r="LWH72" s="299"/>
      <c r="LWI72" s="299"/>
      <c r="LWJ72" s="299"/>
      <c r="LWK72" s="299"/>
      <c r="LWL72" s="299"/>
      <c r="LWM72" s="299"/>
      <c r="LWN72" s="299"/>
      <c r="LWO72" s="299"/>
      <c r="LWP72" s="299"/>
      <c r="LWQ72" s="299"/>
      <c r="LWR72" s="299"/>
      <c r="LWS72" s="299"/>
      <c r="LWT72" s="299"/>
      <c r="LWU72" s="299"/>
      <c r="LWV72" s="299"/>
      <c r="LWW72" s="299"/>
      <c r="LWX72" s="299"/>
      <c r="LWY72" s="299"/>
      <c r="LWZ72" s="299"/>
      <c r="LXA72" s="299"/>
      <c r="LXB72" s="299"/>
      <c r="LXC72" s="299"/>
      <c r="LXD72" s="299"/>
      <c r="LXE72" s="299"/>
      <c r="LXF72" s="299"/>
      <c r="LXG72" s="299"/>
      <c r="LXH72" s="299"/>
      <c r="LXI72" s="299"/>
      <c r="LXJ72" s="299"/>
      <c r="LXK72" s="299"/>
      <c r="LXL72" s="299"/>
      <c r="LXM72" s="299"/>
      <c r="LXN72" s="299"/>
      <c r="LXO72" s="299"/>
      <c r="LXP72" s="299"/>
      <c r="LXQ72" s="299"/>
      <c r="LXR72" s="299"/>
      <c r="LXS72" s="299"/>
      <c r="LXT72" s="299"/>
      <c r="LXU72" s="299"/>
      <c r="LXV72" s="299"/>
      <c r="LXW72" s="299"/>
      <c r="LXX72" s="299"/>
      <c r="LXY72" s="299"/>
      <c r="LXZ72" s="299"/>
      <c r="LYA72" s="299"/>
      <c r="LYB72" s="299"/>
      <c r="LYC72" s="299"/>
      <c r="LYD72" s="299"/>
      <c r="LYE72" s="299"/>
      <c r="LYF72" s="299"/>
      <c r="LYG72" s="299"/>
      <c r="LYH72" s="299"/>
      <c r="LYI72" s="299"/>
      <c r="LYJ72" s="299"/>
      <c r="LYK72" s="299"/>
      <c r="LYL72" s="299"/>
      <c r="LYM72" s="299"/>
      <c r="LYN72" s="299"/>
      <c r="LYO72" s="299"/>
      <c r="LYP72" s="299"/>
      <c r="LYQ72" s="299"/>
      <c r="LYR72" s="299"/>
      <c r="LYS72" s="299"/>
      <c r="LYT72" s="299"/>
      <c r="LYU72" s="299"/>
      <c r="LYV72" s="299"/>
      <c r="LYW72" s="299"/>
      <c r="LYX72" s="299"/>
      <c r="LYY72" s="299"/>
      <c r="LYZ72" s="299"/>
      <c r="LZA72" s="299"/>
      <c r="LZB72" s="299"/>
      <c r="LZC72" s="299"/>
      <c r="LZD72" s="299"/>
      <c r="LZE72" s="299"/>
      <c r="LZF72" s="299"/>
      <c r="LZG72" s="299"/>
      <c r="LZH72" s="299"/>
      <c r="LZI72" s="299"/>
      <c r="LZJ72" s="299"/>
      <c r="LZK72" s="299"/>
      <c r="LZL72" s="299"/>
      <c r="LZM72" s="299"/>
      <c r="LZN72" s="299"/>
      <c r="LZO72" s="299"/>
      <c r="LZP72" s="299"/>
      <c r="LZQ72" s="299"/>
      <c r="LZR72" s="299"/>
      <c r="LZS72" s="299"/>
      <c r="LZT72" s="299"/>
      <c r="LZU72" s="299"/>
      <c r="LZV72" s="299"/>
      <c r="LZW72" s="299"/>
      <c r="LZX72" s="299"/>
      <c r="LZY72" s="299"/>
      <c r="LZZ72" s="299"/>
      <c r="MAA72" s="299"/>
      <c r="MAB72" s="299"/>
      <c r="MAC72" s="299"/>
      <c r="MAD72" s="299"/>
      <c r="MAE72" s="299"/>
      <c r="MAF72" s="299"/>
      <c r="MAG72" s="299"/>
      <c r="MAH72" s="299"/>
      <c r="MAI72" s="299"/>
      <c r="MAJ72" s="299"/>
      <c r="MAK72" s="299"/>
      <c r="MAL72" s="299"/>
      <c r="MAM72" s="299"/>
      <c r="MAN72" s="299"/>
      <c r="MAO72" s="299"/>
      <c r="MAP72" s="299"/>
      <c r="MAQ72" s="299"/>
      <c r="MAR72" s="299"/>
      <c r="MAS72" s="299"/>
      <c r="MAT72" s="299"/>
      <c r="MAU72" s="299"/>
      <c r="MAV72" s="299"/>
      <c r="MAW72" s="299"/>
      <c r="MAX72" s="299"/>
      <c r="MAY72" s="299"/>
      <c r="MAZ72" s="299"/>
      <c r="MBA72" s="299"/>
      <c r="MBB72" s="299"/>
      <c r="MBC72" s="299"/>
      <c r="MBD72" s="299"/>
      <c r="MBE72" s="299"/>
      <c r="MBF72" s="299"/>
      <c r="MBG72" s="299"/>
      <c r="MBH72" s="299"/>
      <c r="MBI72" s="299"/>
      <c r="MBJ72" s="299"/>
      <c r="MBK72" s="299"/>
      <c r="MBL72" s="299"/>
      <c r="MBM72" s="299"/>
      <c r="MBN72" s="299"/>
      <c r="MBO72" s="299"/>
      <c r="MBP72" s="299"/>
      <c r="MBQ72" s="299"/>
      <c r="MBR72" s="299"/>
      <c r="MBS72" s="299"/>
      <c r="MBT72" s="299"/>
      <c r="MBU72" s="299"/>
      <c r="MBV72" s="299"/>
      <c r="MBW72" s="299"/>
      <c r="MBX72" s="299"/>
      <c r="MBY72" s="299"/>
      <c r="MBZ72" s="299"/>
      <c r="MCA72" s="299"/>
      <c r="MCB72" s="299"/>
      <c r="MCC72" s="299"/>
      <c r="MCD72" s="299"/>
      <c r="MCE72" s="299"/>
      <c r="MCF72" s="299"/>
      <c r="MCG72" s="299"/>
      <c r="MCH72" s="299"/>
      <c r="MCI72" s="299"/>
      <c r="MCJ72" s="299"/>
      <c r="MCK72" s="299"/>
      <c r="MCL72" s="299"/>
      <c r="MCM72" s="299"/>
      <c r="MCN72" s="299"/>
      <c r="MCO72" s="299"/>
      <c r="MCP72" s="299"/>
      <c r="MCQ72" s="299"/>
      <c r="MCR72" s="299"/>
      <c r="MCS72" s="299"/>
      <c r="MCT72" s="299"/>
      <c r="MCU72" s="299"/>
      <c r="MCV72" s="299"/>
      <c r="MCW72" s="299"/>
      <c r="MCX72" s="299"/>
      <c r="MCY72" s="299"/>
      <c r="MCZ72" s="299"/>
      <c r="MDA72" s="299"/>
      <c r="MDB72" s="299"/>
      <c r="MDC72" s="299"/>
      <c r="MDD72" s="299"/>
      <c r="MDE72" s="299"/>
      <c r="MDF72" s="299"/>
      <c r="MDG72" s="299"/>
      <c r="MDH72" s="299"/>
      <c r="MDI72" s="299"/>
      <c r="MDJ72" s="299"/>
      <c r="MDK72" s="299"/>
      <c r="MDL72" s="299"/>
      <c r="MDM72" s="299"/>
      <c r="MDN72" s="299"/>
      <c r="MDO72" s="299"/>
      <c r="MDP72" s="299"/>
      <c r="MDQ72" s="299"/>
      <c r="MDR72" s="299"/>
      <c r="MDS72" s="299"/>
      <c r="MDT72" s="299"/>
      <c r="MDU72" s="299"/>
      <c r="MDV72" s="299"/>
      <c r="MDW72" s="299"/>
      <c r="MDX72" s="299"/>
      <c r="MDY72" s="299"/>
      <c r="MDZ72" s="299"/>
      <c r="MEA72" s="299"/>
      <c r="MEB72" s="299"/>
      <c r="MEC72" s="299"/>
      <c r="MED72" s="299"/>
      <c r="MEE72" s="299"/>
      <c r="MEF72" s="299"/>
      <c r="MEG72" s="299"/>
      <c r="MEH72" s="299"/>
      <c r="MEI72" s="299"/>
      <c r="MEJ72" s="299"/>
      <c r="MEK72" s="299"/>
      <c r="MEL72" s="299"/>
      <c r="MEM72" s="299"/>
      <c r="MEN72" s="299"/>
      <c r="MEO72" s="299"/>
      <c r="MEP72" s="299"/>
      <c r="MEQ72" s="299"/>
      <c r="MER72" s="299"/>
      <c r="MES72" s="299"/>
      <c r="MET72" s="299"/>
      <c r="MEU72" s="299"/>
      <c r="MEV72" s="299"/>
      <c r="MEW72" s="299"/>
      <c r="MEX72" s="299"/>
      <c r="MEY72" s="299"/>
      <c r="MEZ72" s="299"/>
      <c r="MFA72" s="299"/>
      <c r="MFB72" s="299"/>
      <c r="MFC72" s="299"/>
      <c r="MFD72" s="299"/>
      <c r="MFE72" s="299"/>
      <c r="MFF72" s="299"/>
      <c r="MFG72" s="299"/>
      <c r="MFH72" s="299"/>
      <c r="MFI72" s="299"/>
      <c r="MFJ72" s="299"/>
      <c r="MFK72" s="299"/>
      <c r="MFL72" s="299"/>
      <c r="MFM72" s="299"/>
      <c r="MFN72" s="299"/>
      <c r="MFO72" s="299"/>
      <c r="MFP72" s="299"/>
      <c r="MFQ72" s="299"/>
      <c r="MFR72" s="299"/>
      <c r="MFS72" s="299"/>
      <c r="MFT72" s="299"/>
      <c r="MFU72" s="299"/>
      <c r="MFV72" s="299"/>
      <c r="MFW72" s="299"/>
      <c r="MFX72" s="299"/>
      <c r="MFY72" s="299"/>
      <c r="MFZ72" s="299"/>
      <c r="MGA72" s="299"/>
      <c r="MGB72" s="299"/>
      <c r="MGC72" s="299"/>
      <c r="MGD72" s="299"/>
      <c r="MGE72" s="299"/>
      <c r="MGF72" s="299"/>
      <c r="MGG72" s="299"/>
      <c r="MGH72" s="299"/>
      <c r="MGI72" s="299"/>
      <c r="MGJ72" s="299"/>
      <c r="MGK72" s="299"/>
      <c r="MGL72" s="299"/>
      <c r="MGM72" s="299"/>
      <c r="MGN72" s="299"/>
      <c r="MGO72" s="299"/>
      <c r="MGP72" s="299"/>
      <c r="MGQ72" s="299"/>
      <c r="MGR72" s="299"/>
      <c r="MGS72" s="299"/>
      <c r="MGT72" s="299"/>
      <c r="MGU72" s="299"/>
      <c r="MGV72" s="299"/>
      <c r="MGW72" s="299"/>
      <c r="MGX72" s="299"/>
      <c r="MGY72" s="299"/>
      <c r="MGZ72" s="299"/>
      <c r="MHA72" s="299"/>
      <c r="MHB72" s="299"/>
      <c r="MHC72" s="299"/>
      <c r="MHD72" s="299"/>
      <c r="MHE72" s="299"/>
      <c r="MHF72" s="299"/>
      <c r="MHG72" s="299"/>
      <c r="MHH72" s="299"/>
      <c r="MHI72" s="299"/>
      <c r="MHJ72" s="299"/>
      <c r="MHK72" s="299"/>
      <c r="MHL72" s="299"/>
      <c r="MHM72" s="299"/>
      <c r="MHN72" s="299"/>
      <c r="MHO72" s="299"/>
      <c r="MHP72" s="299"/>
      <c r="MHQ72" s="299"/>
      <c r="MHR72" s="299"/>
      <c r="MHS72" s="299"/>
      <c r="MHT72" s="299"/>
      <c r="MHU72" s="299"/>
      <c r="MHV72" s="299"/>
      <c r="MHW72" s="299"/>
      <c r="MHX72" s="299"/>
      <c r="MHY72" s="299"/>
      <c r="MHZ72" s="299"/>
      <c r="MIA72" s="299"/>
      <c r="MIB72" s="299"/>
      <c r="MIC72" s="299"/>
      <c r="MID72" s="299"/>
      <c r="MIE72" s="299"/>
      <c r="MIF72" s="299"/>
      <c r="MIG72" s="299"/>
      <c r="MIH72" s="299"/>
      <c r="MII72" s="299"/>
      <c r="MIJ72" s="299"/>
      <c r="MIK72" s="299"/>
      <c r="MIL72" s="299"/>
      <c r="MIM72" s="299"/>
      <c r="MIN72" s="299"/>
      <c r="MIO72" s="299"/>
      <c r="MIP72" s="299"/>
      <c r="MIQ72" s="299"/>
      <c r="MIR72" s="299"/>
      <c r="MIS72" s="299"/>
      <c r="MIT72" s="299"/>
      <c r="MIU72" s="299"/>
      <c r="MIV72" s="299"/>
      <c r="MIW72" s="299"/>
      <c r="MIX72" s="299"/>
      <c r="MIY72" s="299"/>
      <c r="MIZ72" s="299"/>
      <c r="MJA72" s="299"/>
      <c r="MJB72" s="299"/>
      <c r="MJC72" s="299"/>
      <c r="MJD72" s="299"/>
      <c r="MJE72" s="299"/>
      <c r="MJF72" s="299"/>
      <c r="MJG72" s="299"/>
      <c r="MJH72" s="299"/>
      <c r="MJI72" s="299"/>
      <c r="MJJ72" s="299"/>
      <c r="MJK72" s="299"/>
      <c r="MJL72" s="299"/>
      <c r="MJM72" s="299"/>
      <c r="MJN72" s="299"/>
      <c r="MJO72" s="299"/>
      <c r="MJP72" s="299"/>
      <c r="MJQ72" s="299"/>
      <c r="MJR72" s="299"/>
      <c r="MJS72" s="299"/>
      <c r="MJT72" s="299"/>
      <c r="MJU72" s="299"/>
      <c r="MJV72" s="299"/>
      <c r="MJW72" s="299"/>
      <c r="MJX72" s="299"/>
      <c r="MJY72" s="299"/>
      <c r="MJZ72" s="299"/>
      <c r="MKA72" s="299"/>
      <c r="MKB72" s="299"/>
      <c r="MKC72" s="299"/>
      <c r="MKD72" s="299"/>
      <c r="MKE72" s="299"/>
      <c r="MKF72" s="299"/>
      <c r="MKG72" s="299"/>
      <c r="MKH72" s="299"/>
      <c r="MKI72" s="299"/>
      <c r="MKJ72" s="299"/>
      <c r="MKK72" s="299"/>
      <c r="MKL72" s="299"/>
      <c r="MKM72" s="299"/>
      <c r="MKN72" s="299"/>
      <c r="MKO72" s="299"/>
      <c r="MKP72" s="299"/>
      <c r="MKQ72" s="299"/>
      <c r="MKR72" s="299"/>
      <c r="MKS72" s="299"/>
      <c r="MKT72" s="299"/>
      <c r="MKU72" s="299"/>
      <c r="MKV72" s="299"/>
      <c r="MKW72" s="299"/>
      <c r="MKX72" s="299"/>
      <c r="MKY72" s="299"/>
      <c r="MKZ72" s="299"/>
      <c r="MLA72" s="299"/>
      <c r="MLB72" s="299"/>
      <c r="MLC72" s="299"/>
      <c r="MLD72" s="299"/>
      <c r="MLE72" s="299"/>
      <c r="MLF72" s="299"/>
      <c r="MLG72" s="299"/>
      <c r="MLH72" s="299"/>
      <c r="MLI72" s="299"/>
      <c r="MLJ72" s="299"/>
      <c r="MLK72" s="299"/>
      <c r="MLL72" s="299"/>
      <c r="MLM72" s="299"/>
      <c r="MLN72" s="299"/>
      <c r="MLO72" s="299"/>
      <c r="MLP72" s="299"/>
      <c r="MLQ72" s="299"/>
      <c r="MLR72" s="299"/>
      <c r="MLS72" s="299"/>
      <c r="MLT72" s="299"/>
      <c r="MLU72" s="299"/>
      <c r="MLV72" s="299"/>
      <c r="MLW72" s="299"/>
      <c r="MLX72" s="299"/>
      <c r="MLY72" s="299"/>
      <c r="MLZ72" s="299"/>
      <c r="MMA72" s="299"/>
      <c r="MMB72" s="299"/>
      <c r="MMC72" s="299"/>
      <c r="MMD72" s="299"/>
      <c r="MME72" s="299"/>
      <c r="MMF72" s="299"/>
      <c r="MMG72" s="299"/>
      <c r="MMH72" s="299"/>
      <c r="MMI72" s="299"/>
      <c r="MMJ72" s="299"/>
      <c r="MMK72" s="299"/>
      <c r="MML72" s="299"/>
      <c r="MMM72" s="299"/>
      <c r="MMN72" s="299"/>
      <c r="MMO72" s="299"/>
      <c r="MMP72" s="299"/>
      <c r="MMQ72" s="299"/>
      <c r="MMR72" s="299"/>
      <c r="MMS72" s="299"/>
      <c r="MMT72" s="299"/>
      <c r="MMU72" s="299"/>
      <c r="MMV72" s="299"/>
      <c r="MMW72" s="299"/>
      <c r="MMX72" s="299"/>
      <c r="MMY72" s="299"/>
      <c r="MMZ72" s="299"/>
      <c r="MNA72" s="299"/>
      <c r="MNB72" s="299"/>
      <c r="MNC72" s="299"/>
      <c r="MND72" s="299"/>
      <c r="MNE72" s="299"/>
      <c r="MNF72" s="299"/>
      <c r="MNG72" s="299"/>
      <c r="MNH72" s="299"/>
      <c r="MNI72" s="299"/>
      <c r="MNJ72" s="299"/>
      <c r="MNK72" s="299"/>
      <c r="MNL72" s="299"/>
      <c r="MNM72" s="299"/>
      <c r="MNN72" s="299"/>
      <c r="MNO72" s="299"/>
      <c r="MNP72" s="299"/>
      <c r="MNQ72" s="299"/>
      <c r="MNR72" s="299"/>
      <c r="MNS72" s="299"/>
      <c r="MNT72" s="299"/>
      <c r="MNU72" s="299"/>
      <c r="MNV72" s="299"/>
      <c r="MNW72" s="299"/>
      <c r="MNX72" s="299"/>
      <c r="MNY72" s="299"/>
      <c r="MNZ72" s="299"/>
      <c r="MOA72" s="299"/>
      <c r="MOB72" s="299"/>
      <c r="MOC72" s="299"/>
      <c r="MOD72" s="299"/>
      <c r="MOE72" s="299"/>
      <c r="MOF72" s="299"/>
      <c r="MOG72" s="299"/>
      <c r="MOH72" s="299"/>
      <c r="MOI72" s="299"/>
      <c r="MOJ72" s="299"/>
      <c r="MOK72" s="299"/>
      <c r="MOL72" s="299"/>
      <c r="MOM72" s="299"/>
      <c r="MON72" s="299"/>
      <c r="MOO72" s="299"/>
      <c r="MOP72" s="299"/>
      <c r="MOQ72" s="299"/>
      <c r="MOR72" s="299"/>
      <c r="MOS72" s="299"/>
      <c r="MOT72" s="299"/>
      <c r="MOU72" s="299"/>
      <c r="MOV72" s="299"/>
      <c r="MOW72" s="299"/>
      <c r="MOX72" s="299"/>
      <c r="MOY72" s="299"/>
      <c r="MOZ72" s="299"/>
      <c r="MPA72" s="299"/>
      <c r="MPB72" s="299"/>
      <c r="MPC72" s="299"/>
      <c r="MPD72" s="299"/>
      <c r="MPE72" s="299"/>
      <c r="MPF72" s="299"/>
      <c r="MPG72" s="299"/>
      <c r="MPH72" s="299"/>
      <c r="MPI72" s="299"/>
      <c r="MPJ72" s="299"/>
      <c r="MPK72" s="299"/>
      <c r="MPL72" s="299"/>
      <c r="MPM72" s="299"/>
      <c r="MPN72" s="299"/>
      <c r="MPO72" s="299"/>
      <c r="MPP72" s="299"/>
      <c r="MPQ72" s="299"/>
      <c r="MPR72" s="299"/>
      <c r="MPS72" s="299"/>
      <c r="MPT72" s="299"/>
      <c r="MPU72" s="299"/>
      <c r="MPV72" s="299"/>
      <c r="MPW72" s="299"/>
      <c r="MPX72" s="299"/>
      <c r="MPY72" s="299"/>
      <c r="MPZ72" s="299"/>
      <c r="MQA72" s="299"/>
      <c r="MQB72" s="299"/>
      <c r="MQC72" s="299"/>
      <c r="MQD72" s="299"/>
      <c r="MQE72" s="299"/>
      <c r="MQF72" s="299"/>
      <c r="MQG72" s="299"/>
      <c r="MQH72" s="299"/>
      <c r="MQI72" s="299"/>
      <c r="MQJ72" s="299"/>
      <c r="MQK72" s="299"/>
      <c r="MQL72" s="299"/>
      <c r="MQM72" s="299"/>
      <c r="MQN72" s="299"/>
      <c r="MQO72" s="299"/>
      <c r="MQP72" s="299"/>
      <c r="MQQ72" s="299"/>
      <c r="MQR72" s="299"/>
      <c r="MQS72" s="299"/>
      <c r="MQT72" s="299"/>
      <c r="MQU72" s="299"/>
      <c r="MQV72" s="299"/>
      <c r="MQW72" s="299"/>
      <c r="MQX72" s="299"/>
      <c r="MQY72" s="299"/>
      <c r="MQZ72" s="299"/>
      <c r="MRA72" s="299"/>
      <c r="MRB72" s="299"/>
      <c r="MRC72" s="299"/>
      <c r="MRD72" s="299"/>
      <c r="MRE72" s="299"/>
      <c r="MRF72" s="299"/>
      <c r="MRG72" s="299"/>
      <c r="MRH72" s="299"/>
      <c r="MRI72" s="299"/>
      <c r="MRJ72" s="299"/>
      <c r="MRK72" s="299"/>
      <c r="MRL72" s="299"/>
      <c r="MRM72" s="299"/>
      <c r="MRN72" s="299"/>
      <c r="MRO72" s="299"/>
      <c r="MRP72" s="299"/>
      <c r="MRQ72" s="299"/>
      <c r="MRR72" s="299"/>
      <c r="MRS72" s="299"/>
      <c r="MRT72" s="299"/>
      <c r="MRU72" s="299"/>
      <c r="MRV72" s="299"/>
      <c r="MRW72" s="299"/>
      <c r="MRX72" s="299"/>
      <c r="MRY72" s="299"/>
      <c r="MRZ72" s="299"/>
      <c r="MSA72" s="299"/>
      <c r="MSB72" s="299"/>
      <c r="MSC72" s="299"/>
      <c r="MSD72" s="299"/>
      <c r="MSE72" s="299"/>
      <c r="MSF72" s="299"/>
      <c r="MSG72" s="299"/>
      <c r="MSH72" s="299"/>
      <c r="MSI72" s="299"/>
      <c r="MSJ72" s="299"/>
      <c r="MSK72" s="299"/>
      <c r="MSL72" s="299"/>
      <c r="MSM72" s="299"/>
      <c r="MSN72" s="299"/>
      <c r="MSO72" s="299"/>
      <c r="MSP72" s="299"/>
      <c r="MSQ72" s="299"/>
      <c r="MSR72" s="299"/>
      <c r="MSS72" s="299"/>
      <c r="MST72" s="299"/>
      <c r="MSU72" s="299"/>
      <c r="MSV72" s="299"/>
      <c r="MSW72" s="299"/>
      <c r="MSX72" s="299"/>
      <c r="MSY72" s="299"/>
      <c r="MSZ72" s="299"/>
      <c r="MTA72" s="299"/>
      <c r="MTB72" s="299"/>
      <c r="MTC72" s="299"/>
      <c r="MTD72" s="299"/>
      <c r="MTE72" s="299"/>
      <c r="MTF72" s="299"/>
      <c r="MTG72" s="299"/>
      <c r="MTH72" s="299"/>
      <c r="MTI72" s="299"/>
      <c r="MTJ72" s="299"/>
      <c r="MTK72" s="299"/>
      <c r="MTL72" s="299"/>
      <c r="MTM72" s="299"/>
      <c r="MTN72" s="299"/>
      <c r="MTO72" s="299"/>
      <c r="MTP72" s="299"/>
      <c r="MTQ72" s="299"/>
      <c r="MTR72" s="299"/>
      <c r="MTS72" s="299"/>
      <c r="MTT72" s="299"/>
      <c r="MTU72" s="299"/>
      <c r="MTV72" s="299"/>
      <c r="MTW72" s="299"/>
      <c r="MTX72" s="299"/>
      <c r="MTY72" s="299"/>
      <c r="MTZ72" s="299"/>
      <c r="MUA72" s="299"/>
      <c r="MUB72" s="299"/>
      <c r="MUC72" s="299"/>
      <c r="MUD72" s="299"/>
      <c r="MUE72" s="299"/>
      <c r="MUF72" s="299"/>
      <c r="MUG72" s="299"/>
      <c r="MUH72" s="299"/>
      <c r="MUI72" s="299"/>
      <c r="MUJ72" s="299"/>
      <c r="MUK72" s="299"/>
      <c r="MUL72" s="299"/>
      <c r="MUM72" s="299"/>
      <c r="MUN72" s="299"/>
      <c r="MUO72" s="299"/>
      <c r="MUP72" s="299"/>
      <c r="MUQ72" s="299"/>
      <c r="MUR72" s="299"/>
      <c r="MUS72" s="299"/>
      <c r="MUT72" s="299"/>
      <c r="MUU72" s="299"/>
      <c r="MUV72" s="299"/>
      <c r="MUW72" s="299"/>
      <c r="MUX72" s="299"/>
      <c r="MUY72" s="299"/>
      <c r="MUZ72" s="299"/>
      <c r="MVA72" s="299"/>
      <c r="MVB72" s="299"/>
      <c r="MVC72" s="299"/>
      <c r="MVD72" s="299"/>
      <c r="MVE72" s="299"/>
      <c r="MVF72" s="299"/>
      <c r="MVG72" s="299"/>
      <c r="MVH72" s="299"/>
      <c r="MVI72" s="299"/>
      <c r="MVJ72" s="299"/>
      <c r="MVK72" s="299"/>
      <c r="MVL72" s="299"/>
      <c r="MVM72" s="299"/>
      <c r="MVN72" s="299"/>
      <c r="MVO72" s="299"/>
      <c r="MVP72" s="299"/>
      <c r="MVQ72" s="299"/>
      <c r="MVR72" s="299"/>
      <c r="MVS72" s="299"/>
      <c r="MVT72" s="299"/>
      <c r="MVU72" s="299"/>
      <c r="MVV72" s="299"/>
      <c r="MVW72" s="299"/>
      <c r="MVX72" s="299"/>
      <c r="MVY72" s="299"/>
      <c r="MVZ72" s="299"/>
      <c r="MWA72" s="299"/>
      <c r="MWB72" s="299"/>
      <c r="MWC72" s="299"/>
      <c r="MWD72" s="299"/>
      <c r="MWE72" s="299"/>
      <c r="MWF72" s="299"/>
      <c r="MWG72" s="299"/>
      <c r="MWH72" s="299"/>
      <c r="MWI72" s="299"/>
      <c r="MWJ72" s="299"/>
      <c r="MWK72" s="299"/>
      <c r="MWL72" s="299"/>
      <c r="MWM72" s="299"/>
      <c r="MWN72" s="299"/>
      <c r="MWO72" s="299"/>
      <c r="MWP72" s="299"/>
      <c r="MWQ72" s="299"/>
      <c r="MWR72" s="299"/>
      <c r="MWS72" s="299"/>
      <c r="MWT72" s="299"/>
      <c r="MWU72" s="299"/>
      <c r="MWV72" s="299"/>
      <c r="MWW72" s="299"/>
      <c r="MWX72" s="299"/>
      <c r="MWY72" s="299"/>
      <c r="MWZ72" s="299"/>
      <c r="MXA72" s="299"/>
      <c r="MXB72" s="299"/>
      <c r="MXC72" s="299"/>
      <c r="MXD72" s="299"/>
      <c r="MXE72" s="299"/>
      <c r="MXF72" s="299"/>
      <c r="MXG72" s="299"/>
      <c r="MXH72" s="299"/>
      <c r="MXI72" s="299"/>
      <c r="MXJ72" s="299"/>
      <c r="MXK72" s="299"/>
      <c r="MXL72" s="299"/>
      <c r="MXM72" s="299"/>
      <c r="MXN72" s="299"/>
      <c r="MXO72" s="299"/>
      <c r="MXP72" s="299"/>
      <c r="MXQ72" s="299"/>
      <c r="MXR72" s="299"/>
      <c r="MXS72" s="299"/>
      <c r="MXT72" s="299"/>
      <c r="MXU72" s="299"/>
      <c r="MXV72" s="299"/>
      <c r="MXW72" s="299"/>
      <c r="MXX72" s="299"/>
      <c r="MXY72" s="299"/>
      <c r="MXZ72" s="299"/>
      <c r="MYA72" s="299"/>
      <c r="MYB72" s="299"/>
      <c r="MYC72" s="299"/>
      <c r="MYD72" s="299"/>
      <c r="MYE72" s="299"/>
      <c r="MYF72" s="299"/>
      <c r="MYG72" s="299"/>
      <c r="MYH72" s="299"/>
      <c r="MYI72" s="299"/>
      <c r="MYJ72" s="299"/>
      <c r="MYK72" s="299"/>
      <c r="MYL72" s="299"/>
      <c r="MYM72" s="299"/>
      <c r="MYN72" s="299"/>
      <c r="MYO72" s="299"/>
      <c r="MYP72" s="299"/>
      <c r="MYQ72" s="299"/>
      <c r="MYR72" s="299"/>
      <c r="MYS72" s="299"/>
      <c r="MYT72" s="299"/>
      <c r="MYU72" s="299"/>
      <c r="MYV72" s="299"/>
      <c r="MYW72" s="299"/>
      <c r="MYX72" s="299"/>
      <c r="MYY72" s="299"/>
      <c r="MYZ72" s="299"/>
      <c r="MZA72" s="299"/>
      <c r="MZB72" s="299"/>
      <c r="MZC72" s="299"/>
      <c r="MZD72" s="299"/>
      <c r="MZE72" s="299"/>
      <c r="MZF72" s="299"/>
      <c r="MZG72" s="299"/>
      <c r="MZH72" s="299"/>
      <c r="MZI72" s="299"/>
      <c r="MZJ72" s="299"/>
      <c r="MZK72" s="299"/>
      <c r="MZL72" s="299"/>
      <c r="MZM72" s="299"/>
      <c r="MZN72" s="299"/>
      <c r="MZO72" s="299"/>
      <c r="MZP72" s="299"/>
      <c r="MZQ72" s="299"/>
      <c r="MZR72" s="299"/>
      <c r="MZS72" s="299"/>
      <c r="MZT72" s="299"/>
      <c r="MZU72" s="299"/>
      <c r="MZV72" s="299"/>
      <c r="MZW72" s="299"/>
      <c r="MZX72" s="299"/>
      <c r="MZY72" s="299"/>
      <c r="MZZ72" s="299"/>
      <c r="NAA72" s="299"/>
      <c r="NAB72" s="299"/>
      <c r="NAC72" s="299"/>
      <c r="NAD72" s="299"/>
      <c r="NAE72" s="299"/>
      <c r="NAF72" s="299"/>
      <c r="NAG72" s="299"/>
      <c r="NAH72" s="299"/>
      <c r="NAI72" s="299"/>
      <c r="NAJ72" s="299"/>
      <c r="NAK72" s="299"/>
      <c r="NAL72" s="299"/>
      <c r="NAM72" s="299"/>
      <c r="NAN72" s="299"/>
      <c r="NAO72" s="299"/>
      <c r="NAP72" s="299"/>
      <c r="NAQ72" s="299"/>
      <c r="NAR72" s="299"/>
      <c r="NAS72" s="299"/>
      <c r="NAT72" s="299"/>
      <c r="NAU72" s="299"/>
      <c r="NAV72" s="299"/>
      <c r="NAW72" s="299"/>
      <c r="NAX72" s="299"/>
      <c r="NAY72" s="299"/>
      <c r="NAZ72" s="299"/>
      <c r="NBA72" s="299"/>
      <c r="NBB72" s="299"/>
      <c r="NBC72" s="299"/>
      <c r="NBD72" s="299"/>
      <c r="NBE72" s="299"/>
      <c r="NBF72" s="299"/>
      <c r="NBG72" s="299"/>
      <c r="NBH72" s="299"/>
      <c r="NBI72" s="299"/>
      <c r="NBJ72" s="299"/>
      <c r="NBK72" s="299"/>
      <c r="NBL72" s="299"/>
      <c r="NBM72" s="299"/>
      <c r="NBN72" s="299"/>
      <c r="NBO72" s="299"/>
      <c r="NBP72" s="299"/>
      <c r="NBQ72" s="299"/>
      <c r="NBR72" s="299"/>
      <c r="NBS72" s="299"/>
      <c r="NBT72" s="299"/>
      <c r="NBU72" s="299"/>
      <c r="NBV72" s="299"/>
      <c r="NBW72" s="299"/>
      <c r="NBX72" s="299"/>
      <c r="NBY72" s="299"/>
      <c r="NBZ72" s="299"/>
      <c r="NCA72" s="299"/>
      <c r="NCB72" s="299"/>
      <c r="NCC72" s="299"/>
      <c r="NCD72" s="299"/>
      <c r="NCE72" s="299"/>
      <c r="NCF72" s="299"/>
      <c r="NCG72" s="299"/>
      <c r="NCH72" s="299"/>
      <c r="NCI72" s="299"/>
      <c r="NCJ72" s="299"/>
      <c r="NCK72" s="299"/>
      <c r="NCL72" s="299"/>
      <c r="NCM72" s="299"/>
      <c r="NCN72" s="299"/>
      <c r="NCO72" s="299"/>
      <c r="NCP72" s="299"/>
      <c r="NCQ72" s="299"/>
      <c r="NCR72" s="299"/>
      <c r="NCS72" s="299"/>
      <c r="NCT72" s="299"/>
      <c r="NCU72" s="299"/>
      <c r="NCV72" s="299"/>
      <c r="NCW72" s="299"/>
      <c r="NCX72" s="299"/>
      <c r="NCY72" s="299"/>
      <c r="NCZ72" s="299"/>
      <c r="NDA72" s="299"/>
      <c r="NDB72" s="299"/>
      <c r="NDC72" s="299"/>
      <c r="NDD72" s="299"/>
      <c r="NDE72" s="299"/>
      <c r="NDF72" s="299"/>
      <c r="NDG72" s="299"/>
      <c r="NDH72" s="299"/>
      <c r="NDI72" s="299"/>
      <c r="NDJ72" s="299"/>
      <c r="NDK72" s="299"/>
      <c r="NDL72" s="299"/>
      <c r="NDM72" s="299"/>
      <c r="NDN72" s="299"/>
      <c r="NDO72" s="299"/>
      <c r="NDP72" s="299"/>
      <c r="NDQ72" s="299"/>
      <c r="NDR72" s="299"/>
      <c r="NDS72" s="299"/>
      <c r="NDT72" s="299"/>
      <c r="NDU72" s="299"/>
      <c r="NDV72" s="299"/>
      <c r="NDW72" s="299"/>
      <c r="NDX72" s="299"/>
      <c r="NDY72" s="299"/>
      <c r="NDZ72" s="299"/>
      <c r="NEA72" s="299"/>
      <c r="NEB72" s="299"/>
      <c r="NEC72" s="299"/>
      <c r="NED72" s="299"/>
      <c r="NEE72" s="299"/>
      <c r="NEF72" s="299"/>
      <c r="NEG72" s="299"/>
      <c r="NEH72" s="299"/>
      <c r="NEI72" s="299"/>
      <c r="NEJ72" s="299"/>
      <c r="NEK72" s="299"/>
      <c r="NEL72" s="299"/>
      <c r="NEM72" s="299"/>
      <c r="NEN72" s="299"/>
      <c r="NEO72" s="299"/>
      <c r="NEP72" s="299"/>
      <c r="NEQ72" s="299"/>
      <c r="NER72" s="299"/>
      <c r="NES72" s="299"/>
      <c r="NET72" s="299"/>
      <c r="NEU72" s="299"/>
      <c r="NEV72" s="299"/>
      <c r="NEW72" s="299"/>
      <c r="NEX72" s="299"/>
      <c r="NEY72" s="299"/>
      <c r="NEZ72" s="299"/>
      <c r="NFA72" s="299"/>
      <c r="NFB72" s="299"/>
      <c r="NFC72" s="299"/>
      <c r="NFD72" s="299"/>
      <c r="NFE72" s="299"/>
      <c r="NFF72" s="299"/>
      <c r="NFG72" s="299"/>
      <c r="NFH72" s="299"/>
      <c r="NFI72" s="299"/>
      <c r="NFJ72" s="299"/>
      <c r="NFK72" s="299"/>
      <c r="NFL72" s="299"/>
      <c r="NFM72" s="299"/>
      <c r="NFN72" s="299"/>
      <c r="NFO72" s="299"/>
      <c r="NFP72" s="299"/>
      <c r="NFQ72" s="299"/>
      <c r="NFR72" s="299"/>
      <c r="NFS72" s="299"/>
      <c r="NFT72" s="299"/>
      <c r="NFU72" s="299"/>
      <c r="NFV72" s="299"/>
      <c r="NFW72" s="299"/>
      <c r="NFX72" s="299"/>
      <c r="NFY72" s="299"/>
      <c r="NFZ72" s="299"/>
      <c r="NGA72" s="299"/>
      <c r="NGB72" s="299"/>
      <c r="NGC72" s="299"/>
      <c r="NGD72" s="299"/>
      <c r="NGE72" s="299"/>
      <c r="NGF72" s="299"/>
      <c r="NGG72" s="299"/>
      <c r="NGH72" s="299"/>
      <c r="NGI72" s="299"/>
      <c r="NGJ72" s="299"/>
      <c r="NGK72" s="299"/>
      <c r="NGL72" s="299"/>
      <c r="NGM72" s="299"/>
      <c r="NGN72" s="299"/>
      <c r="NGO72" s="299"/>
      <c r="NGP72" s="299"/>
      <c r="NGQ72" s="299"/>
      <c r="NGR72" s="299"/>
      <c r="NGS72" s="299"/>
      <c r="NGT72" s="299"/>
      <c r="NGU72" s="299"/>
      <c r="NGV72" s="299"/>
      <c r="NGW72" s="299"/>
      <c r="NGX72" s="299"/>
      <c r="NGY72" s="299"/>
      <c r="NGZ72" s="299"/>
      <c r="NHA72" s="299"/>
      <c r="NHB72" s="299"/>
      <c r="NHC72" s="299"/>
      <c r="NHD72" s="299"/>
      <c r="NHE72" s="299"/>
      <c r="NHF72" s="299"/>
      <c r="NHG72" s="299"/>
      <c r="NHH72" s="299"/>
      <c r="NHI72" s="299"/>
      <c r="NHJ72" s="299"/>
      <c r="NHK72" s="299"/>
      <c r="NHL72" s="299"/>
      <c r="NHM72" s="299"/>
      <c r="NHN72" s="299"/>
      <c r="NHO72" s="299"/>
      <c r="NHP72" s="299"/>
      <c r="NHQ72" s="299"/>
      <c r="NHR72" s="299"/>
      <c r="NHS72" s="299"/>
      <c r="NHT72" s="299"/>
      <c r="NHU72" s="299"/>
      <c r="NHV72" s="299"/>
      <c r="NHW72" s="299"/>
      <c r="NHX72" s="299"/>
      <c r="NHY72" s="299"/>
      <c r="NHZ72" s="299"/>
      <c r="NIA72" s="299"/>
      <c r="NIB72" s="299"/>
      <c r="NIC72" s="299"/>
      <c r="NID72" s="299"/>
      <c r="NIE72" s="299"/>
      <c r="NIF72" s="299"/>
      <c r="NIG72" s="299"/>
      <c r="NIH72" s="299"/>
      <c r="NII72" s="299"/>
      <c r="NIJ72" s="299"/>
      <c r="NIK72" s="299"/>
      <c r="NIL72" s="299"/>
      <c r="NIM72" s="299"/>
      <c r="NIN72" s="299"/>
      <c r="NIO72" s="299"/>
      <c r="NIP72" s="299"/>
      <c r="NIQ72" s="299"/>
      <c r="NIR72" s="299"/>
      <c r="NIS72" s="299"/>
      <c r="NIT72" s="299"/>
      <c r="NIU72" s="299"/>
      <c r="NIV72" s="299"/>
      <c r="NIW72" s="299"/>
      <c r="NIX72" s="299"/>
      <c r="NIY72" s="299"/>
      <c r="NIZ72" s="299"/>
      <c r="NJA72" s="299"/>
      <c r="NJB72" s="299"/>
      <c r="NJC72" s="299"/>
      <c r="NJD72" s="299"/>
      <c r="NJE72" s="299"/>
      <c r="NJF72" s="299"/>
      <c r="NJG72" s="299"/>
      <c r="NJH72" s="299"/>
      <c r="NJI72" s="299"/>
      <c r="NJJ72" s="299"/>
      <c r="NJK72" s="299"/>
      <c r="NJL72" s="299"/>
      <c r="NJM72" s="299"/>
      <c r="NJN72" s="299"/>
      <c r="NJO72" s="299"/>
      <c r="NJP72" s="299"/>
      <c r="NJQ72" s="299"/>
      <c r="NJR72" s="299"/>
      <c r="NJS72" s="299"/>
      <c r="NJT72" s="299"/>
      <c r="NJU72" s="299"/>
      <c r="NJV72" s="299"/>
      <c r="NJW72" s="299"/>
      <c r="NJX72" s="299"/>
      <c r="NJY72" s="299"/>
      <c r="NJZ72" s="299"/>
      <c r="NKA72" s="299"/>
      <c r="NKB72" s="299"/>
      <c r="NKC72" s="299"/>
      <c r="NKD72" s="299"/>
      <c r="NKE72" s="299"/>
      <c r="NKF72" s="299"/>
      <c r="NKG72" s="299"/>
      <c r="NKH72" s="299"/>
      <c r="NKI72" s="299"/>
      <c r="NKJ72" s="299"/>
      <c r="NKK72" s="299"/>
      <c r="NKL72" s="299"/>
      <c r="NKM72" s="299"/>
      <c r="NKN72" s="299"/>
      <c r="NKO72" s="299"/>
      <c r="NKP72" s="299"/>
      <c r="NKQ72" s="299"/>
      <c r="NKR72" s="299"/>
      <c r="NKS72" s="299"/>
      <c r="NKT72" s="299"/>
      <c r="NKU72" s="299"/>
      <c r="NKV72" s="299"/>
      <c r="NKW72" s="299"/>
      <c r="NKX72" s="299"/>
      <c r="NKY72" s="299"/>
      <c r="NKZ72" s="299"/>
      <c r="NLA72" s="299"/>
      <c r="NLB72" s="299"/>
      <c r="NLC72" s="299"/>
      <c r="NLD72" s="299"/>
      <c r="NLE72" s="299"/>
      <c r="NLF72" s="299"/>
      <c r="NLG72" s="299"/>
      <c r="NLH72" s="299"/>
      <c r="NLI72" s="299"/>
      <c r="NLJ72" s="299"/>
      <c r="NLK72" s="299"/>
      <c r="NLL72" s="299"/>
      <c r="NLM72" s="299"/>
      <c r="NLN72" s="299"/>
      <c r="NLO72" s="299"/>
      <c r="NLP72" s="299"/>
      <c r="NLQ72" s="299"/>
      <c r="NLR72" s="299"/>
      <c r="NLS72" s="299"/>
      <c r="NLT72" s="299"/>
      <c r="NLU72" s="299"/>
      <c r="NLV72" s="299"/>
      <c r="NLW72" s="299"/>
      <c r="NLX72" s="299"/>
      <c r="NLY72" s="299"/>
      <c r="NLZ72" s="299"/>
      <c r="NMA72" s="299"/>
      <c r="NMB72" s="299"/>
      <c r="NMC72" s="299"/>
      <c r="NMD72" s="299"/>
      <c r="NME72" s="299"/>
      <c r="NMF72" s="299"/>
      <c r="NMG72" s="299"/>
      <c r="NMH72" s="299"/>
      <c r="NMI72" s="299"/>
      <c r="NMJ72" s="299"/>
      <c r="NMK72" s="299"/>
      <c r="NML72" s="299"/>
      <c r="NMM72" s="299"/>
      <c r="NMN72" s="299"/>
      <c r="NMO72" s="299"/>
      <c r="NMP72" s="299"/>
      <c r="NMQ72" s="299"/>
      <c r="NMR72" s="299"/>
      <c r="NMS72" s="299"/>
      <c r="NMT72" s="299"/>
      <c r="NMU72" s="299"/>
      <c r="NMV72" s="299"/>
      <c r="NMW72" s="299"/>
      <c r="NMX72" s="299"/>
      <c r="NMY72" s="299"/>
      <c r="NMZ72" s="299"/>
      <c r="NNA72" s="299"/>
      <c r="NNB72" s="299"/>
      <c r="NNC72" s="299"/>
      <c r="NND72" s="299"/>
      <c r="NNE72" s="299"/>
      <c r="NNF72" s="299"/>
      <c r="NNG72" s="299"/>
      <c r="NNH72" s="299"/>
      <c r="NNI72" s="299"/>
      <c r="NNJ72" s="299"/>
      <c r="NNK72" s="299"/>
      <c r="NNL72" s="299"/>
      <c r="NNM72" s="299"/>
      <c r="NNN72" s="299"/>
      <c r="NNO72" s="299"/>
      <c r="NNP72" s="299"/>
      <c r="NNQ72" s="299"/>
      <c r="NNR72" s="299"/>
      <c r="NNS72" s="299"/>
      <c r="NNT72" s="299"/>
      <c r="NNU72" s="299"/>
      <c r="NNV72" s="299"/>
      <c r="NNW72" s="299"/>
      <c r="NNX72" s="299"/>
      <c r="NNY72" s="299"/>
      <c r="NNZ72" s="299"/>
      <c r="NOA72" s="299"/>
      <c r="NOB72" s="299"/>
      <c r="NOC72" s="299"/>
      <c r="NOD72" s="299"/>
      <c r="NOE72" s="299"/>
      <c r="NOF72" s="299"/>
      <c r="NOG72" s="299"/>
      <c r="NOH72" s="299"/>
      <c r="NOI72" s="299"/>
      <c r="NOJ72" s="299"/>
      <c r="NOK72" s="299"/>
      <c r="NOL72" s="299"/>
      <c r="NOM72" s="299"/>
      <c r="NON72" s="299"/>
      <c r="NOO72" s="299"/>
      <c r="NOP72" s="299"/>
      <c r="NOQ72" s="299"/>
      <c r="NOR72" s="299"/>
      <c r="NOS72" s="299"/>
      <c r="NOT72" s="299"/>
      <c r="NOU72" s="299"/>
      <c r="NOV72" s="299"/>
      <c r="NOW72" s="299"/>
      <c r="NOX72" s="299"/>
      <c r="NOY72" s="299"/>
      <c r="NOZ72" s="299"/>
      <c r="NPA72" s="299"/>
      <c r="NPB72" s="299"/>
      <c r="NPC72" s="299"/>
      <c r="NPD72" s="299"/>
      <c r="NPE72" s="299"/>
      <c r="NPF72" s="299"/>
      <c r="NPG72" s="299"/>
      <c r="NPH72" s="299"/>
      <c r="NPI72" s="299"/>
      <c r="NPJ72" s="299"/>
      <c r="NPK72" s="299"/>
      <c r="NPL72" s="299"/>
      <c r="NPM72" s="299"/>
      <c r="NPN72" s="299"/>
      <c r="NPO72" s="299"/>
      <c r="NPP72" s="299"/>
      <c r="NPQ72" s="299"/>
      <c r="NPR72" s="299"/>
      <c r="NPS72" s="299"/>
      <c r="NPT72" s="299"/>
      <c r="NPU72" s="299"/>
      <c r="NPV72" s="299"/>
      <c r="NPW72" s="299"/>
      <c r="NPX72" s="299"/>
      <c r="NPY72" s="299"/>
      <c r="NPZ72" s="299"/>
      <c r="NQA72" s="299"/>
      <c r="NQB72" s="299"/>
      <c r="NQC72" s="299"/>
      <c r="NQD72" s="299"/>
      <c r="NQE72" s="299"/>
      <c r="NQF72" s="299"/>
      <c r="NQG72" s="299"/>
      <c r="NQH72" s="299"/>
      <c r="NQI72" s="299"/>
      <c r="NQJ72" s="299"/>
      <c r="NQK72" s="299"/>
      <c r="NQL72" s="299"/>
      <c r="NQM72" s="299"/>
      <c r="NQN72" s="299"/>
      <c r="NQO72" s="299"/>
      <c r="NQP72" s="299"/>
      <c r="NQQ72" s="299"/>
      <c r="NQR72" s="299"/>
      <c r="NQS72" s="299"/>
      <c r="NQT72" s="299"/>
      <c r="NQU72" s="299"/>
      <c r="NQV72" s="299"/>
      <c r="NQW72" s="299"/>
      <c r="NQX72" s="299"/>
      <c r="NQY72" s="299"/>
      <c r="NQZ72" s="299"/>
      <c r="NRA72" s="299"/>
      <c r="NRB72" s="299"/>
      <c r="NRC72" s="299"/>
      <c r="NRD72" s="299"/>
      <c r="NRE72" s="299"/>
      <c r="NRF72" s="299"/>
      <c r="NRG72" s="299"/>
      <c r="NRH72" s="299"/>
      <c r="NRI72" s="299"/>
      <c r="NRJ72" s="299"/>
      <c r="NRK72" s="299"/>
      <c r="NRL72" s="299"/>
      <c r="NRM72" s="299"/>
      <c r="NRN72" s="299"/>
      <c r="NRO72" s="299"/>
      <c r="NRP72" s="299"/>
      <c r="NRQ72" s="299"/>
      <c r="NRR72" s="299"/>
      <c r="NRS72" s="299"/>
      <c r="NRT72" s="299"/>
      <c r="NRU72" s="299"/>
      <c r="NRV72" s="299"/>
      <c r="NRW72" s="299"/>
      <c r="NRX72" s="299"/>
      <c r="NRY72" s="299"/>
      <c r="NRZ72" s="299"/>
      <c r="NSA72" s="299"/>
      <c r="NSB72" s="299"/>
      <c r="NSC72" s="299"/>
      <c r="NSD72" s="299"/>
      <c r="NSE72" s="299"/>
      <c r="NSF72" s="299"/>
      <c r="NSG72" s="299"/>
      <c r="NSH72" s="299"/>
      <c r="NSI72" s="299"/>
      <c r="NSJ72" s="299"/>
      <c r="NSK72" s="299"/>
      <c r="NSL72" s="299"/>
      <c r="NSM72" s="299"/>
      <c r="NSN72" s="299"/>
      <c r="NSO72" s="299"/>
      <c r="NSP72" s="299"/>
      <c r="NSQ72" s="299"/>
      <c r="NSR72" s="299"/>
      <c r="NSS72" s="299"/>
      <c r="NST72" s="299"/>
      <c r="NSU72" s="299"/>
      <c r="NSV72" s="299"/>
      <c r="NSW72" s="299"/>
      <c r="NSX72" s="299"/>
      <c r="NSY72" s="299"/>
      <c r="NSZ72" s="299"/>
      <c r="NTA72" s="299"/>
      <c r="NTB72" s="299"/>
      <c r="NTC72" s="299"/>
      <c r="NTD72" s="299"/>
      <c r="NTE72" s="299"/>
      <c r="NTF72" s="299"/>
      <c r="NTG72" s="299"/>
      <c r="NTH72" s="299"/>
      <c r="NTI72" s="299"/>
      <c r="NTJ72" s="299"/>
      <c r="NTK72" s="299"/>
      <c r="NTL72" s="299"/>
      <c r="NTM72" s="299"/>
      <c r="NTN72" s="299"/>
      <c r="NTO72" s="299"/>
      <c r="NTP72" s="299"/>
      <c r="NTQ72" s="299"/>
      <c r="NTR72" s="299"/>
      <c r="NTS72" s="299"/>
      <c r="NTT72" s="299"/>
      <c r="NTU72" s="299"/>
      <c r="NTV72" s="299"/>
      <c r="NTW72" s="299"/>
      <c r="NTX72" s="299"/>
      <c r="NTY72" s="299"/>
      <c r="NTZ72" s="299"/>
      <c r="NUA72" s="299"/>
      <c r="NUB72" s="299"/>
      <c r="NUC72" s="299"/>
      <c r="NUD72" s="299"/>
      <c r="NUE72" s="299"/>
      <c r="NUF72" s="299"/>
      <c r="NUG72" s="299"/>
      <c r="NUH72" s="299"/>
      <c r="NUI72" s="299"/>
      <c r="NUJ72" s="299"/>
      <c r="NUK72" s="299"/>
      <c r="NUL72" s="299"/>
      <c r="NUM72" s="299"/>
      <c r="NUN72" s="299"/>
      <c r="NUO72" s="299"/>
      <c r="NUP72" s="299"/>
      <c r="NUQ72" s="299"/>
      <c r="NUR72" s="299"/>
      <c r="NUS72" s="299"/>
      <c r="NUT72" s="299"/>
      <c r="NUU72" s="299"/>
      <c r="NUV72" s="299"/>
      <c r="NUW72" s="299"/>
      <c r="NUX72" s="299"/>
      <c r="NUY72" s="299"/>
      <c r="NUZ72" s="299"/>
      <c r="NVA72" s="299"/>
      <c r="NVB72" s="299"/>
      <c r="NVC72" s="299"/>
      <c r="NVD72" s="299"/>
      <c r="NVE72" s="299"/>
      <c r="NVF72" s="299"/>
      <c r="NVG72" s="299"/>
      <c r="NVH72" s="299"/>
      <c r="NVI72" s="299"/>
      <c r="NVJ72" s="299"/>
      <c r="NVK72" s="299"/>
      <c r="NVL72" s="299"/>
      <c r="NVM72" s="299"/>
      <c r="NVN72" s="299"/>
      <c r="NVO72" s="299"/>
      <c r="NVP72" s="299"/>
      <c r="NVQ72" s="299"/>
      <c r="NVR72" s="299"/>
      <c r="NVS72" s="299"/>
      <c r="NVT72" s="299"/>
      <c r="NVU72" s="299"/>
      <c r="NVV72" s="299"/>
      <c r="NVW72" s="299"/>
      <c r="NVX72" s="299"/>
      <c r="NVY72" s="299"/>
      <c r="NVZ72" s="299"/>
      <c r="NWA72" s="299"/>
      <c r="NWB72" s="299"/>
      <c r="NWC72" s="299"/>
      <c r="NWD72" s="299"/>
      <c r="NWE72" s="299"/>
      <c r="NWF72" s="299"/>
      <c r="NWG72" s="299"/>
      <c r="NWH72" s="299"/>
      <c r="NWI72" s="299"/>
      <c r="NWJ72" s="299"/>
      <c r="NWK72" s="299"/>
      <c r="NWL72" s="299"/>
      <c r="NWM72" s="299"/>
      <c r="NWN72" s="299"/>
      <c r="NWO72" s="299"/>
      <c r="NWP72" s="299"/>
      <c r="NWQ72" s="299"/>
      <c r="NWR72" s="299"/>
      <c r="NWS72" s="299"/>
      <c r="NWT72" s="299"/>
      <c r="NWU72" s="299"/>
      <c r="NWV72" s="299"/>
      <c r="NWW72" s="299"/>
      <c r="NWX72" s="299"/>
      <c r="NWY72" s="299"/>
      <c r="NWZ72" s="299"/>
      <c r="NXA72" s="299"/>
      <c r="NXB72" s="299"/>
      <c r="NXC72" s="299"/>
      <c r="NXD72" s="299"/>
      <c r="NXE72" s="299"/>
      <c r="NXF72" s="299"/>
      <c r="NXG72" s="299"/>
      <c r="NXH72" s="299"/>
      <c r="NXI72" s="299"/>
      <c r="NXJ72" s="299"/>
      <c r="NXK72" s="299"/>
      <c r="NXL72" s="299"/>
      <c r="NXM72" s="299"/>
      <c r="NXN72" s="299"/>
      <c r="NXO72" s="299"/>
      <c r="NXP72" s="299"/>
      <c r="NXQ72" s="299"/>
      <c r="NXR72" s="299"/>
      <c r="NXS72" s="299"/>
      <c r="NXT72" s="299"/>
      <c r="NXU72" s="299"/>
      <c r="NXV72" s="299"/>
      <c r="NXW72" s="299"/>
      <c r="NXX72" s="299"/>
      <c r="NXY72" s="299"/>
      <c r="NXZ72" s="299"/>
      <c r="NYA72" s="299"/>
      <c r="NYB72" s="299"/>
      <c r="NYC72" s="299"/>
      <c r="NYD72" s="299"/>
      <c r="NYE72" s="299"/>
      <c r="NYF72" s="299"/>
      <c r="NYG72" s="299"/>
      <c r="NYH72" s="299"/>
      <c r="NYI72" s="299"/>
      <c r="NYJ72" s="299"/>
      <c r="NYK72" s="299"/>
      <c r="NYL72" s="299"/>
      <c r="NYM72" s="299"/>
      <c r="NYN72" s="299"/>
      <c r="NYO72" s="299"/>
      <c r="NYP72" s="299"/>
      <c r="NYQ72" s="299"/>
      <c r="NYR72" s="299"/>
      <c r="NYS72" s="299"/>
      <c r="NYT72" s="299"/>
      <c r="NYU72" s="299"/>
      <c r="NYV72" s="299"/>
      <c r="NYW72" s="299"/>
      <c r="NYX72" s="299"/>
      <c r="NYY72" s="299"/>
      <c r="NYZ72" s="299"/>
      <c r="NZA72" s="299"/>
      <c r="NZB72" s="299"/>
      <c r="NZC72" s="299"/>
      <c r="NZD72" s="299"/>
      <c r="NZE72" s="299"/>
      <c r="NZF72" s="299"/>
      <c r="NZG72" s="299"/>
      <c r="NZH72" s="299"/>
      <c r="NZI72" s="299"/>
      <c r="NZJ72" s="299"/>
      <c r="NZK72" s="299"/>
      <c r="NZL72" s="299"/>
      <c r="NZM72" s="299"/>
      <c r="NZN72" s="299"/>
      <c r="NZO72" s="299"/>
      <c r="NZP72" s="299"/>
      <c r="NZQ72" s="299"/>
      <c r="NZR72" s="299"/>
      <c r="NZS72" s="299"/>
      <c r="NZT72" s="299"/>
      <c r="NZU72" s="299"/>
      <c r="NZV72" s="299"/>
      <c r="NZW72" s="299"/>
      <c r="NZX72" s="299"/>
      <c r="NZY72" s="299"/>
      <c r="NZZ72" s="299"/>
      <c r="OAA72" s="299"/>
      <c r="OAB72" s="299"/>
      <c r="OAC72" s="299"/>
      <c r="OAD72" s="299"/>
      <c r="OAE72" s="299"/>
      <c r="OAF72" s="299"/>
      <c r="OAG72" s="299"/>
      <c r="OAH72" s="299"/>
      <c r="OAI72" s="299"/>
      <c r="OAJ72" s="299"/>
      <c r="OAK72" s="299"/>
      <c r="OAL72" s="299"/>
      <c r="OAM72" s="299"/>
      <c r="OAN72" s="299"/>
      <c r="OAO72" s="299"/>
      <c r="OAP72" s="299"/>
      <c r="OAQ72" s="299"/>
      <c r="OAR72" s="299"/>
      <c r="OAS72" s="299"/>
      <c r="OAT72" s="299"/>
      <c r="OAU72" s="299"/>
      <c r="OAV72" s="299"/>
      <c r="OAW72" s="299"/>
      <c r="OAX72" s="299"/>
      <c r="OAY72" s="299"/>
      <c r="OAZ72" s="299"/>
      <c r="OBA72" s="299"/>
      <c r="OBB72" s="299"/>
      <c r="OBC72" s="299"/>
      <c r="OBD72" s="299"/>
      <c r="OBE72" s="299"/>
      <c r="OBF72" s="299"/>
      <c r="OBG72" s="299"/>
      <c r="OBH72" s="299"/>
      <c r="OBI72" s="299"/>
      <c r="OBJ72" s="299"/>
      <c r="OBK72" s="299"/>
      <c r="OBL72" s="299"/>
      <c r="OBM72" s="299"/>
      <c r="OBN72" s="299"/>
      <c r="OBO72" s="299"/>
      <c r="OBP72" s="299"/>
      <c r="OBQ72" s="299"/>
      <c r="OBR72" s="299"/>
      <c r="OBS72" s="299"/>
      <c r="OBT72" s="299"/>
      <c r="OBU72" s="299"/>
      <c r="OBV72" s="299"/>
      <c r="OBW72" s="299"/>
      <c r="OBX72" s="299"/>
      <c r="OBY72" s="299"/>
      <c r="OBZ72" s="299"/>
      <c r="OCA72" s="299"/>
      <c r="OCB72" s="299"/>
      <c r="OCC72" s="299"/>
      <c r="OCD72" s="299"/>
      <c r="OCE72" s="299"/>
      <c r="OCF72" s="299"/>
      <c r="OCG72" s="299"/>
      <c r="OCH72" s="299"/>
      <c r="OCI72" s="299"/>
      <c r="OCJ72" s="299"/>
      <c r="OCK72" s="299"/>
      <c r="OCL72" s="299"/>
      <c r="OCM72" s="299"/>
      <c r="OCN72" s="299"/>
      <c r="OCO72" s="299"/>
      <c r="OCP72" s="299"/>
      <c r="OCQ72" s="299"/>
      <c r="OCR72" s="299"/>
      <c r="OCS72" s="299"/>
      <c r="OCT72" s="299"/>
      <c r="OCU72" s="299"/>
      <c r="OCV72" s="299"/>
      <c r="OCW72" s="299"/>
      <c r="OCX72" s="299"/>
      <c r="OCY72" s="299"/>
      <c r="OCZ72" s="299"/>
      <c r="ODA72" s="299"/>
      <c r="ODB72" s="299"/>
      <c r="ODC72" s="299"/>
      <c r="ODD72" s="299"/>
      <c r="ODE72" s="299"/>
      <c r="ODF72" s="299"/>
      <c r="ODG72" s="299"/>
      <c r="ODH72" s="299"/>
      <c r="ODI72" s="299"/>
      <c r="ODJ72" s="299"/>
      <c r="ODK72" s="299"/>
      <c r="ODL72" s="299"/>
      <c r="ODM72" s="299"/>
      <c r="ODN72" s="299"/>
      <c r="ODO72" s="299"/>
      <c r="ODP72" s="299"/>
      <c r="ODQ72" s="299"/>
      <c r="ODR72" s="299"/>
      <c r="ODS72" s="299"/>
      <c r="ODT72" s="299"/>
      <c r="ODU72" s="299"/>
      <c r="ODV72" s="299"/>
      <c r="ODW72" s="299"/>
      <c r="ODX72" s="299"/>
      <c r="ODY72" s="299"/>
      <c r="ODZ72" s="299"/>
      <c r="OEA72" s="299"/>
      <c r="OEB72" s="299"/>
      <c r="OEC72" s="299"/>
      <c r="OED72" s="299"/>
      <c r="OEE72" s="299"/>
      <c r="OEF72" s="299"/>
      <c r="OEG72" s="299"/>
      <c r="OEH72" s="299"/>
      <c r="OEI72" s="299"/>
      <c r="OEJ72" s="299"/>
      <c r="OEK72" s="299"/>
      <c r="OEL72" s="299"/>
      <c r="OEM72" s="299"/>
      <c r="OEN72" s="299"/>
      <c r="OEO72" s="299"/>
      <c r="OEP72" s="299"/>
      <c r="OEQ72" s="299"/>
      <c r="OER72" s="299"/>
      <c r="OES72" s="299"/>
      <c r="OET72" s="299"/>
      <c r="OEU72" s="299"/>
      <c r="OEV72" s="299"/>
      <c r="OEW72" s="299"/>
      <c r="OEX72" s="299"/>
      <c r="OEY72" s="299"/>
      <c r="OEZ72" s="299"/>
      <c r="OFA72" s="299"/>
      <c r="OFB72" s="299"/>
      <c r="OFC72" s="299"/>
      <c r="OFD72" s="299"/>
      <c r="OFE72" s="299"/>
      <c r="OFF72" s="299"/>
      <c r="OFG72" s="299"/>
      <c r="OFH72" s="299"/>
      <c r="OFI72" s="299"/>
      <c r="OFJ72" s="299"/>
      <c r="OFK72" s="299"/>
      <c r="OFL72" s="299"/>
      <c r="OFM72" s="299"/>
      <c r="OFN72" s="299"/>
      <c r="OFO72" s="299"/>
      <c r="OFP72" s="299"/>
      <c r="OFQ72" s="299"/>
      <c r="OFR72" s="299"/>
      <c r="OFS72" s="299"/>
      <c r="OFT72" s="299"/>
      <c r="OFU72" s="299"/>
      <c r="OFV72" s="299"/>
      <c r="OFW72" s="299"/>
      <c r="OFX72" s="299"/>
      <c r="OFY72" s="299"/>
      <c r="OFZ72" s="299"/>
      <c r="OGA72" s="299"/>
      <c r="OGB72" s="299"/>
      <c r="OGC72" s="299"/>
      <c r="OGD72" s="299"/>
      <c r="OGE72" s="299"/>
      <c r="OGF72" s="299"/>
      <c r="OGG72" s="299"/>
      <c r="OGH72" s="299"/>
      <c r="OGI72" s="299"/>
      <c r="OGJ72" s="299"/>
      <c r="OGK72" s="299"/>
      <c r="OGL72" s="299"/>
      <c r="OGM72" s="299"/>
      <c r="OGN72" s="299"/>
      <c r="OGO72" s="299"/>
      <c r="OGP72" s="299"/>
      <c r="OGQ72" s="299"/>
      <c r="OGR72" s="299"/>
      <c r="OGS72" s="299"/>
      <c r="OGT72" s="299"/>
      <c r="OGU72" s="299"/>
      <c r="OGV72" s="299"/>
      <c r="OGW72" s="299"/>
      <c r="OGX72" s="299"/>
      <c r="OGY72" s="299"/>
      <c r="OGZ72" s="299"/>
      <c r="OHA72" s="299"/>
      <c r="OHB72" s="299"/>
      <c r="OHC72" s="299"/>
      <c r="OHD72" s="299"/>
      <c r="OHE72" s="299"/>
      <c r="OHF72" s="299"/>
      <c r="OHG72" s="299"/>
      <c r="OHH72" s="299"/>
      <c r="OHI72" s="299"/>
      <c r="OHJ72" s="299"/>
      <c r="OHK72" s="299"/>
      <c r="OHL72" s="299"/>
      <c r="OHM72" s="299"/>
      <c r="OHN72" s="299"/>
      <c r="OHO72" s="299"/>
      <c r="OHP72" s="299"/>
      <c r="OHQ72" s="299"/>
      <c r="OHR72" s="299"/>
      <c r="OHS72" s="299"/>
      <c r="OHT72" s="299"/>
      <c r="OHU72" s="299"/>
      <c r="OHV72" s="299"/>
      <c r="OHW72" s="299"/>
      <c r="OHX72" s="299"/>
      <c r="OHY72" s="299"/>
      <c r="OHZ72" s="299"/>
      <c r="OIA72" s="299"/>
      <c r="OIB72" s="299"/>
      <c r="OIC72" s="299"/>
      <c r="OID72" s="299"/>
      <c r="OIE72" s="299"/>
      <c r="OIF72" s="299"/>
      <c r="OIG72" s="299"/>
      <c r="OIH72" s="299"/>
      <c r="OII72" s="299"/>
      <c r="OIJ72" s="299"/>
      <c r="OIK72" s="299"/>
      <c r="OIL72" s="299"/>
      <c r="OIM72" s="299"/>
      <c r="OIN72" s="299"/>
      <c r="OIO72" s="299"/>
      <c r="OIP72" s="299"/>
      <c r="OIQ72" s="299"/>
      <c r="OIR72" s="299"/>
      <c r="OIS72" s="299"/>
      <c r="OIT72" s="299"/>
      <c r="OIU72" s="299"/>
      <c r="OIV72" s="299"/>
      <c r="OIW72" s="299"/>
      <c r="OIX72" s="299"/>
      <c r="OIY72" s="299"/>
      <c r="OIZ72" s="299"/>
      <c r="OJA72" s="299"/>
      <c r="OJB72" s="299"/>
      <c r="OJC72" s="299"/>
      <c r="OJD72" s="299"/>
      <c r="OJE72" s="299"/>
      <c r="OJF72" s="299"/>
      <c r="OJG72" s="299"/>
      <c r="OJH72" s="299"/>
      <c r="OJI72" s="299"/>
      <c r="OJJ72" s="299"/>
      <c r="OJK72" s="299"/>
      <c r="OJL72" s="299"/>
      <c r="OJM72" s="299"/>
      <c r="OJN72" s="299"/>
      <c r="OJO72" s="299"/>
      <c r="OJP72" s="299"/>
      <c r="OJQ72" s="299"/>
      <c r="OJR72" s="299"/>
      <c r="OJS72" s="299"/>
      <c r="OJT72" s="299"/>
      <c r="OJU72" s="299"/>
      <c r="OJV72" s="299"/>
      <c r="OJW72" s="299"/>
      <c r="OJX72" s="299"/>
      <c r="OJY72" s="299"/>
      <c r="OJZ72" s="299"/>
      <c r="OKA72" s="299"/>
      <c r="OKB72" s="299"/>
      <c r="OKC72" s="299"/>
      <c r="OKD72" s="299"/>
      <c r="OKE72" s="299"/>
      <c r="OKF72" s="299"/>
      <c r="OKG72" s="299"/>
      <c r="OKH72" s="299"/>
      <c r="OKI72" s="299"/>
      <c r="OKJ72" s="299"/>
      <c r="OKK72" s="299"/>
      <c r="OKL72" s="299"/>
      <c r="OKM72" s="299"/>
      <c r="OKN72" s="299"/>
      <c r="OKO72" s="299"/>
      <c r="OKP72" s="299"/>
      <c r="OKQ72" s="299"/>
      <c r="OKR72" s="299"/>
      <c r="OKS72" s="299"/>
      <c r="OKT72" s="299"/>
      <c r="OKU72" s="299"/>
      <c r="OKV72" s="299"/>
      <c r="OKW72" s="299"/>
      <c r="OKX72" s="299"/>
      <c r="OKY72" s="299"/>
      <c r="OKZ72" s="299"/>
      <c r="OLA72" s="299"/>
      <c r="OLB72" s="299"/>
      <c r="OLC72" s="299"/>
      <c r="OLD72" s="299"/>
      <c r="OLE72" s="299"/>
      <c r="OLF72" s="299"/>
      <c r="OLG72" s="299"/>
      <c r="OLH72" s="299"/>
      <c r="OLI72" s="299"/>
      <c r="OLJ72" s="299"/>
      <c r="OLK72" s="299"/>
      <c r="OLL72" s="299"/>
      <c r="OLM72" s="299"/>
      <c r="OLN72" s="299"/>
      <c r="OLO72" s="299"/>
      <c r="OLP72" s="299"/>
      <c r="OLQ72" s="299"/>
      <c r="OLR72" s="299"/>
      <c r="OLS72" s="299"/>
      <c r="OLT72" s="299"/>
      <c r="OLU72" s="299"/>
      <c r="OLV72" s="299"/>
      <c r="OLW72" s="299"/>
      <c r="OLX72" s="299"/>
      <c r="OLY72" s="299"/>
      <c r="OLZ72" s="299"/>
      <c r="OMA72" s="299"/>
      <c r="OMB72" s="299"/>
      <c r="OMC72" s="299"/>
      <c r="OMD72" s="299"/>
      <c r="OME72" s="299"/>
      <c r="OMF72" s="299"/>
      <c r="OMG72" s="299"/>
      <c r="OMH72" s="299"/>
      <c r="OMI72" s="299"/>
      <c r="OMJ72" s="299"/>
      <c r="OMK72" s="299"/>
      <c r="OML72" s="299"/>
      <c r="OMM72" s="299"/>
      <c r="OMN72" s="299"/>
      <c r="OMO72" s="299"/>
      <c r="OMP72" s="299"/>
      <c r="OMQ72" s="299"/>
      <c r="OMR72" s="299"/>
      <c r="OMS72" s="299"/>
      <c r="OMT72" s="299"/>
      <c r="OMU72" s="299"/>
      <c r="OMV72" s="299"/>
      <c r="OMW72" s="299"/>
      <c r="OMX72" s="299"/>
      <c r="OMY72" s="299"/>
      <c r="OMZ72" s="299"/>
      <c r="ONA72" s="299"/>
      <c r="ONB72" s="299"/>
      <c r="ONC72" s="299"/>
      <c r="OND72" s="299"/>
      <c r="ONE72" s="299"/>
      <c r="ONF72" s="299"/>
      <c r="ONG72" s="299"/>
      <c r="ONH72" s="299"/>
      <c r="ONI72" s="299"/>
      <c r="ONJ72" s="299"/>
      <c r="ONK72" s="299"/>
      <c r="ONL72" s="299"/>
      <c r="ONM72" s="299"/>
      <c r="ONN72" s="299"/>
      <c r="ONO72" s="299"/>
      <c r="ONP72" s="299"/>
      <c r="ONQ72" s="299"/>
      <c r="ONR72" s="299"/>
      <c r="ONS72" s="299"/>
      <c r="ONT72" s="299"/>
      <c r="ONU72" s="299"/>
      <c r="ONV72" s="299"/>
      <c r="ONW72" s="299"/>
      <c r="ONX72" s="299"/>
      <c r="ONY72" s="299"/>
      <c r="ONZ72" s="299"/>
      <c r="OOA72" s="299"/>
      <c r="OOB72" s="299"/>
      <c r="OOC72" s="299"/>
      <c r="OOD72" s="299"/>
      <c r="OOE72" s="299"/>
      <c r="OOF72" s="299"/>
      <c r="OOG72" s="299"/>
      <c r="OOH72" s="299"/>
      <c r="OOI72" s="299"/>
      <c r="OOJ72" s="299"/>
      <c r="OOK72" s="299"/>
      <c r="OOL72" s="299"/>
      <c r="OOM72" s="299"/>
      <c r="OON72" s="299"/>
      <c r="OOO72" s="299"/>
      <c r="OOP72" s="299"/>
      <c r="OOQ72" s="299"/>
      <c r="OOR72" s="299"/>
      <c r="OOS72" s="299"/>
      <c r="OOT72" s="299"/>
      <c r="OOU72" s="299"/>
      <c r="OOV72" s="299"/>
      <c r="OOW72" s="299"/>
      <c r="OOX72" s="299"/>
      <c r="OOY72" s="299"/>
      <c r="OOZ72" s="299"/>
      <c r="OPA72" s="299"/>
      <c r="OPB72" s="299"/>
      <c r="OPC72" s="299"/>
      <c r="OPD72" s="299"/>
      <c r="OPE72" s="299"/>
      <c r="OPF72" s="299"/>
      <c r="OPG72" s="299"/>
      <c r="OPH72" s="299"/>
      <c r="OPI72" s="299"/>
      <c r="OPJ72" s="299"/>
      <c r="OPK72" s="299"/>
      <c r="OPL72" s="299"/>
      <c r="OPM72" s="299"/>
      <c r="OPN72" s="299"/>
      <c r="OPO72" s="299"/>
      <c r="OPP72" s="299"/>
      <c r="OPQ72" s="299"/>
      <c r="OPR72" s="299"/>
      <c r="OPS72" s="299"/>
      <c r="OPT72" s="299"/>
      <c r="OPU72" s="299"/>
      <c r="OPV72" s="299"/>
      <c r="OPW72" s="299"/>
      <c r="OPX72" s="299"/>
      <c r="OPY72" s="299"/>
      <c r="OPZ72" s="299"/>
      <c r="OQA72" s="299"/>
      <c r="OQB72" s="299"/>
      <c r="OQC72" s="299"/>
      <c r="OQD72" s="299"/>
      <c r="OQE72" s="299"/>
      <c r="OQF72" s="299"/>
      <c r="OQG72" s="299"/>
      <c r="OQH72" s="299"/>
      <c r="OQI72" s="299"/>
      <c r="OQJ72" s="299"/>
      <c r="OQK72" s="299"/>
      <c r="OQL72" s="299"/>
      <c r="OQM72" s="299"/>
      <c r="OQN72" s="299"/>
      <c r="OQO72" s="299"/>
      <c r="OQP72" s="299"/>
      <c r="OQQ72" s="299"/>
      <c r="OQR72" s="299"/>
      <c r="OQS72" s="299"/>
      <c r="OQT72" s="299"/>
      <c r="OQU72" s="299"/>
      <c r="OQV72" s="299"/>
      <c r="OQW72" s="299"/>
      <c r="OQX72" s="299"/>
      <c r="OQY72" s="299"/>
      <c r="OQZ72" s="299"/>
      <c r="ORA72" s="299"/>
      <c r="ORB72" s="299"/>
      <c r="ORC72" s="299"/>
      <c r="ORD72" s="299"/>
      <c r="ORE72" s="299"/>
      <c r="ORF72" s="299"/>
      <c r="ORG72" s="299"/>
      <c r="ORH72" s="299"/>
      <c r="ORI72" s="299"/>
      <c r="ORJ72" s="299"/>
      <c r="ORK72" s="299"/>
      <c r="ORL72" s="299"/>
      <c r="ORM72" s="299"/>
      <c r="ORN72" s="299"/>
      <c r="ORO72" s="299"/>
      <c r="ORP72" s="299"/>
      <c r="ORQ72" s="299"/>
      <c r="ORR72" s="299"/>
      <c r="ORS72" s="299"/>
      <c r="ORT72" s="299"/>
      <c r="ORU72" s="299"/>
      <c r="ORV72" s="299"/>
      <c r="ORW72" s="299"/>
      <c r="ORX72" s="299"/>
      <c r="ORY72" s="299"/>
      <c r="ORZ72" s="299"/>
      <c r="OSA72" s="299"/>
      <c r="OSB72" s="299"/>
      <c r="OSC72" s="299"/>
      <c r="OSD72" s="299"/>
      <c r="OSE72" s="299"/>
      <c r="OSF72" s="299"/>
      <c r="OSG72" s="299"/>
      <c r="OSH72" s="299"/>
      <c r="OSI72" s="299"/>
      <c r="OSJ72" s="299"/>
      <c r="OSK72" s="299"/>
      <c r="OSL72" s="299"/>
      <c r="OSM72" s="299"/>
      <c r="OSN72" s="299"/>
      <c r="OSO72" s="299"/>
      <c r="OSP72" s="299"/>
      <c r="OSQ72" s="299"/>
      <c r="OSR72" s="299"/>
      <c r="OSS72" s="299"/>
      <c r="OST72" s="299"/>
      <c r="OSU72" s="299"/>
      <c r="OSV72" s="299"/>
      <c r="OSW72" s="299"/>
      <c r="OSX72" s="299"/>
      <c r="OSY72" s="299"/>
      <c r="OSZ72" s="299"/>
      <c r="OTA72" s="299"/>
      <c r="OTB72" s="299"/>
      <c r="OTC72" s="299"/>
      <c r="OTD72" s="299"/>
      <c r="OTE72" s="299"/>
      <c r="OTF72" s="299"/>
      <c r="OTG72" s="299"/>
      <c r="OTH72" s="299"/>
      <c r="OTI72" s="299"/>
      <c r="OTJ72" s="299"/>
      <c r="OTK72" s="299"/>
      <c r="OTL72" s="299"/>
      <c r="OTM72" s="299"/>
      <c r="OTN72" s="299"/>
      <c r="OTO72" s="299"/>
      <c r="OTP72" s="299"/>
      <c r="OTQ72" s="299"/>
      <c r="OTR72" s="299"/>
      <c r="OTS72" s="299"/>
      <c r="OTT72" s="299"/>
      <c r="OTU72" s="299"/>
      <c r="OTV72" s="299"/>
      <c r="OTW72" s="299"/>
      <c r="OTX72" s="299"/>
      <c r="OTY72" s="299"/>
      <c r="OTZ72" s="299"/>
      <c r="OUA72" s="299"/>
      <c r="OUB72" s="299"/>
      <c r="OUC72" s="299"/>
      <c r="OUD72" s="299"/>
      <c r="OUE72" s="299"/>
      <c r="OUF72" s="299"/>
      <c r="OUG72" s="299"/>
      <c r="OUH72" s="299"/>
      <c r="OUI72" s="299"/>
      <c r="OUJ72" s="299"/>
      <c r="OUK72" s="299"/>
      <c r="OUL72" s="299"/>
      <c r="OUM72" s="299"/>
      <c r="OUN72" s="299"/>
      <c r="OUO72" s="299"/>
      <c r="OUP72" s="299"/>
      <c r="OUQ72" s="299"/>
      <c r="OUR72" s="299"/>
      <c r="OUS72" s="299"/>
      <c r="OUT72" s="299"/>
      <c r="OUU72" s="299"/>
      <c r="OUV72" s="299"/>
      <c r="OUW72" s="299"/>
      <c r="OUX72" s="299"/>
      <c r="OUY72" s="299"/>
      <c r="OUZ72" s="299"/>
      <c r="OVA72" s="299"/>
      <c r="OVB72" s="299"/>
      <c r="OVC72" s="299"/>
      <c r="OVD72" s="299"/>
      <c r="OVE72" s="299"/>
      <c r="OVF72" s="299"/>
      <c r="OVG72" s="299"/>
      <c r="OVH72" s="299"/>
      <c r="OVI72" s="299"/>
      <c r="OVJ72" s="299"/>
      <c r="OVK72" s="299"/>
      <c r="OVL72" s="299"/>
      <c r="OVM72" s="299"/>
      <c r="OVN72" s="299"/>
      <c r="OVO72" s="299"/>
      <c r="OVP72" s="299"/>
      <c r="OVQ72" s="299"/>
      <c r="OVR72" s="299"/>
      <c r="OVS72" s="299"/>
      <c r="OVT72" s="299"/>
      <c r="OVU72" s="299"/>
      <c r="OVV72" s="299"/>
      <c r="OVW72" s="299"/>
      <c r="OVX72" s="299"/>
      <c r="OVY72" s="299"/>
      <c r="OVZ72" s="299"/>
      <c r="OWA72" s="299"/>
      <c r="OWB72" s="299"/>
      <c r="OWC72" s="299"/>
      <c r="OWD72" s="299"/>
      <c r="OWE72" s="299"/>
      <c r="OWF72" s="299"/>
      <c r="OWG72" s="299"/>
      <c r="OWH72" s="299"/>
      <c r="OWI72" s="299"/>
      <c r="OWJ72" s="299"/>
      <c r="OWK72" s="299"/>
      <c r="OWL72" s="299"/>
      <c r="OWM72" s="299"/>
      <c r="OWN72" s="299"/>
      <c r="OWO72" s="299"/>
      <c r="OWP72" s="299"/>
      <c r="OWQ72" s="299"/>
      <c r="OWR72" s="299"/>
      <c r="OWS72" s="299"/>
      <c r="OWT72" s="299"/>
      <c r="OWU72" s="299"/>
      <c r="OWV72" s="299"/>
      <c r="OWW72" s="299"/>
      <c r="OWX72" s="299"/>
      <c r="OWY72" s="299"/>
      <c r="OWZ72" s="299"/>
      <c r="OXA72" s="299"/>
      <c r="OXB72" s="299"/>
      <c r="OXC72" s="299"/>
      <c r="OXD72" s="299"/>
      <c r="OXE72" s="299"/>
      <c r="OXF72" s="299"/>
      <c r="OXG72" s="299"/>
      <c r="OXH72" s="299"/>
      <c r="OXI72" s="299"/>
      <c r="OXJ72" s="299"/>
      <c r="OXK72" s="299"/>
      <c r="OXL72" s="299"/>
      <c r="OXM72" s="299"/>
      <c r="OXN72" s="299"/>
      <c r="OXO72" s="299"/>
      <c r="OXP72" s="299"/>
      <c r="OXQ72" s="299"/>
      <c r="OXR72" s="299"/>
      <c r="OXS72" s="299"/>
      <c r="OXT72" s="299"/>
      <c r="OXU72" s="299"/>
      <c r="OXV72" s="299"/>
      <c r="OXW72" s="299"/>
      <c r="OXX72" s="299"/>
      <c r="OXY72" s="299"/>
      <c r="OXZ72" s="299"/>
      <c r="OYA72" s="299"/>
      <c r="OYB72" s="299"/>
      <c r="OYC72" s="299"/>
      <c r="OYD72" s="299"/>
      <c r="OYE72" s="299"/>
      <c r="OYF72" s="299"/>
      <c r="OYG72" s="299"/>
      <c r="OYH72" s="299"/>
      <c r="OYI72" s="299"/>
      <c r="OYJ72" s="299"/>
      <c r="OYK72" s="299"/>
      <c r="OYL72" s="299"/>
      <c r="OYM72" s="299"/>
      <c r="OYN72" s="299"/>
      <c r="OYO72" s="299"/>
      <c r="OYP72" s="299"/>
      <c r="OYQ72" s="299"/>
      <c r="OYR72" s="299"/>
      <c r="OYS72" s="299"/>
      <c r="OYT72" s="299"/>
      <c r="OYU72" s="299"/>
      <c r="OYV72" s="299"/>
      <c r="OYW72" s="299"/>
      <c r="OYX72" s="299"/>
      <c r="OYY72" s="299"/>
      <c r="OYZ72" s="299"/>
      <c r="OZA72" s="299"/>
      <c r="OZB72" s="299"/>
      <c r="OZC72" s="299"/>
      <c r="OZD72" s="299"/>
      <c r="OZE72" s="299"/>
      <c r="OZF72" s="299"/>
      <c r="OZG72" s="299"/>
      <c r="OZH72" s="299"/>
      <c r="OZI72" s="299"/>
      <c r="OZJ72" s="299"/>
      <c r="OZK72" s="299"/>
      <c r="OZL72" s="299"/>
      <c r="OZM72" s="299"/>
      <c r="OZN72" s="299"/>
      <c r="OZO72" s="299"/>
      <c r="OZP72" s="299"/>
      <c r="OZQ72" s="299"/>
      <c r="OZR72" s="299"/>
      <c r="OZS72" s="299"/>
      <c r="OZT72" s="299"/>
      <c r="OZU72" s="299"/>
      <c r="OZV72" s="299"/>
      <c r="OZW72" s="299"/>
      <c r="OZX72" s="299"/>
      <c r="OZY72" s="299"/>
      <c r="OZZ72" s="299"/>
      <c r="PAA72" s="299"/>
      <c r="PAB72" s="299"/>
      <c r="PAC72" s="299"/>
      <c r="PAD72" s="299"/>
      <c r="PAE72" s="299"/>
      <c r="PAF72" s="299"/>
      <c r="PAG72" s="299"/>
      <c r="PAH72" s="299"/>
      <c r="PAI72" s="299"/>
      <c r="PAJ72" s="299"/>
      <c r="PAK72" s="299"/>
      <c r="PAL72" s="299"/>
      <c r="PAM72" s="299"/>
      <c r="PAN72" s="299"/>
      <c r="PAO72" s="299"/>
      <c r="PAP72" s="299"/>
      <c r="PAQ72" s="299"/>
      <c r="PAR72" s="299"/>
      <c r="PAS72" s="299"/>
      <c r="PAT72" s="299"/>
      <c r="PAU72" s="299"/>
      <c r="PAV72" s="299"/>
      <c r="PAW72" s="299"/>
      <c r="PAX72" s="299"/>
      <c r="PAY72" s="299"/>
      <c r="PAZ72" s="299"/>
      <c r="PBA72" s="299"/>
      <c r="PBB72" s="299"/>
      <c r="PBC72" s="299"/>
      <c r="PBD72" s="299"/>
      <c r="PBE72" s="299"/>
      <c r="PBF72" s="299"/>
      <c r="PBG72" s="299"/>
      <c r="PBH72" s="299"/>
      <c r="PBI72" s="299"/>
      <c r="PBJ72" s="299"/>
      <c r="PBK72" s="299"/>
      <c r="PBL72" s="299"/>
      <c r="PBM72" s="299"/>
      <c r="PBN72" s="299"/>
      <c r="PBO72" s="299"/>
      <c r="PBP72" s="299"/>
      <c r="PBQ72" s="299"/>
      <c r="PBR72" s="299"/>
      <c r="PBS72" s="299"/>
      <c r="PBT72" s="299"/>
      <c r="PBU72" s="299"/>
      <c r="PBV72" s="299"/>
      <c r="PBW72" s="299"/>
      <c r="PBX72" s="299"/>
      <c r="PBY72" s="299"/>
      <c r="PBZ72" s="299"/>
      <c r="PCA72" s="299"/>
      <c r="PCB72" s="299"/>
      <c r="PCC72" s="299"/>
      <c r="PCD72" s="299"/>
      <c r="PCE72" s="299"/>
      <c r="PCF72" s="299"/>
      <c r="PCG72" s="299"/>
      <c r="PCH72" s="299"/>
      <c r="PCI72" s="299"/>
      <c r="PCJ72" s="299"/>
      <c r="PCK72" s="299"/>
      <c r="PCL72" s="299"/>
      <c r="PCM72" s="299"/>
      <c r="PCN72" s="299"/>
      <c r="PCO72" s="299"/>
      <c r="PCP72" s="299"/>
      <c r="PCQ72" s="299"/>
      <c r="PCR72" s="299"/>
      <c r="PCS72" s="299"/>
      <c r="PCT72" s="299"/>
      <c r="PCU72" s="299"/>
      <c r="PCV72" s="299"/>
      <c r="PCW72" s="299"/>
      <c r="PCX72" s="299"/>
      <c r="PCY72" s="299"/>
      <c r="PCZ72" s="299"/>
      <c r="PDA72" s="299"/>
      <c r="PDB72" s="299"/>
      <c r="PDC72" s="299"/>
      <c r="PDD72" s="299"/>
      <c r="PDE72" s="299"/>
      <c r="PDF72" s="299"/>
      <c r="PDG72" s="299"/>
      <c r="PDH72" s="299"/>
      <c r="PDI72" s="299"/>
      <c r="PDJ72" s="299"/>
      <c r="PDK72" s="299"/>
      <c r="PDL72" s="299"/>
      <c r="PDM72" s="299"/>
      <c r="PDN72" s="299"/>
      <c r="PDO72" s="299"/>
      <c r="PDP72" s="299"/>
      <c r="PDQ72" s="299"/>
      <c r="PDR72" s="299"/>
      <c r="PDS72" s="299"/>
      <c r="PDT72" s="299"/>
      <c r="PDU72" s="299"/>
      <c r="PDV72" s="299"/>
      <c r="PDW72" s="299"/>
      <c r="PDX72" s="299"/>
      <c r="PDY72" s="299"/>
      <c r="PDZ72" s="299"/>
      <c r="PEA72" s="299"/>
      <c r="PEB72" s="299"/>
      <c r="PEC72" s="299"/>
      <c r="PED72" s="299"/>
      <c r="PEE72" s="299"/>
      <c r="PEF72" s="299"/>
      <c r="PEG72" s="299"/>
      <c r="PEH72" s="299"/>
      <c r="PEI72" s="299"/>
      <c r="PEJ72" s="299"/>
      <c r="PEK72" s="299"/>
      <c r="PEL72" s="299"/>
      <c r="PEM72" s="299"/>
      <c r="PEN72" s="299"/>
      <c r="PEO72" s="299"/>
      <c r="PEP72" s="299"/>
      <c r="PEQ72" s="299"/>
      <c r="PER72" s="299"/>
      <c r="PES72" s="299"/>
      <c r="PET72" s="299"/>
      <c r="PEU72" s="299"/>
      <c r="PEV72" s="299"/>
      <c r="PEW72" s="299"/>
      <c r="PEX72" s="299"/>
      <c r="PEY72" s="299"/>
      <c r="PEZ72" s="299"/>
      <c r="PFA72" s="299"/>
      <c r="PFB72" s="299"/>
      <c r="PFC72" s="299"/>
      <c r="PFD72" s="299"/>
      <c r="PFE72" s="299"/>
      <c r="PFF72" s="299"/>
      <c r="PFG72" s="299"/>
      <c r="PFH72" s="299"/>
      <c r="PFI72" s="299"/>
      <c r="PFJ72" s="299"/>
      <c r="PFK72" s="299"/>
      <c r="PFL72" s="299"/>
      <c r="PFM72" s="299"/>
      <c r="PFN72" s="299"/>
      <c r="PFO72" s="299"/>
      <c r="PFP72" s="299"/>
      <c r="PFQ72" s="299"/>
      <c r="PFR72" s="299"/>
      <c r="PFS72" s="299"/>
      <c r="PFT72" s="299"/>
      <c r="PFU72" s="299"/>
      <c r="PFV72" s="299"/>
      <c r="PFW72" s="299"/>
      <c r="PFX72" s="299"/>
      <c r="PFY72" s="299"/>
      <c r="PFZ72" s="299"/>
      <c r="PGA72" s="299"/>
      <c r="PGB72" s="299"/>
      <c r="PGC72" s="299"/>
      <c r="PGD72" s="299"/>
      <c r="PGE72" s="299"/>
      <c r="PGF72" s="299"/>
      <c r="PGG72" s="299"/>
      <c r="PGH72" s="299"/>
      <c r="PGI72" s="299"/>
      <c r="PGJ72" s="299"/>
      <c r="PGK72" s="299"/>
      <c r="PGL72" s="299"/>
      <c r="PGM72" s="299"/>
      <c r="PGN72" s="299"/>
      <c r="PGO72" s="299"/>
      <c r="PGP72" s="299"/>
      <c r="PGQ72" s="299"/>
      <c r="PGR72" s="299"/>
      <c r="PGS72" s="299"/>
      <c r="PGT72" s="299"/>
      <c r="PGU72" s="299"/>
      <c r="PGV72" s="299"/>
      <c r="PGW72" s="299"/>
      <c r="PGX72" s="299"/>
      <c r="PGY72" s="299"/>
      <c r="PGZ72" s="299"/>
      <c r="PHA72" s="299"/>
      <c r="PHB72" s="299"/>
      <c r="PHC72" s="299"/>
      <c r="PHD72" s="299"/>
      <c r="PHE72" s="299"/>
      <c r="PHF72" s="299"/>
      <c r="PHG72" s="299"/>
      <c r="PHH72" s="299"/>
      <c r="PHI72" s="299"/>
      <c r="PHJ72" s="299"/>
      <c r="PHK72" s="299"/>
      <c r="PHL72" s="299"/>
      <c r="PHM72" s="299"/>
      <c r="PHN72" s="299"/>
      <c r="PHO72" s="299"/>
      <c r="PHP72" s="299"/>
      <c r="PHQ72" s="299"/>
      <c r="PHR72" s="299"/>
      <c r="PHS72" s="299"/>
      <c r="PHT72" s="299"/>
      <c r="PHU72" s="299"/>
      <c r="PHV72" s="299"/>
      <c r="PHW72" s="299"/>
      <c r="PHX72" s="299"/>
      <c r="PHY72" s="299"/>
      <c r="PHZ72" s="299"/>
      <c r="PIA72" s="299"/>
      <c r="PIB72" s="299"/>
      <c r="PIC72" s="299"/>
      <c r="PID72" s="299"/>
      <c r="PIE72" s="299"/>
      <c r="PIF72" s="299"/>
      <c r="PIG72" s="299"/>
      <c r="PIH72" s="299"/>
      <c r="PII72" s="299"/>
      <c r="PIJ72" s="299"/>
      <c r="PIK72" s="299"/>
      <c r="PIL72" s="299"/>
      <c r="PIM72" s="299"/>
      <c r="PIN72" s="299"/>
      <c r="PIO72" s="299"/>
      <c r="PIP72" s="299"/>
      <c r="PIQ72" s="299"/>
      <c r="PIR72" s="299"/>
      <c r="PIS72" s="299"/>
      <c r="PIT72" s="299"/>
      <c r="PIU72" s="299"/>
      <c r="PIV72" s="299"/>
      <c r="PIW72" s="299"/>
      <c r="PIX72" s="299"/>
      <c r="PIY72" s="299"/>
      <c r="PIZ72" s="299"/>
      <c r="PJA72" s="299"/>
      <c r="PJB72" s="299"/>
      <c r="PJC72" s="299"/>
      <c r="PJD72" s="299"/>
      <c r="PJE72" s="299"/>
      <c r="PJF72" s="299"/>
      <c r="PJG72" s="299"/>
      <c r="PJH72" s="299"/>
      <c r="PJI72" s="299"/>
      <c r="PJJ72" s="299"/>
      <c r="PJK72" s="299"/>
      <c r="PJL72" s="299"/>
      <c r="PJM72" s="299"/>
      <c r="PJN72" s="299"/>
      <c r="PJO72" s="299"/>
      <c r="PJP72" s="299"/>
      <c r="PJQ72" s="299"/>
      <c r="PJR72" s="299"/>
      <c r="PJS72" s="299"/>
      <c r="PJT72" s="299"/>
      <c r="PJU72" s="299"/>
      <c r="PJV72" s="299"/>
      <c r="PJW72" s="299"/>
      <c r="PJX72" s="299"/>
      <c r="PJY72" s="299"/>
      <c r="PJZ72" s="299"/>
      <c r="PKA72" s="299"/>
      <c r="PKB72" s="299"/>
      <c r="PKC72" s="299"/>
      <c r="PKD72" s="299"/>
      <c r="PKE72" s="299"/>
      <c r="PKF72" s="299"/>
      <c r="PKG72" s="299"/>
      <c r="PKH72" s="299"/>
      <c r="PKI72" s="299"/>
      <c r="PKJ72" s="299"/>
      <c r="PKK72" s="299"/>
      <c r="PKL72" s="299"/>
      <c r="PKM72" s="299"/>
      <c r="PKN72" s="299"/>
      <c r="PKO72" s="299"/>
      <c r="PKP72" s="299"/>
      <c r="PKQ72" s="299"/>
      <c r="PKR72" s="299"/>
      <c r="PKS72" s="299"/>
      <c r="PKT72" s="299"/>
      <c r="PKU72" s="299"/>
      <c r="PKV72" s="299"/>
      <c r="PKW72" s="299"/>
      <c r="PKX72" s="299"/>
      <c r="PKY72" s="299"/>
      <c r="PKZ72" s="299"/>
      <c r="PLA72" s="299"/>
      <c r="PLB72" s="299"/>
      <c r="PLC72" s="299"/>
      <c r="PLD72" s="299"/>
      <c r="PLE72" s="299"/>
      <c r="PLF72" s="299"/>
      <c r="PLG72" s="299"/>
      <c r="PLH72" s="299"/>
      <c r="PLI72" s="299"/>
      <c r="PLJ72" s="299"/>
      <c r="PLK72" s="299"/>
      <c r="PLL72" s="299"/>
      <c r="PLM72" s="299"/>
      <c r="PLN72" s="299"/>
      <c r="PLO72" s="299"/>
      <c r="PLP72" s="299"/>
      <c r="PLQ72" s="299"/>
      <c r="PLR72" s="299"/>
      <c r="PLS72" s="299"/>
      <c r="PLT72" s="299"/>
      <c r="PLU72" s="299"/>
      <c r="PLV72" s="299"/>
      <c r="PLW72" s="299"/>
      <c r="PLX72" s="299"/>
      <c r="PLY72" s="299"/>
      <c r="PLZ72" s="299"/>
      <c r="PMA72" s="299"/>
      <c r="PMB72" s="299"/>
      <c r="PMC72" s="299"/>
      <c r="PMD72" s="299"/>
      <c r="PME72" s="299"/>
      <c r="PMF72" s="299"/>
      <c r="PMG72" s="299"/>
      <c r="PMH72" s="299"/>
      <c r="PMI72" s="299"/>
      <c r="PMJ72" s="299"/>
      <c r="PMK72" s="299"/>
      <c r="PML72" s="299"/>
      <c r="PMM72" s="299"/>
      <c r="PMN72" s="299"/>
      <c r="PMO72" s="299"/>
      <c r="PMP72" s="299"/>
      <c r="PMQ72" s="299"/>
      <c r="PMR72" s="299"/>
      <c r="PMS72" s="299"/>
      <c r="PMT72" s="299"/>
      <c r="PMU72" s="299"/>
      <c r="PMV72" s="299"/>
      <c r="PMW72" s="299"/>
      <c r="PMX72" s="299"/>
      <c r="PMY72" s="299"/>
      <c r="PMZ72" s="299"/>
      <c r="PNA72" s="299"/>
      <c r="PNB72" s="299"/>
      <c r="PNC72" s="299"/>
      <c r="PND72" s="299"/>
      <c r="PNE72" s="299"/>
      <c r="PNF72" s="299"/>
      <c r="PNG72" s="299"/>
      <c r="PNH72" s="299"/>
      <c r="PNI72" s="299"/>
      <c r="PNJ72" s="299"/>
      <c r="PNK72" s="299"/>
      <c r="PNL72" s="299"/>
      <c r="PNM72" s="299"/>
      <c r="PNN72" s="299"/>
      <c r="PNO72" s="299"/>
      <c r="PNP72" s="299"/>
      <c r="PNQ72" s="299"/>
      <c r="PNR72" s="299"/>
      <c r="PNS72" s="299"/>
      <c r="PNT72" s="299"/>
      <c r="PNU72" s="299"/>
      <c r="PNV72" s="299"/>
      <c r="PNW72" s="299"/>
      <c r="PNX72" s="299"/>
      <c r="PNY72" s="299"/>
      <c r="PNZ72" s="299"/>
      <c r="POA72" s="299"/>
      <c r="POB72" s="299"/>
      <c r="POC72" s="299"/>
      <c r="POD72" s="299"/>
      <c r="POE72" s="299"/>
      <c r="POF72" s="299"/>
      <c r="POG72" s="299"/>
      <c r="POH72" s="299"/>
      <c r="POI72" s="299"/>
      <c r="POJ72" s="299"/>
      <c r="POK72" s="299"/>
      <c r="POL72" s="299"/>
      <c r="POM72" s="299"/>
      <c r="PON72" s="299"/>
      <c r="POO72" s="299"/>
      <c r="POP72" s="299"/>
      <c r="POQ72" s="299"/>
      <c r="POR72" s="299"/>
      <c r="POS72" s="299"/>
      <c r="POT72" s="299"/>
      <c r="POU72" s="299"/>
      <c r="POV72" s="299"/>
      <c r="POW72" s="299"/>
      <c r="POX72" s="299"/>
      <c r="POY72" s="299"/>
      <c r="POZ72" s="299"/>
      <c r="PPA72" s="299"/>
      <c r="PPB72" s="299"/>
      <c r="PPC72" s="299"/>
      <c r="PPD72" s="299"/>
      <c r="PPE72" s="299"/>
      <c r="PPF72" s="299"/>
      <c r="PPG72" s="299"/>
      <c r="PPH72" s="299"/>
      <c r="PPI72" s="299"/>
      <c r="PPJ72" s="299"/>
      <c r="PPK72" s="299"/>
      <c r="PPL72" s="299"/>
      <c r="PPM72" s="299"/>
      <c r="PPN72" s="299"/>
      <c r="PPO72" s="299"/>
      <c r="PPP72" s="299"/>
      <c r="PPQ72" s="299"/>
      <c r="PPR72" s="299"/>
      <c r="PPS72" s="299"/>
      <c r="PPT72" s="299"/>
      <c r="PPU72" s="299"/>
      <c r="PPV72" s="299"/>
      <c r="PPW72" s="299"/>
      <c r="PPX72" s="299"/>
      <c r="PPY72" s="299"/>
      <c r="PPZ72" s="299"/>
      <c r="PQA72" s="299"/>
      <c r="PQB72" s="299"/>
      <c r="PQC72" s="299"/>
      <c r="PQD72" s="299"/>
      <c r="PQE72" s="299"/>
      <c r="PQF72" s="299"/>
      <c r="PQG72" s="299"/>
      <c r="PQH72" s="299"/>
      <c r="PQI72" s="299"/>
      <c r="PQJ72" s="299"/>
      <c r="PQK72" s="299"/>
      <c r="PQL72" s="299"/>
      <c r="PQM72" s="299"/>
      <c r="PQN72" s="299"/>
      <c r="PQO72" s="299"/>
      <c r="PQP72" s="299"/>
      <c r="PQQ72" s="299"/>
      <c r="PQR72" s="299"/>
      <c r="PQS72" s="299"/>
      <c r="PQT72" s="299"/>
      <c r="PQU72" s="299"/>
      <c r="PQV72" s="299"/>
      <c r="PQW72" s="299"/>
      <c r="PQX72" s="299"/>
      <c r="PQY72" s="299"/>
      <c r="PQZ72" s="299"/>
      <c r="PRA72" s="299"/>
      <c r="PRB72" s="299"/>
      <c r="PRC72" s="299"/>
      <c r="PRD72" s="299"/>
      <c r="PRE72" s="299"/>
      <c r="PRF72" s="299"/>
      <c r="PRG72" s="299"/>
      <c r="PRH72" s="299"/>
      <c r="PRI72" s="299"/>
      <c r="PRJ72" s="299"/>
      <c r="PRK72" s="299"/>
      <c r="PRL72" s="299"/>
      <c r="PRM72" s="299"/>
      <c r="PRN72" s="299"/>
      <c r="PRO72" s="299"/>
      <c r="PRP72" s="299"/>
      <c r="PRQ72" s="299"/>
      <c r="PRR72" s="299"/>
      <c r="PRS72" s="299"/>
      <c r="PRT72" s="299"/>
      <c r="PRU72" s="299"/>
      <c r="PRV72" s="299"/>
      <c r="PRW72" s="299"/>
      <c r="PRX72" s="299"/>
      <c r="PRY72" s="299"/>
      <c r="PRZ72" s="299"/>
      <c r="PSA72" s="299"/>
      <c r="PSB72" s="299"/>
      <c r="PSC72" s="299"/>
      <c r="PSD72" s="299"/>
      <c r="PSE72" s="299"/>
      <c r="PSF72" s="299"/>
      <c r="PSG72" s="299"/>
      <c r="PSH72" s="299"/>
      <c r="PSI72" s="299"/>
      <c r="PSJ72" s="299"/>
      <c r="PSK72" s="299"/>
      <c r="PSL72" s="299"/>
      <c r="PSM72" s="299"/>
      <c r="PSN72" s="299"/>
      <c r="PSO72" s="299"/>
      <c r="PSP72" s="299"/>
      <c r="PSQ72" s="299"/>
      <c r="PSR72" s="299"/>
      <c r="PSS72" s="299"/>
      <c r="PST72" s="299"/>
      <c r="PSU72" s="299"/>
      <c r="PSV72" s="299"/>
      <c r="PSW72" s="299"/>
      <c r="PSX72" s="299"/>
      <c r="PSY72" s="299"/>
      <c r="PSZ72" s="299"/>
      <c r="PTA72" s="299"/>
      <c r="PTB72" s="299"/>
      <c r="PTC72" s="299"/>
      <c r="PTD72" s="299"/>
      <c r="PTE72" s="299"/>
      <c r="PTF72" s="299"/>
      <c r="PTG72" s="299"/>
      <c r="PTH72" s="299"/>
      <c r="PTI72" s="299"/>
      <c r="PTJ72" s="299"/>
      <c r="PTK72" s="299"/>
      <c r="PTL72" s="299"/>
      <c r="PTM72" s="299"/>
      <c r="PTN72" s="299"/>
      <c r="PTO72" s="299"/>
      <c r="PTP72" s="299"/>
      <c r="PTQ72" s="299"/>
      <c r="PTR72" s="299"/>
      <c r="PTS72" s="299"/>
      <c r="PTT72" s="299"/>
      <c r="PTU72" s="299"/>
      <c r="PTV72" s="299"/>
      <c r="PTW72" s="299"/>
      <c r="PTX72" s="299"/>
      <c r="PTY72" s="299"/>
      <c r="PTZ72" s="299"/>
      <c r="PUA72" s="299"/>
      <c r="PUB72" s="299"/>
      <c r="PUC72" s="299"/>
      <c r="PUD72" s="299"/>
      <c r="PUE72" s="299"/>
      <c r="PUF72" s="299"/>
      <c r="PUG72" s="299"/>
      <c r="PUH72" s="299"/>
      <c r="PUI72" s="299"/>
      <c r="PUJ72" s="299"/>
      <c r="PUK72" s="299"/>
      <c r="PUL72" s="299"/>
      <c r="PUM72" s="299"/>
      <c r="PUN72" s="299"/>
      <c r="PUO72" s="299"/>
      <c r="PUP72" s="299"/>
      <c r="PUQ72" s="299"/>
      <c r="PUR72" s="299"/>
      <c r="PUS72" s="299"/>
      <c r="PUT72" s="299"/>
      <c r="PUU72" s="299"/>
      <c r="PUV72" s="299"/>
      <c r="PUW72" s="299"/>
      <c r="PUX72" s="299"/>
      <c r="PUY72" s="299"/>
      <c r="PUZ72" s="299"/>
      <c r="PVA72" s="299"/>
      <c r="PVB72" s="299"/>
      <c r="PVC72" s="299"/>
      <c r="PVD72" s="299"/>
      <c r="PVE72" s="299"/>
      <c r="PVF72" s="299"/>
      <c r="PVG72" s="299"/>
      <c r="PVH72" s="299"/>
      <c r="PVI72" s="299"/>
      <c r="PVJ72" s="299"/>
      <c r="PVK72" s="299"/>
      <c r="PVL72" s="299"/>
      <c r="PVM72" s="299"/>
      <c r="PVN72" s="299"/>
      <c r="PVO72" s="299"/>
      <c r="PVP72" s="299"/>
      <c r="PVQ72" s="299"/>
      <c r="PVR72" s="299"/>
      <c r="PVS72" s="299"/>
      <c r="PVT72" s="299"/>
      <c r="PVU72" s="299"/>
      <c r="PVV72" s="299"/>
      <c r="PVW72" s="299"/>
      <c r="PVX72" s="299"/>
      <c r="PVY72" s="299"/>
      <c r="PVZ72" s="299"/>
      <c r="PWA72" s="299"/>
      <c r="PWB72" s="299"/>
      <c r="PWC72" s="299"/>
      <c r="PWD72" s="299"/>
      <c r="PWE72" s="299"/>
      <c r="PWF72" s="299"/>
      <c r="PWG72" s="299"/>
      <c r="PWH72" s="299"/>
      <c r="PWI72" s="299"/>
      <c r="PWJ72" s="299"/>
      <c r="PWK72" s="299"/>
      <c r="PWL72" s="299"/>
      <c r="PWM72" s="299"/>
      <c r="PWN72" s="299"/>
      <c r="PWO72" s="299"/>
      <c r="PWP72" s="299"/>
      <c r="PWQ72" s="299"/>
      <c r="PWR72" s="299"/>
      <c r="PWS72" s="299"/>
      <c r="PWT72" s="299"/>
      <c r="PWU72" s="299"/>
      <c r="PWV72" s="299"/>
      <c r="PWW72" s="299"/>
      <c r="PWX72" s="299"/>
      <c r="PWY72" s="299"/>
      <c r="PWZ72" s="299"/>
      <c r="PXA72" s="299"/>
      <c r="PXB72" s="299"/>
      <c r="PXC72" s="299"/>
      <c r="PXD72" s="299"/>
      <c r="PXE72" s="299"/>
      <c r="PXF72" s="299"/>
      <c r="PXG72" s="299"/>
      <c r="PXH72" s="299"/>
      <c r="PXI72" s="299"/>
      <c r="PXJ72" s="299"/>
      <c r="PXK72" s="299"/>
      <c r="PXL72" s="299"/>
      <c r="PXM72" s="299"/>
      <c r="PXN72" s="299"/>
      <c r="PXO72" s="299"/>
      <c r="PXP72" s="299"/>
      <c r="PXQ72" s="299"/>
      <c r="PXR72" s="299"/>
      <c r="PXS72" s="299"/>
      <c r="PXT72" s="299"/>
      <c r="PXU72" s="299"/>
      <c r="PXV72" s="299"/>
      <c r="PXW72" s="299"/>
      <c r="PXX72" s="299"/>
      <c r="PXY72" s="299"/>
      <c r="PXZ72" s="299"/>
      <c r="PYA72" s="299"/>
      <c r="PYB72" s="299"/>
      <c r="PYC72" s="299"/>
      <c r="PYD72" s="299"/>
      <c r="PYE72" s="299"/>
      <c r="PYF72" s="299"/>
      <c r="PYG72" s="299"/>
      <c r="PYH72" s="299"/>
      <c r="PYI72" s="299"/>
      <c r="PYJ72" s="299"/>
      <c r="PYK72" s="299"/>
      <c r="PYL72" s="299"/>
      <c r="PYM72" s="299"/>
      <c r="PYN72" s="299"/>
      <c r="PYO72" s="299"/>
      <c r="PYP72" s="299"/>
      <c r="PYQ72" s="299"/>
      <c r="PYR72" s="299"/>
      <c r="PYS72" s="299"/>
      <c r="PYT72" s="299"/>
      <c r="PYU72" s="299"/>
      <c r="PYV72" s="299"/>
      <c r="PYW72" s="299"/>
      <c r="PYX72" s="299"/>
      <c r="PYY72" s="299"/>
      <c r="PYZ72" s="299"/>
      <c r="PZA72" s="299"/>
      <c r="PZB72" s="299"/>
      <c r="PZC72" s="299"/>
      <c r="PZD72" s="299"/>
      <c r="PZE72" s="299"/>
      <c r="PZF72" s="299"/>
      <c r="PZG72" s="299"/>
      <c r="PZH72" s="299"/>
      <c r="PZI72" s="299"/>
      <c r="PZJ72" s="299"/>
      <c r="PZK72" s="299"/>
      <c r="PZL72" s="299"/>
      <c r="PZM72" s="299"/>
      <c r="PZN72" s="299"/>
      <c r="PZO72" s="299"/>
      <c r="PZP72" s="299"/>
      <c r="PZQ72" s="299"/>
      <c r="PZR72" s="299"/>
      <c r="PZS72" s="299"/>
      <c r="PZT72" s="299"/>
      <c r="PZU72" s="299"/>
      <c r="PZV72" s="299"/>
      <c r="PZW72" s="299"/>
      <c r="PZX72" s="299"/>
      <c r="PZY72" s="299"/>
      <c r="PZZ72" s="299"/>
      <c r="QAA72" s="299"/>
      <c r="QAB72" s="299"/>
      <c r="QAC72" s="299"/>
      <c r="QAD72" s="299"/>
      <c r="QAE72" s="299"/>
      <c r="QAF72" s="299"/>
      <c r="QAG72" s="299"/>
      <c r="QAH72" s="299"/>
      <c r="QAI72" s="299"/>
      <c r="QAJ72" s="299"/>
      <c r="QAK72" s="299"/>
      <c r="QAL72" s="299"/>
      <c r="QAM72" s="299"/>
      <c r="QAN72" s="299"/>
      <c r="QAO72" s="299"/>
      <c r="QAP72" s="299"/>
      <c r="QAQ72" s="299"/>
      <c r="QAR72" s="299"/>
      <c r="QAS72" s="299"/>
      <c r="QAT72" s="299"/>
      <c r="QAU72" s="299"/>
      <c r="QAV72" s="299"/>
      <c r="QAW72" s="299"/>
      <c r="QAX72" s="299"/>
      <c r="QAY72" s="299"/>
      <c r="QAZ72" s="299"/>
      <c r="QBA72" s="299"/>
      <c r="QBB72" s="299"/>
      <c r="QBC72" s="299"/>
      <c r="QBD72" s="299"/>
      <c r="QBE72" s="299"/>
      <c r="QBF72" s="299"/>
      <c r="QBG72" s="299"/>
      <c r="QBH72" s="299"/>
      <c r="QBI72" s="299"/>
      <c r="QBJ72" s="299"/>
      <c r="QBK72" s="299"/>
      <c r="QBL72" s="299"/>
      <c r="QBM72" s="299"/>
      <c r="QBN72" s="299"/>
      <c r="QBO72" s="299"/>
      <c r="QBP72" s="299"/>
      <c r="QBQ72" s="299"/>
      <c r="QBR72" s="299"/>
      <c r="QBS72" s="299"/>
      <c r="QBT72" s="299"/>
      <c r="QBU72" s="299"/>
      <c r="QBV72" s="299"/>
      <c r="QBW72" s="299"/>
      <c r="QBX72" s="299"/>
      <c r="QBY72" s="299"/>
      <c r="QBZ72" s="299"/>
      <c r="QCA72" s="299"/>
      <c r="QCB72" s="299"/>
      <c r="QCC72" s="299"/>
      <c r="QCD72" s="299"/>
      <c r="QCE72" s="299"/>
      <c r="QCF72" s="299"/>
      <c r="QCG72" s="299"/>
      <c r="QCH72" s="299"/>
      <c r="QCI72" s="299"/>
      <c r="QCJ72" s="299"/>
      <c r="QCK72" s="299"/>
      <c r="QCL72" s="299"/>
      <c r="QCM72" s="299"/>
      <c r="QCN72" s="299"/>
      <c r="QCO72" s="299"/>
      <c r="QCP72" s="299"/>
      <c r="QCQ72" s="299"/>
      <c r="QCR72" s="299"/>
      <c r="QCS72" s="299"/>
      <c r="QCT72" s="299"/>
      <c r="QCU72" s="299"/>
      <c r="QCV72" s="299"/>
      <c r="QCW72" s="299"/>
      <c r="QCX72" s="299"/>
      <c r="QCY72" s="299"/>
      <c r="QCZ72" s="299"/>
      <c r="QDA72" s="299"/>
      <c r="QDB72" s="299"/>
      <c r="QDC72" s="299"/>
      <c r="QDD72" s="299"/>
      <c r="QDE72" s="299"/>
      <c r="QDF72" s="299"/>
      <c r="QDG72" s="299"/>
      <c r="QDH72" s="299"/>
      <c r="QDI72" s="299"/>
      <c r="QDJ72" s="299"/>
      <c r="QDK72" s="299"/>
      <c r="QDL72" s="299"/>
      <c r="QDM72" s="299"/>
      <c r="QDN72" s="299"/>
      <c r="QDO72" s="299"/>
      <c r="QDP72" s="299"/>
      <c r="QDQ72" s="299"/>
      <c r="QDR72" s="299"/>
      <c r="QDS72" s="299"/>
      <c r="QDT72" s="299"/>
      <c r="QDU72" s="299"/>
      <c r="QDV72" s="299"/>
      <c r="QDW72" s="299"/>
      <c r="QDX72" s="299"/>
      <c r="QDY72" s="299"/>
      <c r="QDZ72" s="299"/>
      <c r="QEA72" s="299"/>
      <c r="QEB72" s="299"/>
      <c r="QEC72" s="299"/>
      <c r="QED72" s="299"/>
      <c r="QEE72" s="299"/>
      <c r="QEF72" s="299"/>
      <c r="QEG72" s="299"/>
      <c r="QEH72" s="299"/>
      <c r="QEI72" s="299"/>
      <c r="QEJ72" s="299"/>
      <c r="QEK72" s="299"/>
      <c r="QEL72" s="299"/>
      <c r="QEM72" s="299"/>
      <c r="QEN72" s="299"/>
      <c r="QEO72" s="299"/>
      <c r="QEP72" s="299"/>
      <c r="QEQ72" s="299"/>
      <c r="QER72" s="299"/>
      <c r="QES72" s="299"/>
      <c r="QET72" s="299"/>
      <c r="QEU72" s="299"/>
      <c r="QEV72" s="299"/>
      <c r="QEW72" s="299"/>
      <c r="QEX72" s="299"/>
      <c r="QEY72" s="299"/>
      <c r="QEZ72" s="299"/>
      <c r="QFA72" s="299"/>
      <c r="QFB72" s="299"/>
      <c r="QFC72" s="299"/>
      <c r="QFD72" s="299"/>
      <c r="QFE72" s="299"/>
      <c r="QFF72" s="299"/>
      <c r="QFG72" s="299"/>
      <c r="QFH72" s="299"/>
      <c r="QFI72" s="299"/>
      <c r="QFJ72" s="299"/>
      <c r="QFK72" s="299"/>
      <c r="QFL72" s="299"/>
      <c r="QFM72" s="299"/>
      <c r="QFN72" s="299"/>
      <c r="QFO72" s="299"/>
      <c r="QFP72" s="299"/>
      <c r="QFQ72" s="299"/>
      <c r="QFR72" s="299"/>
      <c r="QFS72" s="299"/>
      <c r="QFT72" s="299"/>
      <c r="QFU72" s="299"/>
      <c r="QFV72" s="299"/>
      <c r="QFW72" s="299"/>
      <c r="QFX72" s="299"/>
      <c r="QFY72" s="299"/>
      <c r="QFZ72" s="299"/>
      <c r="QGA72" s="299"/>
      <c r="QGB72" s="299"/>
      <c r="QGC72" s="299"/>
      <c r="QGD72" s="299"/>
      <c r="QGE72" s="299"/>
      <c r="QGF72" s="299"/>
      <c r="QGG72" s="299"/>
      <c r="QGH72" s="299"/>
      <c r="QGI72" s="299"/>
      <c r="QGJ72" s="299"/>
      <c r="QGK72" s="299"/>
      <c r="QGL72" s="299"/>
      <c r="QGM72" s="299"/>
      <c r="QGN72" s="299"/>
      <c r="QGO72" s="299"/>
      <c r="QGP72" s="299"/>
      <c r="QGQ72" s="299"/>
      <c r="QGR72" s="299"/>
      <c r="QGS72" s="299"/>
      <c r="QGT72" s="299"/>
      <c r="QGU72" s="299"/>
      <c r="QGV72" s="299"/>
      <c r="QGW72" s="299"/>
      <c r="QGX72" s="299"/>
      <c r="QGY72" s="299"/>
      <c r="QGZ72" s="299"/>
      <c r="QHA72" s="299"/>
      <c r="QHB72" s="299"/>
      <c r="QHC72" s="299"/>
      <c r="QHD72" s="299"/>
      <c r="QHE72" s="299"/>
      <c r="QHF72" s="299"/>
      <c r="QHG72" s="299"/>
      <c r="QHH72" s="299"/>
      <c r="QHI72" s="299"/>
      <c r="QHJ72" s="299"/>
      <c r="QHK72" s="299"/>
      <c r="QHL72" s="299"/>
      <c r="QHM72" s="299"/>
      <c r="QHN72" s="299"/>
      <c r="QHO72" s="299"/>
      <c r="QHP72" s="299"/>
      <c r="QHQ72" s="299"/>
      <c r="QHR72" s="299"/>
      <c r="QHS72" s="299"/>
      <c r="QHT72" s="299"/>
      <c r="QHU72" s="299"/>
      <c r="QHV72" s="299"/>
      <c r="QHW72" s="299"/>
      <c r="QHX72" s="299"/>
      <c r="QHY72" s="299"/>
      <c r="QHZ72" s="299"/>
      <c r="QIA72" s="299"/>
      <c r="QIB72" s="299"/>
      <c r="QIC72" s="299"/>
      <c r="QID72" s="299"/>
      <c r="QIE72" s="299"/>
      <c r="QIF72" s="299"/>
      <c r="QIG72" s="299"/>
      <c r="QIH72" s="299"/>
      <c r="QII72" s="299"/>
      <c r="QIJ72" s="299"/>
      <c r="QIK72" s="299"/>
      <c r="QIL72" s="299"/>
      <c r="QIM72" s="299"/>
      <c r="QIN72" s="299"/>
      <c r="QIO72" s="299"/>
      <c r="QIP72" s="299"/>
      <c r="QIQ72" s="299"/>
      <c r="QIR72" s="299"/>
      <c r="QIS72" s="299"/>
      <c r="QIT72" s="299"/>
      <c r="QIU72" s="299"/>
      <c r="QIV72" s="299"/>
      <c r="QIW72" s="299"/>
      <c r="QIX72" s="299"/>
      <c r="QIY72" s="299"/>
      <c r="QIZ72" s="299"/>
      <c r="QJA72" s="299"/>
      <c r="QJB72" s="299"/>
      <c r="QJC72" s="299"/>
      <c r="QJD72" s="299"/>
      <c r="QJE72" s="299"/>
      <c r="QJF72" s="299"/>
      <c r="QJG72" s="299"/>
      <c r="QJH72" s="299"/>
      <c r="QJI72" s="299"/>
      <c r="QJJ72" s="299"/>
      <c r="QJK72" s="299"/>
      <c r="QJL72" s="299"/>
      <c r="QJM72" s="299"/>
      <c r="QJN72" s="299"/>
      <c r="QJO72" s="299"/>
      <c r="QJP72" s="299"/>
      <c r="QJQ72" s="299"/>
      <c r="QJR72" s="299"/>
      <c r="QJS72" s="299"/>
      <c r="QJT72" s="299"/>
      <c r="QJU72" s="299"/>
      <c r="QJV72" s="299"/>
      <c r="QJW72" s="299"/>
      <c r="QJX72" s="299"/>
      <c r="QJY72" s="299"/>
      <c r="QJZ72" s="299"/>
      <c r="QKA72" s="299"/>
      <c r="QKB72" s="299"/>
      <c r="QKC72" s="299"/>
      <c r="QKD72" s="299"/>
      <c r="QKE72" s="299"/>
      <c r="QKF72" s="299"/>
      <c r="QKG72" s="299"/>
      <c r="QKH72" s="299"/>
      <c r="QKI72" s="299"/>
      <c r="QKJ72" s="299"/>
      <c r="QKK72" s="299"/>
      <c r="QKL72" s="299"/>
      <c r="QKM72" s="299"/>
      <c r="QKN72" s="299"/>
      <c r="QKO72" s="299"/>
      <c r="QKP72" s="299"/>
      <c r="QKQ72" s="299"/>
      <c r="QKR72" s="299"/>
      <c r="QKS72" s="299"/>
      <c r="QKT72" s="299"/>
      <c r="QKU72" s="299"/>
      <c r="QKV72" s="299"/>
      <c r="QKW72" s="299"/>
      <c r="QKX72" s="299"/>
      <c r="QKY72" s="299"/>
      <c r="QKZ72" s="299"/>
      <c r="QLA72" s="299"/>
      <c r="QLB72" s="299"/>
      <c r="QLC72" s="299"/>
      <c r="QLD72" s="299"/>
      <c r="QLE72" s="299"/>
      <c r="QLF72" s="299"/>
      <c r="QLG72" s="299"/>
      <c r="QLH72" s="299"/>
      <c r="QLI72" s="299"/>
      <c r="QLJ72" s="299"/>
      <c r="QLK72" s="299"/>
      <c r="QLL72" s="299"/>
      <c r="QLM72" s="299"/>
      <c r="QLN72" s="299"/>
      <c r="QLO72" s="299"/>
      <c r="QLP72" s="299"/>
      <c r="QLQ72" s="299"/>
      <c r="QLR72" s="299"/>
      <c r="QLS72" s="299"/>
      <c r="QLT72" s="299"/>
      <c r="QLU72" s="299"/>
      <c r="QLV72" s="299"/>
      <c r="QLW72" s="299"/>
      <c r="QLX72" s="299"/>
      <c r="QLY72" s="299"/>
      <c r="QLZ72" s="299"/>
      <c r="QMA72" s="299"/>
      <c r="QMB72" s="299"/>
      <c r="QMC72" s="299"/>
      <c r="QMD72" s="299"/>
      <c r="QME72" s="299"/>
      <c r="QMF72" s="299"/>
      <c r="QMG72" s="299"/>
      <c r="QMH72" s="299"/>
      <c r="QMI72" s="299"/>
      <c r="QMJ72" s="299"/>
      <c r="QMK72" s="299"/>
      <c r="QML72" s="299"/>
      <c r="QMM72" s="299"/>
      <c r="QMN72" s="299"/>
      <c r="QMO72" s="299"/>
      <c r="QMP72" s="299"/>
      <c r="QMQ72" s="299"/>
      <c r="QMR72" s="299"/>
      <c r="QMS72" s="299"/>
      <c r="QMT72" s="299"/>
      <c r="QMU72" s="299"/>
      <c r="QMV72" s="299"/>
      <c r="QMW72" s="299"/>
      <c r="QMX72" s="299"/>
      <c r="QMY72" s="299"/>
      <c r="QMZ72" s="299"/>
      <c r="QNA72" s="299"/>
      <c r="QNB72" s="299"/>
      <c r="QNC72" s="299"/>
      <c r="QND72" s="299"/>
      <c r="QNE72" s="299"/>
      <c r="QNF72" s="299"/>
      <c r="QNG72" s="299"/>
      <c r="QNH72" s="299"/>
      <c r="QNI72" s="299"/>
      <c r="QNJ72" s="299"/>
      <c r="QNK72" s="299"/>
      <c r="QNL72" s="299"/>
      <c r="QNM72" s="299"/>
      <c r="QNN72" s="299"/>
      <c r="QNO72" s="299"/>
      <c r="QNP72" s="299"/>
      <c r="QNQ72" s="299"/>
      <c r="QNR72" s="299"/>
      <c r="QNS72" s="299"/>
      <c r="QNT72" s="299"/>
      <c r="QNU72" s="299"/>
      <c r="QNV72" s="299"/>
      <c r="QNW72" s="299"/>
      <c r="QNX72" s="299"/>
      <c r="QNY72" s="299"/>
      <c r="QNZ72" s="299"/>
      <c r="QOA72" s="299"/>
      <c r="QOB72" s="299"/>
      <c r="QOC72" s="299"/>
      <c r="QOD72" s="299"/>
      <c r="QOE72" s="299"/>
      <c r="QOF72" s="299"/>
      <c r="QOG72" s="299"/>
      <c r="QOH72" s="299"/>
      <c r="QOI72" s="299"/>
      <c r="QOJ72" s="299"/>
      <c r="QOK72" s="299"/>
      <c r="QOL72" s="299"/>
      <c r="QOM72" s="299"/>
      <c r="QON72" s="299"/>
      <c r="QOO72" s="299"/>
      <c r="QOP72" s="299"/>
      <c r="QOQ72" s="299"/>
      <c r="QOR72" s="299"/>
      <c r="QOS72" s="299"/>
      <c r="QOT72" s="299"/>
      <c r="QOU72" s="299"/>
      <c r="QOV72" s="299"/>
      <c r="QOW72" s="299"/>
      <c r="QOX72" s="299"/>
      <c r="QOY72" s="299"/>
      <c r="QOZ72" s="299"/>
      <c r="QPA72" s="299"/>
      <c r="QPB72" s="299"/>
      <c r="QPC72" s="299"/>
      <c r="QPD72" s="299"/>
      <c r="QPE72" s="299"/>
      <c r="QPF72" s="299"/>
      <c r="QPG72" s="299"/>
      <c r="QPH72" s="299"/>
      <c r="QPI72" s="299"/>
      <c r="QPJ72" s="299"/>
      <c r="QPK72" s="299"/>
      <c r="QPL72" s="299"/>
      <c r="QPM72" s="299"/>
      <c r="QPN72" s="299"/>
      <c r="QPO72" s="299"/>
      <c r="QPP72" s="299"/>
      <c r="QPQ72" s="299"/>
      <c r="QPR72" s="299"/>
      <c r="QPS72" s="299"/>
      <c r="QPT72" s="299"/>
      <c r="QPU72" s="299"/>
      <c r="QPV72" s="299"/>
      <c r="QPW72" s="299"/>
      <c r="QPX72" s="299"/>
      <c r="QPY72" s="299"/>
      <c r="QPZ72" s="299"/>
      <c r="QQA72" s="299"/>
      <c r="QQB72" s="299"/>
      <c r="QQC72" s="299"/>
      <c r="QQD72" s="299"/>
      <c r="QQE72" s="299"/>
      <c r="QQF72" s="299"/>
      <c r="QQG72" s="299"/>
      <c r="QQH72" s="299"/>
      <c r="QQI72" s="299"/>
      <c r="QQJ72" s="299"/>
      <c r="QQK72" s="299"/>
      <c r="QQL72" s="299"/>
      <c r="QQM72" s="299"/>
      <c r="QQN72" s="299"/>
      <c r="QQO72" s="299"/>
      <c r="QQP72" s="299"/>
      <c r="QQQ72" s="299"/>
      <c r="QQR72" s="299"/>
      <c r="QQS72" s="299"/>
      <c r="QQT72" s="299"/>
      <c r="QQU72" s="299"/>
      <c r="QQV72" s="299"/>
      <c r="QQW72" s="299"/>
      <c r="QQX72" s="299"/>
      <c r="QQY72" s="299"/>
      <c r="QQZ72" s="299"/>
      <c r="QRA72" s="299"/>
      <c r="QRB72" s="299"/>
      <c r="QRC72" s="299"/>
      <c r="QRD72" s="299"/>
      <c r="QRE72" s="299"/>
      <c r="QRF72" s="299"/>
      <c r="QRG72" s="299"/>
      <c r="QRH72" s="299"/>
      <c r="QRI72" s="299"/>
      <c r="QRJ72" s="299"/>
      <c r="QRK72" s="299"/>
      <c r="QRL72" s="299"/>
      <c r="QRM72" s="299"/>
      <c r="QRN72" s="299"/>
      <c r="QRO72" s="299"/>
      <c r="QRP72" s="299"/>
      <c r="QRQ72" s="299"/>
      <c r="QRR72" s="299"/>
      <c r="QRS72" s="299"/>
      <c r="QRT72" s="299"/>
      <c r="QRU72" s="299"/>
      <c r="QRV72" s="299"/>
      <c r="QRW72" s="299"/>
      <c r="QRX72" s="299"/>
      <c r="QRY72" s="299"/>
      <c r="QRZ72" s="299"/>
      <c r="QSA72" s="299"/>
      <c r="QSB72" s="299"/>
      <c r="QSC72" s="299"/>
      <c r="QSD72" s="299"/>
      <c r="QSE72" s="299"/>
      <c r="QSF72" s="299"/>
      <c r="QSG72" s="299"/>
      <c r="QSH72" s="299"/>
      <c r="QSI72" s="299"/>
      <c r="QSJ72" s="299"/>
      <c r="QSK72" s="299"/>
      <c r="QSL72" s="299"/>
      <c r="QSM72" s="299"/>
      <c r="QSN72" s="299"/>
      <c r="QSO72" s="299"/>
      <c r="QSP72" s="299"/>
      <c r="QSQ72" s="299"/>
      <c r="QSR72" s="299"/>
      <c r="QSS72" s="299"/>
      <c r="QST72" s="299"/>
      <c r="QSU72" s="299"/>
      <c r="QSV72" s="299"/>
      <c r="QSW72" s="299"/>
      <c r="QSX72" s="299"/>
      <c r="QSY72" s="299"/>
      <c r="QSZ72" s="299"/>
      <c r="QTA72" s="299"/>
      <c r="QTB72" s="299"/>
      <c r="QTC72" s="299"/>
      <c r="QTD72" s="299"/>
      <c r="QTE72" s="299"/>
      <c r="QTF72" s="299"/>
      <c r="QTG72" s="299"/>
      <c r="QTH72" s="299"/>
      <c r="QTI72" s="299"/>
      <c r="QTJ72" s="299"/>
      <c r="QTK72" s="299"/>
      <c r="QTL72" s="299"/>
      <c r="QTM72" s="299"/>
      <c r="QTN72" s="299"/>
      <c r="QTO72" s="299"/>
      <c r="QTP72" s="299"/>
      <c r="QTQ72" s="299"/>
      <c r="QTR72" s="299"/>
      <c r="QTS72" s="299"/>
      <c r="QTT72" s="299"/>
      <c r="QTU72" s="299"/>
      <c r="QTV72" s="299"/>
      <c r="QTW72" s="299"/>
      <c r="QTX72" s="299"/>
      <c r="QTY72" s="299"/>
      <c r="QTZ72" s="299"/>
      <c r="QUA72" s="299"/>
      <c r="QUB72" s="299"/>
      <c r="QUC72" s="299"/>
      <c r="QUD72" s="299"/>
      <c r="QUE72" s="299"/>
      <c r="QUF72" s="299"/>
      <c r="QUG72" s="299"/>
      <c r="QUH72" s="299"/>
      <c r="QUI72" s="299"/>
      <c r="QUJ72" s="299"/>
      <c r="QUK72" s="299"/>
      <c r="QUL72" s="299"/>
      <c r="QUM72" s="299"/>
      <c r="QUN72" s="299"/>
      <c r="QUO72" s="299"/>
      <c r="QUP72" s="299"/>
      <c r="QUQ72" s="299"/>
      <c r="QUR72" s="299"/>
      <c r="QUS72" s="299"/>
      <c r="QUT72" s="299"/>
      <c r="QUU72" s="299"/>
      <c r="QUV72" s="299"/>
      <c r="QUW72" s="299"/>
      <c r="QUX72" s="299"/>
      <c r="QUY72" s="299"/>
      <c r="QUZ72" s="299"/>
      <c r="QVA72" s="299"/>
      <c r="QVB72" s="299"/>
      <c r="QVC72" s="299"/>
      <c r="QVD72" s="299"/>
      <c r="QVE72" s="299"/>
      <c r="QVF72" s="299"/>
      <c r="QVG72" s="299"/>
      <c r="QVH72" s="299"/>
      <c r="QVI72" s="299"/>
      <c r="QVJ72" s="299"/>
      <c r="QVK72" s="299"/>
      <c r="QVL72" s="299"/>
      <c r="QVM72" s="299"/>
      <c r="QVN72" s="299"/>
      <c r="QVO72" s="299"/>
      <c r="QVP72" s="299"/>
      <c r="QVQ72" s="299"/>
      <c r="QVR72" s="299"/>
      <c r="QVS72" s="299"/>
      <c r="QVT72" s="299"/>
      <c r="QVU72" s="299"/>
      <c r="QVV72" s="299"/>
      <c r="QVW72" s="299"/>
      <c r="QVX72" s="299"/>
      <c r="QVY72" s="299"/>
      <c r="QVZ72" s="299"/>
      <c r="QWA72" s="299"/>
      <c r="QWB72" s="299"/>
      <c r="QWC72" s="299"/>
      <c r="QWD72" s="299"/>
      <c r="QWE72" s="299"/>
      <c r="QWF72" s="299"/>
      <c r="QWG72" s="299"/>
      <c r="QWH72" s="299"/>
      <c r="QWI72" s="299"/>
      <c r="QWJ72" s="299"/>
      <c r="QWK72" s="299"/>
      <c r="QWL72" s="299"/>
      <c r="QWM72" s="299"/>
      <c r="QWN72" s="299"/>
      <c r="QWO72" s="299"/>
      <c r="QWP72" s="299"/>
      <c r="QWQ72" s="299"/>
      <c r="QWR72" s="299"/>
      <c r="QWS72" s="299"/>
      <c r="QWT72" s="299"/>
      <c r="QWU72" s="299"/>
      <c r="QWV72" s="299"/>
      <c r="QWW72" s="299"/>
      <c r="QWX72" s="299"/>
      <c r="QWY72" s="299"/>
      <c r="QWZ72" s="299"/>
      <c r="QXA72" s="299"/>
      <c r="QXB72" s="299"/>
      <c r="QXC72" s="299"/>
      <c r="QXD72" s="299"/>
      <c r="QXE72" s="299"/>
      <c r="QXF72" s="299"/>
      <c r="QXG72" s="299"/>
      <c r="QXH72" s="299"/>
      <c r="QXI72" s="299"/>
      <c r="QXJ72" s="299"/>
      <c r="QXK72" s="299"/>
      <c r="QXL72" s="299"/>
      <c r="QXM72" s="299"/>
      <c r="QXN72" s="299"/>
      <c r="QXO72" s="299"/>
      <c r="QXP72" s="299"/>
      <c r="QXQ72" s="299"/>
      <c r="QXR72" s="299"/>
      <c r="QXS72" s="299"/>
      <c r="QXT72" s="299"/>
      <c r="QXU72" s="299"/>
      <c r="QXV72" s="299"/>
      <c r="QXW72" s="299"/>
      <c r="QXX72" s="299"/>
      <c r="QXY72" s="299"/>
      <c r="QXZ72" s="299"/>
      <c r="QYA72" s="299"/>
      <c r="QYB72" s="299"/>
      <c r="QYC72" s="299"/>
      <c r="QYD72" s="299"/>
      <c r="QYE72" s="299"/>
      <c r="QYF72" s="299"/>
      <c r="QYG72" s="299"/>
      <c r="QYH72" s="299"/>
      <c r="QYI72" s="299"/>
      <c r="QYJ72" s="299"/>
      <c r="QYK72" s="299"/>
      <c r="QYL72" s="299"/>
      <c r="QYM72" s="299"/>
      <c r="QYN72" s="299"/>
      <c r="QYO72" s="299"/>
      <c r="QYP72" s="299"/>
      <c r="QYQ72" s="299"/>
      <c r="QYR72" s="299"/>
      <c r="QYS72" s="299"/>
      <c r="QYT72" s="299"/>
      <c r="QYU72" s="299"/>
      <c r="QYV72" s="299"/>
      <c r="QYW72" s="299"/>
      <c r="QYX72" s="299"/>
      <c r="QYY72" s="299"/>
      <c r="QYZ72" s="299"/>
      <c r="QZA72" s="299"/>
      <c r="QZB72" s="299"/>
      <c r="QZC72" s="299"/>
      <c r="QZD72" s="299"/>
      <c r="QZE72" s="299"/>
      <c r="QZF72" s="299"/>
      <c r="QZG72" s="299"/>
      <c r="QZH72" s="299"/>
      <c r="QZI72" s="299"/>
      <c r="QZJ72" s="299"/>
      <c r="QZK72" s="299"/>
      <c r="QZL72" s="299"/>
      <c r="QZM72" s="299"/>
      <c r="QZN72" s="299"/>
      <c r="QZO72" s="299"/>
      <c r="QZP72" s="299"/>
      <c r="QZQ72" s="299"/>
      <c r="QZR72" s="299"/>
      <c r="QZS72" s="299"/>
      <c r="QZT72" s="299"/>
      <c r="QZU72" s="299"/>
      <c r="QZV72" s="299"/>
      <c r="QZW72" s="299"/>
      <c r="QZX72" s="299"/>
      <c r="QZY72" s="299"/>
      <c r="QZZ72" s="299"/>
      <c r="RAA72" s="299"/>
      <c r="RAB72" s="299"/>
      <c r="RAC72" s="299"/>
      <c r="RAD72" s="299"/>
      <c r="RAE72" s="299"/>
      <c r="RAF72" s="299"/>
      <c r="RAG72" s="299"/>
      <c r="RAH72" s="299"/>
      <c r="RAI72" s="299"/>
      <c r="RAJ72" s="299"/>
      <c r="RAK72" s="299"/>
      <c r="RAL72" s="299"/>
      <c r="RAM72" s="299"/>
      <c r="RAN72" s="299"/>
      <c r="RAO72" s="299"/>
      <c r="RAP72" s="299"/>
      <c r="RAQ72" s="299"/>
      <c r="RAR72" s="299"/>
      <c r="RAS72" s="299"/>
      <c r="RAT72" s="299"/>
      <c r="RAU72" s="299"/>
      <c r="RAV72" s="299"/>
      <c r="RAW72" s="299"/>
      <c r="RAX72" s="299"/>
      <c r="RAY72" s="299"/>
      <c r="RAZ72" s="299"/>
      <c r="RBA72" s="299"/>
      <c r="RBB72" s="299"/>
      <c r="RBC72" s="299"/>
      <c r="RBD72" s="299"/>
      <c r="RBE72" s="299"/>
      <c r="RBF72" s="299"/>
      <c r="RBG72" s="299"/>
      <c r="RBH72" s="299"/>
      <c r="RBI72" s="299"/>
      <c r="RBJ72" s="299"/>
      <c r="RBK72" s="299"/>
      <c r="RBL72" s="299"/>
      <c r="RBM72" s="299"/>
      <c r="RBN72" s="299"/>
      <c r="RBO72" s="299"/>
      <c r="RBP72" s="299"/>
      <c r="RBQ72" s="299"/>
      <c r="RBR72" s="299"/>
      <c r="RBS72" s="299"/>
      <c r="RBT72" s="299"/>
      <c r="RBU72" s="299"/>
      <c r="RBV72" s="299"/>
      <c r="RBW72" s="299"/>
      <c r="RBX72" s="299"/>
      <c r="RBY72" s="299"/>
      <c r="RBZ72" s="299"/>
      <c r="RCA72" s="299"/>
      <c r="RCB72" s="299"/>
      <c r="RCC72" s="299"/>
      <c r="RCD72" s="299"/>
      <c r="RCE72" s="299"/>
      <c r="RCF72" s="299"/>
      <c r="RCG72" s="299"/>
      <c r="RCH72" s="299"/>
      <c r="RCI72" s="299"/>
      <c r="RCJ72" s="299"/>
      <c r="RCK72" s="299"/>
      <c r="RCL72" s="299"/>
      <c r="RCM72" s="299"/>
      <c r="RCN72" s="299"/>
      <c r="RCO72" s="299"/>
      <c r="RCP72" s="299"/>
      <c r="RCQ72" s="299"/>
      <c r="RCR72" s="299"/>
      <c r="RCS72" s="299"/>
      <c r="RCT72" s="299"/>
      <c r="RCU72" s="299"/>
      <c r="RCV72" s="299"/>
      <c r="RCW72" s="299"/>
      <c r="RCX72" s="299"/>
      <c r="RCY72" s="299"/>
      <c r="RCZ72" s="299"/>
      <c r="RDA72" s="299"/>
      <c r="RDB72" s="299"/>
      <c r="RDC72" s="299"/>
      <c r="RDD72" s="299"/>
      <c r="RDE72" s="299"/>
      <c r="RDF72" s="299"/>
      <c r="RDG72" s="299"/>
      <c r="RDH72" s="299"/>
      <c r="RDI72" s="299"/>
      <c r="RDJ72" s="299"/>
      <c r="RDK72" s="299"/>
      <c r="RDL72" s="299"/>
      <c r="RDM72" s="299"/>
      <c r="RDN72" s="299"/>
      <c r="RDO72" s="299"/>
      <c r="RDP72" s="299"/>
      <c r="RDQ72" s="299"/>
      <c r="RDR72" s="299"/>
      <c r="RDS72" s="299"/>
      <c r="RDT72" s="299"/>
      <c r="RDU72" s="299"/>
      <c r="RDV72" s="299"/>
      <c r="RDW72" s="299"/>
      <c r="RDX72" s="299"/>
      <c r="RDY72" s="299"/>
      <c r="RDZ72" s="299"/>
      <c r="REA72" s="299"/>
      <c r="REB72" s="299"/>
      <c r="REC72" s="299"/>
      <c r="RED72" s="299"/>
      <c r="REE72" s="299"/>
      <c r="REF72" s="299"/>
      <c r="REG72" s="299"/>
      <c r="REH72" s="299"/>
      <c r="REI72" s="299"/>
      <c r="REJ72" s="299"/>
      <c r="REK72" s="299"/>
      <c r="REL72" s="299"/>
      <c r="REM72" s="299"/>
      <c r="REN72" s="299"/>
      <c r="REO72" s="299"/>
      <c r="REP72" s="299"/>
      <c r="REQ72" s="299"/>
      <c r="RER72" s="299"/>
      <c r="RES72" s="299"/>
      <c r="RET72" s="299"/>
      <c r="REU72" s="299"/>
      <c r="REV72" s="299"/>
      <c r="REW72" s="299"/>
      <c r="REX72" s="299"/>
      <c r="REY72" s="299"/>
      <c r="REZ72" s="299"/>
      <c r="RFA72" s="299"/>
      <c r="RFB72" s="299"/>
      <c r="RFC72" s="299"/>
      <c r="RFD72" s="299"/>
      <c r="RFE72" s="299"/>
      <c r="RFF72" s="299"/>
      <c r="RFG72" s="299"/>
      <c r="RFH72" s="299"/>
      <c r="RFI72" s="299"/>
      <c r="RFJ72" s="299"/>
      <c r="RFK72" s="299"/>
      <c r="RFL72" s="299"/>
      <c r="RFM72" s="299"/>
      <c r="RFN72" s="299"/>
      <c r="RFO72" s="299"/>
      <c r="RFP72" s="299"/>
      <c r="RFQ72" s="299"/>
      <c r="RFR72" s="299"/>
      <c r="RFS72" s="299"/>
      <c r="RFT72" s="299"/>
      <c r="RFU72" s="299"/>
      <c r="RFV72" s="299"/>
      <c r="RFW72" s="299"/>
      <c r="RFX72" s="299"/>
      <c r="RFY72" s="299"/>
      <c r="RFZ72" s="299"/>
      <c r="RGA72" s="299"/>
      <c r="RGB72" s="299"/>
      <c r="RGC72" s="299"/>
      <c r="RGD72" s="299"/>
      <c r="RGE72" s="299"/>
      <c r="RGF72" s="299"/>
      <c r="RGG72" s="299"/>
      <c r="RGH72" s="299"/>
      <c r="RGI72" s="299"/>
      <c r="RGJ72" s="299"/>
      <c r="RGK72" s="299"/>
      <c r="RGL72" s="299"/>
      <c r="RGM72" s="299"/>
      <c r="RGN72" s="299"/>
      <c r="RGO72" s="299"/>
      <c r="RGP72" s="299"/>
      <c r="RGQ72" s="299"/>
      <c r="RGR72" s="299"/>
      <c r="RGS72" s="299"/>
      <c r="RGT72" s="299"/>
      <c r="RGU72" s="299"/>
      <c r="RGV72" s="299"/>
      <c r="RGW72" s="299"/>
      <c r="RGX72" s="299"/>
      <c r="RGY72" s="299"/>
      <c r="RGZ72" s="299"/>
      <c r="RHA72" s="299"/>
      <c r="RHB72" s="299"/>
      <c r="RHC72" s="299"/>
      <c r="RHD72" s="299"/>
      <c r="RHE72" s="299"/>
      <c r="RHF72" s="299"/>
      <c r="RHG72" s="299"/>
      <c r="RHH72" s="299"/>
      <c r="RHI72" s="299"/>
      <c r="RHJ72" s="299"/>
      <c r="RHK72" s="299"/>
      <c r="RHL72" s="299"/>
      <c r="RHM72" s="299"/>
      <c r="RHN72" s="299"/>
      <c r="RHO72" s="299"/>
      <c r="RHP72" s="299"/>
      <c r="RHQ72" s="299"/>
      <c r="RHR72" s="299"/>
      <c r="RHS72" s="299"/>
      <c r="RHT72" s="299"/>
      <c r="RHU72" s="299"/>
      <c r="RHV72" s="299"/>
      <c r="RHW72" s="299"/>
      <c r="RHX72" s="299"/>
      <c r="RHY72" s="299"/>
      <c r="RHZ72" s="299"/>
      <c r="RIA72" s="299"/>
      <c r="RIB72" s="299"/>
      <c r="RIC72" s="299"/>
      <c r="RID72" s="299"/>
      <c r="RIE72" s="299"/>
      <c r="RIF72" s="299"/>
      <c r="RIG72" s="299"/>
      <c r="RIH72" s="299"/>
      <c r="RII72" s="299"/>
      <c r="RIJ72" s="299"/>
      <c r="RIK72" s="299"/>
      <c r="RIL72" s="299"/>
      <c r="RIM72" s="299"/>
      <c r="RIN72" s="299"/>
      <c r="RIO72" s="299"/>
      <c r="RIP72" s="299"/>
      <c r="RIQ72" s="299"/>
      <c r="RIR72" s="299"/>
      <c r="RIS72" s="299"/>
      <c r="RIT72" s="299"/>
      <c r="RIU72" s="299"/>
      <c r="RIV72" s="299"/>
      <c r="RIW72" s="299"/>
      <c r="RIX72" s="299"/>
      <c r="RIY72" s="299"/>
      <c r="RIZ72" s="299"/>
      <c r="RJA72" s="299"/>
      <c r="RJB72" s="299"/>
      <c r="RJC72" s="299"/>
      <c r="RJD72" s="299"/>
      <c r="RJE72" s="299"/>
      <c r="RJF72" s="299"/>
      <c r="RJG72" s="299"/>
      <c r="RJH72" s="299"/>
      <c r="RJI72" s="299"/>
      <c r="RJJ72" s="299"/>
      <c r="RJK72" s="299"/>
      <c r="RJL72" s="299"/>
      <c r="RJM72" s="299"/>
      <c r="RJN72" s="299"/>
      <c r="RJO72" s="299"/>
      <c r="RJP72" s="299"/>
      <c r="RJQ72" s="299"/>
      <c r="RJR72" s="299"/>
      <c r="RJS72" s="299"/>
      <c r="RJT72" s="299"/>
      <c r="RJU72" s="299"/>
      <c r="RJV72" s="299"/>
      <c r="RJW72" s="299"/>
      <c r="RJX72" s="299"/>
      <c r="RJY72" s="299"/>
      <c r="RJZ72" s="299"/>
      <c r="RKA72" s="299"/>
      <c r="RKB72" s="299"/>
      <c r="RKC72" s="299"/>
      <c r="RKD72" s="299"/>
      <c r="RKE72" s="299"/>
      <c r="RKF72" s="299"/>
      <c r="RKG72" s="299"/>
      <c r="RKH72" s="299"/>
      <c r="RKI72" s="299"/>
      <c r="RKJ72" s="299"/>
      <c r="RKK72" s="299"/>
      <c r="RKL72" s="299"/>
      <c r="RKM72" s="299"/>
      <c r="RKN72" s="299"/>
      <c r="RKO72" s="299"/>
      <c r="RKP72" s="299"/>
      <c r="RKQ72" s="299"/>
      <c r="RKR72" s="299"/>
      <c r="RKS72" s="299"/>
      <c r="RKT72" s="299"/>
      <c r="RKU72" s="299"/>
      <c r="RKV72" s="299"/>
      <c r="RKW72" s="299"/>
      <c r="RKX72" s="299"/>
      <c r="RKY72" s="299"/>
      <c r="RKZ72" s="299"/>
      <c r="RLA72" s="299"/>
      <c r="RLB72" s="299"/>
      <c r="RLC72" s="299"/>
      <c r="RLD72" s="299"/>
      <c r="RLE72" s="299"/>
      <c r="RLF72" s="299"/>
      <c r="RLG72" s="299"/>
      <c r="RLH72" s="299"/>
      <c r="RLI72" s="299"/>
      <c r="RLJ72" s="299"/>
      <c r="RLK72" s="299"/>
      <c r="RLL72" s="299"/>
      <c r="RLM72" s="299"/>
      <c r="RLN72" s="299"/>
      <c r="RLO72" s="299"/>
      <c r="RLP72" s="299"/>
      <c r="RLQ72" s="299"/>
      <c r="RLR72" s="299"/>
      <c r="RLS72" s="299"/>
      <c r="RLT72" s="299"/>
      <c r="RLU72" s="299"/>
      <c r="RLV72" s="299"/>
      <c r="RLW72" s="299"/>
      <c r="RLX72" s="299"/>
      <c r="RLY72" s="299"/>
      <c r="RLZ72" s="299"/>
      <c r="RMA72" s="299"/>
      <c r="RMB72" s="299"/>
      <c r="RMC72" s="299"/>
      <c r="RMD72" s="299"/>
      <c r="RME72" s="299"/>
      <c r="RMF72" s="299"/>
      <c r="RMG72" s="299"/>
      <c r="RMH72" s="299"/>
      <c r="RMI72" s="299"/>
      <c r="RMJ72" s="299"/>
      <c r="RMK72" s="299"/>
      <c r="RML72" s="299"/>
      <c r="RMM72" s="299"/>
      <c r="RMN72" s="299"/>
      <c r="RMO72" s="299"/>
      <c r="RMP72" s="299"/>
      <c r="RMQ72" s="299"/>
      <c r="RMR72" s="299"/>
      <c r="RMS72" s="299"/>
      <c r="RMT72" s="299"/>
      <c r="RMU72" s="299"/>
      <c r="RMV72" s="299"/>
      <c r="RMW72" s="299"/>
      <c r="RMX72" s="299"/>
      <c r="RMY72" s="299"/>
      <c r="RMZ72" s="299"/>
      <c r="RNA72" s="299"/>
      <c r="RNB72" s="299"/>
      <c r="RNC72" s="299"/>
      <c r="RND72" s="299"/>
      <c r="RNE72" s="299"/>
      <c r="RNF72" s="299"/>
      <c r="RNG72" s="299"/>
      <c r="RNH72" s="299"/>
      <c r="RNI72" s="299"/>
      <c r="RNJ72" s="299"/>
      <c r="RNK72" s="299"/>
      <c r="RNL72" s="299"/>
      <c r="RNM72" s="299"/>
      <c r="RNN72" s="299"/>
      <c r="RNO72" s="299"/>
      <c r="RNP72" s="299"/>
      <c r="RNQ72" s="299"/>
      <c r="RNR72" s="299"/>
      <c r="RNS72" s="299"/>
      <c r="RNT72" s="299"/>
      <c r="RNU72" s="299"/>
      <c r="RNV72" s="299"/>
      <c r="RNW72" s="299"/>
      <c r="RNX72" s="299"/>
      <c r="RNY72" s="299"/>
      <c r="RNZ72" s="299"/>
      <c r="ROA72" s="299"/>
      <c r="ROB72" s="299"/>
      <c r="ROC72" s="299"/>
      <c r="ROD72" s="299"/>
      <c r="ROE72" s="299"/>
      <c r="ROF72" s="299"/>
      <c r="ROG72" s="299"/>
      <c r="ROH72" s="299"/>
      <c r="ROI72" s="299"/>
      <c r="ROJ72" s="299"/>
      <c r="ROK72" s="299"/>
      <c r="ROL72" s="299"/>
      <c r="ROM72" s="299"/>
      <c r="RON72" s="299"/>
      <c r="ROO72" s="299"/>
      <c r="ROP72" s="299"/>
      <c r="ROQ72" s="299"/>
      <c r="ROR72" s="299"/>
      <c r="ROS72" s="299"/>
      <c r="ROT72" s="299"/>
      <c r="ROU72" s="299"/>
      <c r="ROV72" s="299"/>
      <c r="ROW72" s="299"/>
      <c r="ROX72" s="299"/>
      <c r="ROY72" s="299"/>
      <c r="ROZ72" s="299"/>
      <c r="RPA72" s="299"/>
      <c r="RPB72" s="299"/>
      <c r="RPC72" s="299"/>
      <c r="RPD72" s="299"/>
      <c r="RPE72" s="299"/>
      <c r="RPF72" s="299"/>
      <c r="RPG72" s="299"/>
      <c r="RPH72" s="299"/>
      <c r="RPI72" s="299"/>
      <c r="RPJ72" s="299"/>
      <c r="RPK72" s="299"/>
      <c r="RPL72" s="299"/>
      <c r="RPM72" s="299"/>
      <c r="RPN72" s="299"/>
      <c r="RPO72" s="299"/>
      <c r="RPP72" s="299"/>
      <c r="RPQ72" s="299"/>
      <c r="RPR72" s="299"/>
      <c r="RPS72" s="299"/>
      <c r="RPT72" s="299"/>
      <c r="RPU72" s="299"/>
      <c r="RPV72" s="299"/>
      <c r="RPW72" s="299"/>
      <c r="RPX72" s="299"/>
      <c r="RPY72" s="299"/>
      <c r="RPZ72" s="299"/>
      <c r="RQA72" s="299"/>
      <c r="RQB72" s="299"/>
      <c r="RQC72" s="299"/>
      <c r="RQD72" s="299"/>
      <c r="RQE72" s="299"/>
      <c r="RQF72" s="299"/>
      <c r="RQG72" s="299"/>
      <c r="RQH72" s="299"/>
      <c r="RQI72" s="299"/>
      <c r="RQJ72" s="299"/>
      <c r="RQK72" s="299"/>
      <c r="RQL72" s="299"/>
      <c r="RQM72" s="299"/>
      <c r="RQN72" s="299"/>
      <c r="RQO72" s="299"/>
      <c r="RQP72" s="299"/>
      <c r="RQQ72" s="299"/>
      <c r="RQR72" s="299"/>
      <c r="RQS72" s="299"/>
      <c r="RQT72" s="299"/>
      <c r="RQU72" s="299"/>
      <c r="RQV72" s="299"/>
      <c r="RQW72" s="299"/>
      <c r="RQX72" s="299"/>
      <c r="RQY72" s="299"/>
      <c r="RQZ72" s="299"/>
      <c r="RRA72" s="299"/>
      <c r="RRB72" s="299"/>
      <c r="RRC72" s="299"/>
      <c r="RRD72" s="299"/>
      <c r="RRE72" s="299"/>
      <c r="RRF72" s="299"/>
      <c r="RRG72" s="299"/>
      <c r="RRH72" s="299"/>
      <c r="RRI72" s="299"/>
      <c r="RRJ72" s="299"/>
      <c r="RRK72" s="299"/>
      <c r="RRL72" s="299"/>
      <c r="RRM72" s="299"/>
      <c r="RRN72" s="299"/>
      <c r="RRO72" s="299"/>
      <c r="RRP72" s="299"/>
      <c r="RRQ72" s="299"/>
      <c r="RRR72" s="299"/>
      <c r="RRS72" s="299"/>
      <c r="RRT72" s="299"/>
      <c r="RRU72" s="299"/>
      <c r="RRV72" s="299"/>
      <c r="RRW72" s="299"/>
      <c r="RRX72" s="299"/>
      <c r="RRY72" s="299"/>
      <c r="RRZ72" s="299"/>
      <c r="RSA72" s="299"/>
      <c r="RSB72" s="299"/>
      <c r="RSC72" s="299"/>
      <c r="RSD72" s="299"/>
      <c r="RSE72" s="299"/>
      <c r="RSF72" s="299"/>
      <c r="RSG72" s="299"/>
      <c r="RSH72" s="299"/>
      <c r="RSI72" s="299"/>
      <c r="RSJ72" s="299"/>
      <c r="RSK72" s="299"/>
      <c r="RSL72" s="299"/>
      <c r="RSM72" s="299"/>
      <c r="RSN72" s="299"/>
      <c r="RSO72" s="299"/>
      <c r="RSP72" s="299"/>
      <c r="RSQ72" s="299"/>
      <c r="RSR72" s="299"/>
      <c r="RSS72" s="299"/>
      <c r="RST72" s="299"/>
      <c r="RSU72" s="299"/>
      <c r="RSV72" s="299"/>
      <c r="RSW72" s="299"/>
      <c r="RSX72" s="299"/>
      <c r="RSY72" s="299"/>
      <c r="RSZ72" s="299"/>
      <c r="RTA72" s="299"/>
      <c r="RTB72" s="299"/>
      <c r="RTC72" s="299"/>
      <c r="RTD72" s="299"/>
      <c r="RTE72" s="299"/>
      <c r="RTF72" s="299"/>
      <c r="RTG72" s="299"/>
      <c r="RTH72" s="299"/>
      <c r="RTI72" s="299"/>
      <c r="RTJ72" s="299"/>
      <c r="RTK72" s="299"/>
      <c r="RTL72" s="299"/>
      <c r="RTM72" s="299"/>
      <c r="RTN72" s="299"/>
      <c r="RTO72" s="299"/>
      <c r="RTP72" s="299"/>
      <c r="RTQ72" s="299"/>
      <c r="RTR72" s="299"/>
      <c r="RTS72" s="299"/>
      <c r="RTT72" s="299"/>
      <c r="RTU72" s="299"/>
      <c r="RTV72" s="299"/>
      <c r="RTW72" s="299"/>
      <c r="RTX72" s="299"/>
      <c r="RTY72" s="299"/>
      <c r="RTZ72" s="299"/>
      <c r="RUA72" s="299"/>
      <c r="RUB72" s="299"/>
      <c r="RUC72" s="299"/>
      <c r="RUD72" s="299"/>
      <c r="RUE72" s="299"/>
      <c r="RUF72" s="299"/>
      <c r="RUG72" s="299"/>
      <c r="RUH72" s="299"/>
      <c r="RUI72" s="299"/>
      <c r="RUJ72" s="299"/>
      <c r="RUK72" s="299"/>
      <c r="RUL72" s="299"/>
      <c r="RUM72" s="299"/>
      <c r="RUN72" s="299"/>
      <c r="RUO72" s="299"/>
      <c r="RUP72" s="299"/>
      <c r="RUQ72" s="299"/>
      <c r="RUR72" s="299"/>
      <c r="RUS72" s="299"/>
      <c r="RUT72" s="299"/>
      <c r="RUU72" s="299"/>
      <c r="RUV72" s="299"/>
      <c r="RUW72" s="299"/>
      <c r="RUX72" s="299"/>
      <c r="RUY72" s="299"/>
      <c r="RUZ72" s="299"/>
      <c r="RVA72" s="299"/>
      <c r="RVB72" s="299"/>
      <c r="RVC72" s="299"/>
      <c r="RVD72" s="299"/>
      <c r="RVE72" s="299"/>
      <c r="RVF72" s="299"/>
      <c r="RVG72" s="299"/>
      <c r="RVH72" s="299"/>
      <c r="RVI72" s="299"/>
      <c r="RVJ72" s="299"/>
      <c r="RVK72" s="299"/>
      <c r="RVL72" s="299"/>
      <c r="RVM72" s="299"/>
      <c r="RVN72" s="299"/>
      <c r="RVO72" s="299"/>
      <c r="RVP72" s="299"/>
      <c r="RVQ72" s="299"/>
      <c r="RVR72" s="299"/>
      <c r="RVS72" s="299"/>
      <c r="RVT72" s="299"/>
      <c r="RVU72" s="299"/>
      <c r="RVV72" s="299"/>
      <c r="RVW72" s="299"/>
      <c r="RVX72" s="299"/>
      <c r="RVY72" s="299"/>
      <c r="RVZ72" s="299"/>
      <c r="RWA72" s="299"/>
      <c r="RWB72" s="299"/>
      <c r="RWC72" s="299"/>
      <c r="RWD72" s="299"/>
      <c r="RWE72" s="299"/>
      <c r="RWF72" s="299"/>
      <c r="RWG72" s="299"/>
      <c r="RWH72" s="299"/>
      <c r="RWI72" s="299"/>
      <c r="RWJ72" s="299"/>
      <c r="RWK72" s="299"/>
      <c r="RWL72" s="299"/>
      <c r="RWM72" s="299"/>
      <c r="RWN72" s="299"/>
      <c r="RWO72" s="299"/>
      <c r="RWP72" s="299"/>
      <c r="RWQ72" s="299"/>
      <c r="RWR72" s="299"/>
      <c r="RWS72" s="299"/>
      <c r="RWT72" s="299"/>
      <c r="RWU72" s="299"/>
      <c r="RWV72" s="299"/>
      <c r="RWW72" s="299"/>
      <c r="RWX72" s="299"/>
      <c r="RWY72" s="299"/>
      <c r="RWZ72" s="299"/>
      <c r="RXA72" s="299"/>
      <c r="RXB72" s="299"/>
      <c r="RXC72" s="299"/>
      <c r="RXD72" s="299"/>
      <c r="RXE72" s="299"/>
      <c r="RXF72" s="299"/>
      <c r="RXG72" s="299"/>
      <c r="RXH72" s="299"/>
      <c r="RXI72" s="299"/>
      <c r="RXJ72" s="299"/>
      <c r="RXK72" s="299"/>
      <c r="RXL72" s="299"/>
      <c r="RXM72" s="299"/>
      <c r="RXN72" s="299"/>
      <c r="RXO72" s="299"/>
      <c r="RXP72" s="299"/>
      <c r="RXQ72" s="299"/>
      <c r="RXR72" s="299"/>
      <c r="RXS72" s="299"/>
      <c r="RXT72" s="299"/>
      <c r="RXU72" s="299"/>
      <c r="RXV72" s="299"/>
      <c r="RXW72" s="299"/>
      <c r="RXX72" s="299"/>
      <c r="RXY72" s="299"/>
      <c r="RXZ72" s="299"/>
      <c r="RYA72" s="299"/>
      <c r="RYB72" s="299"/>
      <c r="RYC72" s="299"/>
      <c r="RYD72" s="299"/>
      <c r="RYE72" s="299"/>
      <c r="RYF72" s="299"/>
      <c r="RYG72" s="299"/>
      <c r="RYH72" s="299"/>
      <c r="RYI72" s="299"/>
      <c r="RYJ72" s="299"/>
      <c r="RYK72" s="299"/>
      <c r="RYL72" s="299"/>
      <c r="RYM72" s="299"/>
      <c r="RYN72" s="299"/>
      <c r="RYO72" s="299"/>
      <c r="RYP72" s="299"/>
      <c r="RYQ72" s="299"/>
      <c r="RYR72" s="299"/>
      <c r="RYS72" s="299"/>
      <c r="RYT72" s="299"/>
      <c r="RYU72" s="299"/>
      <c r="RYV72" s="299"/>
      <c r="RYW72" s="299"/>
      <c r="RYX72" s="299"/>
      <c r="RYY72" s="299"/>
      <c r="RYZ72" s="299"/>
      <c r="RZA72" s="299"/>
      <c r="RZB72" s="299"/>
      <c r="RZC72" s="299"/>
      <c r="RZD72" s="299"/>
      <c r="RZE72" s="299"/>
      <c r="RZF72" s="299"/>
      <c r="RZG72" s="299"/>
      <c r="RZH72" s="299"/>
      <c r="RZI72" s="299"/>
      <c r="RZJ72" s="299"/>
      <c r="RZK72" s="299"/>
      <c r="RZL72" s="299"/>
      <c r="RZM72" s="299"/>
      <c r="RZN72" s="299"/>
      <c r="RZO72" s="299"/>
      <c r="RZP72" s="299"/>
      <c r="RZQ72" s="299"/>
      <c r="RZR72" s="299"/>
      <c r="RZS72" s="299"/>
      <c r="RZT72" s="299"/>
      <c r="RZU72" s="299"/>
      <c r="RZV72" s="299"/>
      <c r="RZW72" s="299"/>
      <c r="RZX72" s="299"/>
      <c r="RZY72" s="299"/>
      <c r="RZZ72" s="299"/>
      <c r="SAA72" s="299"/>
      <c r="SAB72" s="299"/>
      <c r="SAC72" s="299"/>
      <c r="SAD72" s="299"/>
      <c r="SAE72" s="299"/>
      <c r="SAF72" s="299"/>
      <c r="SAG72" s="299"/>
      <c r="SAH72" s="299"/>
      <c r="SAI72" s="299"/>
      <c r="SAJ72" s="299"/>
      <c r="SAK72" s="299"/>
      <c r="SAL72" s="299"/>
      <c r="SAM72" s="299"/>
      <c r="SAN72" s="299"/>
      <c r="SAO72" s="299"/>
      <c r="SAP72" s="299"/>
      <c r="SAQ72" s="299"/>
      <c r="SAR72" s="299"/>
      <c r="SAS72" s="299"/>
      <c r="SAT72" s="299"/>
      <c r="SAU72" s="299"/>
      <c r="SAV72" s="299"/>
      <c r="SAW72" s="299"/>
      <c r="SAX72" s="299"/>
      <c r="SAY72" s="299"/>
      <c r="SAZ72" s="299"/>
      <c r="SBA72" s="299"/>
      <c r="SBB72" s="299"/>
      <c r="SBC72" s="299"/>
      <c r="SBD72" s="299"/>
      <c r="SBE72" s="299"/>
      <c r="SBF72" s="299"/>
      <c r="SBG72" s="299"/>
      <c r="SBH72" s="299"/>
      <c r="SBI72" s="299"/>
      <c r="SBJ72" s="299"/>
      <c r="SBK72" s="299"/>
      <c r="SBL72" s="299"/>
      <c r="SBM72" s="299"/>
      <c r="SBN72" s="299"/>
      <c r="SBO72" s="299"/>
      <c r="SBP72" s="299"/>
      <c r="SBQ72" s="299"/>
      <c r="SBR72" s="299"/>
      <c r="SBS72" s="299"/>
      <c r="SBT72" s="299"/>
      <c r="SBU72" s="299"/>
      <c r="SBV72" s="299"/>
      <c r="SBW72" s="299"/>
      <c r="SBX72" s="299"/>
      <c r="SBY72" s="299"/>
      <c r="SBZ72" s="299"/>
      <c r="SCA72" s="299"/>
      <c r="SCB72" s="299"/>
      <c r="SCC72" s="299"/>
      <c r="SCD72" s="299"/>
      <c r="SCE72" s="299"/>
      <c r="SCF72" s="299"/>
      <c r="SCG72" s="299"/>
      <c r="SCH72" s="299"/>
      <c r="SCI72" s="299"/>
      <c r="SCJ72" s="299"/>
      <c r="SCK72" s="299"/>
      <c r="SCL72" s="299"/>
      <c r="SCM72" s="299"/>
      <c r="SCN72" s="299"/>
      <c r="SCO72" s="299"/>
      <c r="SCP72" s="299"/>
      <c r="SCQ72" s="299"/>
      <c r="SCR72" s="299"/>
      <c r="SCS72" s="299"/>
      <c r="SCT72" s="299"/>
      <c r="SCU72" s="299"/>
      <c r="SCV72" s="299"/>
      <c r="SCW72" s="299"/>
      <c r="SCX72" s="299"/>
      <c r="SCY72" s="299"/>
      <c r="SCZ72" s="299"/>
      <c r="SDA72" s="299"/>
      <c r="SDB72" s="299"/>
      <c r="SDC72" s="299"/>
      <c r="SDD72" s="299"/>
      <c r="SDE72" s="299"/>
      <c r="SDF72" s="299"/>
      <c r="SDG72" s="299"/>
      <c r="SDH72" s="299"/>
      <c r="SDI72" s="299"/>
      <c r="SDJ72" s="299"/>
      <c r="SDK72" s="299"/>
      <c r="SDL72" s="299"/>
      <c r="SDM72" s="299"/>
      <c r="SDN72" s="299"/>
      <c r="SDO72" s="299"/>
      <c r="SDP72" s="299"/>
      <c r="SDQ72" s="299"/>
      <c r="SDR72" s="299"/>
      <c r="SDS72" s="299"/>
      <c r="SDT72" s="299"/>
      <c r="SDU72" s="299"/>
      <c r="SDV72" s="299"/>
      <c r="SDW72" s="299"/>
      <c r="SDX72" s="299"/>
      <c r="SDY72" s="299"/>
      <c r="SDZ72" s="299"/>
      <c r="SEA72" s="299"/>
      <c r="SEB72" s="299"/>
      <c r="SEC72" s="299"/>
      <c r="SED72" s="299"/>
      <c r="SEE72" s="299"/>
      <c r="SEF72" s="299"/>
      <c r="SEG72" s="299"/>
      <c r="SEH72" s="299"/>
      <c r="SEI72" s="299"/>
      <c r="SEJ72" s="299"/>
      <c r="SEK72" s="299"/>
      <c r="SEL72" s="299"/>
      <c r="SEM72" s="299"/>
      <c r="SEN72" s="299"/>
      <c r="SEO72" s="299"/>
      <c r="SEP72" s="299"/>
      <c r="SEQ72" s="299"/>
      <c r="SER72" s="299"/>
      <c r="SES72" s="299"/>
      <c r="SET72" s="299"/>
      <c r="SEU72" s="299"/>
      <c r="SEV72" s="299"/>
      <c r="SEW72" s="299"/>
      <c r="SEX72" s="299"/>
      <c r="SEY72" s="299"/>
      <c r="SEZ72" s="299"/>
      <c r="SFA72" s="299"/>
      <c r="SFB72" s="299"/>
      <c r="SFC72" s="299"/>
      <c r="SFD72" s="299"/>
      <c r="SFE72" s="299"/>
      <c r="SFF72" s="299"/>
      <c r="SFG72" s="299"/>
      <c r="SFH72" s="299"/>
      <c r="SFI72" s="299"/>
      <c r="SFJ72" s="299"/>
      <c r="SFK72" s="299"/>
      <c r="SFL72" s="299"/>
      <c r="SFM72" s="299"/>
      <c r="SFN72" s="299"/>
      <c r="SFO72" s="299"/>
      <c r="SFP72" s="299"/>
      <c r="SFQ72" s="299"/>
      <c r="SFR72" s="299"/>
      <c r="SFS72" s="299"/>
      <c r="SFT72" s="299"/>
      <c r="SFU72" s="299"/>
      <c r="SFV72" s="299"/>
      <c r="SFW72" s="299"/>
      <c r="SFX72" s="299"/>
      <c r="SFY72" s="299"/>
      <c r="SFZ72" s="299"/>
      <c r="SGA72" s="299"/>
      <c r="SGB72" s="299"/>
      <c r="SGC72" s="299"/>
      <c r="SGD72" s="299"/>
      <c r="SGE72" s="299"/>
      <c r="SGF72" s="299"/>
      <c r="SGG72" s="299"/>
      <c r="SGH72" s="299"/>
      <c r="SGI72" s="299"/>
      <c r="SGJ72" s="299"/>
      <c r="SGK72" s="299"/>
      <c r="SGL72" s="299"/>
      <c r="SGM72" s="299"/>
      <c r="SGN72" s="299"/>
      <c r="SGO72" s="299"/>
      <c r="SGP72" s="299"/>
      <c r="SGQ72" s="299"/>
      <c r="SGR72" s="299"/>
      <c r="SGS72" s="299"/>
      <c r="SGT72" s="299"/>
      <c r="SGU72" s="299"/>
      <c r="SGV72" s="299"/>
      <c r="SGW72" s="299"/>
      <c r="SGX72" s="299"/>
      <c r="SGY72" s="299"/>
      <c r="SGZ72" s="299"/>
      <c r="SHA72" s="299"/>
      <c r="SHB72" s="299"/>
      <c r="SHC72" s="299"/>
      <c r="SHD72" s="299"/>
      <c r="SHE72" s="299"/>
      <c r="SHF72" s="299"/>
      <c r="SHG72" s="299"/>
      <c r="SHH72" s="299"/>
      <c r="SHI72" s="299"/>
      <c r="SHJ72" s="299"/>
      <c r="SHK72" s="299"/>
      <c r="SHL72" s="299"/>
      <c r="SHM72" s="299"/>
      <c r="SHN72" s="299"/>
      <c r="SHO72" s="299"/>
      <c r="SHP72" s="299"/>
      <c r="SHQ72" s="299"/>
      <c r="SHR72" s="299"/>
      <c r="SHS72" s="299"/>
      <c r="SHT72" s="299"/>
      <c r="SHU72" s="299"/>
      <c r="SHV72" s="299"/>
      <c r="SHW72" s="299"/>
      <c r="SHX72" s="299"/>
      <c r="SHY72" s="299"/>
      <c r="SHZ72" s="299"/>
      <c r="SIA72" s="299"/>
      <c r="SIB72" s="299"/>
      <c r="SIC72" s="299"/>
      <c r="SID72" s="299"/>
      <c r="SIE72" s="299"/>
      <c r="SIF72" s="299"/>
      <c r="SIG72" s="299"/>
      <c r="SIH72" s="299"/>
      <c r="SII72" s="299"/>
      <c r="SIJ72" s="299"/>
      <c r="SIK72" s="299"/>
      <c r="SIL72" s="299"/>
      <c r="SIM72" s="299"/>
      <c r="SIN72" s="299"/>
      <c r="SIO72" s="299"/>
      <c r="SIP72" s="299"/>
      <c r="SIQ72" s="299"/>
      <c r="SIR72" s="299"/>
      <c r="SIS72" s="299"/>
      <c r="SIT72" s="299"/>
      <c r="SIU72" s="299"/>
      <c r="SIV72" s="299"/>
      <c r="SIW72" s="299"/>
      <c r="SIX72" s="299"/>
      <c r="SIY72" s="299"/>
      <c r="SIZ72" s="299"/>
      <c r="SJA72" s="299"/>
      <c r="SJB72" s="299"/>
      <c r="SJC72" s="299"/>
      <c r="SJD72" s="299"/>
      <c r="SJE72" s="299"/>
      <c r="SJF72" s="299"/>
      <c r="SJG72" s="299"/>
      <c r="SJH72" s="299"/>
      <c r="SJI72" s="299"/>
      <c r="SJJ72" s="299"/>
      <c r="SJK72" s="299"/>
      <c r="SJL72" s="299"/>
      <c r="SJM72" s="299"/>
      <c r="SJN72" s="299"/>
      <c r="SJO72" s="299"/>
      <c r="SJP72" s="299"/>
      <c r="SJQ72" s="299"/>
      <c r="SJR72" s="299"/>
      <c r="SJS72" s="299"/>
      <c r="SJT72" s="299"/>
      <c r="SJU72" s="299"/>
      <c r="SJV72" s="299"/>
      <c r="SJW72" s="299"/>
      <c r="SJX72" s="299"/>
      <c r="SJY72" s="299"/>
      <c r="SJZ72" s="299"/>
      <c r="SKA72" s="299"/>
      <c r="SKB72" s="299"/>
      <c r="SKC72" s="299"/>
      <c r="SKD72" s="299"/>
      <c r="SKE72" s="299"/>
      <c r="SKF72" s="299"/>
      <c r="SKG72" s="299"/>
      <c r="SKH72" s="299"/>
      <c r="SKI72" s="299"/>
      <c r="SKJ72" s="299"/>
      <c r="SKK72" s="299"/>
      <c r="SKL72" s="299"/>
      <c r="SKM72" s="299"/>
      <c r="SKN72" s="299"/>
      <c r="SKO72" s="299"/>
      <c r="SKP72" s="299"/>
      <c r="SKQ72" s="299"/>
      <c r="SKR72" s="299"/>
      <c r="SKS72" s="299"/>
      <c r="SKT72" s="299"/>
      <c r="SKU72" s="299"/>
      <c r="SKV72" s="299"/>
      <c r="SKW72" s="299"/>
      <c r="SKX72" s="299"/>
      <c r="SKY72" s="299"/>
      <c r="SKZ72" s="299"/>
      <c r="SLA72" s="299"/>
      <c r="SLB72" s="299"/>
      <c r="SLC72" s="299"/>
      <c r="SLD72" s="299"/>
      <c r="SLE72" s="299"/>
      <c r="SLF72" s="299"/>
      <c r="SLG72" s="299"/>
      <c r="SLH72" s="299"/>
      <c r="SLI72" s="299"/>
      <c r="SLJ72" s="299"/>
      <c r="SLK72" s="299"/>
      <c r="SLL72" s="299"/>
      <c r="SLM72" s="299"/>
      <c r="SLN72" s="299"/>
      <c r="SLO72" s="299"/>
      <c r="SLP72" s="299"/>
      <c r="SLQ72" s="299"/>
      <c r="SLR72" s="299"/>
      <c r="SLS72" s="299"/>
      <c r="SLT72" s="299"/>
      <c r="SLU72" s="299"/>
      <c r="SLV72" s="299"/>
      <c r="SLW72" s="299"/>
      <c r="SLX72" s="299"/>
      <c r="SLY72" s="299"/>
      <c r="SLZ72" s="299"/>
      <c r="SMA72" s="299"/>
      <c r="SMB72" s="299"/>
      <c r="SMC72" s="299"/>
      <c r="SMD72" s="299"/>
      <c r="SME72" s="299"/>
      <c r="SMF72" s="299"/>
      <c r="SMG72" s="299"/>
      <c r="SMH72" s="299"/>
      <c r="SMI72" s="299"/>
      <c r="SMJ72" s="299"/>
      <c r="SMK72" s="299"/>
      <c r="SML72" s="299"/>
      <c r="SMM72" s="299"/>
      <c r="SMN72" s="299"/>
      <c r="SMO72" s="299"/>
      <c r="SMP72" s="299"/>
      <c r="SMQ72" s="299"/>
      <c r="SMR72" s="299"/>
      <c r="SMS72" s="299"/>
      <c r="SMT72" s="299"/>
      <c r="SMU72" s="299"/>
      <c r="SMV72" s="299"/>
      <c r="SMW72" s="299"/>
      <c r="SMX72" s="299"/>
      <c r="SMY72" s="299"/>
      <c r="SMZ72" s="299"/>
      <c r="SNA72" s="299"/>
      <c r="SNB72" s="299"/>
      <c r="SNC72" s="299"/>
      <c r="SND72" s="299"/>
      <c r="SNE72" s="299"/>
      <c r="SNF72" s="299"/>
      <c r="SNG72" s="299"/>
      <c r="SNH72" s="299"/>
      <c r="SNI72" s="299"/>
      <c r="SNJ72" s="299"/>
      <c r="SNK72" s="299"/>
      <c r="SNL72" s="299"/>
      <c r="SNM72" s="299"/>
      <c r="SNN72" s="299"/>
      <c r="SNO72" s="299"/>
      <c r="SNP72" s="299"/>
      <c r="SNQ72" s="299"/>
      <c r="SNR72" s="299"/>
      <c r="SNS72" s="299"/>
      <c r="SNT72" s="299"/>
      <c r="SNU72" s="299"/>
      <c r="SNV72" s="299"/>
      <c r="SNW72" s="299"/>
      <c r="SNX72" s="299"/>
      <c r="SNY72" s="299"/>
      <c r="SNZ72" s="299"/>
      <c r="SOA72" s="299"/>
      <c r="SOB72" s="299"/>
      <c r="SOC72" s="299"/>
      <c r="SOD72" s="299"/>
      <c r="SOE72" s="299"/>
      <c r="SOF72" s="299"/>
      <c r="SOG72" s="299"/>
      <c r="SOH72" s="299"/>
      <c r="SOI72" s="299"/>
      <c r="SOJ72" s="299"/>
      <c r="SOK72" s="299"/>
      <c r="SOL72" s="299"/>
      <c r="SOM72" s="299"/>
      <c r="SON72" s="299"/>
      <c r="SOO72" s="299"/>
      <c r="SOP72" s="299"/>
      <c r="SOQ72" s="299"/>
      <c r="SOR72" s="299"/>
      <c r="SOS72" s="299"/>
      <c r="SOT72" s="299"/>
      <c r="SOU72" s="299"/>
      <c r="SOV72" s="299"/>
      <c r="SOW72" s="299"/>
      <c r="SOX72" s="299"/>
      <c r="SOY72" s="299"/>
      <c r="SOZ72" s="299"/>
      <c r="SPA72" s="299"/>
      <c r="SPB72" s="299"/>
      <c r="SPC72" s="299"/>
      <c r="SPD72" s="299"/>
      <c r="SPE72" s="299"/>
      <c r="SPF72" s="299"/>
      <c r="SPG72" s="299"/>
      <c r="SPH72" s="299"/>
      <c r="SPI72" s="299"/>
      <c r="SPJ72" s="299"/>
      <c r="SPK72" s="299"/>
      <c r="SPL72" s="299"/>
      <c r="SPM72" s="299"/>
      <c r="SPN72" s="299"/>
      <c r="SPO72" s="299"/>
      <c r="SPP72" s="299"/>
      <c r="SPQ72" s="299"/>
      <c r="SPR72" s="299"/>
      <c r="SPS72" s="299"/>
      <c r="SPT72" s="299"/>
      <c r="SPU72" s="299"/>
      <c r="SPV72" s="299"/>
      <c r="SPW72" s="299"/>
      <c r="SPX72" s="299"/>
      <c r="SPY72" s="299"/>
      <c r="SPZ72" s="299"/>
      <c r="SQA72" s="299"/>
      <c r="SQB72" s="299"/>
      <c r="SQC72" s="299"/>
      <c r="SQD72" s="299"/>
      <c r="SQE72" s="299"/>
      <c r="SQF72" s="299"/>
      <c r="SQG72" s="299"/>
      <c r="SQH72" s="299"/>
      <c r="SQI72" s="299"/>
      <c r="SQJ72" s="299"/>
      <c r="SQK72" s="299"/>
      <c r="SQL72" s="299"/>
      <c r="SQM72" s="299"/>
      <c r="SQN72" s="299"/>
      <c r="SQO72" s="299"/>
      <c r="SQP72" s="299"/>
      <c r="SQQ72" s="299"/>
      <c r="SQR72" s="299"/>
      <c r="SQS72" s="299"/>
      <c r="SQT72" s="299"/>
      <c r="SQU72" s="299"/>
      <c r="SQV72" s="299"/>
      <c r="SQW72" s="299"/>
      <c r="SQX72" s="299"/>
      <c r="SQY72" s="299"/>
      <c r="SQZ72" s="299"/>
      <c r="SRA72" s="299"/>
      <c r="SRB72" s="299"/>
      <c r="SRC72" s="299"/>
      <c r="SRD72" s="299"/>
      <c r="SRE72" s="299"/>
      <c r="SRF72" s="299"/>
      <c r="SRG72" s="299"/>
      <c r="SRH72" s="299"/>
      <c r="SRI72" s="299"/>
      <c r="SRJ72" s="299"/>
      <c r="SRK72" s="299"/>
      <c r="SRL72" s="299"/>
      <c r="SRM72" s="299"/>
      <c r="SRN72" s="299"/>
      <c r="SRO72" s="299"/>
      <c r="SRP72" s="299"/>
      <c r="SRQ72" s="299"/>
      <c r="SRR72" s="299"/>
      <c r="SRS72" s="299"/>
      <c r="SRT72" s="299"/>
      <c r="SRU72" s="299"/>
      <c r="SRV72" s="299"/>
      <c r="SRW72" s="299"/>
      <c r="SRX72" s="299"/>
      <c r="SRY72" s="299"/>
      <c r="SRZ72" s="299"/>
      <c r="SSA72" s="299"/>
      <c r="SSB72" s="299"/>
      <c r="SSC72" s="299"/>
      <c r="SSD72" s="299"/>
      <c r="SSE72" s="299"/>
      <c r="SSF72" s="299"/>
      <c r="SSG72" s="299"/>
      <c r="SSH72" s="299"/>
      <c r="SSI72" s="299"/>
      <c r="SSJ72" s="299"/>
      <c r="SSK72" s="299"/>
      <c r="SSL72" s="299"/>
      <c r="SSM72" s="299"/>
      <c r="SSN72" s="299"/>
      <c r="SSO72" s="299"/>
      <c r="SSP72" s="299"/>
      <c r="SSQ72" s="299"/>
      <c r="SSR72" s="299"/>
      <c r="SSS72" s="299"/>
      <c r="SST72" s="299"/>
      <c r="SSU72" s="299"/>
      <c r="SSV72" s="299"/>
      <c r="SSW72" s="299"/>
      <c r="SSX72" s="299"/>
      <c r="SSY72" s="299"/>
      <c r="SSZ72" s="299"/>
      <c r="STA72" s="299"/>
      <c r="STB72" s="299"/>
      <c r="STC72" s="299"/>
      <c r="STD72" s="299"/>
      <c r="STE72" s="299"/>
      <c r="STF72" s="299"/>
      <c r="STG72" s="299"/>
      <c r="STH72" s="299"/>
      <c r="STI72" s="299"/>
      <c r="STJ72" s="299"/>
      <c r="STK72" s="299"/>
      <c r="STL72" s="299"/>
      <c r="STM72" s="299"/>
      <c r="STN72" s="299"/>
      <c r="STO72" s="299"/>
      <c r="STP72" s="299"/>
      <c r="STQ72" s="299"/>
      <c r="STR72" s="299"/>
      <c r="STS72" s="299"/>
      <c r="STT72" s="299"/>
      <c r="STU72" s="299"/>
      <c r="STV72" s="299"/>
      <c r="STW72" s="299"/>
      <c r="STX72" s="299"/>
      <c r="STY72" s="299"/>
      <c r="STZ72" s="299"/>
      <c r="SUA72" s="299"/>
      <c r="SUB72" s="299"/>
      <c r="SUC72" s="299"/>
      <c r="SUD72" s="299"/>
      <c r="SUE72" s="299"/>
      <c r="SUF72" s="299"/>
      <c r="SUG72" s="299"/>
      <c r="SUH72" s="299"/>
      <c r="SUI72" s="299"/>
      <c r="SUJ72" s="299"/>
      <c r="SUK72" s="299"/>
      <c r="SUL72" s="299"/>
      <c r="SUM72" s="299"/>
      <c r="SUN72" s="299"/>
      <c r="SUO72" s="299"/>
      <c r="SUP72" s="299"/>
      <c r="SUQ72" s="299"/>
      <c r="SUR72" s="299"/>
      <c r="SUS72" s="299"/>
      <c r="SUT72" s="299"/>
      <c r="SUU72" s="299"/>
      <c r="SUV72" s="299"/>
      <c r="SUW72" s="299"/>
      <c r="SUX72" s="299"/>
      <c r="SUY72" s="299"/>
      <c r="SUZ72" s="299"/>
      <c r="SVA72" s="299"/>
      <c r="SVB72" s="299"/>
      <c r="SVC72" s="299"/>
      <c r="SVD72" s="299"/>
      <c r="SVE72" s="299"/>
      <c r="SVF72" s="299"/>
      <c r="SVG72" s="299"/>
      <c r="SVH72" s="299"/>
      <c r="SVI72" s="299"/>
      <c r="SVJ72" s="299"/>
      <c r="SVK72" s="299"/>
      <c r="SVL72" s="299"/>
      <c r="SVM72" s="299"/>
      <c r="SVN72" s="299"/>
      <c r="SVO72" s="299"/>
      <c r="SVP72" s="299"/>
      <c r="SVQ72" s="299"/>
      <c r="SVR72" s="299"/>
      <c r="SVS72" s="299"/>
      <c r="SVT72" s="299"/>
      <c r="SVU72" s="299"/>
      <c r="SVV72" s="299"/>
      <c r="SVW72" s="299"/>
      <c r="SVX72" s="299"/>
      <c r="SVY72" s="299"/>
      <c r="SVZ72" s="299"/>
      <c r="SWA72" s="299"/>
      <c r="SWB72" s="299"/>
      <c r="SWC72" s="299"/>
      <c r="SWD72" s="299"/>
      <c r="SWE72" s="299"/>
      <c r="SWF72" s="299"/>
      <c r="SWG72" s="299"/>
      <c r="SWH72" s="299"/>
      <c r="SWI72" s="299"/>
      <c r="SWJ72" s="299"/>
      <c r="SWK72" s="299"/>
      <c r="SWL72" s="299"/>
      <c r="SWM72" s="299"/>
      <c r="SWN72" s="299"/>
      <c r="SWO72" s="299"/>
      <c r="SWP72" s="299"/>
      <c r="SWQ72" s="299"/>
      <c r="SWR72" s="299"/>
      <c r="SWS72" s="299"/>
      <c r="SWT72" s="299"/>
      <c r="SWU72" s="299"/>
      <c r="SWV72" s="299"/>
      <c r="SWW72" s="299"/>
      <c r="SWX72" s="299"/>
      <c r="SWY72" s="299"/>
      <c r="SWZ72" s="299"/>
      <c r="SXA72" s="299"/>
      <c r="SXB72" s="299"/>
      <c r="SXC72" s="299"/>
      <c r="SXD72" s="299"/>
      <c r="SXE72" s="299"/>
      <c r="SXF72" s="299"/>
      <c r="SXG72" s="299"/>
      <c r="SXH72" s="299"/>
      <c r="SXI72" s="299"/>
      <c r="SXJ72" s="299"/>
      <c r="SXK72" s="299"/>
      <c r="SXL72" s="299"/>
      <c r="SXM72" s="299"/>
      <c r="SXN72" s="299"/>
      <c r="SXO72" s="299"/>
      <c r="SXP72" s="299"/>
      <c r="SXQ72" s="299"/>
      <c r="SXR72" s="299"/>
      <c r="SXS72" s="299"/>
      <c r="SXT72" s="299"/>
      <c r="SXU72" s="299"/>
      <c r="SXV72" s="299"/>
      <c r="SXW72" s="299"/>
      <c r="SXX72" s="299"/>
      <c r="SXY72" s="299"/>
      <c r="SXZ72" s="299"/>
      <c r="SYA72" s="299"/>
      <c r="SYB72" s="299"/>
      <c r="SYC72" s="299"/>
      <c r="SYD72" s="299"/>
      <c r="SYE72" s="299"/>
      <c r="SYF72" s="299"/>
      <c r="SYG72" s="299"/>
      <c r="SYH72" s="299"/>
      <c r="SYI72" s="299"/>
      <c r="SYJ72" s="299"/>
      <c r="SYK72" s="299"/>
      <c r="SYL72" s="299"/>
      <c r="SYM72" s="299"/>
      <c r="SYN72" s="299"/>
      <c r="SYO72" s="299"/>
      <c r="SYP72" s="299"/>
      <c r="SYQ72" s="299"/>
      <c r="SYR72" s="299"/>
      <c r="SYS72" s="299"/>
      <c r="SYT72" s="299"/>
      <c r="SYU72" s="299"/>
      <c r="SYV72" s="299"/>
      <c r="SYW72" s="299"/>
      <c r="SYX72" s="299"/>
      <c r="SYY72" s="299"/>
      <c r="SYZ72" s="299"/>
      <c r="SZA72" s="299"/>
      <c r="SZB72" s="299"/>
      <c r="SZC72" s="299"/>
      <c r="SZD72" s="299"/>
      <c r="SZE72" s="299"/>
      <c r="SZF72" s="299"/>
      <c r="SZG72" s="299"/>
      <c r="SZH72" s="299"/>
      <c r="SZI72" s="299"/>
      <c r="SZJ72" s="299"/>
      <c r="SZK72" s="299"/>
      <c r="SZL72" s="299"/>
      <c r="SZM72" s="299"/>
      <c r="SZN72" s="299"/>
      <c r="SZO72" s="299"/>
      <c r="SZP72" s="299"/>
      <c r="SZQ72" s="299"/>
      <c r="SZR72" s="299"/>
      <c r="SZS72" s="299"/>
      <c r="SZT72" s="299"/>
      <c r="SZU72" s="299"/>
      <c r="SZV72" s="299"/>
      <c r="SZW72" s="299"/>
      <c r="SZX72" s="299"/>
      <c r="SZY72" s="299"/>
      <c r="SZZ72" s="299"/>
      <c r="TAA72" s="299"/>
      <c r="TAB72" s="299"/>
      <c r="TAC72" s="299"/>
      <c r="TAD72" s="299"/>
      <c r="TAE72" s="299"/>
      <c r="TAF72" s="299"/>
      <c r="TAG72" s="299"/>
      <c r="TAH72" s="299"/>
      <c r="TAI72" s="299"/>
      <c r="TAJ72" s="299"/>
      <c r="TAK72" s="299"/>
      <c r="TAL72" s="299"/>
      <c r="TAM72" s="299"/>
      <c r="TAN72" s="299"/>
      <c r="TAO72" s="299"/>
      <c r="TAP72" s="299"/>
      <c r="TAQ72" s="299"/>
      <c r="TAR72" s="299"/>
      <c r="TAS72" s="299"/>
      <c r="TAT72" s="299"/>
      <c r="TAU72" s="299"/>
      <c r="TAV72" s="299"/>
      <c r="TAW72" s="299"/>
      <c r="TAX72" s="299"/>
      <c r="TAY72" s="299"/>
      <c r="TAZ72" s="299"/>
      <c r="TBA72" s="299"/>
      <c r="TBB72" s="299"/>
      <c r="TBC72" s="299"/>
      <c r="TBD72" s="299"/>
      <c r="TBE72" s="299"/>
      <c r="TBF72" s="299"/>
      <c r="TBG72" s="299"/>
      <c r="TBH72" s="299"/>
      <c r="TBI72" s="299"/>
      <c r="TBJ72" s="299"/>
      <c r="TBK72" s="299"/>
      <c r="TBL72" s="299"/>
      <c r="TBM72" s="299"/>
      <c r="TBN72" s="299"/>
      <c r="TBO72" s="299"/>
      <c r="TBP72" s="299"/>
      <c r="TBQ72" s="299"/>
      <c r="TBR72" s="299"/>
      <c r="TBS72" s="299"/>
      <c r="TBT72" s="299"/>
      <c r="TBU72" s="299"/>
      <c r="TBV72" s="299"/>
      <c r="TBW72" s="299"/>
      <c r="TBX72" s="299"/>
      <c r="TBY72" s="299"/>
      <c r="TBZ72" s="299"/>
      <c r="TCA72" s="299"/>
      <c r="TCB72" s="299"/>
      <c r="TCC72" s="299"/>
      <c r="TCD72" s="299"/>
      <c r="TCE72" s="299"/>
      <c r="TCF72" s="299"/>
      <c r="TCG72" s="299"/>
      <c r="TCH72" s="299"/>
      <c r="TCI72" s="299"/>
      <c r="TCJ72" s="299"/>
      <c r="TCK72" s="299"/>
      <c r="TCL72" s="299"/>
      <c r="TCM72" s="299"/>
      <c r="TCN72" s="299"/>
      <c r="TCO72" s="299"/>
      <c r="TCP72" s="299"/>
      <c r="TCQ72" s="299"/>
      <c r="TCR72" s="299"/>
      <c r="TCS72" s="299"/>
      <c r="TCT72" s="299"/>
      <c r="TCU72" s="299"/>
      <c r="TCV72" s="299"/>
      <c r="TCW72" s="299"/>
      <c r="TCX72" s="299"/>
      <c r="TCY72" s="299"/>
      <c r="TCZ72" s="299"/>
      <c r="TDA72" s="299"/>
      <c r="TDB72" s="299"/>
      <c r="TDC72" s="299"/>
      <c r="TDD72" s="299"/>
      <c r="TDE72" s="299"/>
      <c r="TDF72" s="299"/>
      <c r="TDG72" s="299"/>
      <c r="TDH72" s="299"/>
      <c r="TDI72" s="299"/>
      <c r="TDJ72" s="299"/>
      <c r="TDK72" s="299"/>
      <c r="TDL72" s="299"/>
      <c r="TDM72" s="299"/>
      <c r="TDN72" s="299"/>
      <c r="TDO72" s="299"/>
      <c r="TDP72" s="299"/>
      <c r="TDQ72" s="299"/>
      <c r="TDR72" s="299"/>
      <c r="TDS72" s="299"/>
      <c r="TDT72" s="299"/>
      <c r="TDU72" s="299"/>
      <c r="TDV72" s="299"/>
      <c r="TDW72" s="299"/>
      <c r="TDX72" s="299"/>
      <c r="TDY72" s="299"/>
      <c r="TDZ72" s="299"/>
      <c r="TEA72" s="299"/>
      <c r="TEB72" s="299"/>
      <c r="TEC72" s="299"/>
      <c r="TED72" s="299"/>
      <c r="TEE72" s="299"/>
      <c r="TEF72" s="299"/>
      <c r="TEG72" s="299"/>
      <c r="TEH72" s="299"/>
      <c r="TEI72" s="299"/>
      <c r="TEJ72" s="299"/>
      <c r="TEK72" s="299"/>
      <c r="TEL72" s="299"/>
      <c r="TEM72" s="299"/>
      <c r="TEN72" s="299"/>
      <c r="TEO72" s="299"/>
      <c r="TEP72" s="299"/>
      <c r="TEQ72" s="299"/>
      <c r="TER72" s="299"/>
      <c r="TES72" s="299"/>
      <c r="TET72" s="299"/>
      <c r="TEU72" s="299"/>
      <c r="TEV72" s="299"/>
      <c r="TEW72" s="299"/>
      <c r="TEX72" s="299"/>
      <c r="TEY72" s="299"/>
      <c r="TEZ72" s="299"/>
      <c r="TFA72" s="299"/>
      <c r="TFB72" s="299"/>
      <c r="TFC72" s="299"/>
      <c r="TFD72" s="299"/>
      <c r="TFE72" s="299"/>
      <c r="TFF72" s="299"/>
      <c r="TFG72" s="299"/>
      <c r="TFH72" s="299"/>
      <c r="TFI72" s="299"/>
      <c r="TFJ72" s="299"/>
      <c r="TFK72" s="299"/>
      <c r="TFL72" s="299"/>
      <c r="TFM72" s="299"/>
      <c r="TFN72" s="299"/>
      <c r="TFO72" s="299"/>
      <c r="TFP72" s="299"/>
      <c r="TFQ72" s="299"/>
      <c r="TFR72" s="299"/>
      <c r="TFS72" s="299"/>
      <c r="TFT72" s="299"/>
      <c r="TFU72" s="299"/>
      <c r="TFV72" s="299"/>
      <c r="TFW72" s="299"/>
      <c r="TFX72" s="299"/>
      <c r="TFY72" s="299"/>
      <c r="TFZ72" s="299"/>
      <c r="TGA72" s="299"/>
      <c r="TGB72" s="299"/>
      <c r="TGC72" s="299"/>
      <c r="TGD72" s="299"/>
      <c r="TGE72" s="299"/>
      <c r="TGF72" s="299"/>
      <c r="TGG72" s="299"/>
      <c r="TGH72" s="299"/>
      <c r="TGI72" s="299"/>
      <c r="TGJ72" s="299"/>
      <c r="TGK72" s="299"/>
      <c r="TGL72" s="299"/>
      <c r="TGM72" s="299"/>
      <c r="TGN72" s="299"/>
      <c r="TGO72" s="299"/>
      <c r="TGP72" s="299"/>
      <c r="TGQ72" s="299"/>
      <c r="TGR72" s="299"/>
      <c r="TGS72" s="299"/>
      <c r="TGT72" s="299"/>
      <c r="TGU72" s="299"/>
      <c r="TGV72" s="299"/>
      <c r="TGW72" s="299"/>
      <c r="TGX72" s="299"/>
      <c r="TGY72" s="299"/>
      <c r="TGZ72" s="299"/>
      <c r="THA72" s="299"/>
      <c r="THB72" s="299"/>
      <c r="THC72" s="299"/>
      <c r="THD72" s="299"/>
      <c r="THE72" s="299"/>
      <c r="THF72" s="299"/>
      <c r="THG72" s="299"/>
      <c r="THH72" s="299"/>
      <c r="THI72" s="299"/>
      <c r="THJ72" s="299"/>
      <c r="THK72" s="299"/>
      <c r="THL72" s="299"/>
      <c r="THM72" s="299"/>
      <c r="THN72" s="299"/>
      <c r="THO72" s="299"/>
      <c r="THP72" s="299"/>
      <c r="THQ72" s="299"/>
      <c r="THR72" s="299"/>
      <c r="THS72" s="299"/>
      <c r="THT72" s="299"/>
      <c r="THU72" s="299"/>
      <c r="THV72" s="299"/>
      <c r="THW72" s="299"/>
      <c r="THX72" s="299"/>
      <c r="THY72" s="299"/>
      <c r="THZ72" s="299"/>
      <c r="TIA72" s="299"/>
      <c r="TIB72" s="299"/>
      <c r="TIC72" s="299"/>
      <c r="TID72" s="299"/>
      <c r="TIE72" s="299"/>
      <c r="TIF72" s="299"/>
      <c r="TIG72" s="299"/>
      <c r="TIH72" s="299"/>
      <c r="TII72" s="299"/>
      <c r="TIJ72" s="299"/>
      <c r="TIK72" s="299"/>
      <c r="TIL72" s="299"/>
      <c r="TIM72" s="299"/>
      <c r="TIN72" s="299"/>
      <c r="TIO72" s="299"/>
      <c r="TIP72" s="299"/>
      <c r="TIQ72" s="299"/>
      <c r="TIR72" s="299"/>
      <c r="TIS72" s="299"/>
      <c r="TIT72" s="299"/>
      <c r="TIU72" s="299"/>
      <c r="TIV72" s="299"/>
      <c r="TIW72" s="299"/>
      <c r="TIX72" s="299"/>
      <c r="TIY72" s="299"/>
      <c r="TIZ72" s="299"/>
      <c r="TJA72" s="299"/>
      <c r="TJB72" s="299"/>
      <c r="TJC72" s="299"/>
      <c r="TJD72" s="299"/>
      <c r="TJE72" s="299"/>
      <c r="TJF72" s="299"/>
      <c r="TJG72" s="299"/>
      <c r="TJH72" s="299"/>
      <c r="TJI72" s="299"/>
      <c r="TJJ72" s="299"/>
      <c r="TJK72" s="299"/>
      <c r="TJL72" s="299"/>
      <c r="TJM72" s="299"/>
      <c r="TJN72" s="299"/>
      <c r="TJO72" s="299"/>
      <c r="TJP72" s="299"/>
      <c r="TJQ72" s="299"/>
      <c r="TJR72" s="299"/>
      <c r="TJS72" s="299"/>
      <c r="TJT72" s="299"/>
      <c r="TJU72" s="299"/>
      <c r="TJV72" s="299"/>
      <c r="TJW72" s="299"/>
      <c r="TJX72" s="299"/>
      <c r="TJY72" s="299"/>
      <c r="TJZ72" s="299"/>
      <c r="TKA72" s="299"/>
      <c r="TKB72" s="299"/>
      <c r="TKC72" s="299"/>
      <c r="TKD72" s="299"/>
      <c r="TKE72" s="299"/>
      <c r="TKF72" s="299"/>
      <c r="TKG72" s="299"/>
      <c r="TKH72" s="299"/>
      <c r="TKI72" s="299"/>
      <c r="TKJ72" s="299"/>
      <c r="TKK72" s="299"/>
      <c r="TKL72" s="299"/>
      <c r="TKM72" s="299"/>
      <c r="TKN72" s="299"/>
      <c r="TKO72" s="299"/>
      <c r="TKP72" s="299"/>
      <c r="TKQ72" s="299"/>
      <c r="TKR72" s="299"/>
      <c r="TKS72" s="299"/>
      <c r="TKT72" s="299"/>
      <c r="TKU72" s="299"/>
      <c r="TKV72" s="299"/>
      <c r="TKW72" s="299"/>
      <c r="TKX72" s="299"/>
      <c r="TKY72" s="299"/>
      <c r="TKZ72" s="299"/>
      <c r="TLA72" s="299"/>
      <c r="TLB72" s="299"/>
      <c r="TLC72" s="299"/>
      <c r="TLD72" s="299"/>
      <c r="TLE72" s="299"/>
      <c r="TLF72" s="299"/>
      <c r="TLG72" s="299"/>
      <c r="TLH72" s="299"/>
      <c r="TLI72" s="299"/>
      <c r="TLJ72" s="299"/>
      <c r="TLK72" s="299"/>
      <c r="TLL72" s="299"/>
      <c r="TLM72" s="299"/>
      <c r="TLN72" s="299"/>
      <c r="TLO72" s="299"/>
      <c r="TLP72" s="299"/>
      <c r="TLQ72" s="299"/>
      <c r="TLR72" s="299"/>
      <c r="TLS72" s="299"/>
      <c r="TLT72" s="299"/>
      <c r="TLU72" s="299"/>
      <c r="TLV72" s="299"/>
      <c r="TLW72" s="299"/>
      <c r="TLX72" s="299"/>
      <c r="TLY72" s="299"/>
      <c r="TLZ72" s="299"/>
      <c r="TMA72" s="299"/>
      <c r="TMB72" s="299"/>
      <c r="TMC72" s="299"/>
      <c r="TMD72" s="299"/>
      <c r="TME72" s="299"/>
      <c r="TMF72" s="299"/>
      <c r="TMG72" s="299"/>
      <c r="TMH72" s="299"/>
      <c r="TMI72" s="299"/>
      <c r="TMJ72" s="299"/>
      <c r="TMK72" s="299"/>
      <c r="TML72" s="299"/>
      <c r="TMM72" s="299"/>
      <c r="TMN72" s="299"/>
      <c r="TMO72" s="299"/>
      <c r="TMP72" s="299"/>
      <c r="TMQ72" s="299"/>
      <c r="TMR72" s="299"/>
      <c r="TMS72" s="299"/>
      <c r="TMT72" s="299"/>
      <c r="TMU72" s="299"/>
      <c r="TMV72" s="299"/>
      <c r="TMW72" s="299"/>
      <c r="TMX72" s="299"/>
      <c r="TMY72" s="299"/>
      <c r="TMZ72" s="299"/>
      <c r="TNA72" s="299"/>
      <c r="TNB72" s="299"/>
      <c r="TNC72" s="299"/>
      <c r="TND72" s="299"/>
      <c r="TNE72" s="299"/>
      <c r="TNF72" s="299"/>
      <c r="TNG72" s="299"/>
      <c r="TNH72" s="299"/>
      <c r="TNI72" s="299"/>
      <c r="TNJ72" s="299"/>
      <c r="TNK72" s="299"/>
      <c r="TNL72" s="299"/>
      <c r="TNM72" s="299"/>
      <c r="TNN72" s="299"/>
      <c r="TNO72" s="299"/>
      <c r="TNP72" s="299"/>
      <c r="TNQ72" s="299"/>
      <c r="TNR72" s="299"/>
      <c r="TNS72" s="299"/>
      <c r="TNT72" s="299"/>
      <c r="TNU72" s="299"/>
      <c r="TNV72" s="299"/>
      <c r="TNW72" s="299"/>
      <c r="TNX72" s="299"/>
      <c r="TNY72" s="299"/>
      <c r="TNZ72" s="299"/>
      <c r="TOA72" s="299"/>
      <c r="TOB72" s="299"/>
      <c r="TOC72" s="299"/>
      <c r="TOD72" s="299"/>
      <c r="TOE72" s="299"/>
      <c r="TOF72" s="299"/>
      <c r="TOG72" s="299"/>
      <c r="TOH72" s="299"/>
      <c r="TOI72" s="299"/>
      <c r="TOJ72" s="299"/>
      <c r="TOK72" s="299"/>
      <c r="TOL72" s="299"/>
      <c r="TOM72" s="299"/>
      <c r="TON72" s="299"/>
      <c r="TOO72" s="299"/>
      <c r="TOP72" s="299"/>
      <c r="TOQ72" s="299"/>
      <c r="TOR72" s="299"/>
      <c r="TOS72" s="299"/>
      <c r="TOT72" s="299"/>
      <c r="TOU72" s="299"/>
      <c r="TOV72" s="299"/>
      <c r="TOW72" s="299"/>
      <c r="TOX72" s="299"/>
      <c r="TOY72" s="299"/>
      <c r="TOZ72" s="299"/>
      <c r="TPA72" s="299"/>
      <c r="TPB72" s="299"/>
      <c r="TPC72" s="299"/>
      <c r="TPD72" s="299"/>
      <c r="TPE72" s="299"/>
      <c r="TPF72" s="299"/>
      <c r="TPG72" s="299"/>
      <c r="TPH72" s="299"/>
      <c r="TPI72" s="299"/>
      <c r="TPJ72" s="299"/>
      <c r="TPK72" s="299"/>
      <c r="TPL72" s="299"/>
      <c r="TPM72" s="299"/>
      <c r="TPN72" s="299"/>
      <c r="TPO72" s="299"/>
      <c r="TPP72" s="299"/>
      <c r="TPQ72" s="299"/>
      <c r="TPR72" s="299"/>
      <c r="TPS72" s="299"/>
      <c r="TPT72" s="299"/>
      <c r="TPU72" s="299"/>
      <c r="TPV72" s="299"/>
      <c r="TPW72" s="299"/>
      <c r="TPX72" s="299"/>
      <c r="TPY72" s="299"/>
      <c r="TPZ72" s="299"/>
      <c r="TQA72" s="299"/>
      <c r="TQB72" s="299"/>
      <c r="TQC72" s="299"/>
      <c r="TQD72" s="299"/>
      <c r="TQE72" s="299"/>
      <c r="TQF72" s="299"/>
      <c r="TQG72" s="299"/>
      <c r="TQH72" s="299"/>
      <c r="TQI72" s="299"/>
      <c r="TQJ72" s="299"/>
      <c r="TQK72" s="299"/>
      <c r="TQL72" s="299"/>
      <c r="TQM72" s="299"/>
      <c r="TQN72" s="299"/>
      <c r="TQO72" s="299"/>
      <c r="TQP72" s="299"/>
      <c r="TQQ72" s="299"/>
      <c r="TQR72" s="299"/>
      <c r="TQS72" s="299"/>
      <c r="TQT72" s="299"/>
      <c r="TQU72" s="299"/>
      <c r="TQV72" s="299"/>
      <c r="TQW72" s="299"/>
      <c r="TQX72" s="299"/>
      <c r="TQY72" s="299"/>
      <c r="TQZ72" s="299"/>
      <c r="TRA72" s="299"/>
      <c r="TRB72" s="299"/>
      <c r="TRC72" s="299"/>
      <c r="TRD72" s="299"/>
      <c r="TRE72" s="299"/>
      <c r="TRF72" s="299"/>
      <c r="TRG72" s="299"/>
      <c r="TRH72" s="299"/>
      <c r="TRI72" s="299"/>
      <c r="TRJ72" s="299"/>
      <c r="TRK72" s="299"/>
      <c r="TRL72" s="299"/>
      <c r="TRM72" s="299"/>
      <c r="TRN72" s="299"/>
      <c r="TRO72" s="299"/>
      <c r="TRP72" s="299"/>
      <c r="TRQ72" s="299"/>
      <c r="TRR72" s="299"/>
      <c r="TRS72" s="299"/>
      <c r="TRT72" s="299"/>
      <c r="TRU72" s="299"/>
      <c r="TRV72" s="299"/>
      <c r="TRW72" s="299"/>
      <c r="TRX72" s="299"/>
      <c r="TRY72" s="299"/>
      <c r="TRZ72" s="299"/>
      <c r="TSA72" s="299"/>
      <c r="TSB72" s="299"/>
      <c r="TSC72" s="299"/>
      <c r="TSD72" s="299"/>
      <c r="TSE72" s="299"/>
      <c r="TSF72" s="299"/>
      <c r="TSG72" s="299"/>
      <c r="TSH72" s="299"/>
      <c r="TSI72" s="299"/>
      <c r="TSJ72" s="299"/>
      <c r="TSK72" s="299"/>
      <c r="TSL72" s="299"/>
      <c r="TSM72" s="299"/>
      <c r="TSN72" s="299"/>
      <c r="TSO72" s="299"/>
      <c r="TSP72" s="299"/>
      <c r="TSQ72" s="299"/>
      <c r="TSR72" s="299"/>
      <c r="TSS72" s="299"/>
      <c r="TST72" s="299"/>
      <c r="TSU72" s="299"/>
      <c r="TSV72" s="299"/>
      <c r="TSW72" s="299"/>
      <c r="TSX72" s="299"/>
      <c r="TSY72" s="299"/>
      <c r="TSZ72" s="299"/>
      <c r="TTA72" s="299"/>
      <c r="TTB72" s="299"/>
      <c r="TTC72" s="299"/>
      <c r="TTD72" s="299"/>
      <c r="TTE72" s="299"/>
      <c r="TTF72" s="299"/>
      <c r="TTG72" s="299"/>
      <c r="TTH72" s="299"/>
      <c r="TTI72" s="299"/>
      <c r="TTJ72" s="299"/>
      <c r="TTK72" s="299"/>
      <c r="TTL72" s="299"/>
      <c r="TTM72" s="299"/>
      <c r="TTN72" s="299"/>
      <c r="TTO72" s="299"/>
      <c r="TTP72" s="299"/>
      <c r="TTQ72" s="299"/>
      <c r="TTR72" s="299"/>
      <c r="TTS72" s="299"/>
      <c r="TTT72" s="299"/>
      <c r="TTU72" s="299"/>
      <c r="TTV72" s="299"/>
      <c r="TTW72" s="299"/>
      <c r="TTX72" s="299"/>
      <c r="TTY72" s="299"/>
      <c r="TTZ72" s="299"/>
      <c r="TUA72" s="299"/>
      <c r="TUB72" s="299"/>
      <c r="TUC72" s="299"/>
      <c r="TUD72" s="299"/>
      <c r="TUE72" s="299"/>
      <c r="TUF72" s="299"/>
      <c r="TUG72" s="299"/>
      <c r="TUH72" s="299"/>
      <c r="TUI72" s="299"/>
      <c r="TUJ72" s="299"/>
      <c r="TUK72" s="299"/>
      <c r="TUL72" s="299"/>
      <c r="TUM72" s="299"/>
      <c r="TUN72" s="299"/>
      <c r="TUO72" s="299"/>
      <c r="TUP72" s="299"/>
      <c r="TUQ72" s="299"/>
      <c r="TUR72" s="299"/>
      <c r="TUS72" s="299"/>
      <c r="TUT72" s="299"/>
      <c r="TUU72" s="299"/>
      <c r="TUV72" s="299"/>
      <c r="TUW72" s="299"/>
      <c r="TUX72" s="299"/>
      <c r="TUY72" s="299"/>
      <c r="TUZ72" s="299"/>
      <c r="TVA72" s="299"/>
      <c r="TVB72" s="299"/>
      <c r="TVC72" s="299"/>
      <c r="TVD72" s="299"/>
      <c r="TVE72" s="299"/>
      <c r="TVF72" s="299"/>
      <c r="TVG72" s="299"/>
      <c r="TVH72" s="299"/>
      <c r="TVI72" s="299"/>
      <c r="TVJ72" s="299"/>
      <c r="TVK72" s="299"/>
      <c r="TVL72" s="299"/>
      <c r="TVM72" s="299"/>
      <c r="TVN72" s="299"/>
      <c r="TVO72" s="299"/>
      <c r="TVP72" s="299"/>
      <c r="TVQ72" s="299"/>
      <c r="TVR72" s="299"/>
      <c r="TVS72" s="299"/>
      <c r="TVT72" s="299"/>
      <c r="TVU72" s="299"/>
      <c r="TVV72" s="299"/>
      <c r="TVW72" s="299"/>
      <c r="TVX72" s="299"/>
      <c r="TVY72" s="299"/>
      <c r="TVZ72" s="299"/>
      <c r="TWA72" s="299"/>
      <c r="TWB72" s="299"/>
      <c r="TWC72" s="299"/>
      <c r="TWD72" s="299"/>
      <c r="TWE72" s="299"/>
      <c r="TWF72" s="299"/>
      <c r="TWG72" s="299"/>
      <c r="TWH72" s="299"/>
      <c r="TWI72" s="299"/>
      <c r="TWJ72" s="299"/>
      <c r="TWK72" s="299"/>
      <c r="TWL72" s="299"/>
      <c r="TWM72" s="299"/>
      <c r="TWN72" s="299"/>
      <c r="TWO72" s="299"/>
      <c r="TWP72" s="299"/>
      <c r="TWQ72" s="299"/>
      <c r="TWR72" s="299"/>
      <c r="TWS72" s="299"/>
      <c r="TWT72" s="299"/>
      <c r="TWU72" s="299"/>
      <c r="TWV72" s="299"/>
      <c r="TWW72" s="299"/>
      <c r="TWX72" s="299"/>
      <c r="TWY72" s="299"/>
      <c r="TWZ72" s="299"/>
      <c r="TXA72" s="299"/>
      <c r="TXB72" s="299"/>
      <c r="TXC72" s="299"/>
      <c r="TXD72" s="299"/>
      <c r="TXE72" s="299"/>
      <c r="TXF72" s="299"/>
      <c r="TXG72" s="299"/>
      <c r="TXH72" s="299"/>
      <c r="TXI72" s="299"/>
      <c r="TXJ72" s="299"/>
      <c r="TXK72" s="299"/>
      <c r="TXL72" s="299"/>
      <c r="TXM72" s="299"/>
      <c r="TXN72" s="299"/>
      <c r="TXO72" s="299"/>
      <c r="TXP72" s="299"/>
      <c r="TXQ72" s="299"/>
      <c r="TXR72" s="299"/>
      <c r="TXS72" s="299"/>
      <c r="TXT72" s="299"/>
      <c r="TXU72" s="299"/>
      <c r="TXV72" s="299"/>
      <c r="TXW72" s="299"/>
      <c r="TXX72" s="299"/>
      <c r="TXY72" s="299"/>
      <c r="TXZ72" s="299"/>
      <c r="TYA72" s="299"/>
      <c r="TYB72" s="299"/>
      <c r="TYC72" s="299"/>
      <c r="TYD72" s="299"/>
      <c r="TYE72" s="299"/>
      <c r="TYF72" s="299"/>
      <c r="TYG72" s="299"/>
      <c r="TYH72" s="299"/>
      <c r="TYI72" s="299"/>
      <c r="TYJ72" s="299"/>
      <c r="TYK72" s="299"/>
      <c r="TYL72" s="299"/>
      <c r="TYM72" s="299"/>
      <c r="TYN72" s="299"/>
      <c r="TYO72" s="299"/>
      <c r="TYP72" s="299"/>
      <c r="TYQ72" s="299"/>
      <c r="TYR72" s="299"/>
      <c r="TYS72" s="299"/>
      <c r="TYT72" s="299"/>
      <c r="TYU72" s="299"/>
      <c r="TYV72" s="299"/>
      <c r="TYW72" s="299"/>
      <c r="TYX72" s="299"/>
      <c r="TYY72" s="299"/>
      <c r="TYZ72" s="299"/>
      <c r="TZA72" s="299"/>
      <c r="TZB72" s="299"/>
      <c r="TZC72" s="299"/>
      <c r="TZD72" s="299"/>
      <c r="TZE72" s="299"/>
      <c r="TZF72" s="299"/>
      <c r="TZG72" s="299"/>
      <c r="TZH72" s="299"/>
      <c r="TZI72" s="299"/>
      <c r="TZJ72" s="299"/>
      <c r="TZK72" s="299"/>
      <c r="TZL72" s="299"/>
      <c r="TZM72" s="299"/>
      <c r="TZN72" s="299"/>
      <c r="TZO72" s="299"/>
      <c r="TZP72" s="299"/>
      <c r="TZQ72" s="299"/>
      <c r="TZR72" s="299"/>
      <c r="TZS72" s="299"/>
      <c r="TZT72" s="299"/>
      <c r="TZU72" s="299"/>
      <c r="TZV72" s="299"/>
      <c r="TZW72" s="299"/>
      <c r="TZX72" s="299"/>
      <c r="TZY72" s="299"/>
      <c r="TZZ72" s="299"/>
      <c r="UAA72" s="299"/>
      <c r="UAB72" s="299"/>
      <c r="UAC72" s="299"/>
      <c r="UAD72" s="299"/>
      <c r="UAE72" s="299"/>
      <c r="UAF72" s="299"/>
      <c r="UAG72" s="299"/>
      <c r="UAH72" s="299"/>
      <c r="UAI72" s="299"/>
      <c r="UAJ72" s="299"/>
      <c r="UAK72" s="299"/>
      <c r="UAL72" s="299"/>
      <c r="UAM72" s="299"/>
      <c r="UAN72" s="299"/>
      <c r="UAO72" s="299"/>
      <c r="UAP72" s="299"/>
      <c r="UAQ72" s="299"/>
      <c r="UAR72" s="299"/>
      <c r="UAS72" s="299"/>
      <c r="UAT72" s="299"/>
      <c r="UAU72" s="299"/>
      <c r="UAV72" s="299"/>
      <c r="UAW72" s="299"/>
      <c r="UAX72" s="299"/>
      <c r="UAY72" s="299"/>
      <c r="UAZ72" s="299"/>
      <c r="UBA72" s="299"/>
      <c r="UBB72" s="299"/>
      <c r="UBC72" s="299"/>
      <c r="UBD72" s="299"/>
      <c r="UBE72" s="299"/>
      <c r="UBF72" s="299"/>
      <c r="UBG72" s="299"/>
      <c r="UBH72" s="299"/>
      <c r="UBI72" s="299"/>
      <c r="UBJ72" s="299"/>
      <c r="UBK72" s="299"/>
      <c r="UBL72" s="299"/>
      <c r="UBM72" s="299"/>
      <c r="UBN72" s="299"/>
      <c r="UBO72" s="299"/>
      <c r="UBP72" s="299"/>
      <c r="UBQ72" s="299"/>
      <c r="UBR72" s="299"/>
      <c r="UBS72" s="299"/>
      <c r="UBT72" s="299"/>
      <c r="UBU72" s="299"/>
      <c r="UBV72" s="299"/>
      <c r="UBW72" s="299"/>
      <c r="UBX72" s="299"/>
      <c r="UBY72" s="299"/>
      <c r="UBZ72" s="299"/>
      <c r="UCA72" s="299"/>
      <c r="UCB72" s="299"/>
      <c r="UCC72" s="299"/>
      <c r="UCD72" s="299"/>
      <c r="UCE72" s="299"/>
      <c r="UCF72" s="299"/>
      <c r="UCG72" s="299"/>
      <c r="UCH72" s="299"/>
      <c r="UCI72" s="299"/>
      <c r="UCJ72" s="299"/>
      <c r="UCK72" s="299"/>
      <c r="UCL72" s="299"/>
      <c r="UCM72" s="299"/>
      <c r="UCN72" s="299"/>
      <c r="UCO72" s="299"/>
      <c r="UCP72" s="299"/>
      <c r="UCQ72" s="299"/>
      <c r="UCR72" s="299"/>
      <c r="UCS72" s="299"/>
      <c r="UCT72" s="299"/>
      <c r="UCU72" s="299"/>
      <c r="UCV72" s="299"/>
      <c r="UCW72" s="299"/>
      <c r="UCX72" s="299"/>
      <c r="UCY72" s="299"/>
      <c r="UCZ72" s="299"/>
      <c r="UDA72" s="299"/>
      <c r="UDB72" s="299"/>
      <c r="UDC72" s="299"/>
      <c r="UDD72" s="299"/>
      <c r="UDE72" s="299"/>
      <c r="UDF72" s="299"/>
      <c r="UDG72" s="299"/>
      <c r="UDH72" s="299"/>
      <c r="UDI72" s="299"/>
      <c r="UDJ72" s="299"/>
      <c r="UDK72" s="299"/>
      <c r="UDL72" s="299"/>
      <c r="UDM72" s="299"/>
      <c r="UDN72" s="299"/>
      <c r="UDO72" s="299"/>
      <c r="UDP72" s="299"/>
      <c r="UDQ72" s="299"/>
      <c r="UDR72" s="299"/>
      <c r="UDS72" s="299"/>
      <c r="UDT72" s="299"/>
      <c r="UDU72" s="299"/>
      <c r="UDV72" s="299"/>
      <c r="UDW72" s="299"/>
      <c r="UDX72" s="299"/>
      <c r="UDY72" s="299"/>
      <c r="UDZ72" s="299"/>
      <c r="UEA72" s="299"/>
      <c r="UEB72" s="299"/>
      <c r="UEC72" s="299"/>
      <c r="UED72" s="299"/>
      <c r="UEE72" s="299"/>
      <c r="UEF72" s="299"/>
      <c r="UEG72" s="299"/>
      <c r="UEH72" s="299"/>
      <c r="UEI72" s="299"/>
      <c r="UEJ72" s="299"/>
      <c r="UEK72" s="299"/>
      <c r="UEL72" s="299"/>
      <c r="UEM72" s="299"/>
      <c r="UEN72" s="299"/>
      <c r="UEO72" s="299"/>
      <c r="UEP72" s="299"/>
      <c r="UEQ72" s="299"/>
      <c r="UER72" s="299"/>
      <c r="UES72" s="299"/>
      <c r="UET72" s="299"/>
      <c r="UEU72" s="299"/>
      <c r="UEV72" s="299"/>
      <c r="UEW72" s="299"/>
      <c r="UEX72" s="299"/>
      <c r="UEY72" s="299"/>
      <c r="UEZ72" s="299"/>
      <c r="UFA72" s="299"/>
      <c r="UFB72" s="299"/>
      <c r="UFC72" s="299"/>
      <c r="UFD72" s="299"/>
      <c r="UFE72" s="299"/>
      <c r="UFF72" s="299"/>
      <c r="UFG72" s="299"/>
      <c r="UFH72" s="299"/>
      <c r="UFI72" s="299"/>
      <c r="UFJ72" s="299"/>
      <c r="UFK72" s="299"/>
      <c r="UFL72" s="299"/>
      <c r="UFM72" s="299"/>
      <c r="UFN72" s="299"/>
      <c r="UFO72" s="299"/>
      <c r="UFP72" s="299"/>
      <c r="UFQ72" s="299"/>
      <c r="UFR72" s="299"/>
      <c r="UFS72" s="299"/>
      <c r="UFT72" s="299"/>
      <c r="UFU72" s="299"/>
      <c r="UFV72" s="299"/>
      <c r="UFW72" s="299"/>
      <c r="UFX72" s="299"/>
      <c r="UFY72" s="299"/>
      <c r="UFZ72" s="299"/>
      <c r="UGA72" s="299"/>
      <c r="UGB72" s="299"/>
      <c r="UGC72" s="299"/>
      <c r="UGD72" s="299"/>
      <c r="UGE72" s="299"/>
      <c r="UGF72" s="299"/>
      <c r="UGG72" s="299"/>
      <c r="UGH72" s="299"/>
      <c r="UGI72" s="299"/>
      <c r="UGJ72" s="299"/>
      <c r="UGK72" s="299"/>
      <c r="UGL72" s="299"/>
      <c r="UGM72" s="299"/>
      <c r="UGN72" s="299"/>
      <c r="UGO72" s="299"/>
      <c r="UGP72" s="299"/>
      <c r="UGQ72" s="299"/>
      <c r="UGR72" s="299"/>
      <c r="UGS72" s="299"/>
      <c r="UGT72" s="299"/>
      <c r="UGU72" s="299"/>
      <c r="UGV72" s="299"/>
      <c r="UGW72" s="299"/>
      <c r="UGX72" s="299"/>
      <c r="UGY72" s="299"/>
      <c r="UGZ72" s="299"/>
      <c r="UHA72" s="299"/>
      <c r="UHB72" s="299"/>
      <c r="UHC72" s="299"/>
      <c r="UHD72" s="299"/>
      <c r="UHE72" s="299"/>
      <c r="UHF72" s="299"/>
      <c r="UHG72" s="299"/>
      <c r="UHH72" s="299"/>
      <c r="UHI72" s="299"/>
      <c r="UHJ72" s="299"/>
      <c r="UHK72" s="299"/>
      <c r="UHL72" s="299"/>
      <c r="UHM72" s="299"/>
      <c r="UHN72" s="299"/>
      <c r="UHO72" s="299"/>
      <c r="UHP72" s="299"/>
      <c r="UHQ72" s="299"/>
      <c r="UHR72" s="299"/>
      <c r="UHS72" s="299"/>
      <c r="UHT72" s="299"/>
      <c r="UHU72" s="299"/>
      <c r="UHV72" s="299"/>
      <c r="UHW72" s="299"/>
      <c r="UHX72" s="299"/>
      <c r="UHY72" s="299"/>
      <c r="UHZ72" s="299"/>
      <c r="UIA72" s="299"/>
      <c r="UIB72" s="299"/>
      <c r="UIC72" s="299"/>
      <c r="UID72" s="299"/>
      <c r="UIE72" s="299"/>
      <c r="UIF72" s="299"/>
      <c r="UIG72" s="299"/>
      <c r="UIH72" s="299"/>
      <c r="UII72" s="299"/>
      <c r="UIJ72" s="299"/>
      <c r="UIK72" s="299"/>
      <c r="UIL72" s="299"/>
      <c r="UIM72" s="299"/>
      <c r="UIN72" s="299"/>
      <c r="UIO72" s="299"/>
      <c r="UIP72" s="299"/>
      <c r="UIQ72" s="299"/>
      <c r="UIR72" s="299"/>
      <c r="UIS72" s="299"/>
      <c r="UIT72" s="299"/>
      <c r="UIU72" s="299"/>
      <c r="UIV72" s="299"/>
      <c r="UIW72" s="299"/>
      <c r="UIX72" s="299"/>
      <c r="UIY72" s="299"/>
      <c r="UIZ72" s="299"/>
      <c r="UJA72" s="299"/>
      <c r="UJB72" s="299"/>
      <c r="UJC72" s="299"/>
      <c r="UJD72" s="299"/>
      <c r="UJE72" s="299"/>
      <c r="UJF72" s="299"/>
      <c r="UJG72" s="299"/>
      <c r="UJH72" s="299"/>
      <c r="UJI72" s="299"/>
      <c r="UJJ72" s="299"/>
      <c r="UJK72" s="299"/>
      <c r="UJL72" s="299"/>
      <c r="UJM72" s="299"/>
      <c r="UJN72" s="299"/>
      <c r="UJO72" s="299"/>
      <c r="UJP72" s="299"/>
      <c r="UJQ72" s="299"/>
      <c r="UJR72" s="299"/>
      <c r="UJS72" s="299"/>
      <c r="UJT72" s="299"/>
      <c r="UJU72" s="299"/>
      <c r="UJV72" s="299"/>
      <c r="UJW72" s="299"/>
      <c r="UJX72" s="299"/>
      <c r="UJY72" s="299"/>
      <c r="UJZ72" s="299"/>
      <c r="UKA72" s="299"/>
      <c r="UKB72" s="299"/>
      <c r="UKC72" s="299"/>
      <c r="UKD72" s="299"/>
      <c r="UKE72" s="299"/>
      <c r="UKF72" s="299"/>
      <c r="UKG72" s="299"/>
      <c r="UKH72" s="299"/>
      <c r="UKI72" s="299"/>
      <c r="UKJ72" s="299"/>
      <c r="UKK72" s="299"/>
      <c r="UKL72" s="299"/>
      <c r="UKM72" s="299"/>
      <c r="UKN72" s="299"/>
      <c r="UKO72" s="299"/>
      <c r="UKP72" s="299"/>
      <c r="UKQ72" s="299"/>
      <c r="UKR72" s="299"/>
      <c r="UKS72" s="299"/>
      <c r="UKT72" s="299"/>
      <c r="UKU72" s="299"/>
      <c r="UKV72" s="299"/>
      <c r="UKW72" s="299"/>
      <c r="UKX72" s="299"/>
      <c r="UKY72" s="299"/>
      <c r="UKZ72" s="299"/>
      <c r="ULA72" s="299"/>
      <c r="ULB72" s="299"/>
      <c r="ULC72" s="299"/>
      <c r="ULD72" s="299"/>
      <c r="ULE72" s="299"/>
      <c r="ULF72" s="299"/>
      <c r="ULG72" s="299"/>
      <c r="ULH72" s="299"/>
      <c r="ULI72" s="299"/>
      <c r="ULJ72" s="299"/>
      <c r="ULK72" s="299"/>
      <c r="ULL72" s="299"/>
      <c r="ULM72" s="299"/>
      <c r="ULN72" s="299"/>
      <c r="ULO72" s="299"/>
      <c r="ULP72" s="299"/>
      <c r="ULQ72" s="299"/>
      <c r="ULR72" s="299"/>
      <c r="ULS72" s="299"/>
      <c r="ULT72" s="299"/>
      <c r="ULU72" s="299"/>
      <c r="ULV72" s="299"/>
      <c r="ULW72" s="299"/>
      <c r="ULX72" s="299"/>
      <c r="ULY72" s="299"/>
      <c r="ULZ72" s="299"/>
      <c r="UMA72" s="299"/>
      <c r="UMB72" s="299"/>
      <c r="UMC72" s="299"/>
      <c r="UMD72" s="299"/>
      <c r="UME72" s="299"/>
      <c r="UMF72" s="299"/>
      <c r="UMG72" s="299"/>
      <c r="UMH72" s="299"/>
      <c r="UMI72" s="299"/>
      <c r="UMJ72" s="299"/>
      <c r="UMK72" s="299"/>
      <c r="UML72" s="299"/>
      <c r="UMM72" s="299"/>
      <c r="UMN72" s="299"/>
      <c r="UMO72" s="299"/>
      <c r="UMP72" s="299"/>
      <c r="UMQ72" s="299"/>
      <c r="UMR72" s="299"/>
      <c r="UMS72" s="299"/>
      <c r="UMT72" s="299"/>
      <c r="UMU72" s="299"/>
      <c r="UMV72" s="299"/>
      <c r="UMW72" s="299"/>
      <c r="UMX72" s="299"/>
      <c r="UMY72" s="299"/>
      <c r="UMZ72" s="299"/>
      <c r="UNA72" s="299"/>
      <c r="UNB72" s="299"/>
      <c r="UNC72" s="299"/>
      <c r="UND72" s="299"/>
      <c r="UNE72" s="299"/>
      <c r="UNF72" s="299"/>
      <c r="UNG72" s="299"/>
      <c r="UNH72" s="299"/>
      <c r="UNI72" s="299"/>
      <c r="UNJ72" s="299"/>
      <c r="UNK72" s="299"/>
      <c r="UNL72" s="299"/>
      <c r="UNM72" s="299"/>
      <c r="UNN72" s="299"/>
      <c r="UNO72" s="299"/>
      <c r="UNP72" s="299"/>
      <c r="UNQ72" s="299"/>
      <c r="UNR72" s="299"/>
      <c r="UNS72" s="299"/>
      <c r="UNT72" s="299"/>
      <c r="UNU72" s="299"/>
      <c r="UNV72" s="299"/>
      <c r="UNW72" s="299"/>
      <c r="UNX72" s="299"/>
      <c r="UNY72" s="299"/>
      <c r="UNZ72" s="299"/>
      <c r="UOA72" s="299"/>
      <c r="UOB72" s="299"/>
      <c r="UOC72" s="299"/>
      <c r="UOD72" s="299"/>
      <c r="UOE72" s="299"/>
      <c r="UOF72" s="299"/>
      <c r="UOG72" s="299"/>
      <c r="UOH72" s="299"/>
      <c r="UOI72" s="299"/>
      <c r="UOJ72" s="299"/>
      <c r="UOK72" s="299"/>
      <c r="UOL72" s="299"/>
      <c r="UOM72" s="299"/>
      <c r="UON72" s="299"/>
      <c r="UOO72" s="299"/>
      <c r="UOP72" s="299"/>
      <c r="UOQ72" s="299"/>
      <c r="UOR72" s="299"/>
      <c r="UOS72" s="299"/>
      <c r="UOT72" s="299"/>
      <c r="UOU72" s="299"/>
      <c r="UOV72" s="299"/>
      <c r="UOW72" s="299"/>
      <c r="UOX72" s="299"/>
      <c r="UOY72" s="299"/>
      <c r="UOZ72" s="299"/>
      <c r="UPA72" s="299"/>
      <c r="UPB72" s="299"/>
      <c r="UPC72" s="299"/>
      <c r="UPD72" s="299"/>
      <c r="UPE72" s="299"/>
      <c r="UPF72" s="299"/>
      <c r="UPG72" s="299"/>
      <c r="UPH72" s="299"/>
      <c r="UPI72" s="299"/>
      <c r="UPJ72" s="299"/>
      <c r="UPK72" s="299"/>
      <c r="UPL72" s="299"/>
      <c r="UPM72" s="299"/>
      <c r="UPN72" s="299"/>
      <c r="UPO72" s="299"/>
      <c r="UPP72" s="299"/>
      <c r="UPQ72" s="299"/>
      <c r="UPR72" s="299"/>
      <c r="UPS72" s="299"/>
      <c r="UPT72" s="299"/>
      <c r="UPU72" s="299"/>
      <c r="UPV72" s="299"/>
      <c r="UPW72" s="299"/>
      <c r="UPX72" s="299"/>
      <c r="UPY72" s="299"/>
      <c r="UPZ72" s="299"/>
      <c r="UQA72" s="299"/>
      <c r="UQB72" s="299"/>
      <c r="UQC72" s="299"/>
      <c r="UQD72" s="299"/>
      <c r="UQE72" s="299"/>
      <c r="UQF72" s="299"/>
      <c r="UQG72" s="299"/>
      <c r="UQH72" s="299"/>
      <c r="UQI72" s="299"/>
      <c r="UQJ72" s="299"/>
      <c r="UQK72" s="299"/>
      <c r="UQL72" s="299"/>
      <c r="UQM72" s="299"/>
      <c r="UQN72" s="299"/>
      <c r="UQO72" s="299"/>
      <c r="UQP72" s="299"/>
      <c r="UQQ72" s="299"/>
      <c r="UQR72" s="299"/>
      <c r="UQS72" s="299"/>
      <c r="UQT72" s="299"/>
      <c r="UQU72" s="299"/>
      <c r="UQV72" s="299"/>
      <c r="UQW72" s="299"/>
      <c r="UQX72" s="299"/>
      <c r="UQY72" s="299"/>
      <c r="UQZ72" s="299"/>
      <c r="URA72" s="299"/>
      <c r="URB72" s="299"/>
      <c r="URC72" s="299"/>
      <c r="URD72" s="299"/>
      <c r="URE72" s="299"/>
      <c r="URF72" s="299"/>
      <c r="URG72" s="299"/>
      <c r="URH72" s="299"/>
      <c r="URI72" s="299"/>
      <c r="URJ72" s="299"/>
      <c r="URK72" s="299"/>
      <c r="URL72" s="299"/>
      <c r="URM72" s="299"/>
      <c r="URN72" s="299"/>
      <c r="URO72" s="299"/>
      <c r="URP72" s="299"/>
      <c r="URQ72" s="299"/>
      <c r="URR72" s="299"/>
      <c r="URS72" s="299"/>
      <c r="URT72" s="299"/>
      <c r="URU72" s="299"/>
      <c r="URV72" s="299"/>
      <c r="URW72" s="299"/>
      <c r="URX72" s="299"/>
      <c r="URY72" s="299"/>
      <c r="URZ72" s="299"/>
      <c r="USA72" s="299"/>
      <c r="USB72" s="299"/>
      <c r="USC72" s="299"/>
      <c r="USD72" s="299"/>
      <c r="USE72" s="299"/>
      <c r="USF72" s="299"/>
      <c r="USG72" s="299"/>
      <c r="USH72" s="299"/>
      <c r="USI72" s="299"/>
      <c r="USJ72" s="299"/>
      <c r="USK72" s="299"/>
      <c r="USL72" s="299"/>
      <c r="USM72" s="299"/>
      <c r="USN72" s="299"/>
      <c r="USO72" s="299"/>
      <c r="USP72" s="299"/>
      <c r="USQ72" s="299"/>
      <c r="USR72" s="299"/>
      <c r="USS72" s="299"/>
      <c r="UST72" s="299"/>
      <c r="USU72" s="299"/>
      <c r="USV72" s="299"/>
      <c r="USW72" s="299"/>
      <c r="USX72" s="299"/>
      <c r="USY72" s="299"/>
      <c r="USZ72" s="299"/>
      <c r="UTA72" s="299"/>
      <c r="UTB72" s="299"/>
      <c r="UTC72" s="299"/>
      <c r="UTD72" s="299"/>
      <c r="UTE72" s="299"/>
      <c r="UTF72" s="299"/>
      <c r="UTG72" s="299"/>
      <c r="UTH72" s="299"/>
      <c r="UTI72" s="299"/>
      <c r="UTJ72" s="299"/>
      <c r="UTK72" s="299"/>
      <c r="UTL72" s="299"/>
      <c r="UTM72" s="299"/>
      <c r="UTN72" s="299"/>
      <c r="UTO72" s="299"/>
      <c r="UTP72" s="299"/>
      <c r="UTQ72" s="299"/>
      <c r="UTR72" s="299"/>
      <c r="UTS72" s="299"/>
      <c r="UTT72" s="299"/>
      <c r="UTU72" s="299"/>
      <c r="UTV72" s="299"/>
      <c r="UTW72" s="299"/>
      <c r="UTX72" s="299"/>
      <c r="UTY72" s="299"/>
      <c r="UTZ72" s="299"/>
      <c r="UUA72" s="299"/>
      <c r="UUB72" s="299"/>
      <c r="UUC72" s="299"/>
      <c r="UUD72" s="299"/>
      <c r="UUE72" s="299"/>
      <c r="UUF72" s="299"/>
      <c r="UUG72" s="299"/>
      <c r="UUH72" s="299"/>
      <c r="UUI72" s="299"/>
      <c r="UUJ72" s="299"/>
      <c r="UUK72" s="299"/>
      <c r="UUL72" s="299"/>
      <c r="UUM72" s="299"/>
      <c r="UUN72" s="299"/>
      <c r="UUO72" s="299"/>
      <c r="UUP72" s="299"/>
      <c r="UUQ72" s="299"/>
      <c r="UUR72" s="299"/>
      <c r="UUS72" s="299"/>
      <c r="UUT72" s="299"/>
      <c r="UUU72" s="299"/>
      <c r="UUV72" s="299"/>
      <c r="UUW72" s="299"/>
      <c r="UUX72" s="299"/>
      <c r="UUY72" s="299"/>
      <c r="UUZ72" s="299"/>
      <c r="UVA72" s="299"/>
      <c r="UVB72" s="299"/>
      <c r="UVC72" s="299"/>
      <c r="UVD72" s="299"/>
      <c r="UVE72" s="299"/>
      <c r="UVF72" s="299"/>
      <c r="UVG72" s="299"/>
      <c r="UVH72" s="299"/>
      <c r="UVI72" s="299"/>
      <c r="UVJ72" s="299"/>
      <c r="UVK72" s="299"/>
      <c r="UVL72" s="299"/>
      <c r="UVM72" s="299"/>
      <c r="UVN72" s="299"/>
      <c r="UVO72" s="299"/>
      <c r="UVP72" s="299"/>
      <c r="UVQ72" s="299"/>
      <c r="UVR72" s="299"/>
      <c r="UVS72" s="299"/>
      <c r="UVT72" s="299"/>
      <c r="UVU72" s="299"/>
      <c r="UVV72" s="299"/>
      <c r="UVW72" s="299"/>
      <c r="UVX72" s="299"/>
      <c r="UVY72" s="299"/>
      <c r="UVZ72" s="299"/>
      <c r="UWA72" s="299"/>
      <c r="UWB72" s="299"/>
      <c r="UWC72" s="299"/>
      <c r="UWD72" s="299"/>
      <c r="UWE72" s="299"/>
      <c r="UWF72" s="299"/>
      <c r="UWG72" s="299"/>
      <c r="UWH72" s="299"/>
      <c r="UWI72" s="299"/>
      <c r="UWJ72" s="299"/>
      <c r="UWK72" s="299"/>
      <c r="UWL72" s="299"/>
      <c r="UWM72" s="299"/>
      <c r="UWN72" s="299"/>
      <c r="UWO72" s="299"/>
      <c r="UWP72" s="299"/>
      <c r="UWQ72" s="299"/>
      <c r="UWR72" s="299"/>
      <c r="UWS72" s="299"/>
      <c r="UWT72" s="299"/>
      <c r="UWU72" s="299"/>
      <c r="UWV72" s="299"/>
      <c r="UWW72" s="299"/>
      <c r="UWX72" s="299"/>
      <c r="UWY72" s="299"/>
      <c r="UWZ72" s="299"/>
      <c r="UXA72" s="299"/>
      <c r="UXB72" s="299"/>
      <c r="UXC72" s="299"/>
      <c r="UXD72" s="299"/>
      <c r="UXE72" s="299"/>
      <c r="UXF72" s="299"/>
      <c r="UXG72" s="299"/>
      <c r="UXH72" s="299"/>
      <c r="UXI72" s="299"/>
      <c r="UXJ72" s="299"/>
      <c r="UXK72" s="299"/>
      <c r="UXL72" s="299"/>
      <c r="UXM72" s="299"/>
      <c r="UXN72" s="299"/>
      <c r="UXO72" s="299"/>
      <c r="UXP72" s="299"/>
      <c r="UXQ72" s="299"/>
      <c r="UXR72" s="299"/>
      <c r="UXS72" s="299"/>
      <c r="UXT72" s="299"/>
      <c r="UXU72" s="299"/>
      <c r="UXV72" s="299"/>
      <c r="UXW72" s="299"/>
      <c r="UXX72" s="299"/>
      <c r="UXY72" s="299"/>
      <c r="UXZ72" s="299"/>
      <c r="UYA72" s="299"/>
      <c r="UYB72" s="299"/>
      <c r="UYC72" s="299"/>
      <c r="UYD72" s="299"/>
      <c r="UYE72" s="299"/>
      <c r="UYF72" s="299"/>
      <c r="UYG72" s="299"/>
      <c r="UYH72" s="299"/>
      <c r="UYI72" s="299"/>
      <c r="UYJ72" s="299"/>
      <c r="UYK72" s="299"/>
      <c r="UYL72" s="299"/>
      <c r="UYM72" s="299"/>
      <c r="UYN72" s="299"/>
      <c r="UYO72" s="299"/>
      <c r="UYP72" s="299"/>
      <c r="UYQ72" s="299"/>
      <c r="UYR72" s="299"/>
      <c r="UYS72" s="299"/>
      <c r="UYT72" s="299"/>
      <c r="UYU72" s="299"/>
      <c r="UYV72" s="299"/>
      <c r="UYW72" s="299"/>
      <c r="UYX72" s="299"/>
      <c r="UYY72" s="299"/>
      <c r="UYZ72" s="299"/>
      <c r="UZA72" s="299"/>
      <c r="UZB72" s="299"/>
      <c r="UZC72" s="299"/>
      <c r="UZD72" s="299"/>
      <c r="UZE72" s="299"/>
      <c r="UZF72" s="299"/>
      <c r="UZG72" s="299"/>
      <c r="UZH72" s="299"/>
      <c r="UZI72" s="299"/>
      <c r="UZJ72" s="299"/>
      <c r="UZK72" s="299"/>
      <c r="UZL72" s="299"/>
      <c r="UZM72" s="299"/>
      <c r="UZN72" s="299"/>
      <c r="UZO72" s="299"/>
      <c r="UZP72" s="299"/>
      <c r="UZQ72" s="299"/>
      <c r="UZR72" s="299"/>
      <c r="UZS72" s="299"/>
      <c r="UZT72" s="299"/>
      <c r="UZU72" s="299"/>
      <c r="UZV72" s="299"/>
      <c r="UZW72" s="299"/>
      <c r="UZX72" s="299"/>
      <c r="UZY72" s="299"/>
      <c r="UZZ72" s="299"/>
      <c r="VAA72" s="299"/>
      <c r="VAB72" s="299"/>
      <c r="VAC72" s="299"/>
      <c r="VAD72" s="299"/>
      <c r="VAE72" s="299"/>
      <c r="VAF72" s="299"/>
      <c r="VAG72" s="299"/>
      <c r="VAH72" s="299"/>
      <c r="VAI72" s="299"/>
      <c r="VAJ72" s="299"/>
      <c r="VAK72" s="299"/>
      <c r="VAL72" s="299"/>
      <c r="VAM72" s="299"/>
      <c r="VAN72" s="299"/>
      <c r="VAO72" s="299"/>
      <c r="VAP72" s="299"/>
      <c r="VAQ72" s="299"/>
      <c r="VAR72" s="299"/>
      <c r="VAS72" s="299"/>
      <c r="VAT72" s="299"/>
      <c r="VAU72" s="299"/>
      <c r="VAV72" s="299"/>
      <c r="VAW72" s="299"/>
      <c r="VAX72" s="299"/>
      <c r="VAY72" s="299"/>
      <c r="VAZ72" s="299"/>
      <c r="VBA72" s="299"/>
      <c r="VBB72" s="299"/>
      <c r="VBC72" s="299"/>
      <c r="VBD72" s="299"/>
      <c r="VBE72" s="299"/>
      <c r="VBF72" s="299"/>
      <c r="VBG72" s="299"/>
      <c r="VBH72" s="299"/>
      <c r="VBI72" s="299"/>
      <c r="VBJ72" s="299"/>
      <c r="VBK72" s="299"/>
      <c r="VBL72" s="299"/>
      <c r="VBM72" s="299"/>
      <c r="VBN72" s="299"/>
      <c r="VBO72" s="299"/>
      <c r="VBP72" s="299"/>
      <c r="VBQ72" s="299"/>
      <c r="VBR72" s="299"/>
      <c r="VBS72" s="299"/>
      <c r="VBT72" s="299"/>
      <c r="VBU72" s="299"/>
      <c r="VBV72" s="299"/>
      <c r="VBW72" s="299"/>
      <c r="VBX72" s="299"/>
      <c r="VBY72" s="299"/>
      <c r="VBZ72" s="299"/>
      <c r="VCA72" s="299"/>
      <c r="VCB72" s="299"/>
      <c r="VCC72" s="299"/>
      <c r="VCD72" s="299"/>
      <c r="VCE72" s="299"/>
      <c r="VCF72" s="299"/>
      <c r="VCG72" s="299"/>
      <c r="VCH72" s="299"/>
      <c r="VCI72" s="299"/>
      <c r="VCJ72" s="299"/>
      <c r="VCK72" s="299"/>
      <c r="VCL72" s="299"/>
      <c r="VCM72" s="299"/>
      <c r="VCN72" s="299"/>
      <c r="VCO72" s="299"/>
      <c r="VCP72" s="299"/>
      <c r="VCQ72" s="299"/>
      <c r="VCR72" s="299"/>
      <c r="VCS72" s="299"/>
      <c r="VCT72" s="299"/>
      <c r="VCU72" s="299"/>
      <c r="VCV72" s="299"/>
      <c r="VCW72" s="299"/>
      <c r="VCX72" s="299"/>
      <c r="VCY72" s="299"/>
      <c r="VCZ72" s="299"/>
      <c r="VDA72" s="299"/>
      <c r="VDB72" s="299"/>
      <c r="VDC72" s="299"/>
      <c r="VDD72" s="299"/>
      <c r="VDE72" s="299"/>
      <c r="VDF72" s="299"/>
      <c r="VDG72" s="299"/>
      <c r="VDH72" s="299"/>
      <c r="VDI72" s="299"/>
      <c r="VDJ72" s="299"/>
      <c r="VDK72" s="299"/>
      <c r="VDL72" s="299"/>
      <c r="VDM72" s="299"/>
      <c r="VDN72" s="299"/>
      <c r="VDO72" s="299"/>
      <c r="VDP72" s="299"/>
      <c r="VDQ72" s="299"/>
      <c r="VDR72" s="299"/>
      <c r="VDS72" s="299"/>
      <c r="VDT72" s="299"/>
      <c r="VDU72" s="299"/>
      <c r="VDV72" s="299"/>
      <c r="VDW72" s="299"/>
      <c r="VDX72" s="299"/>
      <c r="VDY72" s="299"/>
      <c r="VDZ72" s="299"/>
      <c r="VEA72" s="299"/>
      <c r="VEB72" s="299"/>
      <c r="VEC72" s="299"/>
      <c r="VED72" s="299"/>
      <c r="VEE72" s="299"/>
      <c r="VEF72" s="299"/>
      <c r="VEG72" s="299"/>
      <c r="VEH72" s="299"/>
      <c r="VEI72" s="299"/>
      <c r="VEJ72" s="299"/>
      <c r="VEK72" s="299"/>
      <c r="VEL72" s="299"/>
      <c r="VEM72" s="299"/>
      <c r="VEN72" s="299"/>
      <c r="VEO72" s="299"/>
      <c r="VEP72" s="299"/>
      <c r="VEQ72" s="299"/>
      <c r="VER72" s="299"/>
      <c r="VES72" s="299"/>
      <c r="VET72" s="299"/>
      <c r="VEU72" s="299"/>
      <c r="VEV72" s="299"/>
      <c r="VEW72" s="299"/>
      <c r="VEX72" s="299"/>
      <c r="VEY72" s="299"/>
      <c r="VEZ72" s="299"/>
      <c r="VFA72" s="299"/>
      <c r="VFB72" s="299"/>
      <c r="VFC72" s="299"/>
      <c r="VFD72" s="299"/>
      <c r="VFE72" s="299"/>
      <c r="VFF72" s="299"/>
      <c r="VFG72" s="299"/>
      <c r="VFH72" s="299"/>
      <c r="VFI72" s="299"/>
      <c r="VFJ72" s="299"/>
      <c r="VFK72" s="299"/>
      <c r="VFL72" s="299"/>
      <c r="VFM72" s="299"/>
      <c r="VFN72" s="299"/>
      <c r="VFO72" s="299"/>
      <c r="VFP72" s="299"/>
      <c r="VFQ72" s="299"/>
      <c r="VFR72" s="299"/>
      <c r="VFS72" s="299"/>
      <c r="VFT72" s="299"/>
      <c r="VFU72" s="299"/>
      <c r="VFV72" s="299"/>
      <c r="VFW72" s="299"/>
      <c r="VFX72" s="299"/>
      <c r="VFY72" s="299"/>
      <c r="VFZ72" s="299"/>
      <c r="VGA72" s="299"/>
      <c r="VGB72" s="299"/>
      <c r="VGC72" s="299"/>
      <c r="VGD72" s="299"/>
      <c r="VGE72" s="299"/>
      <c r="VGF72" s="299"/>
      <c r="VGG72" s="299"/>
      <c r="VGH72" s="299"/>
      <c r="VGI72" s="299"/>
      <c r="VGJ72" s="299"/>
      <c r="VGK72" s="299"/>
      <c r="VGL72" s="299"/>
      <c r="VGM72" s="299"/>
      <c r="VGN72" s="299"/>
      <c r="VGO72" s="299"/>
      <c r="VGP72" s="299"/>
      <c r="VGQ72" s="299"/>
      <c r="VGR72" s="299"/>
      <c r="VGS72" s="299"/>
      <c r="VGT72" s="299"/>
      <c r="VGU72" s="299"/>
      <c r="VGV72" s="299"/>
      <c r="VGW72" s="299"/>
      <c r="VGX72" s="299"/>
      <c r="VGY72" s="299"/>
      <c r="VGZ72" s="299"/>
      <c r="VHA72" s="299"/>
      <c r="VHB72" s="299"/>
      <c r="VHC72" s="299"/>
      <c r="VHD72" s="299"/>
      <c r="VHE72" s="299"/>
      <c r="VHF72" s="299"/>
      <c r="VHG72" s="299"/>
      <c r="VHH72" s="299"/>
      <c r="VHI72" s="299"/>
      <c r="VHJ72" s="299"/>
      <c r="VHK72" s="299"/>
      <c r="VHL72" s="299"/>
      <c r="VHM72" s="299"/>
      <c r="VHN72" s="299"/>
      <c r="VHO72" s="299"/>
      <c r="VHP72" s="299"/>
      <c r="VHQ72" s="299"/>
      <c r="VHR72" s="299"/>
      <c r="VHS72" s="299"/>
      <c r="VHT72" s="299"/>
      <c r="VHU72" s="299"/>
      <c r="VHV72" s="299"/>
      <c r="VHW72" s="299"/>
      <c r="VHX72" s="299"/>
      <c r="VHY72" s="299"/>
      <c r="VHZ72" s="299"/>
      <c r="VIA72" s="299"/>
      <c r="VIB72" s="299"/>
      <c r="VIC72" s="299"/>
      <c r="VID72" s="299"/>
      <c r="VIE72" s="299"/>
      <c r="VIF72" s="299"/>
      <c r="VIG72" s="299"/>
      <c r="VIH72" s="299"/>
      <c r="VII72" s="299"/>
      <c r="VIJ72" s="299"/>
      <c r="VIK72" s="299"/>
      <c r="VIL72" s="299"/>
      <c r="VIM72" s="299"/>
      <c r="VIN72" s="299"/>
      <c r="VIO72" s="299"/>
      <c r="VIP72" s="299"/>
      <c r="VIQ72" s="299"/>
      <c r="VIR72" s="299"/>
      <c r="VIS72" s="299"/>
      <c r="VIT72" s="299"/>
      <c r="VIU72" s="299"/>
      <c r="VIV72" s="299"/>
      <c r="VIW72" s="299"/>
      <c r="VIX72" s="299"/>
      <c r="VIY72" s="299"/>
      <c r="VIZ72" s="299"/>
      <c r="VJA72" s="299"/>
      <c r="VJB72" s="299"/>
      <c r="VJC72" s="299"/>
      <c r="VJD72" s="299"/>
      <c r="VJE72" s="299"/>
      <c r="VJF72" s="299"/>
      <c r="VJG72" s="299"/>
      <c r="VJH72" s="299"/>
      <c r="VJI72" s="299"/>
      <c r="VJJ72" s="299"/>
      <c r="VJK72" s="299"/>
      <c r="VJL72" s="299"/>
      <c r="VJM72" s="299"/>
      <c r="VJN72" s="299"/>
      <c r="VJO72" s="299"/>
      <c r="VJP72" s="299"/>
      <c r="VJQ72" s="299"/>
      <c r="VJR72" s="299"/>
      <c r="VJS72" s="299"/>
      <c r="VJT72" s="299"/>
      <c r="VJU72" s="299"/>
      <c r="VJV72" s="299"/>
      <c r="VJW72" s="299"/>
      <c r="VJX72" s="299"/>
      <c r="VJY72" s="299"/>
      <c r="VJZ72" s="299"/>
      <c r="VKA72" s="299"/>
      <c r="VKB72" s="299"/>
      <c r="VKC72" s="299"/>
      <c r="VKD72" s="299"/>
      <c r="VKE72" s="299"/>
      <c r="VKF72" s="299"/>
      <c r="VKG72" s="299"/>
      <c r="VKH72" s="299"/>
      <c r="VKI72" s="299"/>
      <c r="VKJ72" s="299"/>
      <c r="VKK72" s="299"/>
      <c r="VKL72" s="299"/>
      <c r="VKM72" s="299"/>
      <c r="VKN72" s="299"/>
      <c r="VKO72" s="299"/>
      <c r="VKP72" s="299"/>
      <c r="VKQ72" s="299"/>
      <c r="VKR72" s="299"/>
      <c r="VKS72" s="299"/>
      <c r="VKT72" s="299"/>
      <c r="VKU72" s="299"/>
      <c r="VKV72" s="299"/>
      <c r="VKW72" s="299"/>
      <c r="VKX72" s="299"/>
      <c r="VKY72" s="299"/>
      <c r="VKZ72" s="299"/>
      <c r="VLA72" s="299"/>
      <c r="VLB72" s="299"/>
      <c r="VLC72" s="299"/>
      <c r="VLD72" s="299"/>
      <c r="VLE72" s="299"/>
      <c r="VLF72" s="299"/>
      <c r="VLG72" s="299"/>
      <c r="VLH72" s="299"/>
      <c r="VLI72" s="299"/>
      <c r="VLJ72" s="299"/>
      <c r="VLK72" s="299"/>
      <c r="VLL72" s="299"/>
      <c r="VLM72" s="299"/>
      <c r="VLN72" s="299"/>
      <c r="VLO72" s="299"/>
      <c r="VLP72" s="299"/>
      <c r="VLQ72" s="299"/>
      <c r="VLR72" s="299"/>
      <c r="VLS72" s="299"/>
      <c r="VLT72" s="299"/>
      <c r="VLU72" s="299"/>
      <c r="VLV72" s="299"/>
      <c r="VLW72" s="299"/>
      <c r="VLX72" s="299"/>
      <c r="VLY72" s="299"/>
      <c r="VLZ72" s="299"/>
      <c r="VMA72" s="299"/>
      <c r="VMB72" s="299"/>
      <c r="VMC72" s="299"/>
      <c r="VMD72" s="299"/>
      <c r="VME72" s="299"/>
      <c r="VMF72" s="299"/>
      <c r="VMG72" s="299"/>
      <c r="VMH72" s="299"/>
      <c r="VMI72" s="299"/>
      <c r="VMJ72" s="299"/>
      <c r="VMK72" s="299"/>
      <c r="VML72" s="299"/>
      <c r="VMM72" s="299"/>
      <c r="VMN72" s="299"/>
      <c r="VMO72" s="299"/>
      <c r="VMP72" s="299"/>
      <c r="VMQ72" s="299"/>
      <c r="VMR72" s="299"/>
      <c r="VMS72" s="299"/>
      <c r="VMT72" s="299"/>
      <c r="VMU72" s="299"/>
      <c r="VMV72" s="299"/>
      <c r="VMW72" s="299"/>
      <c r="VMX72" s="299"/>
      <c r="VMY72" s="299"/>
      <c r="VMZ72" s="299"/>
      <c r="VNA72" s="299"/>
      <c r="VNB72" s="299"/>
      <c r="VNC72" s="299"/>
      <c r="VND72" s="299"/>
      <c r="VNE72" s="299"/>
      <c r="VNF72" s="299"/>
      <c r="VNG72" s="299"/>
      <c r="VNH72" s="299"/>
      <c r="VNI72" s="299"/>
      <c r="VNJ72" s="299"/>
      <c r="VNK72" s="299"/>
      <c r="VNL72" s="299"/>
      <c r="VNM72" s="299"/>
      <c r="VNN72" s="299"/>
      <c r="VNO72" s="299"/>
      <c r="VNP72" s="299"/>
      <c r="VNQ72" s="299"/>
      <c r="VNR72" s="299"/>
      <c r="VNS72" s="299"/>
      <c r="VNT72" s="299"/>
      <c r="VNU72" s="299"/>
      <c r="VNV72" s="299"/>
      <c r="VNW72" s="299"/>
      <c r="VNX72" s="299"/>
      <c r="VNY72" s="299"/>
      <c r="VNZ72" s="299"/>
      <c r="VOA72" s="299"/>
      <c r="VOB72" s="299"/>
      <c r="VOC72" s="299"/>
      <c r="VOD72" s="299"/>
      <c r="VOE72" s="299"/>
      <c r="VOF72" s="299"/>
      <c r="VOG72" s="299"/>
      <c r="VOH72" s="299"/>
      <c r="VOI72" s="299"/>
      <c r="VOJ72" s="299"/>
      <c r="VOK72" s="299"/>
      <c r="VOL72" s="299"/>
      <c r="VOM72" s="299"/>
      <c r="VON72" s="299"/>
      <c r="VOO72" s="299"/>
      <c r="VOP72" s="299"/>
      <c r="VOQ72" s="299"/>
      <c r="VOR72" s="299"/>
      <c r="VOS72" s="299"/>
      <c r="VOT72" s="299"/>
      <c r="VOU72" s="299"/>
      <c r="VOV72" s="299"/>
      <c r="VOW72" s="299"/>
      <c r="VOX72" s="299"/>
      <c r="VOY72" s="299"/>
      <c r="VOZ72" s="299"/>
      <c r="VPA72" s="299"/>
      <c r="VPB72" s="299"/>
      <c r="VPC72" s="299"/>
      <c r="VPD72" s="299"/>
      <c r="VPE72" s="299"/>
      <c r="VPF72" s="299"/>
      <c r="VPG72" s="299"/>
      <c r="VPH72" s="299"/>
      <c r="VPI72" s="299"/>
      <c r="VPJ72" s="299"/>
      <c r="VPK72" s="299"/>
      <c r="VPL72" s="299"/>
      <c r="VPM72" s="299"/>
      <c r="VPN72" s="299"/>
      <c r="VPO72" s="299"/>
      <c r="VPP72" s="299"/>
      <c r="VPQ72" s="299"/>
      <c r="VPR72" s="299"/>
      <c r="VPS72" s="299"/>
      <c r="VPT72" s="299"/>
      <c r="VPU72" s="299"/>
      <c r="VPV72" s="299"/>
      <c r="VPW72" s="299"/>
      <c r="VPX72" s="299"/>
      <c r="VPY72" s="299"/>
      <c r="VPZ72" s="299"/>
      <c r="VQA72" s="299"/>
      <c r="VQB72" s="299"/>
      <c r="VQC72" s="299"/>
      <c r="VQD72" s="299"/>
      <c r="VQE72" s="299"/>
      <c r="VQF72" s="299"/>
      <c r="VQG72" s="299"/>
      <c r="VQH72" s="299"/>
      <c r="VQI72" s="299"/>
      <c r="VQJ72" s="299"/>
      <c r="VQK72" s="299"/>
      <c r="VQL72" s="299"/>
      <c r="VQM72" s="299"/>
      <c r="VQN72" s="299"/>
      <c r="VQO72" s="299"/>
      <c r="VQP72" s="299"/>
      <c r="VQQ72" s="299"/>
      <c r="VQR72" s="299"/>
      <c r="VQS72" s="299"/>
      <c r="VQT72" s="299"/>
      <c r="VQU72" s="299"/>
      <c r="VQV72" s="299"/>
      <c r="VQW72" s="299"/>
      <c r="VQX72" s="299"/>
      <c r="VQY72" s="299"/>
      <c r="VQZ72" s="299"/>
      <c r="VRA72" s="299"/>
      <c r="VRB72" s="299"/>
      <c r="VRC72" s="299"/>
      <c r="VRD72" s="299"/>
      <c r="VRE72" s="299"/>
      <c r="VRF72" s="299"/>
      <c r="VRG72" s="299"/>
      <c r="VRH72" s="299"/>
      <c r="VRI72" s="299"/>
      <c r="VRJ72" s="299"/>
      <c r="VRK72" s="299"/>
      <c r="VRL72" s="299"/>
      <c r="VRM72" s="299"/>
      <c r="VRN72" s="299"/>
      <c r="VRO72" s="299"/>
      <c r="VRP72" s="299"/>
      <c r="VRQ72" s="299"/>
      <c r="VRR72" s="299"/>
      <c r="VRS72" s="299"/>
      <c r="VRT72" s="299"/>
      <c r="VRU72" s="299"/>
      <c r="VRV72" s="299"/>
      <c r="VRW72" s="299"/>
      <c r="VRX72" s="299"/>
      <c r="VRY72" s="299"/>
      <c r="VRZ72" s="299"/>
      <c r="VSA72" s="299"/>
      <c r="VSB72" s="299"/>
      <c r="VSC72" s="299"/>
      <c r="VSD72" s="299"/>
      <c r="VSE72" s="299"/>
      <c r="VSF72" s="299"/>
      <c r="VSG72" s="299"/>
      <c r="VSH72" s="299"/>
      <c r="VSI72" s="299"/>
      <c r="VSJ72" s="299"/>
      <c r="VSK72" s="299"/>
      <c r="VSL72" s="299"/>
      <c r="VSM72" s="299"/>
      <c r="VSN72" s="299"/>
      <c r="VSO72" s="299"/>
      <c r="VSP72" s="299"/>
      <c r="VSQ72" s="299"/>
      <c r="VSR72" s="299"/>
      <c r="VSS72" s="299"/>
      <c r="VST72" s="299"/>
      <c r="VSU72" s="299"/>
      <c r="VSV72" s="299"/>
      <c r="VSW72" s="299"/>
      <c r="VSX72" s="299"/>
      <c r="VSY72" s="299"/>
      <c r="VSZ72" s="299"/>
      <c r="VTA72" s="299"/>
      <c r="VTB72" s="299"/>
      <c r="VTC72" s="299"/>
      <c r="VTD72" s="299"/>
      <c r="VTE72" s="299"/>
      <c r="VTF72" s="299"/>
      <c r="VTG72" s="299"/>
      <c r="VTH72" s="299"/>
      <c r="VTI72" s="299"/>
      <c r="VTJ72" s="299"/>
      <c r="VTK72" s="299"/>
      <c r="VTL72" s="299"/>
      <c r="VTM72" s="299"/>
      <c r="VTN72" s="299"/>
      <c r="VTO72" s="299"/>
      <c r="VTP72" s="299"/>
      <c r="VTQ72" s="299"/>
      <c r="VTR72" s="299"/>
      <c r="VTS72" s="299"/>
      <c r="VTT72" s="299"/>
      <c r="VTU72" s="299"/>
      <c r="VTV72" s="299"/>
      <c r="VTW72" s="299"/>
      <c r="VTX72" s="299"/>
      <c r="VTY72" s="299"/>
      <c r="VTZ72" s="299"/>
      <c r="VUA72" s="299"/>
      <c r="VUB72" s="299"/>
      <c r="VUC72" s="299"/>
      <c r="VUD72" s="299"/>
      <c r="VUE72" s="299"/>
      <c r="VUF72" s="299"/>
      <c r="VUG72" s="299"/>
      <c r="VUH72" s="299"/>
      <c r="VUI72" s="299"/>
      <c r="VUJ72" s="299"/>
      <c r="VUK72" s="299"/>
      <c r="VUL72" s="299"/>
      <c r="VUM72" s="299"/>
      <c r="VUN72" s="299"/>
      <c r="VUO72" s="299"/>
      <c r="VUP72" s="299"/>
      <c r="VUQ72" s="299"/>
      <c r="VUR72" s="299"/>
      <c r="VUS72" s="299"/>
      <c r="VUT72" s="299"/>
      <c r="VUU72" s="299"/>
      <c r="VUV72" s="299"/>
      <c r="VUW72" s="299"/>
      <c r="VUX72" s="299"/>
      <c r="VUY72" s="299"/>
      <c r="VUZ72" s="299"/>
      <c r="VVA72" s="299"/>
      <c r="VVB72" s="299"/>
      <c r="VVC72" s="299"/>
      <c r="VVD72" s="299"/>
      <c r="VVE72" s="299"/>
      <c r="VVF72" s="299"/>
      <c r="VVG72" s="299"/>
      <c r="VVH72" s="299"/>
      <c r="VVI72" s="299"/>
      <c r="VVJ72" s="299"/>
      <c r="VVK72" s="299"/>
      <c r="VVL72" s="299"/>
      <c r="VVM72" s="299"/>
      <c r="VVN72" s="299"/>
      <c r="VVO72" s="299"/>
      <c r="VVP72" s="299"/>
      <c r="VVQ72" s="299"/>
      <c r="VVR72" s="299"/>
      <c r="VVS72" s="299"/>
      <c r="VVT72" s="299"/>
      <c r="VVU72" s="299"/>
      <c r="VVV72" s="299"/>
      <c r="VVW72" s="299"/>
      <c r="VVX72" s="299"/>
      <c r="VVY72" s="299"/>
      <c r="VVZ72" s="299"/>
      <c r="VWA72" s="299"/>
      <c r="VWB72" s="299"/>
      <c r="VWC72" s="299"/>
      <c r="VWD72" s="299"/>
      <c r="VWE72" s="299"/>
      <c r="VWF72" s="299"/>
      <c r="VWG72" s="299"/>
      <c r="VWH72" s="299"/>
      <c r="VWI72" s="299"/>
      <c r="VWJ72" s="299"/>
      <c r="VWK72" s="299"/>
      <c r="VWL72" s="299"/>
      <c r="VWM72" s="299"/>
      <c r="VWN72" s="299"/>
      <c r="VWO72" s="299"/>
      <c r="VWP72" s="299"/>
      <c r="VWQ72" s="299"/>
      <c r="VWR72" s="299"/>
      <c r="VWS72" s="299"/>
      <c r="VWT72" s="299"/>
      <c r="VWU72" s="299"/>
      <c r="VWV72" s="299"/>
      <c r="VWW72" s="299"/>
      <c r="VWX72" s="299"/>
      <c r="VWY72" s="299"/>
      <c r="VWZ72" s="299"/>
      <c r="VXA72" s="299"/>
      <c r="VXB72" s="299"/>
      <c r="VXC72" s="299"/>
      <c r="VXD72" s="299"/>
      <c r="VXE72" s="299"/>
      <c r="VXF72" s="299"/>
      <c r="VXG72" s="299"/>
      <c r="VXH72" s="299"/>
      <c r="VXI72" s="299"/>
      <c r="VXJ72" s="299"/>
      <c r="VXK72" s="299"/>
      <c r="VXL72" s="299"/>
      <c r="VXM72" s="299"/>
      <c r="VXN72" s="299"/>
      <c r="VXO72" s="299"/>
      <c r="VXP72" s="299"/>
      <c r="VXQ72" s="299"/>
      <c r="VXR72" s="299"/>
      <c r="VXS72" s="299"/>
      <c r="VXT72" s="299"/>
      <c r="VXU72" s="299"/>
      <c r="VXV72" s="299"/>
      <c r="VXW72" s="299"/>
      <c r="VXX72" s="299"/>
      <c r="VXY72" s="299"/>
      <c r="VXZ72" s="299"/>
      <c r="VYA72" s="299"/>
      <c r="VYB72" s="299"/>
      <c r="VYC72" s="299"/>
      <c r="VYD72" s="299"/>
      <c r="VYE72" s="299"/>
      <c r="VYF72" s="299"/>
      <c r="VYG72" s="299"/>
      <c r="VYH72" s="299"/>
      <c r="VYI72" s="299"/>
      <c r="VYJ72" s="299"/>
      <c r="VYK72" s="299"/>
      <c r="VYL72" s="299"/>
      <c r="VYM72" s="299"/>
      <c r="VYN72" s="299"/>
      <c r="VYO72" s="299"/>
      <c r="VYP72" s="299"/>
      <c r="VYQ72" s="299"/>
      <c r="VYR72" s="299"/>
      <c r="VYS72" s="299"/>
      <c r="VYT72" s="299"/>
      <c r="VYU72" s="299"/>
      <c r="VYV72" s="299"/>
      <c r="VYW72" s="299"/>
      <c r="VYX72" s="299"/>
      <c r="VYY72" s="299"/>
      <c r="VYZ72" s="299"/>
      <c r="VZA72" s="299"/>
      <c r="VZB72" s="299"/>
      <c r="VZC72" s="299"/>
      <c r="VZD72" s="299"/>
      <c r="VZE72" s="299"/>
      <c r="VZF72" s="299"/>
      <c r="VZG72" s="299"/>
      <c r="VZH72" s="299"/>
      <c r="VZI72" s="299"/>
      <c r="VZJ72" s="299"/>
      <c r="VZK72" s="299"/>
      <c r="VZL72" s="299"/>
      <c r="VZM72" s="299"/>
      <c r="VZN72" s="299"/>
      <c r="VZO72" s="299"/>
      <c r="VZP72" s="299"/>
      <c r="VZQ72" s="299"/>
      <c r="VZR72" s="299"/>
      <c r="VZS72" s="299"/>
      <c r="VZT72" s="299"/>
      <c r="VZU72" s="299"/>
      <c r="VZV72" s="299"/>
      <c r="VZW72" s="299"/>
      <c r="VZX72" s="299"/>
      <c r="VZY72" s="299"/>
      <c r="VZZ72" s="299"/>
      <c r="WAA72" s="299"/>
      <c r="WAB72" s="299"/>
      <c r="WAC72" s="299"/>
      <c r="WAD72" s="299"/>
      <c r="WAE72" s="299"/>
      <c r="WAF72" s="299"/>
      <c r="WAG72" s="299"/>
      <c r="WAH72" s="299"/>
      <c r="WAI72" s="299"/>
      <c r="WAJ72" s="299"/>
      <c r="WAK72" s="299"/>
      <c r="WAL72" s="299"/>
      <c r="WAM72" s="299"/>
      <c r="WAN72" s="299"/>
      <c r="WAO72" s="299"/>
      <c r="WAP72" s="299"/>
      <c r="WAQ72" s="299"/>
      <c r="WAR72" s="299"/>
      <c r="WAS72" s="299"/>
      <c r="WAT72" s="299"/>
      <c r="WAU72" s="299"/>
      <c r="WAV72" s="299"/>
      <c r="WAW72" s="299"/>
      <c r="WAX72" s="299"/>
      <c r="WAY72" s="299"/>
      <c r="WAZ72" s="299"/>
      <c r="WBA72" s="299"/>
      <c r="WBB72" s="299"/>
      <c r="WBC72" s="299"/>
      <c r="WBD72" s="299"/>
      <c r="WBE72" s="299"/>
      <c r="WBF72" s="299"/>
      <c r="WBG72" s="299"/>
      <c r="WBH72" s="299"/>
      <c r="WBI72" s="299"/>
      <c r="WBJ72" s="299"/>
      <c r="WBK72" s="299"/>
      <c r="WBL72" s="299"/>
      <c r="WBM72" s="299"/>
      <c r="WBN72" s="299"/>
      <c r="WBO72" s="299"/>
      <c r="WBP72" s="299"/>
      <c r="WBQ72" s="299"/>
      <c r="WBR72" s="299"/>
      <c r="WBS72" s="299"/>
      <c r="WBT72" s="299"/>
      <c r="WBU72" s="299"/>
      <c r="WBV72" s="299"/>
      <c r="WBW72" s="299"/>
      <c r="WBX72" s="299"/>
      <c r="WBY72" s="299"/>
      <c r="WBZ72" s="299"/>
      <c r="WCA72" s="299"/>
      <c r="WCB72" s="299"/>
      <c r="WCC72" s="299"/>
      <c r="WCD72" s="299"/>
      <c r="WCE72" s="299"/>
      <c r="WCF72" s="299"/>
      <c r="WCG72" s="299"/>
      <c r="WCH72" s="299"/>
      <c r="WCI72" s="299"/>
      <c r="WCJ72" s="299"/>
      <c r="WCK72" s="299"/>
      <c r="WCL72" s="299"/>
      <c r="WCM72" s="299"/>
      <c r="WCN72" s="299"/>
      <c r="WCO72" s="299"/>
      <c r="WCP72" s="299"/>
      <c r="WCQ72" s="299"/>
      <c r="WCR72" s="299"/>
      <c r="WCS72" s="299"/>
      <c r="WCT72" s="299"/>
      <c r="WCU72" s="299"/>
      <c r="WCV72" s="299"/>
      <c r="WCW72" s="299"/>
      <c r="WCX72" s="299"/>
      <c r="WCY72" s="299"/>
      <c r="WCZ72" s="299"/>
      <c r="WDA72" s="299"/>
      <c r="WDB72" s="299"/>
      <c r="WDC72" s="299"/>
      <c r="WDD72" s="299"/>
      <c r="WDE72" s="299"/>
      <c r="WDF72" s="299"/>
      <c r="WDG72" s="299"/>
      <c r="WDH72" s="299"/>
      <c r="WDI72" s="299"/>
      <c r="WDJ72" s="299"/>
      <c r="WDK72" s="299"/>
      <c r="WDL72" s="299"/>
      <c r="WDM72" s="299"/>
      <c r="WDN72" s="299"/>
      <c r="WDO72" s="299"/>
      <c r="WDP72" s="299"/>
      <c r="WDQ72" s="299"/>
      <c r="WDR72" s="299"/>
      <c r="WDS72" s="299"/>
      <c r="WDT72" s="299"/>
      <c r="WDU72" s="299"/>
      <c r="WDV72" s="299"/>
      <c r="WDW72" s="299"/>
      <c r="WDX72" s="299"/>
      <c r="WDY72" s="299"/>
      <c r="WDZ72" s="299"/>
      <c r="WEA72" s="299"/>
      <c r="WEB72" s="299"/>
      <c r="WEC72" s="299"/>
      <c r="WED72" s="299"/>
      <c r="WEE72" s="299"/>
      <c r="WEF72" s="299"/>
      <c r="WEG72" s="299"/>
      <c r="WEH72" s="299"/>
      <c r="WEI72" s="299"/>
      <c r="WEJ72" s="299"/>
      <c r="WEK72" s="299"/>
      <c r="WEL72" s="299"/>
      <c r="WEM72" s="299"/>
      <c r="WEN72" s="299"/>
      <c r="WEO72" s="299"/>
      <c r="WEP72" s="299"/>
      <c r="WEQ72" s="299"/>
      <c r="WER72" s="299"/>
      <c r="WES72" s="299"/>
      <c r="WET72" s="299"/>
      <c r="WEU72" s="299"/>
      <c r="WEV72" s="299"/>
      <c r="WEW72" s="299"/>
      <c r="WEX72" s="299"/>
      <c r="WEY72" s="299"/>
      <c r="WEZ72" s="299"/>
      <c r="WFA72" s="299"/>
      <c r="WFB72" s="299"/>
      <c r="WFC72" s="299"/>
      <c r="WFD72" s="299"/>
      <c r="WFE72" s="299"/>
      <c r="WFF72" s="299"/>
      <c r="WFG72" s="299"/>
      <c r="WFH72" s="299"/>
      <c r="WFI72" s="299"/>
      <c r="WFJ72" s="299"/>
      <c r="WFK72" s="299"/>
      <c r="WFL72" s="299"/>
      <c r="WFM72" s="299"/>
      <c r="WFN72" s="299"/>
      <c r="WFO72" s="299"/>
      <c r="WFP72" s="299"/>
      <c r="WFQ72" s="299"/>
      <c r="WFR72" s="299"/>
      <c r="WFS72" s="299"/>
      <c r="WFT72" s="299"/>
      <c r="WFU72" s="299"/>
      <c r="WFV72" s="299"/>
      <c r="WFW72" s="299"/>
      <c r="WFX72" s="299"/>
      <c r="WFY72" s="299"/>
      <c r="WFZ72" s="299"/>
      <c r="WGA72" s="299"/>
      <c r="WGB72" s="299"/>
      <c r="WGC72" s="299"/>
      <c r="WGD72" s="299"/>
      <c r="WGE72" s="299"/>
      <c r="WGF72" s="299"/>
      <c r="WGG72" s="299"/>
      <c r="WGH72" s="299"/>
      <c r="WGI72" s="299"/>
      <c r="WGJ72" s="299"/>
      <c r="WGK72" s="299"/>
      <c r="WGL72" s="299"/>
      <c r="WGM72" s="299"/>
      <c r="WGN72" s="299"/>
      <c r="WGO72" s="299"/>
      <c r="WGP72" s="299"/>
      <c r="WGQ72" s="299"/>
      <c r="WGR72" s="299"/>
      <c r="WGS72" s="299"/>
      <c r="WGT72" s="299"/>
      <c r="WGU72" s="299"/>
      <c r="WGV72" s="299"/>
      <c r="WGW72" s="299"/>
      <c r="WGX72" s="299"/>
      <c r="WGY72" s="299"/>
      <c r="WGZ72" s="299"/>
      <c r="WHA72" s="299"/>
      <c r="WHB72" s="299"/>
      <c r="WHC72" s="299"/>
      <c r="WHD72" s="299"/>
      <c r="WHE72" s="299"/>
      <c r="WHF72" s="299"/>
      <c r="WHG72" s="299"/>
      <c r="WHH72" s="299"/>
      <c r="WHI72" s="299"/>
      <c r="WHJ72" s="299"/>
      <c r="WHK72" s="299"/>
      <c r="WHL72" s="299"/>
      <c r="WHM72" s="299"/>
      <c r="WHN72" s="299"/>
      <c r="WHO72" s="299"/>
      <c r="WHP72" s="299"/>
      <c r="WHQ72" s="299"/>
      <c r="WHR72" s="299"/>
      <c r="WHS72" s="299"/>
      <c r="WHT72" s="299"/>
      <c r="WHU72" s="299"/>
      <c r="WHV72" s="299"/>
      <c r="WHW72" s="299"/>
      <c r="WHX72" s="299"/>
      <c r="WHY72" s="299"/>
      <c r="WHZ72" s="299"/>
      <c r="WIA72" s="299"/>
      <c r="WIB72" s="299"/>
      <c r="WIC72" s="299"/>
      <c r="WID72" s="299"/>
      <c r="WIE72" s="299"/>
      <c r="WIF72" s="299"/>
      <c r="WIG72" s="299"/>
      <c r="WIH72" s="299"/>
      <c r="WII72" s="299"/>
      <c r="WIJ72" s="299"/>
      <c r="WIK72" s="299"/>
      <c r="WIL72" s="299"/>
      <c r="WIM72" s="299"/>
      <c r="WIN72" s="299"/>
      <c r="WIO72" s="299"/>
      <c r="WIP72" s="299"/>
      <c r="WIQ72" s="299"/>
      <c r="WIR72" s="299"/>
      <c r="WIS72" s="299"/>
      <c r="WIT72" s="299"/>
      <c r="WIU72" s="299"/>
      <c r="WIV72" s="299"/>
      <c r="WIW72" s="299"/>
      <c r="WIX72" s="299"/>
      <c r="WIY72" s="299"/>
      <c r="WIZ72" s="299"/>
      <c r="WJA72" s="299"/>
      <c r="WJB72" s="299"/>
      <c r="WJC72" s="299"/>
      <c r="WJD72" s="299"/>
      <c r="WJE72" s="299"/>
      <c r="WJF72" s="299"/>
      <c r="WJG72" s="299"/>
      <c r="WJH72" s="299"/>
      <c r="WJI72" s="299"/>
      <c r="WJJ72" s="299"/>
      <c r="WJK72" s="299"/>
      <c r="WJL72" s="299"/>
      <c r="WJM72" s="299"/>
      <c r="WJN72" s="299"/>
      <c r="WJO72" s="299"/>
      <c r="WJP72" s="299"/>
      <c r="WJQ72" s="299"/>
      <c r="WJR72" s="299"/>
      <c r="WJS72" s="299"/>
      <c r="WJT72" s="299"/>
      <c r="WJU72" s="299"/>
      <c r="WJV72" s="299"/>
      <c r="WJW72" s="299"/>
      <c r="WJX72" s="299"/>
      <c r="WJY72" s="299"/>
      <c r="WJZ72" s="299"/>
      <c r="WKA72" s="299"/>
      <c r="WKB72" s="299"/>
      <c r="WKC72" s="299"/>
      <c r="WKD72" s="299"/>
      <c r="WKE72" s="299"/>
      <c r="WKF72" s="299"/>
      <c r="WKG72" s="299"/>
      <c r="WKH72" s="299"/>
      <c r="WKI72" s="299"/>
      <c r="WKJ72" s="299"/>
      <c r="WKK72" s="299"/>
      <c r="WKL72" s="299"/>
      <c r="WKM72" s="299"/>
      <c r="WKN72" s="299"/>
      <c r="WKO72" s="299"/>
      <c r="WKP72" s="299"/>
      <c r="WKQ72" s="299"/>
      <c r="WKR72" s="299"/>
      <c r="WKS72" s="299"/>
      <c r="WKT72" s="299"/>
      <c r="WKU72" s="299"/>
      <c r="WKV72" s="299"/>
      <c r="WKW72" s="299"/>
      <c r="WKX72" s="299"/>
      <c r="WKY72" s="299"/>
      <c r="WKZ72" s="299"/>
      <c r="WLA72" s="299"/>
      <c r="WLB72" s="299"/>
      <c r="WLC72" s="299"/>
      <c r="WLD72" s="299"/>
      <c r="WLE72" s="299"/>
      <c r="WLF72" s="299"/>
      <c r="WLG72" s="299"/>
      <c r="WLH72" s="299"/>
      <c r="WLI72" s="299"/>
      <c r="WLJ72" s="299"/>
      <c r="WLK72" s="299"/>
      <c r="WLL72" s="299"/>
      <c r="WLM72" s="299"/>
      <c r="WLN72" s="299"/>
      <c r="WLO72" s="299"/>
      <c r="WLP72" s="299"/>
      <c r="WLQ72" s="299"/>
      <c r="WLR72" s="299"/>
      <c r="WLS72" s="299"/>
      <c r="WLT72" s="299"/>
      <c r="WLU72" s="299"/>
      <c r="WLV72" s="299"/>
      <c r="WLW72" s="299"/>
      <c r="WLX72" s="299"/>
      <c r="WLY72" s="299"/>
      <c r="WLZ72" s="299"/>
      <c r="WMA72" s="299"/>
      <c r="WMB72" s="299"/>
      <c r="WMC72" s="299"/>
      <c r="WMD72" s="299"/>
      <c r="WME72" s="299"/>
      <c r="WMF72" s="299"/>
      <c r="WMG72" s="299"/>
      <c r="WMH72" s="299"/>
      <c r="WMI72" s="299"/>
      <c r="WMJ72" s="299"/>
      <c r="WMK72" s="299"/>
      <c r="WML72" s="299"/>
      <c r="WMM72" s="299"/>
      <c r="WMN72" s="299"/>
      <c r="WMO72" s="299"/>
      <c r="WMP72" s="299"/>
      <c r="WMQ72" s="299"/>
      <c r="WMR72" s="299"/>
      <c r="WMS72" s="299"/>
      <c r="WMT72" s="299"/>
      <c r="WMU72" s="299"/>
      <c r="WMV72" s="299"/>
      <c r="WMW72" s="299"/>
      <c r="WMX72" s="299"/>
      <c r="WMY72" s="299"/>
      <c r="WMZ72" s="299"/>
      <c r="WNA72" s="299"/>
      <c r="WNB72" s="299"/>
      <c r="WNC72" s="299"/>
      <c r="WND72" s="299"/>
      <c r="WNE72" s="299"/>
      <c r="WNF72" s="299"/>
      <c r="WNG72" s="299"/>
      <c r="WNH72" s="299"/>
      <c r="WNI72" s="299"/>
      <c r="WNJ72" s="299"/>
      <c r="WNK72" s="299"/>
      <c r="WNL72" s="299"/>
      <c r="WNM72" s="299"/>
      <c r="WNN72" s="299"/>
      <c r="WNO72" s="299"/>
      <c r="WNP72" s="299"/>
      <c r="WNQ72" s="299"/>
      <c r="WNR72" s="299"/>
      <c r="WNS72" s="299"/>
      <c r="WNT72" s="299"/>
      <c r="WNU72" s="299"/>
      <c r="WNV72" s="299"/>
      <c r="WNW72" s="299"/>
      <c r="WNX72" s="299"/>
      <c r="WNY72" s="299"/>
      <c r="WNZ72" s="299"/>
      <c r="WOA72" s="299"/>
      <c r="WOB72" s="299"/>
      <c r="WOC72" s="299"/>
      <c r="WOD72" s="299"/>
      <c r="WOE72" s="299"/>
      <c r="WOF72" s="299"/>
      <c r="WOG72" s="299"/>
      <c r="WOH72" s="299"/>
      <c r="WOI72" s="299"/>
      <c r="WOJ72" s="299"/>
      <c r="WOK72" s="299"/>
      <c r="WOL72" s="299"/>
      <c r="WOM72" s="299"/>
      <c r="WON72" s="299"/>
      <c r="WOO72" s="299"/>
      <c r="WOP72" s="299"/>
      <c r="WOQ72" s="299"/>
      <c r="WOR72" s="299"/>
      <c r="WOS72" s="299"/>
      <c r="WOT72" s="299"/>
      <c r="WOU72" s="299"/>
      <c r="WOV72" s="299"/>
      <c r="WOW72" s="299"/>
      <c r="WOX72" s="299"/>
      <c r="WOY72" s="299"/>
      <c r="WOZ72" s="299"/>
      <c r="WPA72" s="299"/>
      <c r="WPB72" s="299"/>
      <c r="WPC72" s="299"/>
      <c r="WPD72" s="299"/>
      <c r="WPE72" s="299"/>
      <c r="WPF72" s="299"/>
      <c r="WPG72" s="299"/>
      <c r="WPH72" s="299"/>
      <c r="WPI72" s="299"/>
      <c r="WPJ72" s="299"/>
      <c r="WPK72" s="299"/>
      <c r="WPL72" s="299"/>
      <c r="WPM72" s="299"/>
      <c r="WPN72" s="299"/>
      <c r="WPO72" s="299"/>
      <c r="WPP72" s="299"/>
      <c r="WPQ72" s="299"/>
      <c r="WPR72" s="299"/>
      <c r="WPS72" s="299"/>
      <c r="WPT72" s="299"/>
      <c r="WPU72" s="299"/>
      <c r="WPV72" s="299"/>
      <c r="WPW72" s="299"/>
      <c r="WPX72" s="299"/>
      <c r="WPY72" s="299"/>
      <c r="WPZ72" s="299"/>
      <c r="WQA72" s="299"/>
      <c r="WQB72" s="299"/>
      <c r="WQC72" s="299"/>
      <c r="WQD72" s="299"/>
      <c r="WQE72" s="299"/>
      <c r="WQF72" s="299"/>
      <c r="WQG72" s="299"/>
      <c r="WQH72" s="299"/>
      <c r="WQI72" s="299"/>
      <c r="WQJ72" s="299"/>
      <c r="WQK72" s="299"/>
      <c r="WQL72" s="299"/>
      <c r="WQM72" s="299"/>
      <c r="WQN72" s="299"/>
      <c r="WQO72" s="299"/>
      <c r="WQP72" s="299"/>
      <c r="WQQ72" s="299"/>
      <c r="WQR72" s="299"/>
      <c r="WQS72" s="299"/>
      <c r="WQT72" s="299"/>
      <c r="WQU72" s="299"/>
      <c r="WQV72" s="299"/>
      <c r="WQW72" s="299"/>
      <c r="WQX72" s="299"/>
      <c r="WQY72" s="299"/>
      <c r="WQZ72" s="299"/>
      <c r="WRA72" s="299"/>
      <c r="WRB72" s="299"/>
      <c r="WRC72" s="299"/>
      <c r="WRD72" s="299"/>
      <c r="WRE72" s="299"/>
      <c r="WRF72" s="299"/>
      <c r="WRG72" s="299"/>
      <c r="WRH72" s="299"/>
      <c r="WRI72" s="299"/>
      <c r="WRJ72" s="299"/>
      <c r="WRK72" s="299"/>
      <c r="WRL72" s="299"/>
      <c r="WRM72" s="299"/>
      <c r="WRN72" s="299"/>
      <c r="WRO72" s="299"/>
      <c r="WRP72" s="299"/>
      <c r="WRQ72" s="299"/>
      <c r="WRR72" s="299"/>
      <c r="WRS72" s="299"/>
      <c r="WRT72" s="299"/>
      <c r="WRU72" s="299"/>
      <c r="WRV72" s="299"/>
      <c r="WRW72" s="299"/>
      <c r="WRX72" s="299"/>
      <c r="WRY72" s="299"/>
      <c r="WRZ72" s="299"/>
      <c r="WSA72" s="299"/>
      <c r="WSB72" s="299"/>
      <c r="WSC72" s="299"/>
      <c r="WSD72" s="299"/>
      <c r="WSE72" s="299"/>
      <c r="WSF72" s="299"/>
      <c r="WSG72" s="299"/>
      <c r="WSH72" s="299"/>
      <c r="WSI72" s="299"/>
      <c r="WSJ72" s="299"/>
      <c r="WSK72" s="299"/>
      <c r="WSL72" s="299"/>
      <c r="WSM72" s="299"/>
      <c r="WSN72" s="299"/>
      <c r="WSO72" s="299"/>
      <c r="WSP72" s="299"/>
      <c r="WSQ72" s="299"/>
      <c r="WSR72" s="299"/>
      <c r="WSS72" s="299"/>
      <c r="WST72" s="299"/>
      <c r="WSU72" s="299"/>
      <c r="WSV72" s="299"/>
      <c r="WSW72" s="299"/>
      <c r="WSX72" s="299"/>
      <c r="WSY72" s="299"/>
      <c r="WSZ72" s="299"/>
      <c r="WTA72" s="299"/>
      <c r="WTB72" s="299"/>
      <c r="WTC72" s="299"/>
      <c r="WTD72" s="299"/>
      <c r="WTE72" s="299"/>
      <c r="WTF72" s="299"/>
      <c r="WTG72" s="299"/>
      <c r="WTH72" s="299"/>
      <c r="WTI72" s="299"/>
      <c r="WTJ72" s="299"/>
      <c r="WTK72" s="299"/>
      <c r="WTL72" s="299"/>
      <c r="WTM72" s="299"/>
      <c r="WTN72" s="299"/>
      <c r="WTO72" s="299"/>
      <c r="WTP72" s="299"/>
      <c r="WTQ72" s="299"/>
      <c r="WTR72" s="299"/>
      <c r="WTS72" s="299"/>
      <c r="WTT72" s="299"/>
      <c r="WTU72" s="299"/>
      <c r="WTV72" s="299"/>
      <c r="WTW72" s="299"/>
      <c r="WTX72" s="299"/>
      <c r="WTY72" s="299"/>
      <c r="WTZ72" s="299"/>
      <c r="WUA72" s="299"/>
      <c r="WUB72" s="299"/>
      <c r="WUC72" s="299"/>
      <c r="WUD72" s="299"/>
      <c r="WUE72" s="299"/>
      <c r="WUF72" s="299"/>
      <c r="WUG72" s="299"/>
      <c r="WUH72" s="299"/>
      <c r="WUI72" s="299"/>
      <c r="WUJ72" s="299"/>
      <c r="WUK72" s="299"/>
      <c r="WUL72" s="299"/>
      <c r="WUM72" s="299"/>
      <c r="WUN72" s="299"/>
      <c r="WUO72" s="299"/>
      <c r="WUP72" s="299"/>
      <c r="WUQ72" s="299"/>
      <c r="WUR72" s="299"/>
      <c r="WUS72" s="299"/>
      <c r="WUT72" s="299"/>
      <c r="WUU72" s="299"/>
      <c r="WUV72" s="299"/>
      <c r="WUW72" s="299"/>
      <c r="WUX72" s="299"/>
      <c r="WUY72" s="299"/>
      <c r="WUZ72" s="299"/>
      <c r="WVA72" s="299"/>
      <c r="WVB72" s="299"/>
      <c r="WVC72" s="299"/>
      <c r="WVD72" s="299"/>
      <c r="WVE72" s="299"/>
      <c r="WVF72" s="299"/>
      <c r="WVG72" s="299"/>
      <c r="WVH72" s="299"/>
      <c r="WVI72" s="299"/>
      <c r="WVJ72" s="299"/>
      <c r="WVK72" s="299"/>
      <c r="WVL72" s="299"/>
      <c r="WVM72" s="299"/>
      <c r="WVN72" s="299"/>
      <c r="WVO72" s="299"/>
      <c r="WVP72" s="299"/>
      <c r="WVQ72" s="299"/>
      <c r="WVR72" s="299"/>
      <c r="WVS72" s="299"/>
      <c r="WVT72" s="299"/>
      <c r="WVU72" s="299"/>
      <c r="WVV72" s="299"/>
      <c r="WVW72" s="299"/>
      <c r="WVX72" s="299"/>
      <c r="WVY72" s="299"/>
      <c r="WVZ72" s="299"/>
      <c r="WWA72" s="299"/>
      <c r="WWB72" s="299"/>
      <c r="WWC72" s="299"/>
      <c r="WWD72" s="299"/>
      <c r="WWE72" s="299"/>
      <c r="WWF72" s="299"/>
      <c r="WWG72" s="299"/>
      <c r="WWH72" s="299"/>
      <c r="WWI72" s="299"/>
      <c r="WWJ72" s="299"/>
      <c r="WWK72" s="299"/>
      <c r="WWL72" s="299"/>
      <c r="WWM72" s="299"/>
      <c r="WWN72" s="299"/>
      <c r="WWO72" s="299"/>
      <c r="WWP72" s="299"/>
      <c r="WWQ72" s="299"/>
      <c r="WWR72" s="299"/>
      <c r="WWS72" s="299"/>
      <c r="WWT72" s="299"/>
      <c r="WWU72" s="299"/>
      <c r="WWV72" s="299"/>
      <c r="WWW72" s="299"/>
      <c r="WWX72" s="299"/>
      <c r="WWY72" s="299"/>
      <c r="WWZ72" s="299"/>
      <c r="WXA72" s="299"/>
      <c r="WXB72" s="299"/>
      <c r="WXC72" s="299"/>
      <c r="WXD72" s="299"/>
      <c r="WXE72" s="299"/>
      <c r="WXF72" s="299"/>
      <c r="WXG72" s="299"/>
      <c r="WXH72" s="299"/>
      <c r="WXI72" s="299"/>
      <c r="WXJ72" s="299"/>
      <c r="WXK72" s="299"/>
      <c r="WXL72" s="299"/>
      <c r="WXM72" s="299"/>
      <c r="WXN72" s="299"/>
      <c r="WXO72" s="299"/>
      <c r="WXP72" s="299"/>
      <c r="WXQ72" s="299"/>
      <c r="WXR72" s="299"/>
      <c r="WXS72" s="299"/>
      <c r="WXT72" s="299"/>
      <c r="WXU72" s="299"/>
      <c r="WXV72" s="299"/>
      <c r="WXW72" s="299"/>
      <c r="WXX72" s="299"/>
      <c r="WXY72" s="299"/>
      <c r="WXZ72" s="299"/>
      <c r="WYA72" s="299"/>
      <c r="WYB72" s="299"/>
      <c r="WYC72" s="299"/>
      <c r="WYD72" s="299"/>
      <c r="WYE72" s="299"/>
      <c r="WYF72" s="299"/>
      <c r="WYG72" s="299"/>
      <c r="WYH72" s="299"/>
      <c r="WYI72" s="299"/>
      <c r="WYJ72" s="299"/>
      <c r="WYK72" s="299"/>
      <c r="WYL72" s="299"/>
      <c r="WYM72" s="299"/>
      <c r="WYN72" s="299"/>
      <c r="WYO72" s="299"/>
      <c r="WYP72" s="299"/>
      <c r="WYQ72" s="299"/>
      <c r="WYR72" s="299"/>
      <c r="WYS72" s="299"/>
      <c r="WYT72" s="299"/>
      <c r="WYU72" s="299"/>
      <c r="WYV72" s="299"/>
      <c r="WYW72" s="299"/>
      <c r="WYX72" s="299"/>
      <c r="WYY72" s="299"/>
      <c r="WYZ72" s="299"/>
      <c r="WZA72" s="299"/>
      <c r="WZB72" s="299"/>
      <c r="WZC72" s="299"/>
      <c r="WZD72" s="299"/>
      <c r="WZE72" s="299"/>
      <c r="WZF72" s="299"/>
      <c r="WZG72" s="299"/>
      <c r="WZH72" s="299"/>
      <c r="WZI72" s="299"/>
      <c r="WZJ72" s="299"/>
      <c r="WZK72" s="299"/>
      <c r="WZL72" s="299"/>
      <c r="WZM72" s="299"/>
      <c r="WZN72" s="299"/>
      <c r="WZO72" s="299"/>
      <c r="WZP72" s="299"/>
      <c r="WZQ72" s="299"/>
      <c r="WZR72" s="299"/>
      <c r="WZS72" s="299"/>
      <c r="WZT72" s="299"/>
      <c r="WZU72" s="299"/>
      <c r="WZV72" s="299"/>
      <c r="WZW72" s="299"/>
      <c r="WZX72" s="299"/>
      <c r="WZY72" s="299"/>
      <c r="WZZ72" s="299"/>
      <c r="XAA72" s="299"/>
      <c r="XAB72" s="299"/>
      <c r="XAC72" s="299"/>
      <c r="XAD72" s="299"/>
      <c r="XAE72" s="299"/>
      <c r="XAF72" s="299"/>
      <c r="XAG72" s="299"/>
      <c r="XAH72" s="299"/>
      <c r="XAI72" s="299"/>
      <c r="XAJ72" s="299"/>
      <c r="XAK72" s="299"/>
      <c r="XAL72" s="299"/>
      <c r="XAM72" s="299"/>
      <c r="XAN72" s="299"/>
      <c r="XAO72" s="299"/>
      <c r="XAP72" s="299"/>
      <c r="XAQ72" s="299"/>
      <c r="XAR72" s="299"/>
      <c r="XAS72" s="299"/>
      <c r="XAT72" s="299"/>
      <c r="XAU72" s="299"/>
      <c r="XAV72" s="299"/>
      <c r="XAW72" s="299"/>
      <c r="XAX72" s="299"/>
      <c r="XAY72" s="299"/>
      <c r="XAZ72" s="299"/>
      <c r="XBA72" s="299"/>
      <c r="XBB72" s="299"/>
      <c r="XBC72" s="299"/>
      <c r="XBD72" s="299"/>
      <c r="XBE72" s="299"/>
      <c r="XBF72" s="299"/>
      <c r="XBG72" s="299"/>
      <c r="XBH72" s="299"/>
      <c r="XBI72" s="299"/>
      <c r="XBJ72" s="299"/>
      <c r="XBK72" s="299"/>
      <c r="XBL72" s="299"/>
      <c r="XBM72" s="299"/>
      <c r="XBN72" s="299"/>
      <c r="XBO72" s="299"/>
      <c r="XBP72" s="299"/>
      <c r="XBQ72" s="299"/>
      <c r="XBR72" s="299"/>
      <c r="XBS72" s="299"/>
      <c r="XBT72" s="299"/>
      <c r="XBU72" s="299"/>
      <c r="XBV72" s="299"/>
      <c r="XBW72" s="299"/>
      <c r="XBX72" s="299"/>
      <c r="XBY72" s="299"/>
      <c r="XBZ72" s="299"/>
      <c r="XCA72" s="299"/>
      <c r="XCB72" s="299"/>
      <c r="XCC72" s="299"/>
      <c r="XCD72" s="299"/>
      <c r="XCE72" s="299"/>
      <c r="XCF72" s="299"/>
      <c r="XCG72" s="299"/>
      <c r="XCH72" s="299"/>
      <c r="XCI72" s="299"/>
      <c r="XCJ72" s="299"/>
      <c r="XCK72" s="299"/>
      <c r="XCL72" s="299"/>
      <c r="XCM72" s="299"/>
      <c r="XCN72" s="299"/>
      <c r="XCO72" s="299"/>
      <c r="XCP72" s="299"/>
      <c r="XCQ72" s="299"/>
      <c r="XCR72" s="299"/>
      <c r="XCS72" s="299"/>
      <c r="XCT72" s="299"/>
      <c r="XCU72" s="299"/>
      <c r="XCV72" s="299"/>
      <c r="XCW72" s="299"/>
      <c r="XCX72" s="299"/>
      <c r="XCY72" s="299"/>
      <c r="XCZ72" s="299"/>
      <c r="XDA72" s="299"/>
      <c r="XDB72" s="299"/>
      <c r="XDC72" s="299"/>
      <c r="XDD72" s="299"/>
      <c r="XDE72" s="299"/>
      <c r="XDF72" s="299"/>
      <c r="XDG72" s="299"/>
      <c r="XDH72" s="299"/>
      <c r="XDI72" s="299"/>
      <c r="XDJ72" s="299"/>
      <c r="XDK72" s="299"/>
      <c r="XDL72" s="299"/>
      <c r="XDM72" s="299"/>
      <c r="XDN72" s="299"/>
      <c r="XDO72" s="299"/>
      <c r="XDP72" s="299"/>
      <c r="XDQ72" s="299"/>
      <c r="XDR72" s="299"/>
    </row>
    <row r="73" spans="1:16346" s="190" customFormat="1" x14ac:dyDescent="0.35">
      <c r="B73" s="334">
        <v>44289</v>
      </c>
      <c r="C73" s="277" t="s">
        <v>195</v>
      </c>
      <c r="D73" s="278" t="s">
        <v>196</v>
      </c>
      <c r="E73" s="278"/>
      <c r="F73" s="278"/>
      <c r="G73" s="277"/>
      <c r="H73" s="169">
        <v>50</v>
      </c>
      <c r="I73" s="278"/>
      <c r="J73" s="278"/>
      <c r="K73" s="278"/>
      <c r="L73" s="278"/>
      <c r="M73" s="278"/>
      <c r="N73" s="278"/>
      <c r="O73" s="279"/>
      <c r="P73" s="279"/>
      <c r="Q73" s="169">
        <v>50</v>
      </c>
      <c r="R73" s="278"/>
      <c r="S73" s="334">
        <v>44411</v>
      </c>
      <c r="T73" s="171">
        <v>5</v>
      </c>
      <c r="U73" s="278"/>
      <c r="V73" s="280">
        <v>23.5496919854398</v>
      </c>
      <c r="W73" s="280">
        <v>23.425909161487699</v>
      </c>
      <c r="X73" s="280">
        <v>23.243768873762502</v>
      </c>
      <c r="Y73" s="173">
        <f t="shared" ref="Y73:Y82" si="33">AVERAGE(V73:X73)</f>
        <v>23.406456673563337</v>
      </c>
      <c r="Z73" s="172">
        <f>10^((Y73-'Standard Curve Summaries'!G$9)/'Standard Curve Summaries'!I$9)</f>
        <v>26383436.045654789</v>
      </c>
      <c r="AA73" s="280">
        <f t="shared" ref="AA73:AA82" si="34">Z73*100/Z$81</f>
        <v>29.585637911117999</v>
      </c>
      <c r="AB73" s="280">
        <v>25.3475084712348</v>
      </c>
      <c r="AC73" s="280">
        <v>25.156472333867601</v>
      </c>
      <c r="AD73" s="280">
        <v>24.9047339990918</v>
      </c>
      <c r="AE73" s="173">
        <f t="shared" ref="AE73:AE82" si="35">AVERAGE(AB73:AD73)</f>
        <v>25.136238268064734</v>
      </c>
      <c r="AF73" s="306">
        <f>10^((AE73-'Standard Curve Summaries'!G$6)/'Standard Curve Summaries'!I$6)</f>
        <v>27204.46192271003</v>
      </c>
      <c r="AG73" s="292">
        <f t="shared" ref="AG73:AG82" si="36">(AF73/T73)*(Q73/H73)</f>
        <v>5440.8923845420059</v>
      </c>
      <c r="AH73" s="280">
        <v>38.380000000000003</v>
      </c>
      <c r="AI73" s="280"/>
      <c r="AJ73" s="280">
        <v>37.56</v>
      </c>
      <c r="AK73" s="173">
        <f t="shared" ref="AK73:AK82" si="37">AVERAGE(AH73:AJ73)</f>
        <v>37.97</v>
      </c>
      <c r="AL73" s="293">
        <f>10^((AK73-'Standard Curve Summaries'!G$8)/'Standard Curve Summaries'!I$8)</f>
        <v>18.928586276596125</v>
      </c>
      <c r="AM73" s="293">
        <f t="shared" ref="AM73:AM82" si="38">(AL73/T73)*(Q73/H73)</f>
        <v>3.7857172553192249</v>
      </c>
      <c r="AN73" s="292">
        <f t="shared" ref="AN73:AN82" si="39">AL73/AF73</f>
        <v>6.957897689861941E-4</v>
      </c>
      <c r="AO73" s="339"/>
      <c r="AP73" s="344"/>
    </row>
    <row r="74" spans="1:16346" s="174" customFormat="1" x14ac:dyDescent="0.35">
      <c r="B74" s="334">
        <v>44289</v>
      </c>
      <c r="C74" s="277" t="s">
        <v>195</v>
      </c>
      <c r="D74" s="278" t="s">
        <v>57</v>
      </c>
      <c r="E74" s="278"/>
      <c r="F74" s="278"/>
      <c r="G74" s="277"/>
      <c r="H74" s="169">
        <v>50</v>
      </c>
      <c r="I74" s="278"/>
      <c r="J74" s="278"/>
      <c r="K74" s="278"/>
      <c r="L74" s="278"/>
      <c r="M74" s="278"/>
      <c r="N74" s="278"/>
      <c r="O74" s="279"/>
      <c r="P74" s="279"/>
      <c r="Q74" s="169">
        <v>50</v>
      </c>
      <c r="R74" s="278"/>
      <c r="S74" s="334">
        <v>44411</v>
      </c>
      <c r="T74" s="171">
        <v>5</v>
      </c>
      <c r="U74" s="278"/>
      <c r="V74" s="280">
        <v>24.579484448363601</v>
      </c>
      <c r="W74" s="280">
        <v>24.543659937750199</v>
      </c>
      <c r="X74" s="280">
        <v>24.628213837404999</v>
      </c>
      <c r="Y74" s="173">
        <f t="shared" si="33"/>
        <v>24.583786074506264</v>
      </c>
      <c r="Z74" s="172">
        <f>10^((Y74-'Standard Curve Summaries'!G$9)/'Standard Curve Summaries'!I$9)</f>
        <v>12000348.010247443</v>
      </c>
      <c r="AA74" s="280">
        <f t="shared" si="34"/>
        <v>13.456850367185552</v>
      </c>
      <c r="AB74" s="280">
        <v>29.375215985959599</v>
      </c>
      <c r="AC74" s="280">
        <v>29.413909709244699</v>
      </c>
      <c r="AD74" s="280">
        <v>29.458158598805099</v>
      </c>
      <c r="AE74" s="173">
        <f t="shared" si="35"/>
        <v>29.415761431336467</v>
      </c>
      <c r="AF74" s="306">
        <f>10^((AE74-'Standard Curve Summaries'!G$6)/'Standard Curve Summaries'!I$6)</f>
        <v>1633.5812350305798</v>
      </c>
      <c r="AG74" s="292">
        <f t="shared" si="36"/>
        <v>326.71624700611596</v>
      </c>
      <c r="AH74" s="280">
        <v>35.15</v>
      </c>
      <c r="AI74" s="280">
        <v>35.24</v>
      </c>
      <c r="AJ74" s="280">
        <v>36.19</v>
      </c>
      <c r="AK74" s="173">
        <f t="shared" si="37"/>
        <v>35.526666666666664</v>
      </c>
      <c r="AL74" s="293">
        <f>10^((AK74-'Standard Curve Summaries'!G$8)/'Standard Curve Summaries'!I$8)</f>
        <v>96.147299920060888</v>
      </c>
      <c r="AM74" s="293">
        <f t="shared" si="38"/>
        <v>19.229459984012177</v>
      </c>
      <c r="AN74" s="292">
        <f t="shared" si="39"/>
        <v>5.8856760752556671E-2</v>
      </c>
      <c r="AO74" s="339"/>
      <c r="AP74" s="344"/>
    </row>
    <row r="75" spans="1:16346" s="174" customFormat="1" x14ac:dyDescent="0.35">
      <c r="B75" s="334">
        <v>44289</v>
      </c>
      <c r="C75" s="277" t="s">
        <v>199</v>
      </c>
      <c r="D75" s="278" t="s">
        <v>196</v>
      </c>
      <c r="E75" s="278"/>
      <c r="F75" s="278"/>
      <c r="G75" s="277"/>
      <c r="H75" s="169">
        <v>50</v>
      </c>
      <c r="I75" s="278"/>
      <c r="J75" s="278"/>
      <c r="K75" s="280"/>
      <c r="L75" s="278"/>
      <c r="M75" s="278"/>
      <c r="N75" s="278"/>
      <c r="O75" s="278"/>
      <c r="P75" s="279"/>
      <c r="Q75" s="169">
        <v>50</v>
      </c>
      <c r="R75" s="278"/>
      <c r="S75" s="334">
        <v>44411</v>
      </c>
      <c r="T75" s="171">
        <v>5</v>
      </c>
      <c r="U75" s="278"/>
      <c r="V75" s="280">
        <v>24.589829742497301</v>
      </c>
      <c r="W75" s="280">
        <v>24.627447996392199</v>
      </c>
      <c r="X75" s="280">
        <v>24.445709844649301</v>
      </c>
      <c r="Y75" s="173">
        <f t="shared" si="33"/>
        <v>24.554329194512935</v>
      </c>
      <c r="Z75" s="172">
        <f>10^((Y75-'Standard Curve Summaries'!G$9)/'Standard Curve Summaries'!I$9)</f>
        <v>12239231.517317481</v>
      </c>
      <c r="AA75" s="280">
        <f t="shared" si="34"/>
        <v>13.724727566003866</v>
      </c>
      <c r="AB75" s="280">
        <v>29.109958776873299</v>
      </c>
      <c r="AC75" s="280">
        <v>28.9788697889194</v>
      </c>
      <c r="AD75" s="280">
        <v>28.881099079989799</v>
      </c>
      <c r="AE75" s="173">
        <f t="shared" si="35"/>
        <v>28.989975881927496</v>
      </c>
      <c r="AF75" s="306">
        <f>10^((AE75-'Standard Curve Summaries'!G$6)/'Standard Curve Summaries'!I$6)</f>
        <v>2161.0868397991876</v>
      </c>
      <c r="AG75" s="292">
        <f t="shared" si="36"/>
        <v>432.21736795983753</v>
      </c>
      <c r="AH75" s="280">
        <v>33.653094829294297</v>
      </c>
      <c r="AI75" s="280">
        <v>33.4746704070185</v>
      </c>
      <c r="AJ75" s="280">
        <v>33.346144035421702</v>
      </c>
      <c r="AK75" s="173">
        <f t="shared" si="37"/>
        <v>33.491303090578164</v>
      </c>
      <c r="AL75" s="293">
        <f>10^((AK75-'Standard Curve Summaries'!G$8)/'Standard Curve Summaries'!I$8)</f>
        <v>372.30903545779165</v>
      </c>
      <c r="AM75" s="293">
        <f t="shared" si="38"/>
        <v>74.461807091558327</v>
      </c>
      <c r="AN75" s="292">
        <f t="shared" si="39"/>
        <v>0.17227860935583103</v>
      </c>
      <c r="AO75" s="339"/>
      <c r="AP75" s="344"/>
    </row>
    <row r="76" spans="1:16346" s="174" customFormat="1" x14ac:dyDescent="0.35">
      <c r="B76" s="334">
        <v>44289</v>
      </c>
      <c r="C76" s="277" t="s">
        <v>199</v>
      </c>
      <c r="D76" s="278" t="s">
        <v>57</v>
      </c>
      <c r="E76" s="278"/>
      <c r="F76" s="278"/>
      <c r="G76" s="277"/>
      <c r="H76" s="169">
        <v>50</v>
      </c>
      <c r="I76" s="278"/>
      <c r="J76" s="278"/>
      <c r="K76" s="278"/>
      <c r="L76" s="278"/>
      <c r="M76" s="278"/>
      <c r="N76" s="278"/>
      <c r="O76" s="278"/>
      <c r="P76" s="279"/>
      <c r="Q76" s="169">
        <v>50</v>
      </c>
      <c r="R76" s="278"/>
      <c r="S76" s="334">
        <v>44411</v>
      </c>
      <c r="T76" s="171">
        <v>5</v>
      </c>
      <c r="U76" s="278"/>
      <c r="V76" s="280">
        <v>25.132057182761798</v>
      </c>
      <c r="W76" s="280">
        <v>25.068505476341301</v>
      </c>
      <c r="X76" s="280">
        <v>25.2330697638583</v>
      </c>
      <c r="Y76" s="173">
        <f t="shared" si="33"/>
        <v>25.144544140987133</v>
      </c>
      <c r="Z76" s="172">
        <f>10^((Y76-'Standard Curve Summaries'!G$9)/'Standard Curve Summaries'!I$9)</f>
        <v>8245839.6257735798</v>
      </c>
      <c r="AA76" s="280">
        <f t="shared" si="34"/>
        <v>9.2466510055449938</v>
      </c>
      <c r="AB76" s="280">
        <v>24.468083592575699</v>
      </c>
      <c r="AC76" s="280">
        <v>24.578264628928402</v>
      </c>
      <c r="AD76" s="280">
        <v>24.849002978173001</v>
      </c>
      <c r="AE76" s="173">
        <f t="shared" si="35"/>
        <v>24.631783733225703</v>
      </c>
      <c r="AF76" s="306">
        <f>10^((AE76-'Standard Curve Summaries'!G$6)/'Standard Curve Summaries'!I$6)</f>
        <v>37898.849097757957</v>
      </c>
      <c r="AG76" s="292">
        <f t="shared" si="36"/>
        <v>7579.7698195515914</v>
      </c>
      <c r="AH76" s="280">
        <v>35.378980769052198</v>
      </c>
      <c r="AI76" s="280">
        <v>35.894903386474397</v>
      </c>
      <c r="AJ76" s="280">
        <v>35.3591465394152</v>
      </c>
      <c r="AK76" s="173">
        <f t="shared" si="37"/>
        <v>35.544343564980601</v>
      </c>
      <c r="AL76" s="293">
        <f>10^((AK76-'Standard Curve Summaries'!G$8)/'Standard Curve Summaries'!I$8)</f>
        <v>95.023423115621185</v>
      </c>
      <c r="AM76" s="293">
        <f t="shared" si="38"/>
        <v>19.004684623124238</v>
      </c>
      <c r="AN76" s="292">
        <f t="shared" si="39"/>
        <v>2.5072904686502112E-3</v>
      </c>
      <c r="AO76" s="339"/>
      <c r="AP76" s="344"/>
    </row>
    <row r="77" spans="1:16346" s="174" customFormat="1" x14ac:dyDescent="0.35">
      <c r="B77" s="334">
        <v>44289</v>
      </c>
      <c r="C77" s="277" t="s">
        <v>200</v>
      </c>
      <c r="D77" s="278" t="s">
        <v>196</v>
      </c>
      <c r="E77" s="278"/>
      <c r="F77" s="278"/>
      <c r="G77" s="281"/>
      <c r="H77" s="169">
        <v>50</v>
      </c>
      <c r="I77" s="278"/>
      <c r="J77" s="278"/>
      <c r="K77" s="278"/>
      <c r="L77" s="278"/>
      <c r="M77" s="278"/>
      <c r="N77" s="278"/>
      <c r="O77" s="278"/>
      <c r="P77" s="279"/>
      <c r="Q77" s="169">
        <v>50</v>
      </c>
      <c r="R77" s="278"/>
      <c r="S77" s="334">
        <v>44411</v>
      </c>
      <c r="T77" s="171">
        <v>5</v>
      </c>
      <c r="U77" s="278"/>
      <c r="V77" s="280">
        <v>25.7109286669609</v>
      </c>
      <c r="W77" s="280">
        <v>25.593730010898799</v>
      </c>
      <c r="X77" s="280">
        <v>25.616724206001599</v>
      </c>
      <c r="Y77" s="173">
        <f t="shared" si="33"/>
        <v>25.640460961287101</v>
      </c>
      <c r="Z77" s="172">
        <f>10^((Y77-'Standard Curve Summaries'!G$9)/'Standard Curve Summaries'!I$9)</f>
        <v>5917238.864994308</v>
      </c>
      <c r="AA77" s="280">
        <f t="shared" si="34"/>
        <v>6.6354240664626678</v>
      </c>
      <c r="AB77" s="280">
        <v>31.331720618042102</v>
      </c>
      <c r="AC77" s="280">
        <v>31.240120720633598</v>
      </c>
      <c r="AD77" s="280">
        <v>31.408420444122701</v>
      </c>
      <c r="AE77" s="173">
        <f t="shared" si="35"/>
        <v>31.326753927599466</v>
      </c>
      <c r="AF77" s="306">
        <f>10^((AE77-'Standard Curve Summaries'!G$6)/'Standard Curve Summaries'!I$6)</f>
        <v>465.25208958619902</v>
      </c>
      <c r="AG77" s="292">
        <f t="shared" si="36"/>
        <v>93.050417917239798</v>
      </c>
      <c r="AH77" s="280">
        <v>38.675724667492602</v>
      </c>
      <c r="AI77" s="280">
        <v>35.969130534256898</v>
      </c>
      <c r="AJ77" s="280">
        <v>37.882316408660998</v>
      </c>
      <c r="AK77" s="173">
        <f t="shared" si="37"/>
        <v>37.509057203470164</v>
      </c>
      <c r="AL77" s="293">
        <f>10^((AK77-'Standard Curve Summaries'!G$8)/'Standard Curve Summaries'!I$8)</f>
        <v>25.720133434907758</v>
      </c>
      <c r="AM77" s="293">
        <f t="shared" si="38"/>
        <v>5.1440266869815519</v>
      </c>
      <c r="AN77" s="292">
        <f t="shared" si="39"/>
        <v>5.5282144907255686E-2</v>
      </c>
      <c r="AO77" s="339"/>
      <c r="AP77" s="344"/>
    </row>
    <row r="78" spans="1:16346" s="190" customFormat="1" x14ac:dyDescent="0.35">
      <c r="B78" s="195">
        <v>44289</v>
      </c>
      <c r="C78" s="170" t="s">
        <v>200</v>
      </c>
      <c r="D78" s="169" t="s">
        <v>57</v>
      </c>
      <c r="E78" s="169"/>
      <c r="F78" s="169"/>
      <c r="G78" s="169"/>
      <c r="H78" s="169">
        <v>50</v>
      </c>
      <c r="I78" s="169"/>
      <c r="J78" s="169"/>
      <c r="K78" s="169"/>
      <c r="L78" s="169"/>
      <c r="M78" s="169"/>
      <c r="N78" s="169"/>
      <c r="O78" s="169"/>
      <c r="P78" s="169"/>
      <c r="Q78" s="169">
        <v>50</v>
      </c>
      <c r="R78" s="169"/>
      <c r="S78" s="195">
        <v>44411</v>
      </c>
      <c r="T78" s="171">
        <v>5</v>
      </c>
      <c r="U78" s="169"/>
      <c r="V78" s="171">
        <v>23.678869372424799</v>
      </c>
      <c r="W78" s="171">
        <v>23.674560839176699</v>
      </c>
      <c r="X78" s="171">
        <v>23.682752457788101</v>
      </c>
      <c r="Y78" s="173">
        <f t="shared" si="33"/>
        <v>23.678727556463201</v>
      </c>
      <c r="Z78" s="172">
        <f>10^((Y78-'Standard Curve Summaries'!G$9)/'Standard Curve Summaries'!I$9)</f>
        <v>21989134.907985728</v>
      </c>
      <c r="AA78" s="280">
        <f t="shared" si="34"/>
        <v>24.65799307719568</v>
      </c>
      <c r="AB78" s="171">
        <v>30.177896790177499</v>
      </c>
      <c r="AC78" s="171">
        <v>30.121955836875902</v>
      </c>
      <c r="AD78" s="171">
        <v>30.158336028716601</v>
      </c>
      <c r="AE78" s="173">
        <f t="shared" si="35"/>
        <v>30.152729551923333</v>
      </c>
      <c r="AF78" s="306">
        <f>10^((AE78-'Standard Curve Summaries'!G$6)/'Standard Curve Summaries'!I$6)</f>
        <v>1006.4420364535447</v>
      </c>
      <c r="AG78" s="292">
        <f t="shared" si="36"/>
        <v>201.28840729070893</v>
      </c>
      <c r="AH78" s="171">
        <v>32.590014694856798</v>
      </c>
      <c r="AI78" s="171">
        <v>32.526554689853</v>
      </c>
      <c r="AJ78" s="171">
        <v>33.048169966115999</v>
      </c>
      <c r="AK78" s="173">
        <f t="shared" si="37"/>
        <v>32.721579783608604</v>
      </c>
      <c r="AL78" s="293">
        <f>10^((AK78-'Standard Curve Summaries'!G$8)/'Standard Curve Summaries'!I$8)</f>
        <v>621.23756744962839</v>
      </c>
      <c r="AM78" s="293">
        <f t="shared" si="38"/>
        <v>124.24751348992568</v>
      </c>
      <c r="AN78" s="292">
        <f t="shared" si="39"/>
        <v>0.61726114862880477</v>
      </c>
      <c r="AO78" s="340"/>
      <c r="AP78" s="344"/>
    </row>
    <row r="79" spans="1:16346" s="190" customFormat="1" x14ac:dyDescent="0.35">
      <c r="B79" s="196">
        <v>44289</v>
      </c>
      <c r="C79" s="176" t="s">
        <v>201</v>
      </c>
      <c r="D79" s="169" t="s">
        <v>196</v>
      </c>
      <c r="E79" s="169"/>
      <c r="F79" s="169"/>
      <c r="G79" s="169"/>
      <c r="H79" s="169">
        <v>50</v>
      </c>
      <c r="I79" s="169"/>
      <c r="J79" s="175"/>
      <c r="K79" s="180"/>
      <c r="L79" s="175"/>
      <c r="M79" s="175"/>
      <c r="N79" s="175"/>
      <c r="O79" s="178"/>
      <c r="P79" s="169"/>
      <c r="Q79" s="169">
        <v>50</v>
      </c>
      <c r="R79" s="169"/>
      <c r="S79" s="196">
        <v>44411</v>
      </c>
      <c r="T79" s="171">
        <v>5</v>
      </c>
      <c r="U79" s="169"/>
      <c r="V79" s="180">
        <v>23.422463352788601</v>
      </c>
      <c r="W79" s="180">
        <v>23.5697427991546</v>
      </c>
      <c r="X79" s="180">
        <v>23.5579404978523</v>
      </c>
      <c r="Y79" s="173">
        <f t="shared" si="33"/>
        <v>23.516715549931831</v>
      </c>
      <c r="Z79" s="172">
        <f>10^((Y79-'Standard Curve Summaries'!G$9)/'Standard Curve Summaries'!I$9)</f>
        <v>24506969.042969599</v>
      </c>
      <c r="AA79" s="280">
        <f t="shared" si="34"/>
        <v>27.4814209623651</v>
      </c>
      <c r="AB79" s="180">
        <v>29.017694137855099</v>
      </c>
      <c r="AC79" s="180">
        <v>29.092418299398702</v>
      </c>
      <c r="AD79" s="180">
        <v>29.017038776862002</v>
      </c>
      <c r="AE79" s="173">
        <f t="shared" si="35"/>
        <v>29.042383738038598</v>
      </c>
      <c r="AF79" s="306">
        <f>10^((AE79-'Standard Curve Summaries'!G$6)/'Standard Curve Summaries'!I$6)</f>
        <v>2087.9183164846904</v>
      </c>
      <c r="AG79" s="292">
        <f t="shared" si="36"/>
        <v>417.58366329693808</v>
      </c>
      <c r="AH79" s="180">
        <v>36.185031821322802</v>
      </c>
      <c r="AI79" s="180">
        <v>36.927944776296002</v>
      </c>
      <c r="AJ79" s="180">
        <v>36.384535730098101</v>
      </c>
      <c r="AK79" s="173">
        <f t="shared" si="37"/>
        <v>36.499170775905633</v>
      </c>
      <c r="AL79" s="293">
        <f>10^((AK79-'Standard Curve Summaries'!G$8)/'Standard Curve Summaries'!I$8)</f>
        <v>50.350590844060825</v>
      </c>
      <c r="AM79" s="293">
        <f t="shared" si="38"/>
        <v>10.070118168812165</v>
      </c>
      <c r="AN79" s="292">
        <f t="shared" si="39"/>
        <v>2.4115211043712313E-2</v>
      </c>
      <c r="AO79" s="200"/>
      <c r="AP79" s="344"/>
    </row>
    <row r="80" spans="1:16346" s="190" customFormat="1" x14ac:dyDescent="0.35">
      <c r="B80" s="196">
        <v>44289</v>
      </c>
      <c r="C80" s="176" t="s">
        <v>201</v>
      </c>
      <c r="D80" s="169" t="s">
        <v>57</v>
      </c>
      <c r="E80" s="169"/>
      <c r="F80" s="169"/>
      <c r="G80" s="169"/>
      <c r="H80" s="169">
        <v>50</v>
      </c>
      <c r="I80" s="169"/>
      <c r="J80" s="180"/>
      <c r="K80" s="175"/>
      <c r="L80" s="175"/>
      <c r="M80" s="175"/>
      <c r="N80" s="175"/>
      <c r="O80" s="178"/>
      <c r="P80" s="169"/>
      <c r="Q80" s="169">
        <v>50</v>
      </c>
      <c r="R80" s="169"/>
      <c r="S80" s="196">
        <v>44411</v>
      </c>
      <c r="T80" s="171">
        <v>5</v>
      </c>
      <c r="U80" s="169"/>
      <c r="V80" s="180">
        <v>22.997985242756201</v>
      </c>
      <c r="W80" s="180">
        <v>23.0838620797247</v>
      </c>
      <c r="X80" s="180">
        <v>23.156752729819999</v>
      </c>
      <c r="Y80" s="173">
        <f t="shared" si="33"/>
        <v>23.079533350766965</v>
      </c>
      <c r="Z80" s="172">
        <f>10^((Y80-'Standard Curve Summaries'!G$9)/'Standard Curve Summaries'!I$9)</f>
        <v>32834985.225746438</v>
      </c>
      <c r="AA80" s="280">
        <f t="shared" si="34"/>
        <v>36.82022243140824</v>
      </c>
      <c r="AB80" s="180">
        <v>29.0901119111696</v>
      </c>
      <c r="AC80" s="180">
        <v>29.1274634026699</v>
      </c>
      <c r="AD80" s="180">
        <v>29.287071630825199</v>
      </c>
      <c r="AE80" s="173">
        <f t="shared" si="35"/>
        <v>29.168215648221565</v>
      </c>
      <c r="AF80" s="306">
        <f>10^((AE80-'Standard Curve Summaries'!G$6)/'Standard Curve Summaries'!I$6)</f>
        <v>1922.1950118909933</v>
      </c>
      <c r="AG80" s="292">
        <f t="shared" si="36"/>
        <v>384.43900237819867</v>
      </c>
      <c r="AH80" s="180">
        <v>35.168640155573698</v>
      </c>
      <c r="AI80" s="180">
        <v>35.0380859631532</v>
      </c>
      <c r="AJ80" s="180">
        <v>35.483977708698703</v>
      </c>
      <c r="AK80" s="173">
        <f t="shared" si="37"/>
        <v>35.230234609141867</v>
      </c>
      <c r="AL80" s="293">
        <f>10^((AK80-'Standard Curve Summaries'!G$8)/'Standard Curve Summaries'!I$8)</f>
        <v>117.10327043852934</v>
      </c>
      <c r="AM80" s="293">
        <f t="shared" si="38"/>
        <v>23.420654087705866</v>
      </c>
      <c r="AN80" s="292">
        <f t="shared" si="39"/>
        <v>6.0921638914943871E-2</v>
      </c>
      <c r="AO80" s="200"/>
      <c r="AP80" s="344"/>
    </row>
    <row r="81" spans="2:42" s="190" customFormat="1" x14ac:dyDescent="0.35">
      <c r="B81" s="196">
        <v>44289</v>
      </c>
      <c r="C81" s="176" t="s">
        <v>202</v>
      </c>
      <c r="D81" s="169"/>
      <c r="E81" s="169"/>
      <c r="F81" s="169"/>
      <c r="G81" s="169"/>
      <c r="H81" s="169">
        <v>50</v>
      </c>
      <c r="I81" s="169"/>
      <c r="J81" s="175"/>
      <c r="K81" s="175"/>
      <c r="L81" s="175"/>
      <c r="M81" s="175"/>
      <c r="N81" s="175"/>
      <c r="O81" s="178"/>
      <c r="P81" s="169"/>
      <c r="Q81" s="169">
        <v>50</v>
      </c>
      <c r="R81" s="169"/>
      <c r="S81" s="196">
        <v>44411</v>
      </c>
      <c r="T81" s="171">
        <v>5</v>
      </c>
      <c r="U81" s="169"/>
      <c r="V81" s="180">
        <v>21.496668334472201</v>
      </c>
      <c r="W81" s="180">
        <v>21.576273843486799</v>
      </c>
      <c r="X81" s="180">
        <v>21.686237687510101</v>
      </c>
      <c r="Y81" s="173">
        <f t="shared" si="33"/>
        <v>21.586393288489699</v>
      </c>
      <c r="Z81" s="172">
        <f>10^((Y81-'Standard Curve Summaries'!G$9)/'Standard Curve Summaries'!I$9)</f>
        <v>89176498.829995304</v>
      </c>
      <c r="AA81" s="280">
        <f t="shared" si="34"/>
        <v>100</v>
      </c>
      <c r="AB81" s="180">
        <v>35.806517758017897</v>
      </c>
      <c r="AC81" s="180">
        <v>35.399440376626103</v>
      </c>
      <c r="AD81" s="180">
        <v>35.242631104471798</v>
      </c>
      <c r="AE81" s="173">
        <f t="shared" si="35"/>
        <v>35.482863079705261</v>
      </c>
      <c r="AF81" s="306">
        <f>10^((AE81-'Standard Curve Summaries'!G$6)/'Standard Curve Summaries'!I$6)</f>
        <v>30.298061869289679</v>
      </c>
      <c r="AG81" s="292">
        <f t="shared" si="36"/>
        <v>6.0596123738579362</v>
      </c>
      <c r="AH81" s="180">
        <v>36.497698255524398</v>
      </c>
      <c r="AI81" s="180">
        <v>36.5060368284487</v>
      </c>
      <c r="AJ81" s="180">
        <v>36.042169377460603</v>
      </c>
      <c r="AK81" s="173">
        <f t="shared" si="37"/>
        <v>36.348634820477905</v>
      </c>
      <c r="AL81" s="293">
        <f>10^((AK81-'Standard Curve Summaries'!G$8)/'Standard Curve Summaries'!I$8)</f>
        <v>55.653272515319692</v>
      </c>
      <c r="AM81" s="293">
        <f t="shared" si="38"/>
        <v>11.130654503063939</v>
      </c>
      <c r="AN81" s="292">
        <f t="shared" si="39"/>
        <v>1.8368591613356704</v>
      </c>
      <c r="AO81" s="200"/>
      <c r="AP81" s="344"/>
    </row>
    <row r="82" spans="2:42" s="190" customFormat="1" x14ac:dyDescent="0.35">
      <c r="B82" s="196">
        <v>44289</v>
      </c>
      <c r="C82" s="176" t="s">
        <v>203</v>
      </c>
      <c r="D82" s="169" t="s">
        <v>109</v>
      </c>
      <c r="E82" s="169"/>
      <c r="F82" s="169"/>
      <c r="G82" s="169"/>
      <c r="H82" s="169">
        <v>50</v>
      </c>
      <c r="I82" s="169"/>
      <c r="J82" s="175"/>
      <c r="K82" s="175"/>
      <c r="L82" s="175"/>
      <c r="M82" s="175"/>
      <c r="N82" s="175"/>
      <c r="O82" s="178"/>
      <c r="P82" s="169"/>
      <c r="Q82" s="169">
        <v>50</v>
      </c>
      <c r="R82" s="169"/>
      <c r="S82" s="196">
        <v>44411</v>
      </c>
      <c r="T82" s="171">
        <v>5</v>
      </c>
      <c r="U82" s="169"/>
      <c r="V82" s="180">
        <v>38.654418951408701</v>
      </c>
      <c r="W82" s="180">
        <v>39.426026692429602</v>
      </c>
      <c r="X82" s="180">
        <v>38.894652216072899</v>
      </c>
      <c r="Y82" s="173">
        <f t="shared" si="33"/>
        <v>38.991699286637065</v>
      </c>
      <c r="Z82" s="172">
        <f>10^((Y82-'Standard Curve Summaries'!G$9)/'Standard Curve Summaries'!I$9)</f>
        <v>780.16389101097832</v>
      </c>
      <c r="AA82" s="280">
        <f t="shared" si="34"/>
        <v>8.7485369043055906E-4</v>
      </c>
      <c r="AB82" s="180">
        <v>39.942009257641303</v>
      </c>
      <c r="AC82" s="180">
        <v>39.519689962834399</v>
      </c>
      <c r="AD82" s="180">
        <v>38.5214449965925</v>
      </c>
      <c r="AE82" s="173">
        <f t="shared" si="35"/>
        <v>39.327714739022731</v>
      </c>
      <c r="AF82" s="306">
        <f>10^((AE82-'Standard Curve Summaries'!G$6)/'Standard Curve Summaries'!I$6)</f>
        <v>2.4209355854182921</v>
      </c>
      <c r="AG82" s="292">
        <f t="shared" si="36"/>
        <v>0.48418711708365841</v>
      </c>
      <c r="AH82" s="180">
        <v>36.1587880815555</v>
      </c>
      <c r="AI82" s="180">
        <v>37.228725556099803</v>
      </c>
      <c r="AJ82" s="180">
        <v>37.0273341334779</v>
      </c>
      <c r="AK82" s="173">
        <f t="shared" si="37"/>
        <v>36.804949257044399</v>
      </c>
      <c r="AL82" s="293">
        <f>10^((AK82-'Standard Curve Summaries'!G$8)/'Standard Curve Summaries'!I$8)</f>
        <v>41.083996891140508</v>
      </c>
      <c r="AM82" s="293">
        <f t="shared" si="38"/>
        <v>8.2167993782281012</v>
      </c>
      <c r="AN82" s="292">
        <f t="shared" si="39"/>
        <v>16.970297408405422</v>
      </c>
      <c r="AO82" s="200"/>
      <c r="AP82" s="344"/>
    </row>
    <row r="83" spans="2:42" s="93" customFormat="1" ht="12.75" customHeight="1" x14ac:dyDescent="0.45">
      <c r="B83" s="94" t="s">
        <v>109</v>
      </c>
      <c r="C83" s="290"/>
      <c r="D83" s="284"/>
      <c r="E83" s="284"/>
      <c r="F83" s="284"/>
      <c r="G83" s="284"/>
      <c r="H83" s="284"/>
      <c r="I83" s="284"/>
      <c r="J83" s="94"/>
      <c r="K83" s="94"/>
      <c r="L83" s="94"/>
      <c r="M83" s="94"/>
      <c r="N83" s="94"/>
      <c r="O83" s="97"/>
      <c r="P83" s="284"/>
      <c r="Q83" s="284"/>
      <c r="R83" s="284"/>
      <c r="S83" s="284"/>
      <c r="T83" s="286"/>
      <c r="U83" s="284"/>
      <c r="V83" s="100"/>
      <c r="W83" s="100"/>
      <c r="X83" s="100"/>
      <c r="Y83" s="99"/>
      <c r="Z83" s="99"/>
      <c r="AA83" s="99"/>
      <c r="AB83" s="100"/>
      <c r="AC83" s="100"/>
      <c r="AD83" s="100"/>
      <c r="AE83" s="99"/>
      <c r="AF83" s="351"/>
      <c r="AG83" s="308"/>
      <c r="AH83" s="100"/>
      <c r="AI83" s="100"/>
      <c r="AJ83" s="100"/>
      <c r="AK83" s="99"/>
      <c r="AL83" s="352"/>
      <c r="AM83" s="310"/>
      <c r="AN83" s="308"/>
      <c r="AO83" s="353"/>
      <c r="AP83" s="343"/>
    </row>
    <row r="84" spans="2:42" s="174" customFormat="1" x14ac:dyDescent="0.35">
      <c r="B84" s="196">
        <v>44319</v>
      </c>
      <c r="C84" s="170" t="s">
        <v>195</v>
      </c>
      <c r="D84" s="169" t="s">
        <v>196</v>
      </c>
      <c r="E84" s="175"/>
      <c r="F84" s="175"/>
      <c r="G84" s="175"/>
      <c r="H84" s="169">
        <v>50</v>
      </c>
      <c r="I84" s="175"/>
      <c r="J84" s="183"/>
      <c r="K84" s="175"/>
      <c r="L84" s="175"/>
      <c r="M84" s="175"/>
      <c r="N84" s="175"/>
      <c r="O84" s="178"/>
      <c r="P84" s="175"/>
      <c r="Q84" s="169">
        <v>50</v>
      </c>
      <c r="R84" s="175"/>
      <c r="S84" s="196">
        <v>44472</v>
      </c>
      <c r="T84" s="171">
        <v>5</v>
      </c>
      <c r="U84" s="175"/>
      <c r="V84" s="180">
        <v>22.47</v>
      </c>
      <c r="W84" s="180">
        <v>22.46</v>
      </c>
      <c r="X84" s="180">
        <v>22.54</v>
      </c>
      <c r="Y84" s="171">
        <f t="shared" ref="Y84:Y93" si="40">AVERAGE(V84:X84)</f>
        <v>22.49</v>
      </c>
      <c r="Z84" s="172">
        <f>10^((Y84-'Standard Curve Summaries'!G$9)/'Standard Curve Summaries'!I$9)</f>
        <v>48714473.86138621</v>
      </c>
      <c r="AA84" s="272">
        <f>Z84*100/Z$92</f>
        <v>46.323838542052357</v>
      </c>
      <c r="AB84" s="180">
        <v>25.72</v>
      </c>
      <c r="AC84" s="180">
        <v>25.74</v>
      </c>
      <c r="AD84" s="180">
        <v>25.63</v>
      </c>
      <c r="AE84" s="171">
        <f t="shared" ref="AE84:AE93" si="41">AVERAGE(AB84:AD84)</f>
        <v>25.696666666666662</v>
      </c>
      <c r="AF84" s="306">
        <f>10^((AE84-'Standard Curve Summaries'!G$6)/'Standard Curve Summaries'!I$6)</f>
        <v>18822.517225064988</v>
      </c>
      <c r="AG84" s="292">
        <f t="shared" ref="AG84:AG93" si="42">(AF84/T84)*(Q84/H84)</f>
        <v>3764.5034450129979</v>
      </c>
      <c r="AH84" s="180">
        <v>36.56</v>
      </c>
      <c r="AI84" s="180">
        <v>35.72</v>
      </c>
      <c r="AJ84" s="180">
        <v>35.979999999999997</v>
      </c>
      <c r="AK84" s="171">
        <f t="shared" ref="AK84:AK93" si="43">AVERAGE(AH84:AJ84)</f>
        <v>36.086666666666666</v>
      </c>
      <c r="AL84" s="293">
        <f>10^((AK84-'Standard Curve Summaries'!G$8)/'Standard Curve Summaries'!I$8)</f>
        <v>66.247098855722498</v>
      </c>
      <c r="AM84" s="293">
        <f t="shared" ref="AM84:AM94" si="44">(AL84/T84)*(Q84/H84)</f>
        <v>13.249419771144499</v>
      </c>
      <c r="AN84" s="292">
        <f t="shared" ref="AN84:AN94" si="45">AL84/AF84</f>
        <v>3.5195663823064331E-3</v>
      </c>
      <c r="AO84" s="200"/>
      <c r="AP84" s="344"/>
    </row>
    <row r="85" spans="2:42" s="174" customFormat="1" x14ac:dyDescent="0.35">
      <c r="B85" s="196">
        <v>44319</v>
      </c>
      <c r="C85" s="176" t="s">
        <v>195</v>
      </c>
      <c r="D85" s="169" t="s">
        <v>57</v>
      </c>
      <c r="E85" s="175"/>
      <c r="F85" s="175"/>
      <c r="G85" s="175"/>
      <c r="H85" s="169">
        <v>50</v>
      </c>
      <c r="I85" s="175"/>
      <c r="J85" s="183"/>
      <c r="K85" s="175"/>
      <c r="L85" s="175"/>
      <c r="M85" s="175"/>
      <c r="N85" s="175"/>
      <c r="O85" s="178"/>
      <c r="P85" s="175"/>
      <c r="Q85" s="169">
        <v>50</v>
      </c>
      <c r="R85" s="175"/>
      <c r="S85" s="196">
        <v>44472</v>
      </c>
      <c r="T85" s="171">
        <v>5</v>
      </c>
      <c r="U85" s="175"/>
      <c r="V85" s="180">
        <v>22.25</v>
      </c>
      <c r="W85" s="180">
        <v>22.24</v>
      </c>
      <c r="X85" s="180">
        <v>22.33</v>
      </c>
      <c r="Y85" s="171">
        <f t="shared" si="40"/>
        <v>22.27333333333333</v>
      </c>
      <c r="Z85" s="172">
        <f>10^((Y85-'Standard Curve Summaries'!G$9)/'Standard Curve Summaries'!I$9)</f>
        <v>56314778.271563202</v>
      </c>
      <c r="AA85" s="272">
        <f t="shared" ref="AA85:AA92" si="46">Z85*100/Z$92</f>
        <v>53.551162301502046</v>
      </c>
      <c r="AB85" s="180">
        <v>26.05</v>
      </c>
      <c r="AC85" s="180">
        <v>26.06</v>
      </c>
      <c r="AD85" s="180">
        <v>26.1</v>
      </c>
      <c r="AE85" s="171">
        <f t="shared" si="41"/>
        <v>26.070000000000004</v>
      </c>
      <c r="AF85" s="306">
        <f>10^((AE85-'Standard Curve Summaries'!G$6)/'Standard Curve Summaries'!I$6)</f>
        <v>14727.112238667107</v>
      </c>
      <c r="AG85" s="292">
        <f t="shared" si="42"/>
        <v>2945.4224477334214</v>
      </c>
      <c r="AH85" s="180">
        <v>37.11</v>
      </c>
      <c r="AI85" s="180">
        <v>34.14</v>
      </c>
      <c r="AJ85" s="180">
        <v>37.520000000000003</v>
      </c>
      <c r="AK85" s="171">
        <f t="shared" si="43"/>
        <v>36.256666666666668</v>
      </c>
      <c r="AL85" s="293">
        <f>10^((AK85-'Standard Curve Summaries'!G$8)/'Standard Curve Summaries'!I$8)</f>
        <v>59.164070336226857</v>
      </c>
      <c r="AM85" s="293">
        <f t="shared" si="44"/>
        <v>11.832814067245371</v>
      </c>
      <c r="AN85" s="292">
        <f t="shared" si="45"/>
        <v>4.0173571965376404E-3</v>
      </c>
      <c r="AO85" s="200"/>
      <c r="AP85" s="344"/>
    </row>
    <row r="86" spans="2:42" s="174" customFormat="1" x14ac:dyDescent="0.35">
      <c r="B86" s="196">
        <v>44319</v>
      </c>
      <c r="C86" s="176" t="s">
        <v>199</v>
      </c>
      <c r="D86" s="169" t="s">
        <v>196</v>
      </c>
      <c r="E86" s="175"/>
      <c r="F86" s="175"/>
      <c r="G86" s="175"/>
      <c r="H86" s="169">
        <v>50</v>
      </c>
      <c r="I86" s="175"/>
      <c r="J86" s="177"/>
      <c r="K86" s="175"/>
      <c r="L86" s="175"/>
      <c r="M86" s="175"/>
      <c r="N86" s="175"/>
      <c r="O86" s="178"/>
      <c r="P86" s="175"/>
      <c r="Q86" s="169">
        <v>50</v>
      </c>
      <c r="R86" s="175"/>
      <c r="S86" s="196">
        <v>44472</v>
      </c>
      <c r="T86" s="171">
        <v>5</v>
      </c>
      <c r="U86" s="175"/>
      <c r="V86" s="179">
        <v>23.25</v>
      </c>
      <c r="W86" s="179">
        <v>23.36</v>
      </c>
      <c r="X86" s="180">
        <v>23.27</v>
      </c>
      <c r="Y86" s="171">
        <f t="shared" si="40"/>
        <v>23.293333333333333</v>
      </c>
      <c r="Z86" s="172">
        <f>10^((Y86-'Standard Curve Summaries'!G$9)/'Standard Curve Summaries'!I$9)</f>
        <v>28458076.012448363</v>
      </c>
      <c r="AA86" s="272">
        <f t="shared" si="46"/>
        <v>27.061511988597264</v>
      </c>
      <c r="AB86" s="180">
        <v>25.08</v>
      </c>
      <c r="AC86" s="180">
        <v>25.11</v>
      </c>
      <c r="AD86" s="180">
        <v>25.05</v>
      </c>
      <c r="AE86" s="171">
        <f t="shared" si="41"/>
        <v>25.08</v>
      </c>
      <c r="AF86" s="306">
        <f>10^((AE86-'Standard Curve Summaries'!G$6)/'Standard Curve Summaries'!I$6)</f>
        <v>28228.783633219267</v>
      </c>
      <c r="AG86" s="292">
        <f t="shared" si="42"/>
        <v>5645.7567266438537</v>
      </c>
      <c r="AH86" s="180">
        <v>29.21</v>
      </c>
      <c r="AI86" s="180">
        <v>29.46</v>
      </c>
      <c r="AJ86" s="180">
        <v>29.27</v>
      </c>
      <c r="AK86" s="171">
        <f t="shared" si="43"/>
        <v>29.313333333333333</v>
      </c>
      <c r="AL86" s="293">
        <f>10^((AK86-'Standard Curve Summaries'!G$8)/'Standard Curve Summaries'!I$8)</f>
        <v>5995.3741975249186</v>
      </c>
      <c r="AM86" s="293">
        <f t="shared" si="44"/>
        <v>1199.0748395049836</v>
      </c>
      <c r="AN86" s="292">
        <f t="shared" si="45"/>
        <v>0.21238514118864263</v>
      </c>
      <c r="AO86" s="200"/>
      <c r="AP86" s="344"/>
    </row>
    <row r="87" spans="2:42" s="174" customFormat="1" x14ac:dyDescent="0.35">
      <c r="B87" s="196">
        <v>44319</v>
      </c>
      <c r="C87" s="176" t="s">
        <v>199</v>
      </c>
      <c r="D87" s="169" t="s">
        <v>57</v>
      </c>
      <c r="E87" s="175"/>
      <c r="F87" s="175"/>
      <c r="G87" s="175"/>
      <c r="H87" s="169">
        <v>50</v>
      </c>
      <c r="I87" s="175"/>
      <c r="J87" s="177"/>
      <c r="K87" s="175"/>
      <c r="L87" s="175"/>
      <c r="M87" s="175"/>
      <c r="N87" s="175"/>
      <c r="O87" s="178"/>
      <c r="P87" s="175"/>
      <c r="Q87" s="169">
        <v>50</v>
      </c>
      <c r="R87" s="175"/>
      <c r="S87" s="196">
        <v>44472</v>
      </c>
      <c r="T87" s="171">
        <v>5</v>
      </c>
      <c r="U87" s="175" t="s">
        <v>109</v>
      </c>
      <c r="V87" s="179">
        <v>22.82</v>
      </c>
      <c r="W87" s="179">
        <v>22.81</v>
      </c>
      <c r="X87" s="180">
        <v>22.83</v>
      </c>
      <c r="Y87" s="171">
        <f t="shared" si="40"/>
        <v>22.819999999999997</v>
      </c>
      <c r="Z87" s="172">
        <f>10^((Y87-'Standard Curve Summaries'!G$9)/'Standard Curve Summaries'!I$9)</f>
        <v>39062357.405924745</v>
      </c>
      <c r="AA87" s="272">
        <f t="shared" si="46"/>
        <v>37.145394255778371</v>
      </c>
      <c r="AB87" s="180">
        <v>27.26</v>
      </c>
      <c r="AC87" s="180">
        <v>27.27</v>
      </c>
      <c r="AD87" s="180">
        <v>27.34</v>
      </c>
      <c r="AE87" s="171">
        <f t="shared" si="41"/>
        <v>27.290000000000003</v>
      </c>
      <c r="AF87" s="306">
        <f>10^((AE87-'Standard Curve Summaries'!G$6)/'Standard Curve Summaries'!I$6)</f>
        <v>6605.3280475543943</v>
      </c>
      <c r="AG87" s="292">
        <f t="shared" si="42"/>
        <v>1321.0656095108789</v>
      </c>
      <c r="AH87" s="180">
        <v>32.53</v>
      </c>
      <c r="AI87" s="180">
        <v>32.630000000000003</v>
      </c>
      <c r="AJ87" s="180">
        <v>32.520000000000003</v>
      </c>
      <c r="AK87" s="171">
        <f t="shared" si="43"/>
        <v>32.56</v>
      </c>
      <c r="AL87" s="293">
        <f>10^((AK87-'Standard Curve Summaries'!G$8)/'Standard Curve Summaries'!I$8)</f>
        <v>691.7260581918282</v>
      </c>
      <c r="AM87" s="293">
        <f t="shared" si="44"/>
        <v>138.34521163836564</v>
      </c>
      <c r="AN87" s="292">
        <f t="shared" si="45"/>
        <v>0.10472243819108092</v>
      </c>
      <c r="AO87" s="200"/>
      <c r="AP87" s="344"/>
    </row>
    <row r="88" spans="2:42" s="174" customFormat="1" x14ac:dyDescent="0.35">
      <c r="B88" s="196">
        <v>44319</v>
      </c>
      <c r="C88" s="176" t="s">
        <v>200</v>
      </c>
      <c r="D88" s="169" t="s">
        <v>196</v>
      </c>
      <c r="E88" s="175"/>
      <c r="F88" s="175"/>
      <c r="G88" s="175"/>
      <c r="H88" s="169">
        <v>50</v>
      </c>
      <c r="I88" s="175"/>
      <c r="J88" s="177"/>
      <c r="K88" s="175"/>
      <c r="L88" s="175"/>
      <c r="M88" s="175"/>
      <c r="N88" s="175"/>
      <c r="O88" s="178"/>
      <c r="P88" s="175"/>
      <c r="Q88" s="169">
        <v>50</v>
      </c>
      <c r="R88" s="175"/>
      <c r="S88" s="196">
        <v>44472</v>
      </c>
      <c r="T88" s="171">
        <v>5</v>
      </c>
      <c r="U88" s="175"/>
      <c r="V88" s="179">
        <v>23.12</v>
      </c>
      <c r="W88" s="179">
        <v>23.08</v>
      </c>
      <c r="X88" s="180">
        <v>23.04</v>
      </c>
      <c r="Y88" s="171">
        <f t="shared" si="40"/>
        <v>23.080000000000002</v>
      </c>
      <c r="Z88" s="172">
        <f>10^((Y88-'Standard Curve Summaries'!G$9)/'Standard Curve Summaries'!I$9)</f>
        <v>32824733.948641483</v>
      </c>
      <c r="AA88" s="272">
        <f t="shared" si="46"/>
        <v>31.213878650303535</v>
      </c>
      <c r="AB88" s="180">
        <v>30.83</v>
      </c>
      <c r="AC88" s="180">
        <v>30.64</v>
      </c>
      <c r="AD88" s="180">
        <v>30.47</v>
      </c>
      <c r="AE88" s="171">
        <f t="shared" si="41"/>
        <v>30.646666666666665</v>
      </c>
      <c r="AF88" s="306">
        <f>10^((AE88-'Standard Curve Summaries'!G$6)/'Standard Curve Summaries'!I$6)</f>
        <v>727.45287029666372</v>
      </c>
      <c r="AG88" s="292">
        <f t="shared" si="42"/>
        <v>145.49057405933274</v>
      </c>
      <c r="AH88" s="180">
        <v>35.18</v>
      </c>
      <c r="AI88" s="180">
        <v>36.69</v>
      </c>
      <c r="AJ88" s="180">
        <v>35.299999999999997</v>
      </c>
      <c r="AK88" s="171">
        <f t="shared" si="43"/>
        <v>35.723333333333336</v>
      </c>
      <c r="AL88" s="293">
        <f>10^((AK88-'Standard Curve Summaries'!G$8)/'Standard Curve Summaries'!I$8)</f>
        <v>84.357738601410134</v>
      </c>
      <c r="AM88" s="293">
        <f t="shared" si="44"/>
        <v>16.871547720282027</v>
      </c>
      <c r="AN88" s="292">
        <f t="shared" si="45"/>
        <v>0.1159631668880598</v>
      </c>
      <c r="AO88" s="200"/>
      <c r="AP88" s="344"/>
    </row>
    <row r="89" spans="2:42" s="174" customFormat="1" x14ac:dyDescent="0.35">
      <c r="B89" s="196">
        <v>44319</v>
      </c>
      <c r="C89" s="176" t="s">
        <v>200</v>
      </c>
      <c r="D89" s="169" t="s">
        <v>57</v>
      </c>
      <c r="E89" s="175"/>
      <c r="F89" s="175"/>
      <c r="G89" s="175"/>
      <c r="H89" s="169">
        <v>50</v>
      </c>
      <c r="I89" s="175"/>
      <c r="J89" s="177"/>
      <c r="K89" s="175"/>
      <c r="L89" s="175"/>
      <c r="M89" s="175"/>
      <c r="N89" s="175"/>
      <c r="O89" s="178"/>
      <c r="P89" s="175"/>
      <c r="Q89" s="169">
        <v>50</v>
      </c>
      <c r="R89" s="175"/>
      <c r="S89" s="196">
        <v>44472</v>
      </c>
      <c r="T89" s="171">
        <v>5</v>
      </c>
      <c r="U89" s="175"/>
      <c r="V89" s="179">
        <v>23.15</v>
      </c>
      <c r="W89" s="179">
        <v>23.09</v>
      </c>
      <c r="X89" s="180">
        <v>23.06</v>
      </c>
      <c r="Y89" s="171">
        <f t="shared" si="40"/>
        <v>23.099999999999998</v>
      </c>
      <c r="Z89" s="172">
        <f>10^((Y89-'Standard Curve Summaries'!G$9)/'Standard Curve Summaries'!I$9)</f>
        <v>32388372.07392031</v>
      </c>
      <c r="AA89" s="272">
        <f t="shared" si="46"/>
        <v>30.798930988382594</v>
      </c>
      <c r="AB89" s="180">
        <v>28.36</v>
      </c>
      <c r="AC89" s="180">
        <v>28.34</v>
      </c>
      <c r="AD89" s="180">
        <v>28.29</v>
      </c>
      <c r="AE89" s="171">
        <f t="shared" si="41"/>
        <v>28.330000000000002</v>
      </c>
      <c r="AF89" s="306">
        <f>10^((AE89-'Standard Curve Summaries'!G$6)/'Standard Curve Summaries'!I$6)</f>
        <v>3334.6355837024676</v>
      </c>
      <c r="AG89" s="292">
        <f t="shared" si="42"/>
        <v>666.92711674049349</v>
      </c>
      <c r="AH89" s="180">
        <v>32.36</v>
      </c>
      <c r="AI89" s="180">
        <v>32.33</v>
      </c>
      <c r="AJ89" s="180">
        <v>32.42</v>
      </c>
      <c r="AK89" s="171">
        <f t="shared" si="43"/>
        <v>32.369999999999997</v>
      </c>
      <c r="AL89" s="293">
        <f>10^((AK89-'Standard Curve Summaries'!G$8)/'Standard Curve Summaries'!I$8)</f>
        <v>784.91108758791756</v>
      </c>
      <c r="AM89" s="293">
        <f t="shared" si="44"/>
        <v>156.98221751758351</v>
      </c>
      <c r="AN89" s="292">
        <f t="shared" si="45"/>
        <v>0.23538136863411793</v>
      </c>
      <c r="AO89" s="200"/>
      <c r="AP89" s="344"/>
    </row>
    <row r="90" spans="2:42" s="174" customFormat="1" x14ac:dyDescent="0.35">
      <c r="B90" s="196">
        <v>44319</v>
      </c>
      <c r="C90" s="176" t="s">
        <v>201</v>
      </c>
      <c r="D90" s="169" t="s">
        <v>196</v>
      </c>
      <c r="E90" s="175"/>
      <c r="F90" s="175"/>
      <c r="G90" s="175"/>
      <c r="H90" s="169">
        <v>50</v>
      </c>
      <c r="I90" s="175"/>
      <c r="J90" s="177"/>
      <c r="K90" s="175"/>
      <c r="L90" s="175"/>
      <c r="M90" s="175"/>
      <c r="N90" s="175"/>
      <c r="O90" s="178"/>
      <c r="P90" s="175"/>
      <c r="Q90" s="169">
        <v>50</v>
      </c>
      <c r="R90" s="175"/>
      <c r="S90" s="196">
        <v>44472</v>
      </c>
      <c r="T90" s="171">
        <v>5</v>
      </c>
      <c r="U90" s="175"/>
      <c r="V90" s="180">
        <v>22.87</v>
      </c>
      <c r="W90" s="180">
        <v>23.03</v>
      </c>
      <c r="X90" s="180">
        <v>22.86</v>
      </c>
      <c r="Y90" s="171">
        <f t="shared" si="40"/>
        <v>22.92</v>
      </c>
      <c r="Z90" s="172">
        <f>10^((Y90-'Standard Curve Summaries'!G$9)/'Standard Curve Summaries'!I$9)</f>
        <v>36534063.095968999</v>
      </c>
      <c r="AA90" s="272">
        <f t="shared" si="46"/>
        <v>34.741174562583332</v>
      </c>
      <c r="AB90" s="180">
        <v>28.12</v>
      </c>
      <c r="AC90" s="180">
        <v>28.2</v>
      </c>
      <c r="AD90" s="180">
        <v>28.13</v>
      </c>
      <c r="AE90" s="171">
        <f t="shared" si="41"/>
        <v>28.150000000000002</v>
      </c>
      <c r="AF90" s="306">
        <f>10^((AE90-'Standard Curve Summaries'!G$6)/'Standard Curve Summaries'!I$6)</f>
        <v>3753.4062637986372</v>
      </c>
      <c r="AG90" s="292">
        <f t="shared" si="42"/>
        <v>750.68125275972739</v>
      </c>
      <c r="AH90" s="180">
        <v>35.909999999999997</v>
      </c>
      <c r="AI90" s="180">
        <v>35.79</v>
      </c>
      <c r="AJ90" s="180">
        <v>35.65</v>
      </c>
      <c r="AK90" s="171">
        <f t="shared" si="43"/>
        <v>35.783333333333331</v>
      </c>
      <c r="AL90" s="293">
        <f>10^((AK90-'Standard Curve Summaries'!G$8)/'Standard Curve Summaries'!I$8)</f>
        <v>81.057350599451155</v>
      </c>
      <c r="AM90" s="293">
        <f t="shared" si="44"/>
        <v>16.21147011989023</v>
      </c>
      <c r="AN90" s="292">
        <f t="shared" si="45"/>
        <v>2.1595677340138772E-2</v>
      </c>
      <c r="AO90" s="200"/>
      <c r="AP90" s="344"/>
    </row>
    <row r="91" spans="2:42" s="174" customFormat="1" x14ac:dyDescent="0.35">
      <c r="B91" s="196">
        <v>44319</v>
      </c>
      <c r="C91" s="176" t="s">
        <v>201</v>
      </c>
      <c r="D91" s="169" t="s">
        <v>57</v>
      </c>
      <c r="E91" s="175"/>
      <c r="F91" s="175"/>
      <c r="G91" s="175"/>
      <c r="H91" s="169">
        <v>50</v>
      </c>
      <c r="I91" s="175"/>
      <c r="J91" s="183"/>
      <c r="K91" s="175"/>
      <c r="L91" s="175"/>
      <c r="M91" s="175"/>
      <c r="N91" s="175"/>
      <c r="O91" s="178"/>
      <c r="P91" s="175"/>
      <c r="Q91" s="169">
        <v>50</v>
      </c>
      <c r="R91" s="175"/>
      <c r="S91" s="196">
        <v>44472</v>
      </c>
      <c r="T91" s="171">
        <v>5</v>
      </c>
      <c r="U91" s="175"/>
      <c r="V91" s="180">
        <v>22.53</v>
      </c>
      <c r="W91" s="180">
        <v>22.6</v>
      </c>
      <c r="X91" s="180">
        <v>22.68</v>
      </c>
      <c r="Y91" s="171">
        <f t="shared" si="40"/>
        <v>22.603333333333335</v>
      </c>
      <c r="Z91" s="172">
        <f>10^((Y91-'Standard Curve Summaries'!G$9)/'Standard Curve Summaries'!I$9)</f>
        <v>45156763.928900249</v>
      </c>
      <c r="AA91" s="272">
        <f t="shared" si="46"/>
        <v>42.94072121719153</v>
      </c>
      <c r="AB91" s="180">
        <v>25.18</v>
      </c>
      <c r="AC91" s="180">
        <v>25.26</v>
      </c>
      <c r="AD91" s="180">
        <v>25.38</v>
      </c>
      <c r="AE91" s="171">
        <f t="shared" si="41"/>
        <v>25.27333333333333</v>
      </c>
      <c r="AF91" s="306">
        <f>10^((AE91-'Standard Curve Summaries'!G$6)/'Standard Curve Summaries'!I$6)</f>
        <v>24860.465289321131</v>
      </c>
      <c r="AG91" s="292">
        <f t="shared" si="42"/>
        <v>4972.0930578642265</v>
      </c>
      <c r="AH91" s="180">
        <v>35.950000000000003</v>
      </c>
      <c r="AI91" s="180">
        <v>36.56</v>
      </c>
      <c r="AJ91" s="180">
        <v>36.08</v>
      </c>
      <c r="AK91" s="171">
        <f t="shared" si="43"/>
        <v>36.196666666666665</v>
      </c>
      <c r="AL91" s="293">
        <f>10^((AK91-'Standard Curve Summaries'!G$8)/'Standard Curve Summaries'!I$8)</f>
        <v>61.573036166477962</v>
      </c>
      <c r="AM91" s="293">
        <f t="shared" si="44"/>
        <v>12.314607233295593</v>
      </c>
      <c r="AN91" s="292">
        <f t="shared" si="45"/>
        <v>2.476745123226909E-3</v>
      </c>
      <c r="AO91" s="200"/>
      <c r="AP91" s="344"/>
    </row>
    <row r="92" spans="2:42" s="174" customFormat="1" x14ac:dyDescent="0.35">
      <c r="B92" s="196">
        <v>44319</v>
      </c>
      <c r="C92" s="176" t="s">
        <v>202</v>
      </c>
      <c r="D92" s="169"/>
      <c r="E92" s="175"/>
      <c r="F92" s="175"/>
      <c r="G92" s="175"/>
      <c r="H92" s="169">
        <v>50</v>
      </c>
      <c r="I92" s="175"/>
      <c r="J92" s="183"/>
      <c r="K92" s="175"/>
      <c r="L92" s="175"/>
      <c r="M92" s="175"/>
      <c r="N92" s="175"/>
      <c r="O92" s="178"/>
      <c r="P92" s="175"/>
      <c r="Q92" s="169">
        <v>50</v>
      </c>
      <c r="R92" s="175"/>
      <c r="S92" s="196">
        <v>44472</v>
      </c>
      <c r="T92" s="171">
        <v>5</v>
      </c>
      <c r="U92" s="175"/>
      <c r="V92" s="180">
        <v>21.33</v>
      </c>
      <c r="W92" s="180">
        <v>21.34</v>
      </c>
      <c r="X92" s="180">
        <v>21.35</v>
      </c>
      <c r="Y92" s="171">
        <f t="shared" si="40"/>
        <v>21.340000000000003</v>
      </c>
      <c r="Z92" s="172">
        <f>10^((Y92-'Standard Curve Summaries'!G$9)/'Standard Curve Summaries'!I$9)</f>
        <v>105160702.12351608</v>
      </c>
      <c r="AA92" s="272">
        <f t="shared" si="46"/>
        <v>100</v>
      </c>
      <c r="AB92" s="180">
        <v>34.57</v>
      </c>
      <c r="AC92" s="180">
        <v>34.93</v>
      </c>
      <c r="AD92" s="180">
        <v>34.590000000000003</v>
      </c>
      <c r="AE92" s="171">
        <f t="shared" si="41"/>
        <v>34.696666666666665</v>
      </c>
      <c r="AF92" s="306">
        <f>10^((AE92-'Standard Curve Summaries'!G$6)/'Standard Curve Summaries'!I$6)</f>
        <v>50.794652264703451</v>
      </c>
      <c r="AG92" s="292">
        <f t="shared" si="42"/>
        <v>10.158930452940691</v>
      </c>
      <c r="AH92" s="180">
        <v>35.56</v>
      </c>
      <c r="AI92" s="180">
        <v>36.67</v>
      </c>
      <c r="AJ92" s="180">
        <v>36.57</v>
      </c>
      <c r="AK92" s="171">
        <f t="shared" si="43"/>
        <v>36.266666666666673</v>
      </c>
      <c r="AL92" s="293">
        <f>10^((AK92-'Standard Curve Summaries'!G$8)/'Standard Curve Summaries'!I$8)</f>
        <v>58.771840407602397</v>
      </c>
      <c r="AM92" s="293">
        <f t="shared" si="44"/>
        <v>11.754368081520479</v>
      </c>
      <c r="AN92" s="292">
        <f t="shared" si="45"/>
        <v>1.1570477951365401</v>
      </c>
      <c r="AO92" s="200"/>
      <c r="AP92" s="344"/>
    </row>
    <row r="93" spans="2:42" s="174" customFormat="1" x14ac:dyDescent="0.35">
      <c r="B93" s="196">
        <v>44319</v>
      </c>
      <c r="C93" s="176" t="s">
        <v>203</v>
      </c>
      <c r="D93" s="169"/>
      <c r="E93" s="175"/>
      <c r="F93" s="175"/>
      <c r="G93" s="175"/>
      <c r="H93" s="169">
        <v>50</v>
      </c>
      <c r="I93" s="175"/>
      <c r="J93" s="183"/>
      <c r="K93" s="175"/>
      <c r="L93" s="175"/>
      <c r="M93" s="175"/>
      <c r="N93" s="175"/>
      <c r="O93" s="178"/>
      <c r="P93" s="175"/>
      <c r="Q93" s="169">
        <v>50</v>
      </c>
      <c r="R93" s="175"/>
      <c r="S93" s="196">
        <v>44472</v>
      </c>
      <c r="T93" s="171">
        <v>5</v>
      </c>
      <c r="U93" s="175"/>
      <c r="V93" s="180">
        <v>38.32</v>
      </c>
      <c r="W93" s="180">
        <v>39.76</v>
      </c>
      <c r="X93" s="180">
        <v>38.86</v>
      </c>
      <c r="Y93" s="171">
        <f t="shared" si="40"/>
        <v>38.979999999999997</v>
      </c>
      <c r="Z93" s="291">
        <f>10^((Y93-'Standard Curve Summaries'!G$9)/'Standard Curve Summaries'!I$9)</f>
        <v>786.29536182452512</v>
      </c>
      <c r="AA93" s="272">
        <f t="shared" ref="AA93" si="47">Z93*100/Z$38</f>
        <v>3.2060372646697342E-4</v>
      </c>
      <c r="AB93" s="180">
        <v>37.130000000000003</v>
      </c>
      <c r="AC93" s="180">
        <v>37.770000000000003</v>
      </c>
      <c r="AD93" s="180">
        <v>38.19</v>
      </c>
      <c r="AE93" s="171">
        <f t="shared" si="41"/>
        <v>37.696666666666665</v>
      </c>
      <c r="AF93" s="306">
        <f>10^((AE93-'Standard Curve Summaries'!G$6)/'Standard Curve Summaries'!I$6)</f>
        <v>7.0718236307425935</v>
      </c>
      <c r="AG93" s="292">
        <f t="shared" si="42"/>
        <v>1.4143647261485186</v>
      </c>
      <c r="AH93" s="180">
        <v>35.42</v>
      </c>
      <c r="AI93" s="180">
        <v>36.44</v>
      </c>
      <c r="AJ93" s="180">
        <v>36.58</v>
      </c>
      <c r="AK93" s="171">
        <f t="shared" si="43"/>
        <v>36.146666666666668</v>
      </c>
      <c r="AL93" s="293">
        <f>10^((AK93-'Standard Curve Summaries'!G$8)/'Standard Curve Summaries'!I$8)</f>
        <v>63.655266335636611</v>
      </c>
      <c r="AM93" s="293">
        <f t="shared" si="44"/>
        <v>12.731053267127322</v>
      </c>
      <c r="AN93" s="292">
        <f t="shared" si="45"/>
        <v>9.0012519626358873</v>
      </c>
      <c r="AO93" s="200"/>
      <c r="AP93" s="344"/>
    </row>
    <row r="94" spans="2:42" s="288" customFormat="1" x14ac:dyDescent="0.35">
      <c r="B94" s="94"/>
      <c r="C94" s="290"/>
      <c r="D94" s="284"/>
      <c r="E94" s="94"/>
      <c r="F94" s="94"/>
      <c r="G94" s="94"/>
      <c r="H94" s="284"/>
      <c r="I94" s="94"/>
      <c r="J94" s="285"/>
      <c r="K94" s="94"/>
      <c r="L94" s="94"/>
      <c r="M94" s="94"/>
      <c r="N94" s="94"/>
      <c r="O94" s="97"/>
      <c r="P94" s="94"/>
      <c r="Q94" s="284"/>
      <c r="R94" s="94"/>
      <c r="S94" s="94"/>
      <c r="T94" s="286"/>
      <c r="U94" s="94"/>
      <c r="V94" s="100"/>
      <c r="W94" s="100"/>
      <c r="X94" s="94"/>
      <c r="Y94" s="286"/>
      <c r="Z94" s="287"/>
      <c r="AA94" s="100"/>
      <c r="AB94" s="94"/>
      <c r="AC94" s="94"/>
      <c r="AD94" s="94"/>
      <c r="AE94" s="286"/>
      <c r="AF94" s="307"/>
      <c r="AG94" s="308"/>
      <c r="AH94" s="94"/>
      <c r="AI94" s="94"/>
      <c r="AJ94" s="94"/>
      <c r="AK94" s="286"/>
      <c r="AL94" s="310"/>
      <c r="AM94" s="310" t="e">
        <f t="shared" si="44"/>
        <v>#DIV/0!</v>
      </c>
      <c r="AN94" s="308" t="e">
        <f t="shared" si="45"/>
        <v>#DIV/0!</v>
      </c>
      <c r="AO94" s="98"/>
      <c r="AP94" s="343"/>
    </row>
    <row r="95" spans="2:42" s="174" customFormat="1" x14ac:dyDescent="0.35">
      <c r="B95" s="196">
        <v>44411</v>
      </c>
      <c r="C95" s="170" t="s">
        <v>195</v>
      </c>
      <c r="D95" s="169" t="s">
        <v>196</v>
      </c>
      <c r="E95" s="175"/>
      <c r="F95" s="175"/>
      <c r="G95" s="175"/>
      <c r="H95" s="169">
        <v>50</v>
      </c>
      <c r="I95" s="175"/>
      <c r="J95" s="183"/>
      <c r="K95" s="175"/>
      <c r="L95" s="175"/>
      <c r="M95" s="175"/>
      <c r="N95" s="175"/>
      <c r="O95" s="178"/>
      <c r="P95" s="175"/>
      <c r="Q95" s="169">
        <v>50</v>
      </c>
      <c r="R95" s="175"/>
      <c r="S95" s="196">
        <v>44472</v>
      </c>
      <c r="T95" s="171">
        <v>5</v>
      </c>
      <c r="U95" s="175"/>
      <c r="V95" s="180">
        <v>22.44</v>
      </c>
      <c r="W95" s="180">
        <v>22.41</v>
      </c>
      <c r="X95" s="180">
        <v>22.22</v>
      </c>
      <c r="Y95" s="171">
        <f t="shared" ref="Y95:Y104" si="48">AVERAGE(V95:X95)</f>
        <v>22.356666666666666</v>
      </c>
      <c r="Z95" s="172">
        <f>10^((Y95-'Standard Curve Summaries'!G$9)/'Standard Curve Summaries'!I$9)</f>
        <v>53260509.434323102</v>
      </c>
      <c r="AA95" s="272">
        <f>Z95*100/Z$103</f>
        <v>39.100712353525807</v>
      </c>
      <c r="AB95" s="180">
        <v>28.61</v>
      </c>
      <c r="AC95" s="180">
        <v>28.43</v>
      </c>
      <c r="AD95" s="180">
        <v>28.32</v>
      </c>
      <c r="AE95" s="171">
        <f t="shared" ref="AE95:AE104" si="49">AVERAGE(AB95:AD95)</f>
        <v>28.453333333333333</v>
      </c>
      <c r="AF95" s="306">
        <f>10^((AE95-'Standard Curve Summaries'!G$6)/'Standard Curve Summaries'!I$6)</f>
        <v>3075.0026037233733</v>
      </c>
      <c r="AG95" s="292">
        <f t="shared" ref="AG95:AG104" si="50">(AF95/T95)*(Q95/H95)</f>
        <v>615.00052074467465</v>
      </c>
      <c r="AH95" s="180">
        <v>36.25</v>
      </c>
      <c r="AI95" s="180">
        <v>36.380000000000003</v>
      </c>
      <c r="AJ95" s="180">
        <v>36.83</v>
      </c>
      <c r="AK95" s="171">
        <f t="shared" ref="AK95:AK104" si="51">AVERAGE(AH95:AJ95)</f>
        <v>36.486666666666665</v>
      </c>
      <c r="AL95" s="293">
        <f>10^((AK95-'Standard Curve Summaries'!G$8)/'Standard Curve Summaries'!I$8)</f>
        <v>50.771114961052561</v>
      </c>
      <c r="AM95" s="293">
        <f t="shared" ref="AM95:AM105" si="52">(AL95/T95)*(Q95/H95)</f>
        <v>10.154222992210512</v>
      </c>
      <c r="AN95" s="292">
        <f t="shared" ref="AN95:AN105" si="53">AL95/AF95</f>
        <v>1.6510917714208193E-2</v>
      </c>
      <c r="AO95" s="200"/>
      <c r="AP95" s="344"/>
    </row>
    <row r="96" spans="2:42" s="174" customFormat="1" x14ac:dyDescent="0.35">
      <c r="B96" s="196">
        <v>44411</v>
      </c>
      <c r="C96" s="176" t="s">
        <v>195</v>
      </c>
      <c r="D96" s="169" t="s">
        <v>57</v>
      </c>
      <c r="E96" s="175"/>
      <c r="F96" s="175"/>
      <c r="G96" s="175"/>
      <c r="H96" s="169">
        <v>50</v>
      </c>
      <c r="I96" s="175"/>
      <c r="J96" s="183"/>
      <c r="K96" s="175"/>
      <c r="L96" s="175"/>
      <c r="M96" s="175"/>
      <c r="N96" s="175"/>
      <c r="O96" s="178"/>
      <c r="P96" s="175"/>
      <c r="Q96" s="169">
        <v>50</v>
      </c>
      <c r="R96" s="175"/>
      <c r="S96" s="196">
        <v>44472</v>
      </c>
      <c r="T96" s="171">
        <v>5</v>
      </c>
      <c r="U96" s="175"/>
      <c r="V96" s="180">
        <v>22.45</v>
      </c>
      <c r="W96" s="180">
        <v>22.58</v>
      </c>
      <c r="X96" s="180">
        <v>22.46</v>
      </c>
      <c r="Y96" s="171">
        <f t="shared" si="48"/>
        <v>22.49666666666667</v>
      </c>
      <c r="Z96" s="172">
        <f>10^((Y96-'Standard Curve Summaries'!G$9)/'Standard Curve Summaries'!I$9)</f>
        <v>48497645.129443221</v>
      </c>
      <c r="AA96" s="272">
        <f t="shared" ref="AA96:AA103" si="54">Z96*100/Z$103</f>
        <v>35.60409940066566</v>
      </c>
      <c r="AB96" s="180">
        <v>23.15</v>
      </c>
      <c r="AC96" s="180">
        <v>23.24</v>
      </c>
      <c r="AD96" s="180">
        <v>23.14</v>
      </c>
      <c r="AE96" s="171">
        <f t="shared" si="49"/>
        <v>23.176666666666666</v>
      </c>
      <c r="AF96" s="306">
        <f>10^((AE96-'Standard Curve Summaries'!G$6)/'Standard Curve Summaries'!I$6)</f>
        <v>98618.506803042212</v>
      </c>
      <c r="AG96" s="292">
        <f t="shared" si="50"/>
        <v>19723.701360608444</v>
      </c>
      <c r="AH96" s="180">
        <v>35.42</v>
      </c>
      <c r="AI96" s="180">
        <v>35.909999999999997</v>
      </c>
      <c r="AJ96" s="180">
        <v>35.89</v>
      </c>
      <c r="AK96" s="171">
        <f t="shared" si="51"/>
        <v>35.74</v>
      </c>
      <c r="AL96" s="293">
        <f>10^((AK96-'Standard Curve Summaries'!G$8)/'Standard Curve Summaries'!I$8)</f>
        <v>83.427713076494541</v>
      </c>
      <c r="AM96" s="293">
        <f t="shared" si="52"/>
        <v>16.685542615298907</v>
      </c>
      <c r="AN96" s="292">
        <f t="shared" si="53"/>
        <v>8.459640667964457E-4</v>
      </c>
      <c r="AO96" s="200"/>
      <c r="AP96" s="344"/>
    </row>
    <row r="97" spans="2:42" s="174" customFormat="1" x14ac:dyDescent="0.35">
      <c r="B97" s="196">
        <v>44411</v>
      </c>
      <c r="C97" s="176" t="s">
        <v>199</v>
      </c>
      <c r="D97" s="169" t="s">
        <v>196</v>
      </c>
      <c r="E97" s="175"/>
      <c r="F97" s="175"/>
      <c r="G97" s="175"/>
      <c r="H97" s="169">
        <v>50</v>
      </c>
      <c r="I97" s="175"/>
      <c r="J97" s="177"/>
      <c r="K97" s="175"/>
      <c r="L97" s="175"/>
      <c r="M97" s="175"/>
      <c r="N97" s="175"/>
      <c r="O97" s="178"/>
      <c r="P97" s="175"/>
      <c r="Q97" s="169">
        <v>50</v>
      </c>
      <c r="R97" s="175"/>
      <c r="S97" s="196">
        <v>44472</v>
      </c>
      <c r="T97" s="171">
        <v>5</v>
      </c>
      <c r="U97" s="175"/>
      <c r="V97" s="179">
        <v>23.22</v>
      </c>
      <c r="W97" s="179">
        <v>23.26</v>
      </c>
      <c r="X97" s="180">
        <v>23.34</v>
      </c>
      <c r="Y97" s="171">
        <f t="shared" si="48"/>
        <v>23.273333333333337</v>
      </c>
      <c r="Z97" s="172">
        <f>10^((Y97-'Standard Curve Summaries'!G$9)/'Standard Curve Summaries'!I$9)</f>
        <v>28841485.816788364</v>
      </c>
      <c r="AA97" s="272">
        <f t="shared" si="54"/>
        <v>21.173711118200245</v>
      </c>
      <c r="AB97" s="180">
        <v>28.03</v>
      </c>
      <c r="AC97" s="180">
        <v>28.03</v>
      </c>
      <c r="AD97" s="180">
        <v>28.11</v>
      </c>
      <c r="AE97" s="171">
        <f t="shared" si="49"/>
        <v>28.056666666666668</v>
      </c>
      <c r="AF97" s="306">
        <f>10^((AE97-'Standard Curve Summaries'!G$6)/'Standard Curve Summaries'!I$6)</f>
        <v>3990.8518043840327</v>
      </c>
      <c r="AG97" s="292">
        <f t="shared" si="50"/>
        <v>798.17036087680651</v>
      </c>
      <c r="AH97" s="180">
        <v>32.619999999999997</v>
      </c>
      <c r="AI97" s="180">
        <v>32.619999999999997</v>
      </c>
      <c r="AJ97" s="180">
        <v>32.68</v>
      </c>
      <c r="AK97" s="171">
        <f t="shared" si="51"/>
        <v>32.639999999999993</v>
      </c>
      <c r="AL97" s="293">
        <f>10^((AK97-'Standard Curve Summaries'!G$8)/'Standard Curve Summaries'!I$8)</f>
        <v>655.8795707475</v>
      </c>
      <c r="AM97" s="293">
        <f t="shared" si="52"/>
        <v>131.17591414949999</v>
      </c>
      <c r="AN97" s="292">
        <f t="shared" si="53"/>
        <v>0.1643457594759602</v>
      </c>
      <c r="AO97" s="200"/>
      <c r="AP97" s="344"/>
    </row>
    <row r="98" spans="2:42" s="174" customFormat="1" x14ac:dyDescent="0.35">
      <c r="B98" s="196">
        <v>44411</v>
      </c>
      <c r="C98" s="176" t="s">
        <v>199</v>
      </c>
      <c r="D98" s="169" t="s">
        <v>57</v>
      </c>
      <c r="E98" s="175"/>
      <c r="F98" s="175"/>
      <c r="G98" s="175"/>
      <c r="H98" s="169">
        <v>50</v>
      </c>
      <c r="I98" s="175"/>
      <c r="J98" s="177"/>
      <c r="K98" s="175"/>
      <c r="L98" s="175"/>
      <c r="M98" s="175"/>
      <c r="N98" s="175"/>
      <c r="O98" s="178"/>
      <c r="P98" s="175"/>
      <c r="Q98" s="169">
        <v>50</v>
      </c>
      <c r="R98" s="175"/>
      <c r="S98" s="196">
        <v>44472</v>
      </c>
      <c r="T98" s="171">
        <v>5</v>
      </c>
      <c r="U98" s="175" t="s">
        <v>109</v>
      </c>
      <c r="V98" s="179">
        <v>23.34</v>
      </c>
      <c r="W98" s="179">
        <v>23.29</v>
      </c>
      <c r="X98" s="180">
        <v>23.44</v>
      </c>
      <c r="Y98" s="171">
        <f t="shared" si="48"/>
        <v>23.356666666666666</v>
      </c>
      <c r="Z98" s="172">
        <f>10^((Y98-'Standard Curve Summaries'!G$9)/'Standard Curve Summaries'!I$9)</f>
        <v>27277248.967179921</v>
      </c>
      <c r="AA98" s="272">
        <f t="shared" si="54"/>
        <v>20.025341045158669</v>
      </c>
      <c r="AB98" s="180">
        <v>27.16</v>
      </c>
      <c r="AC98" s="180">
        <v>27.15</v>
      </c>
      <c r="AD98" s="180">
        <v>27.28</v>
      </c>
      <c r="AE98" s="171">
        <f t="shared" si="49"/>
        <v>27.196666666666669</v>
      </c>
      <c r="AF98" s="306">
        <f>10^((AE98-'Standard Curve Summaries'!G$6)/'Standard Curve Summaries'!I$6)</f>
        <v>7023.190005137446</v>
      </c>
      <c r="AG98" s="292">
        <f t="shared" si="50"/>
        <v>1404.6380010274893</v>
      </c>
      <c r="AH98" s="180">
        <v>31.08</v>
      </c>
      <c r="AI98" s="180">
        <v>31.13</v>
      </c>
      <c r="AJ98" s="180">
        <v>31.26</v>
      </c>
      <c r="AK98" s="171">
        <f t="shared" si="51"/>
        <v>31.156666666666666</v>
      </c>
      <c r="AL98" s="293">
        <f>10^((AK98-'Standard Curve Summaries'!G$8)/'Standard Curve Summaries'!I$8)</f>
        <v>1759.2300132947455</v>
      </c>
      <c r="AM98" s="293">
        <f t="shared" si="52"/>
        <v>351.84600265894909</v>
      </c>
      <c r="AN98" s="292">
        <f t="shared" si="53"/>
        <v>0.25048873973335095</v>
      </c>
      <c r="AO98" s="200"/>
      <c r="AP98" s="344"/>
    </row>
    <row r="99" spans="2:42" s="174" customFormat="1" x14ac:dyDescent="0.35">
      <c r="B99" s="196">
        <v>44411</v>
      </c>
      <c r="C99" s="176" t="s">
        <v>200</v>
      </c>
      <c r="D99" s="169" t="s">
        <v>196</v>
      </c>
      <c r="E99" s="175"/>
      <c r="F99" s="175"/>
      <c r="G99" s="175"/>
      <c r="H99" s="169">
        <v>50</v>
      </c>
      <c r="I99" s="175"/>
      <c r="J99" s="177"/>
      <c r="K99" s="175"/>
      <c r="L99" s="175"/>
      <c r="M99" s="175"/>
      <c r="N99" s="175"/>
      <c r="O99" s="178"/>
      <c r="P99" s="175"/>
      <c r="Q99" s="169">
        <v>50</v>
      </c>
      <c r="R99" s="175"/>
      <c r="S99" s="196">
        <v>44472</v>
      </c>
      <c r="T99" s="171">
        <v>5</v>
      </c>
      <c r="U99" s="175"/>
      <c r="V99" s="179">
        <v>27.96</v>
      </c>
      <c r="W99" s="179">
        <v>27.92</v>
      </c>
      <c r="X99" s="180">
        <v>27.81</v>
      </c>
      <c r="Y99" s="171">
        <f t="shared" si="48"/>
        <v>27.896666666666665</v>
      </c>
      <c r="Z99" s="172">
        <f>10^((Y99-'Standard Curve Summaries'!G$9)/'Standard Curve Summaries'!I$9)</f>
        <v>1307540.0781275784</v>
      </c>
      <c r="AA99" s="272">
        <f t="shared" si="54"/>
        <v>0.95991850300676473</v>
      </c>
      <c r="AB99" s="180">
        <v>25.52</v>
      </c>
      <c r="AC99" s="180">
        <v>25.6</v>
      </c>
      <c r="AD99" s="180">
        <v>25.42</v>
      </c>
      <c r="AE99" s="171">
        <f t="shared" si="49"/>
        <v>25.513333333333335</v>
      </c>
      <c r="AF99" s="306">
        <f>10^((AE99-'Standard Curve Summaries'!G$6)/'Standard Curve Summaries'!I$6)</f>
        <v>21232.753946497472</v>
      </c>
      <c r="AG99" s="292">
        <f t="shared" si="50"/>
        <v>4246.5507892994947</v>
      </c>
      <c r="AH99" s="180">
        <v>31.69</v>
      </c>
      <c r="AI99" s="180">
        <v>31.99</v>
      </c>
      <c r="AJ99" s="180">
        <v>32</v>
      </c>
      <c r="AK99" s="171">
        <f t="shared" si="51"/>
        <v>31.893333333333334</v>
      </c>
      <c r="AL99" s="293">
        <f>10^((AK99-'Standard Curve Summaries'!G$8)/'Standard Curve Summaries'!I$8)</f>
        <v>1077.7492809254293</v>
      </c>
      <c r="AM99" s="293">
        <f t="shared" si="52"/>
        <v>215.54985618508584</v>
      </c>
      <c r="AN99" s="292">
        <f t="shared" si="53"/>
        <v>5.0758808002068584E-2</v>
      </c>
      <c r="AO99" s="200"/>
      <c r="AP99" s="344"/>
    </row>
    <row r="100" spans="2:42" s="174" customFormat="1" x14ac:dyDescent="0.35">
      <c r="B100" s="196">
        <v>44411</v>
      </c>
      <c r="C100" s="176" t="s">
        <v>200</v>
      </c>
      <c r="D100" s="169" t="s">
        <v>57</v>
      </c>
      <c r="E100" s="175"/>
      <c r="F100" s="175"/>
      <c r="G100" s="175"/>
      <c r="H100" s="169">
        <v>50</v>
      </c>
      <c r="I100" s="175"/>
      <c r="J100" s="177"/>
      <c r="K100" s="175"/>
      <c r="L100" s="175"/>
      <c r="M100" s="175"/>
      <c r="N100" s="175"/>
      <c r="O100" s="178"/>
      <c r="P100" s="175"/>
      <c r="Q100" s="169">
        <v>50</v>
      </c>
      <c r="R100" s="175"/>
      <c r="S100" s="196">
        <v>44472</v>
      </c>
      <c r="T100" s="171">
        <v>5</v>
      </c>
      <c r="U100" s="175"/>
      <c r="V100" s="179">
        <v>22.45</v>
      </c>
      <c r="W100" s="179">
        <v>22.52</v>
      </c>
      <c r="X100" s="180">
        <v>22.46</v>
      </c>
      <c r="Y100" s="171">
        <f t="shared" si="48"/>
        <v>22.47666666666667</v>
      </c>
      <c r="Z100" s="172">
        <f>10^((Y100-'Standard Curve Summaries'!G$9)/'Standard Curve Summaries'!I$9)</f>
        <v>49151043.926392883</v>
      </c>
      <c r="AA100" s="272">
        <f t="shared" si="54"/>
        <v>36.083786108190921</v>
      </c>
      <c r="AB100" s="180">
        <v>27.94</v>
      </c>
      <c r="AC100" s="180">
        <v>28.02</v>
      </c>
      <c r="AD100" s="180">
        <v>28.01</v>
      </c>
      <c r="AE100" s="171">
        <f t="shared" si="49"/>
        <v>27.99</v>
      </c>
      <c r="AF100" s="306">
        <f>10^((AE100-'Standard Curve Summaries'!G$6)/'Standard Curve Summaries'!I$6)</f>
        <v>4169.5980557331641</v>
      </c>
      <c r="AG100" s="292">
        <f t="shared" si="50"/>
        <v>833.91961114663286</v>
      </c>
      <c r="AH100" s="180">
        <v>32.51</v>
      </c>
      <c r="AI100" s="180">
        <v>32.54</v>
      </c>
      <c r="AJ100" s="180">
        <v>32.369999999999997</v>
      </c>
      <c r="AK100" s="171">
        <f t="shared" si="51"/>
        <v>32.473333333333329</v>
      </c>
      <c r="AL100" s="293">
        <f>10^((AK100-'Standard Curve Summaries'!G$8)/'Standard Curve Summaries'!I$8)</f>
        <v>732.77392177285026</v>
      </c>
      <c r="AM100" s="293">
        <f t="shared" si="52"/>
        <v>146.55478435457005</v>
      </c>
      <c r="AN100" s="292">
        <f t="shared" si="53"/>
        <v>0.17574210079201566</v>
      </c>
      <c r="AO100" s="200"/>
      <c r="AP100" s="344"/>
    </row>
    <row r="101" spans="2:42" s="174" customFormat="1" x14ac:dyDescent="0.35">
      <c r="B101" s="196">
        <v>44411</v>
      </c>
      <c r="C101" s="176" t="s">
        <v>201</v>
      </c>
      <c r="D101" s="169" t="s">
        <v>196</v>
      </c>
      <c r="E101" s="175"/>
      <c r="F101" s="175"/>
      <c r="G101" s="175"/>
      <c r="H101" s="169">
        <v>50</v>
      </c>
      <c r="I101" s="175"/>
      <c r="J101" s="177"/>
      <c r="K101" s="175"/>
      <c r="L101" s="175"/>
      <c r="M101" s="175"/>
      <c r="N101" s="175"/>
      <c r="O101" s="178"/>
      <c r="P101" s="175"/>
      <c r="Q101" s="169">
        <v>50</v>
      </c>
      <c r="R101" s="175"/>
      <c r="S101" s="196">
        <v>44472</v>
      </c>
      <c r="T101" s="171">
        <v>5</v>
      </c>
      <c r="U101" s="175"/>
      <c r="V101" s="180">
        <v>23.14</v>
      </c>
      <c r="W101" s="180">
        <v>23.08</v>
      </c>
      <c r="X101" s="180">
        <v>23.1</v>
      </c>
      <c r="Y101" s="171">
        <f t="shared" si="48"/>
        <v>23.106666666666666</v>
      </c>
      <c r="Z101" s="172">
        <f>10^((Y101-'Standard Curve Summaries'!G$9)/'Standard Curve Summaries'!I$9)</f>
        <v>32244211.025061134</v>
      </c>
      <c r="AA101" s="272">
        <f t="shared" si="54"/>
        <v>23.671790483190751</v>
      </c>
      <c r="AB101" s="180">
        <v>28.27</v>
      </c>
      <c r="AC101" s="180">
        <v>28.26</v>
      </c>
      <c r="AD101" s="180">
        <v>28.24</v>
      </c>
      <c r="AE101" s="171">
        <f t="shared" si="49"/>
        <v>28.256666666666664</v>
      </c>
      <c r="AF101" s="306">
        <f>10^((AE101-'Standard Curve Summaries'!G$6)/'Standard Curve Summaries'!I$6)</f>
        <v>3499.2891460645046</v>
      </c>
      <c r="AG101" s="292">
        <f t="shared" si="50"/>
        <v>699.85782921290092</v>
      </c>
      <c r="AH101" s="180">
        <v>35.700000000000003</v>
      </c>
      <c r="AI101" s="180">
        <v>36.1</v>
      </c>
      <c r="AJ101" s="180">
        <v>36.119999999999997</v>
      </c>
      <c r="AK101" s="171">
        <f t="shared" si="51"/>
        <v>35.973333333333336</v>
      </c>
      <c r="AL101" s="293">
        <f>10^((AK101-'Standard Curve Summaries'!G$8)/'Standard Curve Summaries'!I$8)</f>
        <v>71.434182169520071</v>
      </c>
      <c r="AM101" s="293">
        <f t="shared" si="52"/>
        <v>14.286836433904014</v>
      </c>
      <c r="AN101" s="292">
        <f t="shared" si="53"/>
        <v>2.0413912422715605E-2</v>
      </c>
      <c r="AO101" s="200"/>
      <c r="AP101" s="344"/>
    </row>
    <row r="102" spans="2:42" s="174" customFormat="1" x14ac:dyDescent="0.35">
      <c r="B102" s="196">
        <v>44411</v>
      </c>
      <c r="C102" s="176" t="s">
        <v>201</v>
      </c>
      <c r="D102" s="169" t="s">
        <v>57</v>
      </c>
      <c r="E102" s="175"/>
      <c r="F102" s="175"/>
      <c r="G102" s="175"/>
      <c r="H102" s="169">
        <v>50</v>
      </c>
      <c r="I102" s="175"/>
      <c r="J102" s="183"/>
      <c r="K102" s="175"/>
      <c r="L102" s="175"/>
      <c r="M102" s="175"/>
      <c r="N102" s="175"/>
      <c r="O102" s="178"/>
      <c r="P102" s="175"/>
      <c r="Q102" s="169">
        <v>50</v>
      </c>
      <c r="R102" s="175"/>
      <c r="S102" s="196">
        <v>44472</v>
      </c>
      <c r="T102" s="171">
        <v>5</v>
      </c>
      <c r="U102" s="175"/>
      <c r="V102" s="180">
        <v>22.68</v>
      </c>
      <c r="W102" s="180">
        <v>22.77</v>
      </c>
      <c r="X102" s="180">
        <v>22.79</v>
      </c>
      <c r="Y102" s="171">
        <f t="shared" si="48"/>
        <v>22.74666666666667</v>
      </c>
      <c r="Z102" s="172">
        <f>10^((Y102-'Standard Curve Summaries'!G$9)/'Standard Curve Summaries'!I$9)</f>
        <v>41026971.926513605</v>
      </c>
      <c r="AA102" s="272">
        <f t="shared" si="54"/>
        <v>30.11957349024134</v>
      </c>
      <c r="AB102" s="180">
        <v>29.47</v>
      </c>
      <c r="AC102" s="180">
        <v>29.63</v>
      </c>
      <c r="AD102" s="180">
        <v>29.54</v>
      </c>
      <c r="AE102" s="171">
        <f t="shared" si="49"/>
        <v>29.546666666666663</v>
      </c>
      <c r="AF102" s="306">
        <f>10^((AE102-'Standard Curve Summaries'!G$6)/'Standard Curve Summaries'!I$6)</f>
        <v>1498.9136147421332</v>
      </c>
      <c r="AG102" s="292">
        <f t="shared" si="50"/>
        <v>299.78272294842662</v>
      </c>
      <c r="AH102" s="180">
        <v>35.26</v>
      </c>
      <c r="AI102" s="180">
        <v>35.880000000000003</v>
      </c>
      <c r="AJ102" s="180">
        <v>35.409999999999997</v>
      </c>
      <c r="AK102" s="171">
        <f t="shared" si="51"/>
        <v>35.516666666666666</v>
      </c>
      <c r="AL102" s="293">
        <f>10^((AK102-'Standard Curve Summaries'!G$8)/'Standard Curve Summaries'!I$8)</f>
        <v>96.788965185662761</v>
      </c>
      <c r="AM102" s="293">
        <f t="shared" si="52"/>
        <v>19.357793037132552</v>
      </c>
      <c r="AN102" s="292">
        <f t="shared" si="53"/>
        <v>6.4572744041899929E-2</v>
      </c>
      <c r="AO102" s="200"/>
      <c r="AP102" s="344"/>
    </row>
    <row r="103" spans="2:42" s="174" customFormat="1" x14ac:dyDescent="0.35">
      <c r="B103" s="196">
        <v>44411</v>
      </c>
      <c r="C103" s="176" t="s">
        <v>202</v>
      </c>
      <c r="D103" s="169"/>
      <c r="E103" s="175"/>
      <c r="F103" s="175"/>
      <c r="G103" s="175"/>
      <c r="H103" s="169">
        <v>50</v>
      </c>
      <c r="I103" s="175"/>
      <c r="J103" s="183"/>
      <c r="K103" s="175"/>
      <c r="L103" s="175"/>
      <c r="M103" s="175"/>
      <c r="N103" s="175"/>
      <c r="O103" s="178"/>
      <c r="P103" s="175"/>
      <c r="Q103" s="169">
        <v>50</v>
      </c>
      <c r="R103" s="175"/>
      <c r="S103" s="196">
        <v>44472</v>
      </c>
      <c r="T103" s="171">
        <v>5</v>
      </c>
      <c r="U103" s="175"/>
      <c r="V103" s="180">
        <v>20.88</v>
      </c>
      <c r="W103" s="180">
        <v>20.99</v>
      </c>
      <c r="X103" s="180">
        <v>20.99</v>
      </c>
      <c r="Y103" s="171">
        <f t="shared" si="48"/>
        <v>20.953333333333333</v>
      </c>
      <c r="Z103" s="172">
        <f>10^((Y103-'Standard Curve Summaries'!G$9)/'Standard Curve Summaries'!I$9)</f>
        <v>136213655.01674926</v>
      </c>
      <c r="AA103" s="272">
        <f t="shared" si="54"/>
        <v>100</v>
      </c>
      <c r="AB103" s="180">
        <v>33.21</v>
      </c>
      <c r="AC103" s="180">
        <v>33.06</v>
      </c>
      <c r="AD103" s="180">
        <v>33.450000000000003</v>
      </c>
      <c r="AE103" s="171">
        <f t="shared" si="49"/>
        <v>33.24</v>
      </c>
      <c r="AF103" s="306">
        <f>10^((AE103-'Standard Curve Summaries'!G$6)/'Standard Curve Summaries'!I$6)</f>
        <v>132.31000718463653</v>
      </c>
      <c r="AG103" s="292">
        <f t="shared" si="50"/>
        <v>26.462001436927306</v>
      </c>
      <c r="AH103" s="180">
        <v>36.56</v>
      </c>
      <c r="AI103" s="180">
        <v>37.119999999999997</v>
      </c>
      <c r="AJ103" s="180">
        <v>36.9</v>
      </c>
      <c r="AK103" s="171">
        <f t="shared" si="51"/>
        <v>36.860000000000007</v>
      </c>
      <c r="AL103" s="293">
        <f>10^((AK103-'Standard Curve Summaries'!G$8)/'Standard Curve Summaries'!I$8)</f>
        <v>39.606811537150406</v>
      </c>
      <c r="AM103" s="293">
        <f t="shared" si="52"/>
        <v>7.9213623074300816</v>
      </c>
      <c r="AN103" s="292">
        <f t="shared" si="53"/>
        <v>0.29934857067825354</v>
      </c>
      <c r="AO103" s="200"/>
      <c r="AP103" s="344"/>
    </row>
    <row r="104" spans="2:42" s="174" customFormat="1" x14ac:dyDescent="0.35">
      <c r="B104" s="196">
        <v>44411</v>
      </c>
      <c r="C104" s="176" t="s">
        <v>203</v>
      </c>
      <c r="D104" s="169"/>
      <c r="E104" s="175"/>
      <c r="F104" s="175"/>
      <c r="G104" s="175"/>
      <c r="H104" s="169">
        <v>50</v>
      </c>
      <c r="I104" s="175"/>
      <c r="J104" s="183"/>
      <c r="K104" s="175"/>
      <c r="L104" s="175"/>
      <c r="M104" s="175"/>
      <c r="N104" s="175"/>
      <c r="O104" s="178"/>
      <c r="P104" s="175"/>
      <c r="Q104" s="169">
        <v>50</v>
      </c>
      <c r="R104" s="175"/>
      <c r="S104" s="196">
        <v>44472</v>
      </c>
      <c r="T104" s="171">
        <v>5</v>
      </c>
      <c r="U104" s="175"/>
      <c r="V104" s="180">
        <v>38.32</v>
      </c>
      <c r="W104" s="180">
        <v>39.76</v>
      </c>
      <c r="X104" s="180">
        <v>38.86</v>
      </c>
      <c r="Y104" s="171">
        <f t="shared" si="48"/>
        <v>38.979999999999997</v>
      </c>
      <c r="Z104" s="291">
        <f>10^((Y104-'Standard Curve Summaries'!G$9)/'Standard Curve Summaries'!I$9)</f>
        <v>786.29536182452512</v>
      </c>
      <c r="AA104" s="272">
        <f t="shared" ref="AA104" si="55">Z104*100/Z$38</f>
        <v>3.2060372646697342E-4</v>
      </c>
      <c r="AB104" s="180">
        <v>37.130000000000003</v>
      </c>
      <c r="AC104" s="180">
        <v>37.770000000000003</v>
      </c>
      <c r="AD104" s="180">
        <v>38.19</v>
      </c>
      <c r="AE104" s="171">
        <f t="shared" si="49"/>
        <v>37.696666666666665</v>
      </c>
      <c r="AF104" s="306">
        <f>10^((AE104-'Standard Curve Summaries'!G$6)/'Standard Curve Summaries'!I$6)</f>
        <v>7.0718236307425935</v>
      </c>
      <c r="AG104" s="292">
        <f t="shared" si="50"/>
        <v>1.4143647261485186</v>
      </c>
      <c r="AH104" s="180">
        <v>35.42</v>
      </c>
      <c r="AI104" s="180">
        <v>36.44</v>
      </c>
      <c r="AJ104" s="180">
        <v>36.58</v>
      </c>
      <c r="AK104" s="171">
        <f t="shared" si="51"/>
        <v>36.146666666666668</v>
      </c>
      <c r="AL104" s="293">
        <f>10^((AK104-'Standard Curve Summaries'!G$8)/'Standard Curve Summaries'!I$8)</f>
        <v>63.655266335636611</v>
      </c>
      <c r="AM104" s="293">
        <f t="shared" si="52"/>
        <v>12.731053267127322</v>
      </c>
      <c r="AN104" s="292">
        <f t="shared" si="53"/>
        <v>9.0012519626358873</v>
      </c>
      <c r="AO104" s="200"/>
      <c r="AP104" s="344"/>
    </row>
    <row r="105" spans="2:42" s="288" customFormat="1" x14ac:dyDescent="0.35">
      <c r="B105" s="94"/>
      <c r="C105" s="290"/>
      <c r="D105" s="284"/>
      <c r="E105" s="94"/>
      <c r="F105" s="94"/>
      <c r="G105" s="94"/>
      <c r="H105" s="284"/>
      <c r="I105" s="94"/>
      <c r="J105" s="285"/>
      <c r="K105" s="94"/>
      <c r="L105" s="94"/>
      <c r="M105" s="94"/>
      <c r="N105" s="94"/>
      <c r="O105" s="97"/>
      <c r="P105" s="94"/>
      <c r="Q105" s="284"/>
      <c r="R105" s="94"/>
      <c r="S105" s="94"/>
      <c r="T105" s="286"/>
      <c r="U105" s="94"/>
      <c r="V105" s="100"/>
      <c r="W105" s="100"/>
      <c r="X105" s="94"/>
      <c r="Y105" s="286"/>
      <c r="Z105" s="287"/>
      <c r="AA105" s="100"/>
      <c r="AB105" s="94"/>
      <c r="AC105" s="94"/>
      <c r="AD105" s="94"/>
      <c r="AE105" s="286"/>
      <c r="AF105" s="307"/>
      <c r="AG105" s="308"/>
      <c r="AH105" s="94"/>
      <c r="AI105" s="94"/>
      <c r="AJ105" s="94"/>
      <c r="AK105" s="286"/>
      <c r="AL105" s="310"/>
      <c r="AM105" s="310" t="e">
        <f t="shared" si="52"/>
        <v>#DIV/0!</v>
      </c>
      <c r="AN105" s="308" t="e">
        <f t="shared" si="53"/>
        <v>#DIV/0!</v>
      </c>
      <c r="AO105" s="98"/>
      <c r="AP105" s="343"/>
    </row>
    <row r="106" spans="2:42" s="190" customFormat="1" x14ac:dyDescent="0.35">
      <c r="B106" s="175"/>
      <c r="C106" s="184"/>
      <c r="D106" s="169"/>
      <c r="E106" s="169"/>
      <c r="F106" s="169"/>
      <c r="G106" s="169"/>
      <c r="H106" s="169"/>
      <c r="I106" s="169"/>
      <c r="J106" s="175"/>
      <c r="K106" s="175"/>
      <c r="L106" s="175"/>
      <c r="M106" s="175"/>
      <c r="N106" s="175"/>
      <c r="O106" s="178"/>
      <c r="P106" s="169"/>
      <c r="Q106" s="169"/>
      <c r="R106" s="169"/>
      <c r="S106" s="169" t="s">
        <v>109</v>
      </c>
      <c r="T106" s="171"/>
      <c r="U106" s="169"/>
      <c r="V106" s="180"/>
      <c r="W106" s="180"/>
      <c r="X106" s="180"/>
      <c r="Y106" s="182"/>
      <c r="Z106" s="182"/>
      <c r="AA106" s="182"/>
      <c r="AB106" s="180"/>
      <c r="AC106" s="180"/>
      <c r="AD106" s="180"/>
      <c r="AE106" s="182"/>
      <c r="AF106" s="304"/>
      <c r="AG106" s="292"/>
      <c r="AH106" s="180"/>
      <c r="AI106" s="180"/>
      <c r="AJ106" s="180"/>
      <c r="AK106" s="182"/>
      <c r="AL106" s="312"/>
      <c r="AM106" s="293"/>
      <c r="AN106" s="292"/>
      <c r="AO106" s="200"/>
      <c r="AP106" s="344"/>
    </row>
    <row r="107" spans="2:42" s="190" customFormat="1" x14ac:dyDescent="0.35">
      <c r="B107" s="175" t="s">
        <v>109</v>
      </c>
      <c r="C107" s="184"/>
      <c r="D107" s="169"/>
      <c r="E107" s="169"/>
      <c r="F107" s="169"/>
      <c r="G107" s="169"/>
      <c r="H107" s="169"/>
      <c r="I107" s="169"/>
      <c r="J107" s="175"/>
      <c r="K107" s="175"/>
      <c r="L107" s="175"/>
      <c r="M107" s="175"/>
      <c r="N107" s="175"/>
      <c r="O107" s="178"/>
      <c r="P107" s="169"/>
      <c r="Q107" s="169"/>
      <c r="R107" s="169"/>
      <c r="S107" s="169"/>
      <c r="T107" s="171"/>
      <c r="U107" s="169"/>
      <c r="V107" s="175"/>
      <c r="W107" s="175"/>
      <c r="X107" s="175"/>
      <c r="Y107" s="182"/>
      <c r="Z107" s="188"/>
      <c r="AA107" s="182"/>
      <c r="AB107" s="175"/>
      <c r="AC107" s="175"/>
      <c r="AD107" s="175"/>
      <c r="AE107" s="182"/>
      <c r="AF107" s="304"/>
      <c r="AG107" s="292"/>
      <c r="AH107" s="175"/>
      <c r="AI107" s="175"/>
      <c r="AJ107" s="175"/>
      <c r="AK107" s="182"/>
      <c r="AL107" s="312"/>
      <c r="AM107" s="293"/>
      <c r="AN107" s="292"/>
      <c r="AO107" s="200"/>
      <c r="AP107" s="344"/>
    </row>
    <row r="108" spans="2:42" s="190" customFormat="1" x14ac:dyDescent="0.35">
      <c r="B108" s="175"/>
      <c r="C108" s="175"/>
      <c r="D108" s="169"/>
      <c r="E108" s="169"/>
      <c r="F108" s="169"/>
      <c r="G108" s="169"/>
      <c r="H108" s="169"/>
      <c r="I108" s="169"/>
      <c r="J108" s="175"/>
      <c r="K108" s="175"/>
      <c r="L108" s="175"/>
      <c r="M108" s="175"/>
      <c r="N108" s="175"/>
      <c r="O108" s="178"/>
      <c r="P108" s="169"/>
      <c r="Q108" s="169"/>
      <c r="R108" s="169"/>
      <c r="S108" s="169"/>
      <c r="T108" s="171"/>
      <c r="U108" s="169"/>
      <c r="V108" s="175"/>
      <c r="W108" s="175"/>
      <c r="X108" s="175"/>
      <c r="Y108" s="182"/>
      <c r="Z108" s="188"/>
      <c r="AA108" s="182"/>
      <c r="AB108" s="175"/>
      <c r="AC108" s="175"/>
      <c r="AD108" s="175"/>
      <c r="AE108" s="182"/>
      <c r="AF108" s="304"/>
      <c r="AG108" s="292"/>
      <c r="AH108" s="175"/>
      <c r="AI108" s="175"/>
      <c r="AJ108" s="175"/>
      <c r="AK108" s="182"/>
      <c r="AL108" s="312"/>
      <c r="AM108" s="293"/>
      <c r="AN108" s="292"/>
      <c r="AO108" s="200"/>
      <c r="AP108" s="344"/>
    </row>
    <row r="109" spans="2:42" s="190" customFormat="1" ht="14.25" x14ac:dyDescent="0.45">
      <c r="B109" s="175"/>
      <c r="C109" s="175"/>
      <c r="D109" s="169"/>
      <c r="E109" s="169"/>
      <c r="F109" s="169"/>
      <c r="G109" s="169"/>
      <c r="H109" s="169"/>
      <c r="I109" s="169"/>
      <c r="J109" s="175"/>
      <c r="K109" s="175"/>
      <c r="L109" s="175"/>
      <c r="M109" s="175"/>
      <c r="N109" s="175"/>
      <c r="O109" s="178"/>
      <c r="P109" s="169"/>
      <c r="Q109" s="169"/>
      <c r="R109" s="169"/>
      <c r="S109" s="169"/>
      <c r="T109" s="171"/>
      <c r="U109" s="169"/>
      <c r="V109" s="175"/>
      <c r="W109" s="175"/>
      <c r="X109" s="175"/>
      <c r="Y109" s="182"/>
      <c r="Z109" s="188"/>
      <c r="AA109" s="182"/>
      <c r="AB109" s="175"/>
      <c r="AC109" s="175"/>
      <c r="AD109" s="175"/>
      <c r="AE109" s="182"/>
      <c r="AF109" s="304"/>
      <c r="AG109" s="304"/>
      <c r="AH109" s="175"/>
      <c r="AI109" s="180"/>
      <c r="AJ109" s="175"/>
      <c r="AK109" s="182"/>
      <c r="AL109" s="312"/>
      <c r="AM109" s="312"/>
      <c r="AN109" s="304"/>
      <c r="AO109" s="187"/>
      <c r="AP109" s="344"/>
    </row>
    <row r="110" spans="2:42" s="190" customFormat="1" x14ac:dyDescent="0.35">
      <c r="B110" s="175"/>
      <c r="C110" s="175"/>
      <c r="D110" s="175"/>
      <c r="E110" s="175"/>
      <c r="F110" s="175"/>
      <c r="G110" s="175"/>
      <c r="H110" s="169"/>
      <c r="I110" s="169"/>
      <c r="J110" s="175"/>
      <c r="K110" s="175"/>
      <c r="L110" s="175"/>
      <c r="M110" s="175"/>
      <c r="N110" s="175"/>
      <c r="O110" s="178"/>
      <c r="P110" s="169"/>
      <c r="Q110" s="169"/>
      <c r="R110" s="169"/>
      <c r="S110" s="169"/>
      <c r="T110" s="171"/>
      <c r="U110" s="169"/>
      <c r="V110" s="175"/>
      <c r="W110" s="175"/>
      <c r="X110" s="175"/>
      <c r="Y110" s="182"/>
      <c r="Z110" s="188"/>
      <c r="AA110" s="182"/>
      <c r="AB110" s="175"/>
      <c r="AC110" s="175"/>
      <c r="AD110" s="175"/>
      <c r="AE110" s="182"/>
      <c r="AF110" s="304"/>
      <c r="AG110" s="304"/>
      <c r="AH110" s="175"/>
      <c r="AI110" s="175"/>
      <c r="AJ110" s="175"/>
      <c r="AK110" s="182"/>
      <c r="AL110" s="312"/>
      <c r="AM110" s="312"/>
      <c r="AN110" s="304"/>
      <c r="AO110" s="200"/>
      <c r="AP110" s="344"/>
    </row>
    <row r="111" spans="2:42" s="190" customFormat="1" x14ac:dyDescent="0.35"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8"/>
      <c r="P111" s="175"/>
      <c r="Q111" s="175"/>
      <c r="R111" s="175"/>
      <c r="S111" s="175"/>
      <c r="T111" s="180"/>
      <c r="U111" s="175"/>
      <c r="V111" s="175"/>
      <c r="W111" s="175"/>
      <c r="X111" s="175"/>
      <c r="Y111" s="175"/>
      <c r="Z111" s="188"/>
      <c r="AA111" s="182"/>
      <c r="AB111" s="175"/>
      <c r="AC111" s="175"/>
      <c r="AD111" s="175"/>
      <c r="AE111" s="175"/>
      <c r="AF111" s="304"/>
      <c r="AG111" s="304"/>
      <c r="AH111" s="175"/>
      <c r="AI111" s="175"/>
      <c r="AJ111" s="175"/>
      <c r="AK111" s="175"/>
      <c r="AL111" s="312"/>
      <c r="AM111" s="312"/>
      <c r="AN111" s="304"/>
      <c r="AO111" s="200"/>
      <c r="AP111" s="344"/>
    </row>
    <row r="112" spans="2:42" s="190" customFormat="1" x14ac:dyDescent="0.35">
      <c r="B112" s="175"/>
      <c r="C112" s="19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8"/>
      <c r="P112" s="196"/>
      <c r="Q112" s="195"/>
      <c r="R112" s="169"/>
      <c r="S112" s="196"/>
      <c r="T112" s="171"/>
      <c r="U112" s="169"/>
      <c r="V112" s="175"/>
      <c r="W112" s="175"/>
      <c r="X112" s="175"/>
      <c r="Y112" s="182"/>
      <c r="Z112" s="188"/>
      <c r="AA112" s="182"/>
      <c r="AB112" s="175"/>
      <c r="AC112" s="175"/>
      <c r="AD112" s="175"/>
      <c r="AE112" s="182"/>
      <c r="AF112" s="304"/>
      <c r="AG112" s="304"/>
      <c r="AH112" s="175"/>
      <c r="AI112" s="175"/>
      <c r="AJ112" s="175"/>
      <c r="AK112" s="182"/>
      <c r="AL112" s="312"/>
      <c r="AM112" s="312"/>
      <c r="AN112" s="304"/>
      <c r="AO112" s="200"/>
      <c r="AP112" s="344"/>
    </row>
    <row r="113" spans="2:42" s="190" customFormat="1" x14ac:dyDescent="0.35">
      <c r="B113" s="175"/>
      <c r="C113" s="19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8"/>
      <c r="P113" s="196"/>
      <c r="Q113" s="195"/>
      <c r="R113" s="169"/>
      <c r="S113" s="196"/>
      <c r="T113" s="171"/>
      <c r="U113" s="169"/>
      <c r="V113" s="180"/>
      <c r="W113" s="175"/>
      <c r="X113" s="175"/>
      <c r="Y113" s="182"/>
      <c r="Z113" s="188"/>
      <c r="AA113" s="182"/>
      <c r="AB113" s="175"/>
      <c r="AC113" s="175"/>
      <c r="AD113" s="175"/>
      <c r="AE113" s="182"/>
      <c r="AF113" s="304"/>
      <c r="AG113" s="304"/>
      <c r="AH113" s="175"/>
      <c r="AI113" s="175"/>
      <c r="AJ113" s="175"/>
      <c r="AK113" s="182"/>
      <c r="AL113" s="312"/>
      <c r="AM113" s="312"/>
      <c r="AN113" s="304"/>
      <c r="AO113" s="200"/>
      <c r="AP113" s="344"/>
    </row>
    <row r="114" spans="2:42" s="190" customFormat="1" x14ac:dyDescent="0.35">
      <c r="B114" s="175"/>
      <c r="C114" s="19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8"/>
      <c r="P114" s="196"/>
      <c r="Q114" s="195"/>
      <c r="R114" s="169"/>
      <c r="S114" s="196"/>
      <c r="T114" s="171"/>
      <c r="U114" s="169"/>
      <c r="V114" s="175"/>
      <c r="W114" s="175"/>
      <c r="X114" s="175"/>
      <c r="Y114" s="182"/>
      <c r="Z114" s="188"/>
      <c r="AA114" s="182"/>
      <c r="AB114" s="175"/>
      <c r="AC114" s="175"/>
      <c r="AD114" s="175"/>
      <c r="AE114" s="182"/>
      <c r="AF114" s="304"/>
      <c r="AG114" s="304"/>
      <c r="AH114" s="175"/>
      <c r="AI114" s="175"/>
      <c r="AJ114" s="175"/>
      <c r="AK114" s="182"/>
      <c r="AL114" s="175"/>
      <c r="AM114" s="181"/>
      <c r="AN114" s="304"/>
      <c r="AO114" s="200"/>
      <c r="AP114" s="344"/>
    </row>
    <row r="115" spans="2:42" s="190" customFormat="1" x14ac:dyDescent="0.35">
      <c r="B115" s="175"/>
      <c r="C115" s="195"/>
      <c r="D115" s="175"/>
      <c r="E115" s="175"/>
      <c r="F115" s="175"/>
      <c r="G115" s="175"/>
      <c r="H115" s="175"/>
      <c r="I115" s="175"/>
      <c r="J115" s="175"/>
      <c r="K115" s="180"/>
      <c r="L115" s="175"/>
      <c r="M115" s="175"/>
      <c r="N115" s="175"/>
      <c r="O115" s="178"/>
      <c r="P115" s="196"/>
      <c r="Q115" s="195"/>
      <c r="R115" s="169"/>
      <c r="S115" s="196"/>
      <c r="T115" s="195"/>
      <c r="U115" s="169"/>
      <c r="V115" s="175"/>
      <c r="W115" s="175"/>
      <c r="X115" s="175"/>
      <c r="Y115" s="182"/>
      <c r="Z115" s="188"/>
      <c r="AA115" s="182"/>
      <c r="AB115" s="180"/>
      <c r="AC115" s="175"/>
      <c r="AD115" s="175"/>
      <c r="AE115" s="182"/>
      <c r="AF115" s="302"/>
      <c r="AG115" s="301"/>
      <c r="AH115" s="175"/>
      <c r="AI115" s="175"/>
      <c r="AJ115" s="175"/>
      <c r="AK115" s="182"/>
      <c r="AL115" s="175"/>
      <c r="AM115" s="181"/>
      <c r="AN115" s="295"/>
      <c r="AO115" s="200"/>
      <c r="AP115" s="344"/>
    </row>
    <row r="116" spans="2:42" s="190" customFormat="1" x14ac:dyDescent="0.35">
      <c r="B116" s="175"/>
      <c r="C116" s="195"/>
      <c r="D116" s="175"/>
      <c r="E116" s="175"/>
      <c r="F116" s="175"/>
      <c r="G116" s="175"/>
      <c r="H116" s="175"/>
      <c r="I116" s="175"/>
      <c r="J116" s="175"/>
      <c r="K116" s="180"/>
      <c r="L116" s="175"/>
      <c r="M116" s="175"/>
      <c r="N116" s="175"/>
      <c r="O116" s="178"/>
      <c r="P116" s="196"/>
      <c r="Q116" s="195"/>
      <c r="R116" s="169"/>
      <c r="S116" s="196"/>
      <c r="T116" s="195"/>
      <c r="U116" s="169"/>
      <c r="V116" s="175"/>
      <c r="W116" s="175"/>
      <c r="X116" s="175"/>
      <c r="Y116" s="182"/>
      <c r="Z116" s="188"/>
      <c r="AA116" s="182"/>
      <c r="AB116" s="175"/>
      <c r="AC116" s="175"/>
      <c r="AD116" s="175"/>
      <c r="AE116" s="182"/>
      <c r="AF116" s="302"/>
      <c r="AG116" s="301"/>
      <c r="AH116" s="180"/>
      <c r="AI116" s="175"/>
      <c r="AJ116" s="175"/>
      <c r="AK116" s="182"/>
      <c r="AL116" s="175"/>
      <c r="AM116" s="181"/>
      <c r="AN116" s="295"/>
      <c r="AO116" s="200"/>
      <c r="AP116" s="344"/>
    </row>
    <row r="117" spans="2:42" s="190" customFormat="1" x14ac:dyDescent="0.35">
      <c r="B117" s="175"/>
      <c r="C117" s="19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8"/>
      <c r="P117" s="196"/>
      <c r="Q117" s="195"/>
      <c r="R117" s="169"/>
      <c r="S117" s="196"/>
      <c r="T117" s="195"/>
      <c r="U117" s="169"/>
      <c r="V117" s="175"/>
      <c r="W117" s="175"/>
      <c r="X117" s="175"/>
      <c r="Y117" s="182"/>
      <c r="Z117" s="188"/>
      <c r="AA117" s="182"/>
      <c r="AB117" s="175"/>
      <c r="AC117" s="175"/>
      <c r="AD117" s="175"/>
      <c r="AE117" s="182"/>
      <c r="AF117" s="302"/>
      <c r="AG117" s="301"/>
      <c r="AH117" s="175"/>
      <c r="AI117" s="175"/>
      <c r="AJ117" s="175"/>
      <c r="AK117" s="182"/>
      <c r="AL117" s="175"/>
      <c r="AM117" s="181"/>
      <c r="AN117" s="295"/>
      <c r="AO117" s="200"/>
      <c r="AP117" s="344"/>
    </row>
    <row r="118" spans="2:42" s="190" customFormat="1" x14ac:dyDescent="0.35">
      <c r="B118" s="175"/>
      <c r="C118" s="19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8"/>
      <c r="P118" s="196"/>
      <c r="Q118" s="195"/>
      <c r="R118" s="169"/>
      <c r="S118" s="196"/>
      <c r="T118" s="195"/>
      <c r="U118" s="169"/>
      <c r="V118" s="175"/>
      <c r="W118" s="175"/>
      <c r="X118" s="175"/>
      <c r="Y118" s="182"/>
      <c r="Z118" s="188"/>
      <c r="AA118" s="182"/>
      <c r="AB118" s="175"/>
      <c r="AC118" s="175"/>
      <c r="AD118" s="175"/>
      <c r="AE118" s="182"/>
      <c r="AF118" s="302"/>
      <c r="AG118" s="301"/>
      <c r="AH118" s="175"/>
      <c r="AI118" s="175"/>
      <c r="AJ118" s="175"/>
      <c r="AK118" s="182"/>
      <c r="AL118" s="175"/>
      <c r="AM118" s="181"/>
      <c r="AN118" s="295"/>
      <c r="AO118" s="200"/>
      <c r="AP118" s="344"/>
    </row>
    <row r="119" spans="2:42" s="190" customFormat="1" x14ac:dyDescent="0.35">
      <c r="B119" s="175"/>
      <c r="C119" s="19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8"/>
      <c r="P119" s="196"/>
      <c r="Q119" s="195"/>
      <c r="R119" s="169"/>
      <c r="S119" s="196"/>
      <c r="T119" s="195"/>
      <c r="U119" s="169"/>
      <c r="V119" s="175"/>
      <c r="W119" s="175"/>
      <c r="X119" s="175"/>
      <c r="Y119" s="182"/>
      <c r="Z119" s="188"/>
      <c r="AA119" s="182"/>
      <c r="AB119" s="175"/>
      <c r="AC119" s="175"/>
      <c r="AD119" s="175"/>
      <c r="AE119" s="182"/>
      <c r="AF119" s="302"/>
      <c r="AG119" s="301"/>
      <c r="AH119" s="175"/>
      <c r="AI119" s="175"/>
      <c r="AJ119" s="175"/>
      <c r="AK119" s="182"/>
      <c r="AL119" s="175"/>
      <c r="AM119" s="181"/>
      <c r="AN119" s="295"/>
      <c r="AO119" s="200"/>
      <c r="AP119" s="344"/>
    </row>
    <row r="120" spans="2:42" s="190" customFormat="1" x14ac:dyDescent="0.35">
      <c r="B120" s="175"/>
      <c r="C120" s="19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8"/>
      <c r="P120" s="196"/>
      <c r="Q120" s="195"/>
      <c r="R120" s="169"/>
      <c r="S120" s="196"/>
      <c r="T120" s="195"/>
      <c r="U120" s="169"/>
      <c r="V120" s="175"/>
      <c r="W120" s="175"/>
      <c r="X120" s="175"/>
      <c r="Y120" s="182"/>
      <c r="Z120" s="188"/>
      <c r="AA120" s="182"/>
      <c r="AB120" s="180"/>
      <c r="AC120" s="175"/>
      <c r="AD120" s="175"/>
      <c r="AE120" s="182"/>
      <c r="AF120" s="302"/>
      <c r="AG120" s="301"/>
      <c r="AH120" s="175"/>
      <c r="AI120" s="175"/>
      <c r="AJ120" s="175"/>
      <c r="AK120" s="182"/>
      <c r="AL120" s="175"/>
      <c r="AM120" s="181"/>
      <c r="AN120" s="295"/>
      <c r="AO120" s="200"/>
      <c r="AP120" s="344"/>
    </row>
    <row r="121" spans="2:42" s="190" customFormat="1" x14ac:dyDescent="0.35">
      <c r="B121" s="175"/>
      <c r="C121" s="19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8"/>
      <c r="P121" s="196"/>
      <c r="Q121" s="195"/>
      <c r="R121" s="169"/>
      <c r="S121" s="196"/>
      <c r="T121" s="195"/>
      <c r="U121" s="169"/>
      <c r="V121" s="175"/>
      <c r="W121" s="175"/>
      <c r="X121" s="175"/>
      <c r="Y121" s="182"/>
      <c r="Z121" s="188"/>
      <c r="AA121" s="182"/>
      <c r="AB121" s="175"/>
      <c r="AC121" s="175"/>
      <c r="AD121" s="175"/>
      <c r="AE121" s="182"/>
      <c r="AF121" s="302"/>
      <c r="AG121" s="301"/>
      <c r="AH121" s="175"/>
      <c r="AI121" s="175"/>
      <c r="AJ121" s="175"/>
      <c r="AK121" s="182"/>
      <c r="AL121" s="175"/>
      <c r="AM121" s="181"/>
      <c r="AN121" s="295"/>
      <c r="AO121" s="200"/>
      <c r="AP121" s="344"/>
    </row>
    <row r="122" spans="2:42" s="190" customFormat="1" x14ac:dyDescent="0.35">
      <c r="B122" s="175"/>
      <c r="C122" s="19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8"/>
      <c r="P122" s="196"/>
      <c r="Q122" s="195"/>
      <c r="R122" s="169"/>
      <c r="S122" s="196"/>
      <c r="T122" s="195"/>
      <c r="U122" s="169"/>
      <c r="V122" s="175"/>
      <c r="W122" s="175"/>
      <c r="X122" s="175"/>
      <c r="Y122" s="182"/>
      <c r="Z122" s="188"/>
      <c r="AA122" s="182"/>
      <c r="AB122" s="175"/>
      <c r="AC122" s="175"/>
      <c r="AD122" s="175"/>
      <c r="AE122" s="182"/>
      <c r="AF122" s="302"/>
      <c r="AG122" s="301"/>
      <c r="AH122" s="180"/>
      <c r="AI122" s="175"/>
      <c r="AJ122" s="175"/>
      <c r="AK122" s="182"/>
      <c r="AL122" s="175"/>
      <c r="AM122" s="181"/>
      <c r="AN122" s="295"/>
      <c r="AO122" s="200"/>
      <c r="AP122" s="344"/>
    </row>
    <row r="123" spans="2:42" s="190" customFormat="1" x14ac:dyDescent="0.35">
      <c r="B123" s="175"/>
      <c r="C123" s="19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8"/>
      <c r="P123" s="196"/>
      <c r="Q123" s="195"/>
      <c r="R123" s="169"/>
      <c r="S123" s="196"/>
      <c r="T123" s="195"/>
      <c r="U123" s="169"/>
      <c r="V123" s="175"/>
      <c r="W123" s="175"/>
      <c r="X123" s="175"/>
      <c r="Y123" s="182"/>
      <c r="Z123" s="188"/>
      <c r="AA123" s="182"/>
      <c r="AB123" s="175"/>
      <c r="AC123" s="175"/>
      <c r="AD123" s="175"/>
      <c r="AE123" s="182"/>
      <c r="AF123" s="302"/>
      <c r="AG123" s="301"/>
      <c r="AH123" s="175"/>
      <c r="AI123" s="175"/>
      <c r="AJ123" s="175"/>
      <c r="AK123" s="182"/>
      <c r="AL123" s="175"/>
      <c r="AM123" s="181"/>
      <c r="AN123" s="295"/>
      <c r="AO123" s="200"/>
      <c r="AP123" s="344"/>
    </row>
    <row r="124" spans="2:42" s="190" customFormat="1" x14ac:dyDescent="0.35"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8"/>
      <c r="P124" s="196"/>
      <c r="Q124" s="195"/>
      <c r="R124" s="169"/>
      <c r="S124" s="196"/>
      <c r="T124" s="195"/>
      <c r="U124" s="169"/>
      <c r="V124" s="175"/>
      <c r="W124" s="180"/>
      <c r="X124" s="175"/>
      <c r="Y124" s="182"/>
      <c r="Z124" s="188"/>
      <c r="AA124" s="182"/>
      <c r="AB124" s="175"/>
      <c r="AC124" s="175"/>
      <c r="AD124" s="175"/>
      <c r="AE124" s="175"/>
      <c r="AF124" s="302"/>
      <c r="AG124" s="301"/>
      <c r="AH124" s="175"/>
      <c r="AI124" s="175"/>
      <c r="AJ124" s="175"/>
      <c r="AK124" s="182"/>
      <c r="AL124" s="175"/>
      <c r="AM124" s="181"/>
      <c r="AN124" s="295"/>
      <c r="AO124" s="200"/>
      <c r="AP124" s="344"/>
    </row>
    <row r="125" spans="2:42" s="190" customFormat="1" x14ac:dyDescent="0.35"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8"/>
      <c r="P125" s="196"/>
      <c r="Q125" s="195"/>
      <c r="R125" s="169"/>
      <c r="S125" s="196"/>
      <c r="T125" s="195"/>
      <c r="U125" s="169"/>
      <c r="V125" s="175"/>
      <c r="W125" s="175"/>
      <c r="X125" s="175"/>
      <c r="Y125" s="182"/>
      <c r="Z125" s="175"/>
      <c r="AA125" s="175"/>
      <c r="AB125" s="175"/>
      <c r="AC125" s="175"/>
      <c r="AD125" s="175"/>
      <c r="AE125" s="175"/>
      <c r="AF125" s="302"/>
      <c r="AG125" s="301"/>
      <c r="AH125" s="175"/>
      <c r="AI125" s="175"/>
      <c r="AJ125" s="175"/>
      <c r="AK125" s="175"/>
      <c r="AL125" s="175"/>
      <c r="AM125" s="181"/>
      <c r="AN125" s="296"/>
      <c r="AO125" s="200"/>
      <c r="AP125" s="344"/>
    </row>
    <row r="126" spans="2:42" s="190" customFormat="1" x14ac:dyDescent="0.35">
      <c r="B126" s="175"/>
      <c r="C126" s="175"/>
      <c r="D126" s="175"/>
      <c r="E126" s="175"/>
      <c r="F126" s="175"/>
      <c r="G126" s="175"/>
      <c r="H126" s="175"/>
      <c r="I126" s="175"/>
      <c r="J126" s="175"/>
      <c r="K126" s="180"/>
      <c r="L126" s="175"/>
      <c r="M126" s="175"/>
      <c r="N126" s="175"/>
      <c r="O126" s="178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302"/>
      <c r="AG126" s="301"/>
      <c r="AH126" s="175"/>
      <c r="AI126" s="175"/>
      <c r="AJ126" s="175"/>
      <c r="AK126" s="175"/>
      <c r="AL126" s="175"/>
      <c r="AM126" s="181"/>
      <c r="AN126" s="296"/>
      <c r="AO126" s="200"/>
      <c r="AP126" s="344"/>
    </row>
    <row r="127" spans="2:42" s="190" customFormat="1" x14ac:dyDescent="0.35"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8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302"/>
      <c r="AG127" s="301"/>
      <c r="AH127" s="175"/>
      <c r="AI127" s="175"/>
      <c r="AJ127" s="175"/>
      <c r="AK127" s="175"/>
      <c r="AL127" s="175"/>
      <c r="AM127" s="181"/>
      <c r="AN127" s="296"/>
      <c r="AO127" s="200"/>
      <c r="AP127" s="344"/>
    </row>
    <row r="128" spans="2:42" s="190" customFormat="1" x14ac:dyDescent="0.35"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8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302"/>
      <c r="AG128" s="301"/>
      <c r="AH128" s="175"/>
      <c r="AI128" s="175"/>
      <c r="AJ128" s="175"/>
      <c r="AK128" s="175"/>
      <c r="AL128" s="175"/>
      <c r="AM128" s="181"/>
      <c r="AN128" s="296"/>
      <c r="AO128" s="200"/>
      <c r="AP128" s="344"/>
    </row>
    <row r="129" spans="2:42" s="190" customFormat="1" x14ac:dyDescent="0.35"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8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302"/>
      <c r="AG129" s="301"/>
      <c r="AH129" s="175"/>
      <c r="AI129" s="175"/>
      <c r="AJ129" s="175"/>
      <c r="AK129" s="175"/>
      <c r="AL129" s="175"/>
      <c r="AM129" s="181"/>
      <c r="AN129" s="296"/>
      <c r="AO129" s="200"/>
      <c r="AP129" s="344"/>
    </row>
    <row r="130" spans="2:42" s="190" customFormat="1" x14ac:dyDescent="0.35"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8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302"/>
      <c r="AG130" s="301"/>
      <c r="AH130" s="175"/>
      <c r="AI130" s="175"/>
      <c r="AJ130" s="175"/>
      <c r="AK130" s="175"/>
      <c r="AL130" s="175"/>
      <c r="AM130" s="181"/>
      <c r="AN130" s="296"/>
      <c r="AO130" s="200"/>
      <c r="AP130" s="344"/>
    </row>
    <row r="131" spans="2:42" s="190" customFormat="1" x14ac:dyDescent="0.35"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8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302"/>
      <c r="AG131" s="301"/>
      <c r="AH131" s="175"/>
      <c r="AI131" s="175"/>
      <c r="AJ131" s="175"/>
      <c r="AK131" s="175"/>
      <c r="AL131" s="175"/>
      <c r="AM131" s="181"/>
      <c r="AN131" s="296"/>
      <c r="AO131" s="200"/>
      <c r="AP131" s="344"/>
    </row>
    <row r="132" spans="2:42" s="190" customFormat="1" x14ac:dyDescent="0.35"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8"/>
      <c r="P132" s="175"/>
      <c r="Q132" s="175"/>
      <c r="R132" s="175"/>
      <c r="S132" s="175"/>
      <c r="T132" s="175"/>
      <c r="U132" s="175"/>
      <c r="V132" s="175"/>
      <c r="W132" s="175"/>
      <c r="X132" s="175"/>
      <c r="Y132" s="182"/>
      <c r="Z132" s="188"/>
      <c r="AA132" s="182"/>
      <c r="AB132" s="175"/>
      <c r="AC132" s="175"/>
      <c r="AD132" s="175"/>
      <c r="AE132" s="182"/>
      <c r="AF132" s="302"/>
      <c r="AG132" s="301"/>
      <c r="AH132" s="175"/>
      <c r="AI132" s="175"/>
      <c r="AJ132" s="175"/>
      <c r="AK132" s="182"/>
      <c r="AL132" s="175"/>
      <c r="AM132" s="181"/>
      <c r="AN132" s="295"/>
      <c r="AO132" s="200"/>
      <c r="AP132" s="344"/>
    </row>
    <row r="133" spans="2:42" s="190" customFormat="1" x14ac:dyDescent="0.35">
      <c r="B133" s="175"/>
      <c r="C133" s="175"/>
      <c r="D133" s="175"/>
      <c r="E133" s="175"/>
      <c r="F133" s="175"/>
      <c r="G133" s="175"/>
      <c r="H133" s="175"/>
      <c r="I133" s="175"/>
      <c r="J133" s="175"/>
      <c r="K133" s="180"/>
      <c r="L133" s="175"/>
      <c r="M133" s="175"/>
      <c r="N133" s="175"/>
      <c r="O133" s="178"/>
      <c r="P133" s="175"/>
      <c r="Q133" s="175"/>
      <c r="R133" s="175"/>
      <c r="S133" s="175"/>
      <c r="T133" s="175"/>
      <c r="U133" s="175"/>
      <c r="V133" s="175"/>
      <c r="W133" s="175"/>
      <c r="X133" s="175"/>
      <c r="Y133" s="182"/>
      <c r="Z133" s="188"/>
      <c r="AA133" s="182"/>
      <c r="AB133" s="175"/>
      <c r="AC133" s="175"/>
      <c r="AD133" s="175"/>
      <c r="AE133" s="182"/>
      <c r="AF133" s="302"/>
      <c r="AG133" s="301"/>
      <c r="AH133" s="175"/>
      <c r="AI133" s="175"/>
      <c r="AJ133" s="175"/>
      <c r="AK133" s="182"/>
      <c r="AL133" s="175"/>
      <c r="AM133" s="181"/>
      <c r="AN133" s="295"/>
      <c r="AO133" s="338"/>
      <c r="AP133" s="344"/>
    </row>
    <row r="134" spans="2:42" s="190" customFormat="1" ht="14.25" x14ac:dyDescent="0.45"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8"/>
      <c r="P134" s="175"/>
      <c r="Q134" s="175"/>
      <c r="R134" s="175"/>
      <c r="S134" s="175"/>
      <c r="T134" s="175"/>
      <c r="U134" s="175"/>
      <c r="V134" s="175"/>
      <c r="W134" s="175"/>
      <c r="X134" s="175"/>
      <c r="Y134" s="182"/>
      <c r="Z134" s="188"/>
      <c r="AA134" s="182"/>
      <c r="AB134" s="175"/>
      <c r="AC134" s="175"/>
      <c r="AD134" s="175"/>
      <c r="AE134" s="182"/>
      <c r="AF134" s="302"/>
      <c r="AG134" s="301"/>
      <c r="AH134" s="180"/>
      <c r="AI134" s="175"/>
      <c r="AJ134" s="175"/>
      <c r="AK134" s="182"/>
      <c r="AL134" s="175"/>
      <c r="AM134" s="181"/>
      <c r="AN134" s="295"/>
      <c r="AO134" s="341"/>
      <c r="AP134" s="344"/>
    </row>
    <row r="135" spans="2:42" s="190" customFormat="1" ht="14.25" x14ac:dyDescent="0.45"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8"/>
      <c r="P135" s="175"/>
      <c r="Q135" s="175"/>
      <c r="R135" s="175"/>
      <c r="S135" s="175"/>
      <c r="T135" s="175"/>
      <c r="U135" s="175"/>
      <c r="V135" s="175"/>
      <c r="W135" s="175"/>
      <c r="X135" s="175"/>
      <c r="Y135" s="182"/>
      <c r="Z135" s="188"/>
      <c r="AA135" s="182"/>
      <c r="AB135" s="180"/>
      <c r="AC135" s="175"/>
      <c r="AD135" s="175"/>
      <c r="AE135" s="182"/>
      <c r="AF135" s="302"/>
      <c r="AG135" s="301"/>
      <c r="AH135" s="175"/>
      <c r="AI135" s="175"/>
      <c r="AJ135" s="175"/>
      <c r="AK135" s="182"/>
      <c r="AL135" s="175"/>
      <c r="AM135" s="181"/>
      <c r="AN135" s="295"/>
      <c r="AO135" s="341"/>
      <c r="AP135" s="344"/>
    </row>
    <row r="136" spans="2:42" s="190" customFormat="1" ht="14.25" x14ac:dyDescent="0.45">
      <c r="B136" s="175"/>
      <c r="C136" s="191"/>
      <c r="D136" s="175"/>
      <c r="E136" s="175"/>
      <c r="F136" s="175"/>
      <c r="G136" s="175"/>
      <c r="H136" s="175"/>
      <c r="I136" s="175"/>
      <c r="J136" s="193"/>
      <c r="K136" s="191"/>
      <c r="L136" s="191"/>
      <c r="M136" s="191"/>
      <c r="N136" s="191"/>
      <c r="O136" s="178"/>
      <c r="P136" s="175"/>
      <c r="Q136" s="175"/>
      <c r="R136" s="175"/>
      <c r="S136" s="175"/>
      <c r="T136" s="175"/>
      <c r="U136" s="175"/>
      <c r="V136" s="191"/>
      <c r="W136" s="191"/>
      <c r="X136" s="191"/>
      <c r="Y136" s="182"/>
      <c r="Z136" s="188"/>
      <c r="AA136" s="182"/>
      <c r="AB136" s="193"/>
      <c r="AC136" s="191"/>
      <c r="AD136" s="191"/>
      <c r="AE136" s="193"/>
      <c r="AF136" s="302"/>
      <c r="AG136" s="301"/>
      <c r="AH136" s="191"/>
      <c r="AI136" s="191"/>
      <c r="AJ136" s="191"/>
      <c r="AK136" s="182"/>
      <c r="AL136" s="175"/>
      <c r="AM136" s="181"/>
      <c r="AN136" s="295"/>
      <c r="AO136" s="341"/>
      <c r="AP136" s="344"/>
    </row>
    <row r="137" spans="2:42" s="190" customFormat="1" ht="14.25" x14ac:dyDescent="0.45"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8"/>
      <c r="P137" s="175"/>
      <c r="Q137" s="175"/>
      <c r="R137" s="175"/>
      <c r="S137" s="175"/>
      <c r="T137" s="175"/>
      <c r="U137" s="175"/>
      <c r="V137" s="175"/>
      <c r="W137" s="180"/>
      <c r="X137" s="175"/>
      <c r="Y137" s="182"/>
      <c r="Z137" s="188"/>
      <c r="AA137" s="182"/>
      <c r="AB137" s="175"/>
      <c r="AC137" s="175"/>
      <c r="AD137" s="175"/>
      <c r="AE137" s="182"/>
      <c r="AF137" s="302"/>
      <c r="AG137" s="301"/>
      <c r="AH137" s="175"/>
      <c r="AI137" s="175"/>
      <c r="AJ137" s="175"/>
      <c r="AK137" s="182"/>
      <c r="AL137" s="175"/>
      <c r="AM137" s="181"/>
      <c r="AN137" s="295"/>
      <c r="AO137" s="342"/>
      <c r="AP137" s="344"/>
    </row>
    <row r="138" spans="2:42" s="190" customFormat="1" ht="14.25" x14ac:dyDescent="0.45"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8"/>
      <c r="P138" s="175"/>
      <c r="Q138" s="175"/>
      <c r="R138" s="175"/>
      <c r="S138" s="175"/>
      <c r="T138" s="175"/>
      <c r="U138" s="175"/>
      <c r="V138" s="175"/>
      <c r="W138" s="180"/>
      <c r="X138" s="175"/>
      <c r="Y138" s="182"/>
      <c r="Z138" s="188"/>
      <c r="AA138" s="182"/>
      <c r="AB138" s="175"/>
      <c r="AC138" s="175"/>
      <c r="AD138" s="175"/>
      <c r="AE138" s="182"/>
      <c r="AF138" s="302"/>
      <c r="AG138" s="301"/>
      <c r="AH138" s="175"/>
      <c r="AI138" s="175"/>
      <c r="AJ138" s="175"/>
      <c r="AK138" s="182"/>
      <c r="AL138" s="175"/>
      <c r="AM138" s="181"/>
      <c r="AN138" s="295"/>
      <c r="AO138" s="341"/>
      <c r="AP138" s="344"/>
    </row>
    <row r="139" spans="2:42" s="190" customFormat="1" ht="14.25" x14ac:dyDescent="0.45">
      <c r="B139" s="175"/>
      <c r="C139" s="197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8"/>
      <c r="P139" s="175"/>
      <c r="Q139" s="175"/>
      <c r="R139" s="175"/>
      <c r="S139" s="175"/>
      <c r="T139" s="175"/>
      <c r="U139" s="175"/>
      <c r="V139" s="180"/>
      <c r="W139" s="175"/>
      <c r="X139" s="175"/>
      <c r="Y139" s="182"/>
      <c r="Z139" s="188"/>
      <c r="AA139" s="182"/>
      <c r="AB139" s="180"/>
      <c r="AC139" s="180"/>
      <c r="AD139" s="175"/>
      <c r="AE139" s="182"/>
      <c r="AF139" s="302"/>
      <c r="AG139" s="301"/>
      <c r="AH139" s="180"/>
      <c r="AI139" s="175"/>
      <c r="AJ139" s="175"/>
      <c r="AK139" s="182"/>
      <c r="AL139" s="175"/>
      <c r="AM139" s="181"/>
      <c r="AN139" s="295"/>
      <c r="AO139" s="341"/>
      <c r="AP139" s="344"/>
    </row>
    <row r="140" spans="2:42" s="190" customFormat="1" ht="14.25" x14ac:dyDescent="0.45"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8"/>
      <c r="P140" s="175"/>
      <c r="Q140" s="175"/>
      <c r="R140" s="175"/>
      <c r="S140" s="175"/>
      <c r="T140" s="175"/>
      <c r="U140" s="175"/>
      <c r="V140" s="175"/>
      <c r="W140" s="175"/>
      <c r="X140" s="175"/>
      <c r="Y140" s="182"/>
      <c r="Z140" s="188"/>
      <c r="AA140" s="182"/>
      <c r="AB140" s="175"/>
      <c r="AC140" s="175"/>
      <c r="AD140" s="175"/>
      <c r="AE140" s="182"/>
      <c r="AF140" s="302"/>
      <c r="AG140" s="301"/>
      <c r="AH140" s="175"/>
      <c r="AI140" s="175"/>
      <c r="AJ140" s="175"/>
      <c r="AK140" s="182"/>
      <c r="AL140" s="175"/>
      <c r="AM140" s="181"/>
      <c r="AN140" s="295"/>
      <c r="AO140" s="341"/>
      <c r="AP140" s="344"/>
    </row>
    <row r="141" spans="2:42" s="190" customFormat="1" ht="14.25" x14ac:dyDescent="0.45">
      <c r="B141" s="175"/>
      <c r="C141" s="175"/>
      <c r="D141" s="175"/>
      <c r="E141" s="198"/>
      <c r="F141" s="175"/>
      <c r="G141" s="175"/>
      <c r="H141" s="175"/>
      <c r="I141" s="175"/>
      <c r="J141" s="175"/>
      <c r="K141" s="175"/>
      <c r="L141" s="175"/>
      <c r="M141" s="175"/>
      <c r="N141" s="175"/>
      <c r="O141" s="178"/>
      <c r="P141" s="175"/>
      <c r="Q141" s="175"/>
      <c r="R141" s="175"/>
      <c r="S141" s="175"/>
      <c r="T141" s="175"/>
      <c r="U141" s="175"/>
      <c r="V141" s="180"/>
      <c r="W141" s="175"/>
      <c r="X141" s="175"/>
      <c r="Y141" s="182"/>
      <c r="Z141" s="188"/>
      <c r="AA141" s="182"/>
      <c r="AB141" s="175"/>
      <c r="AC141" s="199"/>
      <c r="AD141" s="175"/>
      <c r="AE141" s="182"/>
      <c r="AF141" s="302"/>
      <c r="AG141" s="301"/>
      <c r="AH141" s="175"/>
      <c r="AI141" s="175"/>
      <c r="AJ141" s="175"/>
      <c r="AK141" s="182"/>
      <c r="AL141" s="175"/>
      <c r="AM141" s="181"/>
      <c r="AN141" s="295"/>
      <c r="AO141" s="341"/>
      <c r="AP141" s="344"/>
    </row>
    <row r="142" spans="2:42" s="190" customFormat="1" ht="14.25" x14ac:dyDescent="0.45"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8"/>
      <c r="P142" s="175"/>
      <c r="Q142" s="175"/>
      <c r="R142" s="175"/>
      <c r="S142" s="200"/>
      <c r="T142" s="200"/>
      <c r="U142" s="175"/>
      <c r="V142" s="175"/>
      <c r="W142" s="175"/>
      <c r="X142" s="175"/>
      <c r="Y142" s="182"/>
      <c r="Z142" s="188"/>
      <c r="AA142" s="182"/>
      <c r="AB142" s="180"/>
      <c r="AC142" s="175"/>
      <c r="AD142" s="175"/>
      <c r="AE142" s="182"/>
      <c r="AF142" s="302"/>
      <c r="AG142" s="301"/>
      <c r="AH142" s="175"/>
      <c r="AI142" s="175"/>
      <c r="AJ142" s="175"/>
      <c r="AK142" s="182"/>
      <c r="AL142" s="175"/>
      <c r="AM142" s="181"/>
      <c r="AN142" s="295"/>
      <c r="AO142" s="341"/>
      <c r="AP142" s="344"/>
    </row>
    <row r="143" spans="2:42" s="190" customFormat="1" ht="14.25" x14ac:dyDescent="0.45">
      <c r="B143" s="175"/>
      <c r="C143" s="175"/>
      <c r="D143" s="201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8"/>
      <c r="P143" s="175"/>
      <c r="Q143" s="175"/>
      <c r="R143" s="175"/>
      <c r="S143" s="200"/>
      <c r="T143" s="200"/>
      <c r="U143" s="175"/>
      <c r="V143" s="175"/>
      <c r="W143" s="175"/>
      <c r="X143" s="175"/>
      <c r="Y143" s="182"/>
      <c r="Z143" s="175"/>
      <c r="AA143" s="175"/>
      <c r="AB143" s="180"/>
      <c r="AC143" s="175"/>
      <c r="AD143" s="175"/>
      <c r="AE143" s="182"/>
      <c r="AF143" s="302"/>
      <c r="AG143" s="301"/>
      <c r="AH143" s="175"/>
      <c r="AI143" s="175"/>
      <c r="AJ143" s="175"/>
      <c r="AK143" s="182"/>
      <c r="AL143" s="175"/>
      <c r="AM143" s="181"/>
      <c r="AN143" s="296"/>
      <c r="AO143" s="342"/>
      <c r="AP143" s="344"/>
    </row>
    <row r="144" spans="2:42" s="190" customFormat="1" x14ac:dyDescent="0.35">
      <c r="B144" s="175"/>
      <c r="C144" s="200"/>
      <c r="D144" s="194"/>
      <c r="E144" s="175"/>
      <c r="F144" s="175"/>
      <c r="G144" s="175"/>
      <c r="H144" s="175"/>
      <c r="I144" s="175"/>
      <c r="J144" s="175"/>
      <c r="K144" s="180"/>
      <c r="L144" s="175"/>
      <c r="M144" s="175"/>
      <c r="N144" s="175"/>
      <c r="O144" s="178"/>
      <c r="P144" s="175"/>
      <c r="Q144" s="175"/>
      <c r="R144" s="175"/>
      <c r="S144" s="200"/>
      <c r="T144" s="200"/>
      <c r="U144" s="175"/>
      <c r="V144" s="175"/>
      <c r="W144" s="175"/>
      <c r="X144" s="175"/>
      <c r="Y144" s="182"/>
      <c r="Z144" s="188"/>
      <c r="AA144" s="182"/>
      <c r="AB144" s="175"/>
      <c r="AC144" s="175"/>
      <c r="AD144" s="175"/>
      <c r="AE144" s="182"/>
      <c r="AF144" s="302"/>
      <c r="AG144" s="301"/>
      <c r="AH144" s="175"/>
      <c r="AI144" s="175"/>
      <c r="AJ144" s="175"/>
      <c r="AK144" s="182"/>
      <c r="AL144" s="175"/>
      <c r="AM144" s="181"/>
      <c r="AN144" s="295"/>
      <c r="AO144" s="340"/>
      <c r="AP144" s="344"/>
    </row>
    <row r="145" spans="2:42" s="190" customFormat="1" x14ac:dyDescent="0.35">
      <c r="B145" s="175"/>
      <c r="C145" s="175"/>
      <c r="D145" s="194"/>
      <c r="E145" s="175"/>
      <c r="F145" s="175"/>
      <c r="G145" s="175"/>
      <c r="H145" s="175"/>
      <c r="I145" s="175"/>
      <c r="J145" s="175"/>
      <c r="K145" s="180"/>
      <c r="L145" s="175"/>
      <c r="M145" s="175"/>
      <c r="N145" s="175"/>
      <c r="O145" s="178"/>
      <c r="P145" s="175"/>
      <c r="Q145" s="175"/>
      <c r="R145" s="175"/>
      <c r="S145" s="200"/>
      <c r="T145" s="200"/>
      <c r="U145" s="175"/>
      <c r="V145" s="175"/>
      <c r="W145" s="175"/>
      <c r="X145" s="175"/>
      <c r="Y145" s="182"/>
      <c r="Z145" s="188"/>
      <c r="AA145" s="182"/>
      <c r="AB145" s="175"/>
      <c r="AC145" s="175"/>
      <c r="AD145" s="175"/>
      <c r="AE145" s="182"/>
      <c r="AF145" s="302"/>
      <c r="AG145" s="301"/>
      <c r="AH145" s="175"/>
      <c r="AI145" s="175"/>
      <c r="AJ145" s="175"/>
      <c r="AK145" s="182"/>
      <c r="AL145" s="175"/>
      <c r="AM145" s="181"/>
      <c r="AN145" s="295"/>
      <c r="AO145" s="200"/>
      <c r="AP145" s="344"/>
    </row>
    <row r="146" spans="2:42" s="190" customFormat="1" x14ac:dyDescent="0.35">
      <c r="B146" s="175"/>
      <c r="C146" s="175"/>
      <c r="D146" s="194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8"/>
      <c r="P146" s="175"/>
      <c r="Q146" s="175"/>
      <c r="R146" s="175"/>
      <c r="S146" s="200"/>
      <c r="T146" s="200"/>
      <c r="U146" s="175"/>
      <c r="V146" s="175"/>
      <c r="W146" s="175"/>
      <c r="X146" s="175"/>
      <c r="Y146" s="182"/>
      <c r="Z146" s="188"/>
      <c r="AA146" s="182"/>
      <c r="AB146" s="175"/>
      <c r="AC146" s="175"/>
      <c r="AD146" s="175"/>
      <c r="AE146" s="182"/>
      <c r="AF146" s="302"/>
      <c r="AG146" s="301"/>
      <c r="AH146" s="175"/>
      <c r="AI146" s="175"/>
      <c r="AJ146" s="175"/>
      <c r="AK146" s="182"/>
      <c r="AL146" s="175"/>
      <c r="AM146" s="181"/>
      <c r="AN146" s="295"/>
      <c r="AO146" s="200"/>
      <c r="AP146" s="344"/>
    </row>
    <row r="147" spans="2:42" s="190" customFormat="1" x14ac:dyDescent="0.35">
      <c r="B147" s="175"/>
      <c r="C147" s="175"/>
      <c r="D147" s="194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8"/>
      <c r="P147" s="175"/>
      <c r="Q147" s="175"/>
      <c r="R147" s="175"/>
      <c r="S147" s="200"/>
      <c r="T147" s="200"/>
      <c r="U147" s="175"/>
      <c r="V147" s="175"/>
      <c r="W147" s="175"/>
      <c r="X147" s="175"/>
      <c r="Y147" s="182"/>
      <c r="Z147" s="188"/>
      <c r="AA147" s="182"/>
      <c r="AB147" s="175"/>
      <c r="AC147" s="175"/>
      <c r="AD147" s="175"/>
      <c r="AE147" s="182"/>
      <c r="AF147" s="305"/>
      <c r="AG147" s="301"/>
      <c r="AH147" s="175"/>
      <c r="AI147" s="175"/>
      <c r="AJ147" s="175"/>
      <c r="AK147" s="182"/>
      <c r="AL147" s="175"/>
      <c r="AM147" s="181"/>
      <c r="AN147" s="295"/>
      <c r="AO147" s="200"/>
      <c r="AP147" s="344"/>
    </row>
    <row r="148" spans="2:42" s="190" customFormat="1" x14ac:dyDescent="0.35">
      <c r="B148" s="175"/>
      <c r="C148" s="175"/>
      <c r="D148" s="194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8"/>
      <c r="P148" s="175"/>
      <c r="Q148" s="175"/>
      <c r="R148" s="175"/>
      <c r="S148" s="200"/>
      <c r="T148" s="200"/>
      <c r="U148" s="175"/>
      <c r="V148" s="175"/>
      <c r="W148" s="175"/>
      <c r="X148" s="175"/>
      <c r="Y148" s="182"/>
      <c r="Z148" s="188"/>
      <c r="AA148" s="182"/>
      <c r="AB148" s="175"/>
      <c r="AC148" s="175"/>
      <c r="AD148" s="175"/>
      <c r="AE148" s="182"/>
      <c r="AF148" s="302"/>
      <c r="AG148" s="301"/>
      <c r="AH148" s="175"/>
      <c r="AI148" s="175"/>
      <c r="AJ148" s="175"/>
      <c r="AK148" s="182"/>
      <c r="AL148" s="175"/>
      <c r="AM148" s="181"/>
      <c r="AN148" s="295"/>
      <c r="AO148" s="200"/>
      <c r="AP148" s="344"/>
    </row>
    <row r="149" spans="2:42" s="190" customFormat="1" x14ac:dyDescent="0.35">
      <c r="B149" s="175"/>
      <c r="C149" s="175"/>
      <c r="D149" s="194"/>
      <c r="E149" s="175"/>
      <c r="F149" s="175"/>
      <c r="G149" s="175"/>
      <c r="H149" s="175"/>
      <c r="I149" s="175"/>
      <c r="J149" s="175"/>
      <c r="K149" s="180"/>
      <c r="L149" s="175"/>
      <c r="M149" s="175"/>
      <c r="N149" s="175"/>
      <c r="O149" s="178"/>
      <c r="P149" s="175"/>
      <c r="Q149" s="175"/>
      <c r="R149" s="175"/>
      <c r="S149" s="200"/>
      <c r="T149" s="200"/>
      <c r="U149" s="175"/>
      <c r="V149" s="175"/>
      <c r="W149" s="175"/>
      <c r="X149" s="175"/>
      <c r="Y149" s="182"/>
      <c r="Z149" s="188"/>
      <c r="AA149" s="182"/>
      <c r="AB149" s="180"/>
      <c r="AC149" s="175"/>
      <c r="AD149" s="175"/>
      <c r="AE149" s="182"/>
      <c r="AF149" s="302"/>
      <c r="AG149" s="301"/>
      <c r="AH149" s="175"/>
      <c r="AI149" s="175"/>
      <c r="AJ149" s="175"/>
      <c r="AK149" s="182"/>
      <c r="AL149" s="175"/>
      <c r="AM149" s="181"/>
      <c r="AN149" s="295"/>
      <c r="AO149" s="200"/>
      <c r="AP149" s="344"/>
    </row>
    <row r="150" spans="2:42" s="190" customFormat="1" x14ac:dyDescent="0.35"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8"/>
      <c r="P150" s="175"/>
      <c r="Q150" s="175"/>
      <c r="R150" s="175"/>
      <c r="S150" s="200"/>
      <c r="T150" s="200"/>
      <c r="U150" s="175"/>
      <c r="V150" s="175"/>
      <c r="W150" s="175"/>
      <c r="X150" s="175"/>
      <c r="Y150" s="182"/>
      <c r="Z150" s="188"/>
      <c r="AA150" s="182"/>
      <c r="AB150" s="180"/>
      <c r="AC150" s="175"/>
      <c r="AD150" s="175"/>
      <c r="AE150" s="182"/>
      <c r="AF150" s="302"/>
      <c r="AG150" s="301"/>
      <c r="AH150" s="175"/>
      <c r="AI150" s="175"/>
      <c r="AJ150" s="175"/>
      <c r="AK150" s="182"/>
      <c r="AL150" s="175"/>
      <c r="AM150" s="181"/>
      <c r="AN150" s="295"/>
      <c r="AO150" s="200"/>
      <c r="AP150" s="344"/>
    </row>
    <row r="151" spans="2:42" s="190" customFormat="1" x14ac:dyDescent="0.35"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200"/>
      <c r="T151" s="200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302"/>
      <c r="AG151" s="301"/>
      <c r="AH151" s="175"/>
      <c r="AI151" s="175"/>
      <c r="AJ151" s="175"/>
      <c r="AK151" s="175"/>
      <c r="AL151" s="175"/>
      <c r="AM151" s="181"/>
      <c r="AN151" s="295"/>
      <c r="AO151" s="200"/>
      <c r="AP151" s="344"/>
    </row>
    <row r="152" spans="2:42" s="190" customFormat="1" x14ac:dyDescent="0.35">
      <c r="B152" s="175"/>
      <c r="C152" s="175"/>
      <c r="D152" s="175"/>
      <c r="E152" s="175"/>
      <c r="F152" s="175"/>
      <c r="G152" s="175"/>
      <c r="H152" s="175"/>
      <c r="I152" s="175"/>
      <c r="J152" s="180"/>
      <c r="K152" s="175"/>
      <c r="L152" s="175"/>
      <c r="M152" s="175"/>
      <c r="N152" s="175"/>
      <c r="O152" s="175"/>
      <c r="P152" s="175"/>
      <c r="Q152" s="175"/>
      <c r="R152" s="175"/>
      <c r="S152" s="200"/>
      <c r="T152" s="200"/>
      <c r="U152" s="175"/>
      <c r="V152" s="175"/>
      <c r="W152" s="175"/>
      <c r="X152" s="175"/>
      <c r="Y152" s="182"/>
      <c r="Z152" s="188"/>
      <c r="AA152" s="182"/>
      <c r="AB152" s="175"/>
      <c r="AC152" s="175"/>
      <c r="AD152" s="175"/>
      <c r="AE152" s="182"/>
      <c r="AF152" s="302"/>
      <c r="AG152" s="301"/>
      <c r="AH152" s="175"/>
      <c r="AI152" s="175"/>
      <c r="AJ152" s="175"/>
      <c r="AK152" s="182"/>
      <c r="AL152" s="175"/>
      <c r="AM152" s="181"/>
      <c r="AN152" s="295"/>
      <c r="AO152" s="200"/>
      <c r="AP152" s="344"/>
    </row>
    <row r="153" spans="2:42" s="190" customFormat="1" x14ac:dyDescent="0.35"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200"/>
      <c r="T153" s="200"/>
      <c r="U153" s="175"/>
      <c r="V153" s="175"/>
      <c r="W153" s="175"/>
      <c r="X153" s="175"/>
      <c r="Y153" s="182"/>
      <c r="Z153" s="188"/>
      <c r="AA153" s="182"/>
      <c r="AB153" s="175"/>
      <c r="AC153" s="175"/>
      <c r="AD153" s="175"/>
      <c r="AE153" s="182"/>
      <c r="AF153" s="302"/>
      <c r="AG153" s="301"/>
      <c r="AH153" s="175"/>
      <c r="AI153" s="175"/>
      <c r="AJ153" s="175"/>
      <c r="AK153" s="182"/>
      <c r="AL153" s="175"/>
      <c r="AM153" s="181"/>
      <c r="AN153" s="295"/>
      <c r="AO153" s="200"/>
      <c r="AP153" s="344"/>
    </row>
    <row r="154" spans="2:42" s="190" customFormat="1" x14ac:dyDescent="0.35"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200"/>
      <c r="T154" s="200"/>
      <c r="U154" s="175"/>
      <c r="V154" s="175"/>
      <c r="W154" s="175"/>
      <c r="X154" s="175"/>
      <c r="Y154" s="182"/>
      <c r="Z154" s="188"/>
      <c r="AA154" s="182"/>
      <c r="AB154" s="175"/>
      <c r="AC154" s="175"/>
      <c r="AD154" s="175"/>
      <c r="AE154" s="182"/>
      <c r="AF154" s="302"/>
      <c r="AG154" s="301"/>
      <c r="AH154" s="175"/>
      <c r="AI154" s="175"/>
      <c r="AJ154" s="175"/>
      <c r="AK154" s="182"/>
      <c r="AL154" s="175"/>
      <c r="AM154" s="181"/>
      <c r="AN154" s="295"/>
      <c r="AO154" s="200"/>
      <c r="AP154" s="344"/>
    </row>
    <row r="155" spans="2:42" s="190" customFormat="1" x14ac:dyDescent="0.35"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200"/>
      <c r="T155" s="200"/>
      <c r="U155" s="175"/>
      <c r="V155" s="180"/>
      <c r="W155" s="175"/>
      <c r="X155" s="175"/>
      <c r="Y155" s="182"/>
      <c r="Z155" s="188"/>
      <c r="AA155" s="182"/>
      <c r="AB155" s="175"/>
      <c r="AC155" s="175"/>
      <c r="AD155" s="175"/>
      <c r="AE155" s="182"/>
      <c r="AF155" s="302"/>
      <c r="AG155" s="301"/>
      <c r="AH155" s="175"/>
      <c r="AI155" s="175"/>
      <c r="AJ155" s="175"/>
      <c r="AK155" s="182"/>
      <c r="AL155" s="175"/>
      <c r="AM155" s="181"/>
      <c r="AN155" s="295"/>
      <c r="AO155" s="200"/>
      <c r="AP155" s="344"/>
    </row>
    <row r="156" spans="2:42" s="190" customFormat="1" x14ac:dyDescent="0.35"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200"/>
      <c r="T156" s="200"/>
      <c r="U156" s="175"/>
      <c r="V156" s="175"/>
      <c r="W156" s="175"/>
      <c r="X156" s="175"/>
      <c r="Y156" s="182"/>
      <c r="Z156" s="188"/>
      <c r="AA156" s="182"/>
      <c r="AB156" s="175"/>
      <c r="AC156" s="175"/>
      <c r="AD156" s="175"/>
      <c r="AE156" s="182"/>
      <c r="AF156" s="302"/>
      <c r="AG156" s="301"/>
      <c r="AH156" s="180"/>
      <c r="AI156" s="175"/>
      <c r="AJ156" s="175"/>
      <c r="AK156" s="182"/>
      <c r="AL156" s="175"/>
      <c r="AM156" s="181"/>
      <c r="AN156" s="295"/>
      <c r="AO156" s="200"/>
      <c r="AP156" s="344"/>
    </row>
    <row r="157" spans="2:42" s="190" customFormat="1" x14ac:dyDescent="0.35"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200"/>
      <c r="T157" s="200"/>
      <c r="U157" s="175"/>
      <c r="V157" s="175"/>
      <c r="W157" s="175"/>
      <c r="X157" s="175"/>
      <c r="Y157" s="175"/>
      <c r="Z157" s="188"/>
      <c r="AA157" s="175"/>
      <c r="AB157" s="175"/>
      <c r="AC157" s="175"/>
      <c r="AD157" s="175"/>
      <c r="AE157" s="175"/>
      <c r="AF157" s="302"/>
      <c r="AG157" s="301"/>
      <c r="AH157" s="175"/>
      <c r="AI157" s="175"/>
      <c r="AJ157" s="175"/>
      <c r="AK157" s="175"/>
      <c r="AL157" s="175"/>
      <c r="AM157" s="181"/>
      <c r="AN157" s="295"/>
      <c r="AO157" s="200"/>
      <c r="AP157" s="344"/>
    </row>
    <row r="158" spans="2:42" s="190" customFormat="1" x14ac:dyDescent="0.35">
      <c r="B158" s="175"/>
      <c r="C158" s="175"/>
      <c r="D158" s="175"/>
      <c r="E158" s="175"/>
      <c r="F158" s="175"/>
      <c r="G158" s="175"/>
      <c r="H158" s="175"/>
      <c r="I158" s="175"/>
      <c r="J158" s="180"/>
      <c r="K158" s="175"/>
      <c r="L158" s="175"/>
      <c r="M158" s="175"/>
      <c r="N158" s="175"/>
      <c r="O158" s="175"/>
      <c r="P158" s="175"/>
      <c r="Q158" s="175"/>
      <c r="R158" s="175"/>
      <c r="S158" s="200"/>
      <c r="T158" s="200"/>
      <c r="U158" s="175"/>
      <c r="V158" s="175"/>
      <c r="W158" s="175"/>
      <c r="X158" s="175"/>
      <c r="Y158" s="182"/>
      <c r="Z158" s="188"/>
      <c r="AA158" s="182"/>
      <c r="AB158" s="175"/>
      <c r="AC158" s="175"/>
      <c r="AD158" s="175"/>
      <c r="AE158" s="182"/>
      <c r="AF158" s="302"/>
      <c r="AG158" s="301"/>
      <c r="AH158" s="175"/>
      <c r="AI158" s="175"/>
      <c r="AJ158" s="175"/>
      <c r="AK158" s="182"/>
      <c r="AL158" s="175"/>
      <c r="AM158" s="181"/>
      <c r="AN158" s="295"/>
      <c r="AO158" s="200"/>
      <c r="AP158" s="344"/>
    </row>
    <row r="159" spans="2:42" s="190" customFormat="1" x14ac:dyDescent="0.35">
      <c r="B159" s="175"/>
      <c r="C159" s="175"/>
      <c r="D159" s="175"/>
      <c r="E159" s="175"/>
      <c r="F159" s="175"/>
      <c r="G159" s="175"/>
      <c r="H159" s="175"/>
      <c r="I159" s="175"/>
      <c r="J159" s="180"/>
      <c r="K159" s="175"/>
      <c r="L159" s="175"/>
      <c r="M159" s="175"/>
      <c r="N159" s="175"/>
      <c r="O159" s="175"/>
      <c r="P159" s="175"/>
      <c r="Q159" s="175"/>
      <c r="R159" s="175"/>
      <c r="S159" s="200"/>
      <c r="T159" s="200"/>
      <c r="U159" s="175"/>
      <c r="V159" s="175"/>
      <c r="W159" s="175"/>
      <c r="X159" s="175"/>
      <c r="Y159" s="182"/>
      <c r="Z159" s="188"/>
      <c r="AA159" s="182"/>
      <c r="AB159" s="175"/>
      <c r="AC159" s="175"/>
      <c r="AD159" s="175"/>
      <c r="AE159" s="182"/>
      <c r="AF159" s="302"/>
      <c r="AG159" s="301"/>
      <c r="AH159" s="180"/>
      <c r="AI159" s="175"/>
      <c r="AJ159" s="175"/>
      <c r="AK159" s="182"/>
      <c r="AL159" s="175"/>
      <c r="AM159" s="181"/>
      <c r="AN159" s="295"/>
      <c r="AO159" s="200"/>
      <c r="AP159" s="344"/>
    </row>
    <row r="160" spans="2:42" s="190" customFormat="1" x14ac:dyDescent="0.35">
      <c r="B160" s="175"/>
      <c r="C160" s="175"/>
      <c r="D160" s="175"/>
      <c r="E160" s="175"/>
      <c r="F160" s="175"/>
      <c r="G160" s="175"/>
      <c r="H160" s="175"/>
      <c r="I160" s="175"/>
      <c r="J160" s="180"/>
      <c r="K160" s="175"/>
      <c r="L160" s="175"/>
      <c r="M160" s="175"/>
      <c r="N160" s="175"/>
      <c r="O160" s="175"/>
      <c r="P160" s="175"/>
      <c r="Q160" s="175"/>
      <c r="R160" s="175"/>
      <c r="S160" s="200"/>
      <c r="T160" s="200"/>
      <c r="U160" s="175"/>
      <c r="V160" s="175"/>
      <c r="W160" s="202"/>
      <c r="X160" s="175"/>
      <c r="Y160" s="182"/>
      <c r="Z160" s="188"/>
      <c r="AA160" s="182"/>
      <c r="AB160" s="175"/>
      <c r="AC160" s="175"/>
      <c r="AD160" s="175"/>
      <c r="AE160" s="182"/>
      <c r="AF160" s="302"/>
      <c r="AG160" s="301"/>
      <c r="AH160" s="175"/>
      <c r="AI160" s="175"/>
      <c r="AJ160" s="175"/>
      <c r="AK160" s="182"/>
      <c r="AL160" s="175"/>
      <c r="AM160" s="181"/>
      <c r="AN160" s="295"/>
      <c r="AO160" s="200"/>
      <c r="AP160" s="344"/>
    </row>
    <row r="161" spans="2:42" s="190" customFormat="1" x14ac:dyDescent="0.35">
      <c r="B161" s="175"/>
      <c r="C161" s="175"/>
      <c r="D161" s="175"/>
      <c r="E161" s="175"/>
      <c r="F161" s="175"/>
      <c r="G161" s="175"/>
      <c r="H161" s="175"/>
      <c r="I161" s="175"/>
      <c r="J161" s="180"/>
      <c r="K161" s="175"/>
      <c r="L161" s="175"/>
      <c r="M161" s="175"/>
      <c r="N161" s="175"/>
      <c r="O161" s="175"/>
      <c r="P161" s="175"/>
      <c r="Q161" s="175"/>
      <c r="R161" s="175"/>
      <c r="S161" s="200"/>
      <c r="T161" s="200"/>
      <c r="U161" s="175"/>
      <c r="V161" s="180"/>
      <c r="W161" s="175"/>
      <c r="X161" s="175"/>
      <c r="Y161" s="182"/>
      <c r="Z161" s="188"/>
      <c r="AA161" s="182"/>
      <c r="AB161" s="175"/>
      <c r="AC161" s="175"/>
      <c r="AD161" s="175"/>
      <c r="AE161" s="182"/>
      <c r="AF161" s="302"/>
      <c r="AG161" s="301"/>
      <c r="AH161" s="175"/>
      <c r="AI161" s="175"/>
      <c r="AJ161" s="175"/>
      <c r="AK161" s="182"/>
      <c r="AL161" s="175"/>
      <c r="AM161" s="181"/>
      <c r="AN161" s="295"/>
      <c r="AO161" s="200"/>
      <c r="AP161" s="344"/>
    </row>
    <row r="162" spans="2:42" s="190" customFormat="1" x14ac:dyDescent="0.35"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200"/>
      <c r="T162" s="200"/>
      <c r="U162" s="175"/>
      <c r="V162" s="175"/>
      <c r="W162" s="175"/>
      <c r="X162" s="175"/>
      <c r="Y162" s="182"/>
      <c r="Z162" s="188"/>
      <c r="AA162" s="182"/>
      <c r="AB162" s="175"/>
      <c r="AC162" s="175"/>
      <c r="AD162" s="175"/>
      <c r="AE162" s="182"/>
      <c r="AF162" s="302"/>
      <c r="AG162" s="301"/>
      <c r="AH162" s="175"/>
      <c r="AI162" s="175"/>
      <c r="AJ162" s="175"/>
      <c r="AK162" s="182"/>
      <c r="AL162" s="175"/>
      <c r="AM162" s="181"/>
      <c r="AN162" s="295"/>
      <c r="AO162" s="200"/>
      <c r="AP162" s="344"/>
    </row>
    <row r="163" spans="2:42" s="190" customFormat="1" x14ac:dyDescent="0.35">
      <c r="B163" s="175"/>
      <c r="C163" s="175"/>
      <c r="D163" s="175"/>
      <c r="E163" s="175"/>
      <c r="F163" s="175"/>
      <c r="G163" s="175"/>
      <c r="H163" s="175"/>
      <c r="I163" s="175"/>
      <c r="J163" s="203"/>
      <c r="K163" s="180"/>
      <c r="L163" s="175"/>
      <c r="M163" s="175"/>
      <c r="N163" s="175"/>
      <c r="O163" s="175"/>
      <c r="P163" s="175"/>
      <c r="Q163" s="175"/>
      <c r="R163" s="175"/>
      <c r="S163" s="200"/>
      <c r="T163" s="200"/>
      <c r="U163" s="175"/>
      <c r="V163" s="175"/>
      <c r="W163" s="175"/>
      <c r="X163" s="175"/>
      <c r="Y163" s="182"/>
      <c r="Z163" s="188"/>
      <c r="AA163" s="182"/>
      <c r="AB163" s="175"/>
      <c r="AC163" s="175"/>
      <c r="AD163" s="175"/>
      <c r="AE163" s="182"/>
      <c r="AF163" s="302"/>
      <c r="AG163" s="301"/>
      <c r="AH163" s="180"/>
      <c r="AI163" s="175"/>
      <c r="AJ163" s="175"/>
      <c r="AK163" s="182"/>
      <c r="AL163" s="175"/>
      <c r="AM163" s="181"/>
      <c r="AN163" s="295"/>
      <c r="AO163" s="200"/>
      <c r="AP163" s="344"/>
    </row>
    <row r="164" spans="2:42" s="190" customFormat="1" x14ac:dyDescent="0.35">
      <c r="B164" s="175"/>
      <c r="C164" s="175"/>
      <c r="D164" s="175"/>
      <c r="E164" s="175"/>
      <c r="F164" s="175"/>
      <c r="G164" s="175"/>
      <c r="H164" s="175"/>
      <c r="I164" s="175"/>
      <c r="K164" s="180"/>
      <c r="L164" s="175"/>
      <c r="M164" s="175"/>
      <c r="N164" s="175"/>
      <c r="O164" s="175"/>
      <c r="P164" s="175"/>
      <c r="Q164" s="175"/>
      <c r="R164" s="175"/>
      <c r="S164" s="200"/>
      <c r="T164" s="200"/>
      <c r="U164" s="175"/>
      <c r="V164" s="175"/>
      <c r="W164" s="175"/>
      <c r="X164" s="175"/>
      <c r="Y164" s="182"/>
      <c r="Z164" s="188"/>
      <c r="AA164" s="182"/>
      <c r="AB164" s="175"/>
      <c r="AC164" s="175"/>
      <c r="AD164" s="175"/>
      <c r="AE164" s="182"/>
      <c r="AF164" s="302"/>
      <c r="AG164" s="301"/>
      <c r="AH164" s="175"/>
      <c r="AI164" s="175"/>
      <c r="AJ164" s="175"/>
      <c r="AK164" s="182"/>
      <c r="AL164" s="175"/>
      <c r="AM164" s="181"/>
      <c r="AN164" s="295"/>
      <c r="AO164" s="200"/>
      <c r="AP164" s="344"/>
    </row>
    <row r="165" spans="2:42" s="190" customFormat="1" x14ac:dyDescent="0.35"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200"/>
      <c r="T165" s="200"/>
      <c r="U165" s="175"/>
      <c r="V165" s="175"/>
      <c r="W165" s="175"/>
      <c r="X165" s="175"/>
      <c r="Y165" s="182"/>
      <c r="Z165" s="188"/>
      <c r="AA165" s="182"/>
      <c r="AB165" s="175"/>
      <c r="AC165" s="175"/>
      <c r="AD165" s="175"/>
      <c r="AE165" s="182"/>
      <c r="AF165" s="302"/>
      <c r="AG165" s="301"/>
      <c r="AH165" s="175"/>
      <c r="AI165" s="175"/>
      <c r="AJ165" s="175"/>
      <c r="AK165" s="182"/>
      <c r="AL165" s="175"/>
      <c r="AM165" s="181"/>
      <c r="AN165" s="295"/>
      <c r="AO165" s="200"/>
      <c r="AP165" s="344"/>
    </row>
    <row r="166" spans="2:42" s="190" customFormat="1" x14ac:dyDescent="0.35"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200"/>
      <c r="T166" s="200"/>
      <c r="U166" s="175"/>
      <c r="V166" s="175"/>
      <c r="W166" s="175"/>
      <c r="X166" s="175"/>
      <c r="Y166" s="182"/>
      <c r="Z166" s="188"/>
      <c r="AA166" s="182"/>
      <c r="AB166" s="175"/>
      <c r="AC166" s="175"/>
      <c r="AD166" s="175"/>
      <c r="AE166" s="182"/>
      <c r="AF166" s="302"/>
      <c r="AG166" s="301"/>
      <c r="AH166" s="175"/>
      <c r="AI166" s="175"/>
      <c r="AJ166" s="175"/>
      <c r="AK166" s="182"/>
      <c r="AL166" s="175"/>
      <c r="AM166" s="181"/>
      <c r="AN166" s="295"/>
      <c r="AO166" s="200"/>
      <c r="AP166" s="344"/>
    </row>
    <row r="167" spans="2:42" s="190" customFormat="1" x14ac:dyDescent="0.35"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200"/>
      <c r="T167" s="200"/>
      <c r="U167" s="175"/>
      <c r="V167" s="175"/>
      <c r="W167" s="175"/>
      <c r="X167" s="175"/>
      <c r="Y167" s="182"/>
      <c r="Z167" s="188"/>
      <c r="AA167" s="182"/>
      <c r="AB167" s="175"/>
      <c r="AC167" s="175"/>
      <c r="AD167" s="175"/>
      <c r="AE167" s="182"/>
      <c r="AF167" s="302"/>
      <c r="AG167" s="301"/>
      <c r="AH167" s="175"/>
      <c r="AI167" s="175"/>
      <c r="AJ167" s="175"/>
      <c r="AK167" s="182"/>
      <c r="AL167" s="175"/>
      <c r="AM167" s="181"/>
      <c r="AN167" s="295"/>
      <c r="AO167" s="200"/>
      <c r="AP167" s="344"/>
    </row>
    <row r="168" spans="2:42" s="190" customFormat="1" x14ac:dyDescent="0.35">
      <c r="B168" s="175"/>
      <c r="C168" s="175"/>
      <c r="D168" s="175"/>
      <c r="E168" s="175"/>
      <c r="F168" s="175"/>
      <c r="G168" s="175"/>
      <c r="H168" s="175"/>
      <c r="I168" s="175"/>
      <c r="K168" s="180"/>
      <c r="L168" s="175"/>
      <c r="M168" s="175"/>
      <c r="N168" s="175"/>
      <c r="O168" s="175"/>
      <c r="P168" s="175"/>
      <c r="Q168" s="175"/>
      <c r="R168" s="175"/>
      <c r="S168" s="200"/>
      <c r="T168" s="200"/>
      <c r="U168" s="175"/>
      <c r="V168" s="175"/>
      <c r="W168" s="175"/>
      <c r="X168" s="175"/>
      <c r="Y168" s="182"/>
      <c r="Z168" s="188"/>
      <c r="AA168" s="182"/>
      <c r="AB168" s="175"/>
      <c r="AC168" s="175"/>
      <c r="AD168" s="175"/>
      <c r="AE168" s="182"/>
      <c r="AF168" s="302"/>
      <c r="AG168" s="301"/>
      <c r="AH168" s="175"/>
      <c r="AI168" s="175"/>
      <c r="AJ168" s="175"/>
      <c r="AK168" s="182"/>
      <c r="AL168" s="175"/>
      <c r="AM168" s="181"/>
      <c r="AN168" s="295"/>
      <c r="AO168" s="200"/>
      <c r="AP168" s="344"/>
    </row>
    <row r="169" spans="2:42" s="190" customFormat="1" x14ac:dyDescent="0.35"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200"/>
      <c r="T169" s="200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302"/>
      <c r="AG169" s="302"/>
      <c r="AH169" s="175"/>
      <c r="AI169" s="175"/>
      <c r="AJ169" s="175"/>
      <c r="AK169" s="175"/>
      <c r="AL169" s="175"/>
      <c r="AM169" s="181"/>
      <c r="AN169" s="296"/>
      <c r="AO169" s="200"/>
      <c r="AP169" s="344"/>
    </row>
    <row r="170" spans="2:42" s="190" customFormat="1" x14ac:dyDescent="0.35"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200"/>
      <c r="T170" s="200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302"/>
      <c r="AG170" s="302"/>
      <c r="AH170" s="175"/>
      <c r="AI170" s="175"/>
      <c r="AJ170" s="175"/>
      <c r="AK170" s="175"/>
      <c r="AL170" s="175"/>
      <c r="AM170" s="175"/>
      <c r="AN170" s="296"/>
      <c r="AO170" s="200"/>
      <c r="AP170" s="344"/>
    </row>
    <row r="171" spans="2:42" s="190" customFormat="1" x14ac:dyDescent="0.35"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200"/>
      <c r="T171" s="200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302"/>
      <c r="AG171" s="302"/>
      <c r="AH171" s="175"/>
      <c r="AI171" s="175"/>
      <c r="AJ171" s="175"/>
      <c r="AK171" s="175"/>
      <c r="AL171" s="175"/>
      <c r="AM171" s="175"/>
      <c r="AN171" s="296"/>
      <c r="AO171" s="200"/>
      <c r="AP171" s="344"/>
    </row>
    <row r="172" spans="2:42" s="190" customFormat="1" x14ac:dyDescent="0.35"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200"/>
      <c r="T172" s="200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302"/>
      <c r="AG172" s="302"/>
      <c r="AH172" s="175"/>
      <c r="AI172" s="175"/>
      <c r="AJ172" s="175"/>
      <c r="AK172" s="175"/>
      <c r="AL172" s="175"/>
      <c r="AM172" s="175"/>
      <c r="AN172" s="296"/>
      <c r="AO172" s="200"/>
      <c r="AP172" s="344"/>
    </row>
    <row r="173" spans="2:42" s="190" customFormat="1" x14ac:dyDescent="0.35"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200"/>
      <c r="T173" s="200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302"/>
      <c r="AG173" s="302"/>
      <c r="AH173" s="175"/>
      <c r="AI173" s="175"/>
      <c r="AJ173" s="175"/>
      <c r="AK173" s="175"/>
      <c r="AL173" s="175"/>
      <c r="AM173" s="175"/>
      <c r="AN173" s="296"/>
      <c r="AO173" s="200"/>
      <c r="AP173" s="344"/>
    </row>
    <row r="174" spans="2:42" s="190" customFormat="1" x14ac:dyDescent="0.35"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200"/>
      <c r="T174" s="200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302"/>
      <c r="AG174" s="302"/>
      <c r="AH174" s="175"/>
      <c r="AI174" s="175"/>
      <c r="AJ174" s="175"/>
      <c r="AK174" s="175"/>
      <c r="AL174" s="175"/>
      <c r="AM174" s="175"/>
      <c r="AN174" s="296"/>
      <c r="AO174" s="200"/>
      <c r="AP174" s="344"/>
    </row>
    <row r="175" spans="2:42" s="190" customFormat="1" x14ac:dyDescent="0.35"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200"/>
      <c r="T175" s="200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302"/>
      <c r="AG175" s="302"/>
      <c r="AH175" s="175"/>
      <c r="AI175" s="175"/>
      <c r="AJ175" s="175"/>
      <c r="AK175" s="175"/>
      <c r="AL175" s="175"/>
      <c r="AM175" s="175"/>
      <c r="AN175" s="296"/>
      <c r="AO175" s="200"/>
      <c r="AP175" s="344"/>
    </row>
    <row r="176" spans="2:42" s="190" customFormat="1" x14ac:dyDescent="0.35"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200"/>
      <c r="T176" s="200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302"/>
      <c r="AG176" s="302"/>
      <c r="AH176" s="175"/>
      <c r="AI176" s="175"/>
      <c r="AJ176" s="175"/>
      <c r="AK176" s="175"/>
      <c r="AL176" s="175"/>
      <c r="AM176" s="175"/>
      <c r="AN176" s="296"/>
      <c r="AO176" s="200"/>
      <c r="AP176" s="344"/>
    </row>
    <row r="177" spans="1:42" s="190" customFormat="1" x14ac:dyDescent="0.35"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200"/>
      <c r="T177" s="200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302"/>
      <c r="AG177" s="302"/>
      <c r="AH177" s="175"/>
      <c r="AI177" s="175"/>
      <c r="AJ177" s="175"/>
      <c r="AK177" s="175"/>
      <c r="AL177" s="175"/>
      <c r="AM177" s="175"/>
      <c r="AN177" s="296"/>
      <c r="AO177" s="200"/>
      <c r="AP177" s="344"/>
    </row>
    <row r="178" spans="1:42" s="190" customFormat="1" x14ac:dyDescent="0.35"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200"/>
      <c r="T178" s="200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302"/>
      <c r="AG178" s="302"/>
      <c r="AH178" s="175"/>
      <c r="AI178" s="175"/>
      <c r="AJ178" s="175"/>
      <c r="AK178" s="175"/>
      <c r="AL178" s="175"/>
      <c r="AM178" s="175"/>
      <c r="AN178" s="296"/>
      <c r="AO178" s="200"/>
      <c r="AP178" s="344"/>
    </row>
    <row r="179" spans="1:42" s="190" customFormat="1" x14ac:dyDescent="0.35"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200"/>
      <c r="T179" s="200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302"/>
      <c r="AG179" s="302"/>
      <c r="AH179" s="175"/>
      <c r="AI179" s="175"/>
      <c r="AJ179" s="175"/>
      <c r="AK179" s="175"/>
      <c r="AL179" s="175"/>
      <c r="AM179" s="175"/>
      <c r="AN179" s="296"/>
      <c r="AO179" s="200"/>
      <c r="AP179" s="344"/>
    </row>
    <row r="180" spans="1:42" s="190" customFormat="1" x14ac:dyDescent="0.35"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98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303"/>
      <c r="AG180" s="303"/>
      <c r="AH180" s="198"/>
      <c r="AI180" s="198"/>
      <c r="AJ180" s="198"/>
      <c r="AK180" s="198"/>
      <c r="AL180" s="198"/>
      <c r="AM180" s="198"/>
      <c r="AN180" s="297"/>
      <c r="AO180" s="198"/>
      <c r="AP180" s="344"/>
    </row>
    <row r="181" spans="1:42" s="190" customFormat="1" x14ac:dyDescent="0.35"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98"/>
      <c r="W181" s="198"/>
      <c r="X181" s="198"/>
      <c r="Y181" s="198"/>
      <c r="Z181" s="198"/>
      <c r="AA181" s="198"/>
      <c r="AB181" s="198"/>
      <c r="AC181" s="198"/>
      <c r="AD181" s="198"/>
      <c r="AE181" s="198"/>
      <c r="AF181" s="303"/>
      <c r="AG181" s="303"/>
      <c r="AH181" s="198"/>
      <c r="AI181" s="198"/>
      <c r="AJ181" s="198"/>
      <c r="AK181" s="198"/>
      <c r="AL181" s="198"/>
      <c r="AM181" s="198"/>
      <c r="AN181" s="297"/>
      <c r="AO181" s="198"/>
      <c r="AP181" s="344"/>
    </row>
    <row r="182" spans="1:42" s="190" customFormat="1" x14ac:dyDescent="0.35"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98"/>
      <c r="W182" s="198"/>
      <c r="X182" s="198"/>
      <c r="Y182" s="198"/>
      <c r="Z182" s="198"/>
      <c r="AA182" s="198"/>
      <c r="AB182" s="198"/>
      <c r="AC182" s="198"/>
      <c r="AD182" s="198"/>
      <c r="AE182" s="198"/>
      <c r="AF182" s="303"/>
      <c r="AG182" s="303"/>
      <c r="AH182" s="198"/>
      <c r="AI182" s="198"/>
      <c r="AJ182" s="198"/>
      <c r="AK182" s="198"/>
      <c r="AL182" s="198"/>
      <c r="AM182" s="198"/>
      <c r="AN182" s="297"/>
      <c r="AO182" s="198"/>
      <c r="AP182" s="344"/>
    </row>
    <row r="183" spans="1:42" s="190" customFormat="1" x14ac:dyDescent="0.35"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98"/>
      <c r="W183" s="198"/>
      <c r="X183" s="198"/>
      <c r="Y183" s="198"/>
      <c r="Z183" s="198"/>
      <c r="AA183" s="198"/>
      <c r="AB183" s="198"/>
      <c r="AC183" s="198"/>
      <c r="AD183" s="198"/>
      <c r="AE183" s="198"/>
      <c r="AF183" s="303"/>
      <c r="AG183" s="303"/>
      <c r="AH183" s="198"/>
      <c r="AI183" s="198"/>
      <c r="AJ183" s="198"/>
      <c r="AK183" s="198"/>
      <c r="AL183" s="198"/>
      <c r="AM183" s="198"/>
      <c r="AN183" s="297"/>
      <c r="AO183" s="198"/>
      <c r="AP183" s="344"/>
    </row>
    <row r="184" spans="1:42" s="190" customFormat="1" x14ac:dyDescent="0.35"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303"/>
      <c r="AG184" s="303"/>
      <c r="AH184" s="198"/>
      <c r="AI184" s="198"/>
      <c r="AJ184" s="198"/>
      <c r="AK184" s="198"/>
      <c r="AL184" s="198"/>
      <c r="AM184" s="198"/>
      <c r="AN184" s="297"/>
      <c r="AO184" s="198"/>
      <c r="AP184" s="344"/>
    </row>
    <row r="185" spans="1:42" s="190" customFormat="1" x14ac:dyDescent="0.35"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98"/>
      <c r="W185" s="198"/>
      <c r="X185" s="198"/>
      <c r="Y185" s="198"/>
      <c r="Z185" s="198"/>
      <c r="AA185" s="198"/>
      <c r="AB185" s="198"/>
      <c r="AC185" s="198"/>
      <c r="AD185" s="198"/>
      <c r="AE185" s="198"/>
      <c r="AF185" s="303"/>
      <c r="AG185" s="303"/>
      <c r="AH185" s="198"/>
      <c r="AI185" s="198"/>
      <c r="AJ185" s="198"/>
      <c r="AK185" s="198"/>
      <c r="AL185" s="198"/>
      <c r="AM185" s="198"/>
      <c r="AN185" s="297"/>
      <c r="AO185" s="198"/>
      <c r="AP185" s="344"/>
    </row>
    <row r="186" spans="1:42" s="190" customFormat="1" x14ac:dyDescent="0.35"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303"/>
      <c r="AG186" s="303"/>
      <c r="AH186" s="198"/>
      <c r="AI186" s="198"/>
      <c r="AJ186" s="198"/>
      <c r="AK186" s="198"/>
      <c r="AL186" s="198"/>
      <c r="AM186" s="198"/>
      <c r="AN186" s="297"/>
      <c r="AO186" s="198"/>
      <c r="AP186" s="344"/>
    </row>
    <row r="187" spans="1:42" s="190" customFormat="1" x14ac:dyDescent="0.35"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303"/>
      <c r="AG187" s="303"/>
      <c r="AH187" s="198"/>
      <c r="AI187" s="198"/>
      <c r="AJ187" s="198"/>
      <c r="AK187" s="198"/>
      <c r="AL187" s="198"/>
      <c r="AM187" s="198"/>
      <c r="AN187" s="297"/>
      <c r="AO187" s="198"/>
      <c r="AP187" s="344"/>
    </row>
    <row r="188" spans="1:42" s="190" customFormat="1" x14ac:dyDescent="0.35"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303"/>
      <c r="AG188" s="303"/>
      <c r="AH188" s="198"/>
      <c r="AI188" s="198"/>
      <c r="AJ188" s="198"/>
      <c r="AK188" s="198"/>
      <c r="AL188" s="198"/>
      <c r="AM188" s="198"/>
      <c r="AN188" s="297"/>
      <c r="AO188" s="198"/>
      <c r="AP188" s="344"/>
    </row>
    <row r="189" spans="1:42" s="198" customFormat="1" x14ac:dyDescent="0.35">
      <c r="A189" s="190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AF189" s="303"/>
      <c r="AG189" s="303"/>
      <c r="AN189" s="297"/>
      <c r="AP189" s="278"/>
    </row>
    <row r="190" spans="1:42" x14ac:dyDescent="0.35">
      <c r="AP190" s="346"/>
    </row>
  </sheetData>
  <autoFilter ref="B5:AO108"/>
  <mergeCells count="41">
    <mergeCell ref="AO2:AO5"/>
    <mergeCell ref="B4:B5"/>
    <mergeCell ref="C4:C5"/>
    <mergeCell ref="D4:D5"/>
    <mergeCell ref="E4:E5"/>
    <mergeCell ref="B3:F3"/>
    <mergeCell ref="F4:F5"/>
    <mergeCell ref="G3:I3"/>
    <mergeCell ref="J3:O3"/>
    <mergeCell ref="P3:P5"/>
    <mergeCell ref="R3:R5"/>
    <mergeCell ref="S3:S5"/>
    <mergeCell ref="G4:G5"/>
    <mergeCell ref="Q3:Q5"/>
    <mergeCell ref="H4:H5"/>
    <mergeCell ref="M4:M5"/>
    <mergeCell ref="Z4:Z5"/>
    <mergeCell ref="AM4:AM5"/>
    <mergeCell ref="AA4:AA5"/>
    <mergeCell ref="L4:L5"/>
    <mergeCell ref="AN4:AN5"/>
    <mergeCell ref="AB4:AE4"/>
    <mergeCell ref="AH4:AK4"/>
    <mergeCell ref="AL4:AL5"/>
    <mergeCell ref="N4:O4"/>
    <mergeCell ref="AP2:AP5"/>
    <mergeCell ref="AP6:AP15"/>
    <mergeCell ref="AP17:AP28"/>
    <mergeCell ref="B2:F2"/>
    <mergeCell ref="G2:O2"/>
    <mergeCell ref="P2:AN2"/>
    <mergeCell ref="V3:AA3"/>
    <mergeCell ref="AB3:AG3"/>
    <mergeCell ref="AH3:AN3"/>
    <mergeCell ref="T3:T5"/>
    <mergeCell ref="AF4:AF5"/>
    <mergeCell ref="AG4:AG5"/>
    <mergeCell ref="I4:I5"/>
    <mergeCell ref="J4:K4"/>
    <mergeCell ref="U3:U5"/>
    <mergeCell ref="V4:Y4"/>
  </mergeCells>
  <conditionalFormatting sqref="AA17:AA22 AA25:AA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:AA3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1:AA4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3:AA7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3:AA8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1:AM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7:AM22 AM25:AM2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0:AM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:AG22 AG25:AG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G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:AG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3:AG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:AG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3:AM8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22 AN25:AN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0:AN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1:AN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3:AN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:AA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3:AM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:AG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3:AN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A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:AG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7:AM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4:AA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4:AM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4:AG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4:AN9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2:AA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2:AG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2:AM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2:AN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5:AM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5:AG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5:AN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177"/>
  <sheetViews>
    <sheetView showGridLines="0" zoomScale="70" zoomScaleNormal="70" workbookViewId="0">
      <pane xSplit="7" ySplit="18" topLeftCell="H19" activePane="bottomRight" state="frozen"/>
      <selection pane="topRight"/>
      <selection pane="bottomLeft"/>
      <selection pane="bottomRight" activeCell="E28" sqref="E28"/>
    </sheetView>
  </sheetViews>
  <sheetFormatPr defaultColWidth="8.73046875" defaultRowHeight="12.75" x14ac:dyDescent="0.35"/>
  <cols>
    <col min="1" max="1" width="2.265625" style="2" customWidth="1"/>
    <col min="2" max="2" width="8.73046875" style="1"/>
    <col min="3" max="3" width="12.86328125" style="1" customWidth="1"/>
    <col min="4" max="4" width="19.3984375" style="1" customWidth="1"/>
    <col min="5" max="5" width="18.73046875" style="1" customWidth="1"/>
    <col min="6" max="7" width="11.265625" style="1" customWidth="1"/>
    <col min="8" max="8" width="18.1328125" style="1" bestFit="1" customWidth="1"/>
    <col min="9" max="13" width="18.1328125" style="1" customWidth="1"/>
    <col min="14" max="14" width="22.265625" style="1" bestFit="1" customWidth="1"/>
    <col min="15" max="15" width="19.59765625" style="1" bestFit="1" customWidth="1"/>
    <col min="16" max="16" width="8.86328125" style="1" bestFit="1" customWidth="1"/>
    <col min="17" max="19" width="8.73046875" style="1"/>
    <col min="20" max="20" width="10.265625" style="1" customWidth="1"/>
    <col min="21" max="21" width="17.86328125" style="1" customWidth="1"/>
    <col min="22" max="22" width="25.86328125" style="1" customWidth="1"/>
    <col min="23" max="23" width="10.265625" style="1" customWidth="1"/>
    <col min="24" max="25" width="8.86328125" style="1" bestFit="1" customWidth="1"/>
    <col min="26" max="26" width="8.73046875" style="1"/>
    <col min="27" max="27" width="8.86328125" style="1" bestFit="1" customWidth="1"/>
    <col min="28" max="28" width="10.86328125" style="1" bestFit="1" customWidth="1"/>
    <col min="29" max="29" width="11.86328125" style="1" bestFit="1" customWidth="1"/>
    <col min="30" max="30" width="9.86328125" style="1" bestFit="1" customWidth="1"/>
    <col min="31" max="35" width="8.73046875" style="1"/>
    <col min="36" max="36" width="9.1328125" style="1" bestFit="1" customWidth="1"/>
    <col min="37" max="40" width="8.73046875" style="1"/>
    <col min="41" max="41" width="10" style="1" customWidth="1"/>
    <col min="42" max="42" width="8.73046875" style="1"/>
    <col min="43" max="43" width="11.265625" style="1" customWidth="1"/>
    <col min="44" max="44" width="21.1328125" style="1" bestFit="1" customWidth="1"/>
    <col min="45" max="45" width="14.3984375" style="1" bestFit="1" customWidth="1"/>
    <col min="46" max="46" width="11.1328125" style="1" bestFit="1" customWidth="1"/>
    <col min="47" max="47" width="114.86328125" style="1" customWidth="1"/>
    <col min="48" max="16359" width="8.73046875" style="2"/>
    <col min="16360" max="16382" width="8.73046875" style="2" bestFit="1" customWidth="1"/>
    <col min="16383" max="16384" width="8.73046875" style="2"/>
  </cols>
  <sheetData>
    <row r="2" spans="1:47" ht="13.15" x14ac:dyDescent="0.35">
      <c r="F2" s="442" t="s">
        <v>0</v>
      </c>
      <c r="G2" s="442"/>
      <c r="H2" s="442"/>
      <c r="I2" s="442"/>
      <c r="J2" s="442"/>
      <c r="K2" s="442"/>
      <c r="L2" s="442"/>
      <c r="M2" s="442"/>
      <c r="N2" s="442"/>
      <c r="W2" s="441" t="s">
        <v>1</v>
      </c>
      <c r="X2" s="441"/>
      <c r="Y2" s="441"/>
      <c r="Z2" s="441"/>
      <c r="AA2" s="441"/>
    </row>
    <row r="3" spans="1:47" s="1" customFormat="1" ht="15" customHeight="1" x14ac:dyDescent="0.45">
      <c r="F3" s="410" t="s">
        <v>2</v>
      </c>
      <c r="G3" s="410"/>
      <c r="H3" s="410"/>
      <c r="I3" s="410"/>
      <c r="J3" s="410"/>
      <c r="K3" s="410"/>
      <c r="L3" s="410"/>
      <c r="M3" s="410"/>
      <c r="N3" s="410"/>
      <c r="O3" s="393" t="s">
        <v>3</v>
      </c>
      <c r="P3" s="393" t="s">
        <v>4</v>
      </c>
      <c r="W3" s="410" t="s">
        <v>2</v>
      </c>
      <c r="X3" s="410"/>
      <c r="Y3" s="410"/>
      <c r="Z3" s="410"/>
      <c r="AA3" s="410"/>
      <c r="AB3" s="393" t="s">
        <v>3</v>
      </c>
      <c r="AC3" s="393" t="s">
        <v>4</v>
      </c>
    </row>
    <row r="4" spans="1:47" s="1" customFormat="1" ht="13.15" x14ac:dyDescent="0.45">
      <c r="A4" s="13"/>
      <c r="B4" s="7" t="s">
        <v>5</v>
      </c>
      <c r="F4" s="362">
        <v>1</v>
      </c>
      <c r="G4" s="362">
        <v>2</v>
      </c>
      <c r="H4" s="362">
        <v>3</v>
      </c>
      <c r="I4" s="362">
        <v>4</v>
      </c>
      <c r="J4" s="362">
        <v>5</v>
      </c>
      <c r="K4" s="362">
        <v>6</v>
      </c>
      <c r="L4" s="362">
        <v>7</v>
      </c>
      <c r="M4" s="362">
        <v>8</v>
      </c>
      <c r="N4" s="362">
        <v>9</v>
      </c>
      <c r="O4" s="394"/>
      <c r="P4" s="394"/>
      <c r="W4" s="363">
        <v>1</v>
      </c>
      <c r="X4" s="363">
        <v>2</v>
      </c>
      <c r="Y4" s="363">
        <v>3</v>
      </c>
      <c r="Z4" s="363">
        <v>4</v>
      </c>
      <c r="AA4" s="363">
        <v>5</v>
      </c>
      <c r="AB4" s="394"/>
      <c r="AC4" s="394"/>
    </row>
    <row r="5" spans="1:47" s="1" customFormat="1" ht="13.5" x14ac:dyDescent="0.45">
      <c r="A5" s="13"/>
      <c r="B5" s="6"/>
      <c r="E5" s="40" t="s">
        <v>6</v>
      </c>
      <c r="F5" s="41">
        <v>50</v>
      </c>
      <c r="G5" s="41">
        <v>5</v>
      </c>
      <c r="H5" s="42">
        <v>0.5</v>
      </c>
      <c r="I5" s="42">
        <v>0.05</v>
      </c>
      <c r="J5" s="42">
        <v>5.0000000000000001E-3</v>
      </c>
      <c r="K5" s="42">
        <v>5.0000000000000001E-4</v>
      </c>
      <c r="L5" s="42">
        <v>5.0000000000000002E-5</v>
      </c>
      <c r="M5" s="42"/>
      <c r="N5" s="43"/>
      <c r="O5" s="44"/>
      <c r="P5" s="362"/>
      <c r="V5" s="15" t="s">
        <v>6</v>
      </c>
      <c r="W5" s="362">
        <v>100</v>
      </c>
      <c r="X5" s="362">
        <v>10</v>
      </c>
      <c r="Y5" s="44">
        <v>1</v>
      </c>
      <c r="Z5" s="44">
        <v>0.1</v>
      </c>
      <c r="AA5" s="44">
        <v>0.01</v>
      </c>
      <c r="AB5" s="362"/>
      <c r="AC5" s="362"/>
    </row>
    <row r="6" spans="1:47" s="1" customFormat="1" ht="13.5" x14ac:dyDescent="0.45">
      <c r="A6" s="13"/>
      <c r="B6" s="6" t="s">
        <v>7</v>
      </c>
      <c r="D6" s="33">
        <v>1</v>
      </c>
      <c r="E6" s="11" t="s">
        <v>8</v>
      </c>
      <c r="F6" s="14">
        <f>AVERAGE(15.15, 15.4)</f>
        <v>15.275</v>
      </c>
      <c r="G6" s="18">
        <f>AVERAGE(19.15, 18.75)</f>
        <v>18.95</v>
      </c>
      <c r="H6" s="18">
        <f>AVERAGE(22.43,22.01)</f>
        <v>22.22</v>
      </c>
      <c r="I6" s="18">
        <f>AVERAGE(25.74,25.91)</f>
        <v>25.824999999999999</v>
      </c>
      <c r="J6" s="18">
        <f>AVERAGE(29.37,28.64)</f>
        <v>29.005000000000003</v>
      </c>
      <c r="K6" s="18">
        <f>AVERAGE(32.35,30.96)</f>
        <v>31.655000000000001</v>
      </c>
      <c r="L6" s="18">
        <f>AVERAGE(36.85,36.47)</f>
        <v>36.659999999999997</v>
      </c>
      <c r="M6" s="8"/>
      <c r="N6" s="11"/>
      <c r="O6" s="46">
        <v>-1.494</v>
      </c>
      <c r="P6" s="8">
        <v>21.178999999999998</v>
      </c>
      <c r="V6" s="11" t="s">
        <v>8</v>
      </c>
      <c r="W6" s="14">
        <f>AVERAGE(14.14,13.82,13.94)</f>
        <v>13.966666666666667</v>
      </c>
      <c r="X6" s="18">
        <f>AVERAGE(17.4, 16.72,17.16)</f>
        <v>17.093333333333334</v>
      </c>
      <c r="Y6" s="18">
        <f>AVERAGE(20.91,20.74,20.58)</f>
        <v>20.743333333333332</v>
      </c>
      <c r="Z6" s="18">
        <f>AVERAGE(22.68,23.85,22.52)</f>
        <v>23.016666666666666</v>
      </c>
      <c r="AA6" s="18">
        <f>AVERAGE(26.22,25.93,27.28)</f>
        <v>26.47666666666667</v>
      </c>
      <c r="AB6" s="8"/>
      <c r="AC6" s="8"/>
    </row>
    <row r="7" spans="1:47" ht="13.5" x14ac:dyDescent="0.35">
      <c r="B7" s="6"/>
      <c r="D7" s="2"/>
      <c r="E7" s="4"/>
      <c r="F7" s="16"/>
      <c r="G7" s="4"/>
      <c r="H7" s="4"/>
      <c r="I7" s="4"/>
      <c r="J7" s="4"/>
      <c r="K7" s="4"/>
      <c r="L7" s="4"/>
      <c r="M7" s="4"/>
      <c r="N7" s="4"/>
      <c r="O7" s="4"/>
      <c r="P7" s="32"/>
      <c r="Q7" s="4"/>
      <c r="R7" s="4"/>
      <c r="S7" s="4"/>
      <c r="T7" s="4"/>
    </row>
    <row r="8" spans="1:47" ht="13.5" x14ac:dyDescent="0.35">
      <c r="B8" s="6" t="s">
        <v>9</v>
      </c>
      <c r="D8" s="2"/>
      <c r="E8" s="362" t="s">
        <v>10</v>
      </c>
      <c r="F8" s="362">
        <v>10000</v>
      </c>
      <c r="G8" s="362">
        <v>1000</v>
      </c>
      <c r="H8" s="362">
        <v>100</v>
      </c>
      <c r="I8" s="362">
        <v>10</v>
      </c>
      <c r="J8" s="44">
        <v>1</v>
      </c>
      <c r="K8" s="12"/>
      <c r="L8" s="8"/>
      <c r="M8" s="11"/>
      <c r="N8" s="8"/>
      <c r="O8" s="4"/>
      <c r="P8" s="32"/>
    </row>
    <row r="9" spans="1:47" ht="13.5" x14ac:dyDescent="0.35">
      <c r="B9" s="6"/>
      <c r="D9" s="2">
        <v>1</v>
      </c>
      <c r="E9" s="8" t="s">
        <v>8</v>
      </c>
      <c r="F9" s="12">
        <f>AVERAGE(19.62,19.14)</f>
        <v>19.380000000000003</v>
      </c>
      <c r="G9" s="12">
        <f>AVERAGE(21.69, 22.13)</f>
        <v>21.91</v>
      </c>
      <c r="H9" s="12">
        <f>AVERAGE(25.32,25.86)</f>
        <v>25.59</v>
      </c>
      <c r="I9" s="12">
        <f>AVERAGE(27.99,28.77)</f>
        <v>28.38</v>
      </c>
      <c r="J9" s="12">
        <f>AVERAGE(31.99,32.01)</f>
        <v>32</v>
      </c>
      <c r="K9" s="8"/>
      <c r="L9" s="8"/>
      <c r="M9" s="11"/>
      <c r="N9" s="8"/>
      <c r="O9" s="39">
        <v>-1.377</v>
      </c>
      <c r="P9" s="36">
        <v>31.794</v>
      </c>
    </row>
    <row r="10" spans="1:47" ht="13.5" x14ac:dyDescent="0.35">
      <c r="B10" s="6"/>
      <c r="D10" s="2"/>
      <c r="F10" s="16"/>
      <c r="P10" s="32"/>
    </row>
    <row r="11" spans="1:47" ht="13.5" x14ac:dyDescent="0.35">
      <c r="B11" s="6" t="s">
        <v>11</v>
      </c>
      <c r="D11" s="2"/>
      <c r="E11" s="362" t="s">
        <v>6</v>
      </c>
      <c r="F11" s="44">
        <v>100</v>
      </c>
      <c r="G11" s="44">
        <v>10</v>
      </c>
      <c r="H11" s="362">
        <v>1</v>
      </c>
      <c r="I11" s="44">
        <v>0.1</v>
      </c>
      <c r="J11" s="362">
        <v>0.01</v>
      </c>
      <c r="K11" s="44">
        <v>1E-3</v>
      </c>
      <c r="L11" s="44">
        <v>1E-4</v>
      </c>
      <c r="M11" s="45">
        <v>1.0000000000000001E-5</v>
      </c>
      <c r="N11" s="362">
        <v>9.9999999999999995E-7</v>
      </c>
      <c r="O11" s="4"/>
      <c r="P11" s="4"/>
    </row>
    <row r="12" spans="1:47" ht="13.5" x14ac:dyDescent="0.35">
      <c r="B12" s="6"/>
      <c r="D12" s="2">
        <v>1</v>
      </c>
      <c r="E12" s="8" t="s">
        <v>8</v>
      </c>
      <c r="F12" s="14">
        <f>AVERAGE(9.29, 8.63)</f>
        <v>8.9600000000000009</v>
      </c>
      <c r="G12" s="14">
        <f>AVERAGE(13, 12.9)</f>
        <v>12.95</v>
      </c>
      <c r="H12" s="14">
        <f>AVERAGE(16.31,16.15
)</f>
        <v>16.229999999999997</v>
      </c>
      <c r="I12" s="14">
        <f>AVERAGE(19.45,19.38)</f>
        <v>19.414999999999999</v>
      </c>
      <c r="J12" s="14">
        <f>AVERAGE(22.78,22.7)</f>
        <v>22.740000000000002</v>
      </c>
      <c r="K12" s="12"/>
      <c r="L12" s="8"/>
      <c r="M12" s="8"/>
      <c r="N12" s="35"/>
      <c r="O12" s="8">
        <v>-1.478</v>
      </c>
      <c r="P12" s="8">
        <v>16.059000000000001</v>
      </c>
    </row>
    <row r="13" spans="1:47" ht="13.5" x14ac:dyDescent="0.35">
      <c r="B13" s="6"/>
      <c r="D13" s="2">
        <v>2</v>
      </c>
      <c r="E13" s="8" t="s">
        <v>8</v>
      </c>
      <c r="F13" s="14"/>
      <c r="G13" s="14">
        <f>AVERAGE(12.6, 12.59)</f>
        <v>12.594999999999999</v>
      </c>
      <c r="H13" s="14">
        <f>AVERAGE(15.86, 16.02)</f>
        <v>15.94</v>
      </c>
      <c r="I13" s="14">
        <f>AVERAGE(19.21,18.98)</f>
        <v>19.094999999999999</v>
      </c>
      <c r="J13" s="14">
        <f>AVERAGE(22.42,22.48)</f>
        <v>22.450000000000003</v>
      </c>
      <c r="K13" s="14">
        <f>AVERAGE(25.85,26.04)</f>
        <v>25.945</v>
      </c>
      <c r="L13" s="14">
        <f>AVERAGE(29.46,29.29)</f>
        <v>29.375</v>
      </c>
      <c r="M13" s="14">
        <f>AVERAGE(32.79,32.67)</f>
        <v>32.730000000000004</v>
      </c>
      <c r="N13" s="37">
        <f>AVERAGE(35.7,39.26)</f>
        <v>37.480000000000004</v>
      </c>
      <c r="O13" s="10">
        <v>-1.512</v>
      </c>
      <c r="P13" s="10">
        <v>15.746</v>
      </c>
    </row>
    <row r="15" spans="1:47" ht="14.45" customHeight="1" thickBot="1" x14ac:dyDescent="0.4">
      <c r="B15" s="411" t="s">
        <v>12</v>
      </c>
      <c r="C15" s="412"/>
      <c r="D15" s="412"/>
      <c r="E15" s="412"/>
      <c r="F15" s="412"/>
      <c r="G15" s="413"/>
      <c r="H15" s="403" t="s">
        <v>13</v>
      </c>
      <c r="I15" s="404"/>
      <c r="J15" s="404"/>
      <c r="K15" s="404"/>
      <c r="L15" s="404"/>
      <c r="M15" s="404"/>
      <c r="N15" s="404"/>
      <c r="O15" s="404"/>
      <c r="P15" s="404"/>
      <c r="Q15" s="404"/>
      <c r="R15" s="404"/>
      <c r="S15" s="404"/>
      <c r="T15" s="405"/>
      <c r="U15" s="434" t="s">
        <v>14</v>
      </c>
      <c r="V15" s="435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6"/>
      <c r="AT15" s="429" t="s">
        <v>15</v>
      </c>
      <c r="AU15" s="430"/>
    </row>
    <row r="16" spans="1:47" s="3" customFormat="1" ht="14.45" customHeight="1" x14ac:dyDescent="0.45">
      <c r="B16" s="459" t="s">
        <v>16</v>
      </c>
      <c r="C16" s="396"/>
      <c r="D16" s="396"/>
      <c r="E16" s="396"/>
      <c r="F16" s="396"/>
      <c r="G16" s="418"/>
      <c r="H16" s="419" t="s">
        <v>16</v>
      </c>
      <c r="I16" s="420"/>
      <c r="J16" s="420"/>
      <c r="K16" s="420"/>
      <c r="L16" s="420"/>
      <c r="M16" s="420"/>
      <c r="N16" s="420"/>
      <c r="O16" s="395"/>
      <c r="P16" s="396" t="s">
        <v>17</v>
      </c>
      <c r="Q16" s="396"/>
      <c r="R16" s="396"/>
      <c r="S16" s="396"/>
      <c r="T16" s="418"/>
      <c r="U16" s="444" t="s">
        <v>18</v>
      </c>
      <c r="V16" s="400" t="s">
        <v>19</v>
      </c>
      <c r="W16" s="400" t="s">
        <v>20</v>
      </c>
      <c r="X16" s="395" t="s">
        <v>21</v>
      </c>
      <c r="Y16" s="396"/>
      <c r="Z16" s="396"/>
      <c r="AA16" s="396"/>
      <c r="AB16" s="396"/>
      <c r="AC16" s="396"/>
      <c r="AD16" s="397"/>
      <c r="AE16" s="395" t="s">
        <v>22</v>
      </c>
      <c r="AF16" s="396"/>
      <c r="AG16" s="396"/>
      <c r="AH16" s="396"/>
      <c r="AI16" s="396"/>
      <c r="AJ16" s="397"/>
      <c r="AK16" s="395" t="s">
        <v>23</v>
      </c>
      <c r="AL16" s="396"/>
      <c r="AM16" s="396"/>
      <c r="AN16" s="396"/>
      <c r="AO16" s="396"/>
      <c r="AP16" s="396"/>
      <c r="AQ16" s="396"/>
      <c r="AR16" s="396"/>
      <c r="AS16" s="418"/>
      <c r="AT16" s="437" t="s">
        <v>24</v>
      </c>
      <c r="AU16" s="400"/>
    </row>
    <row r="17" spans="2:47" s="3" customFormat="1" ht="15" customHeight="1" x14ac:dyDescent="0.45">
      <c r="B17" s="443" t="s">
        <v>27</v>
      </c>
      <c r="C17" s="443" t="s">
        <v>210</v>
      </c>
      <c r="D17" s="443" t="s">
        <v>28</v>
      </c>
      <c r="E17" s="443" t="s">
        <v>29</v>
      </c>
      <c r="F17" s="401" t="s">
        <v>30</v>
      </c>
      <c r="G17" s="414" t="s">
        <v>31</v>
      </c>
      <c r="H17" s="427" t="s">
        <v>32</v>
      </c>
      <c r="I17" s="423" t="s">
        <v>33</v>
      </c>
      <c r="J17" s="423" t="s">
        <v>34</v>
      </c>
      <c r="K17" s="423" t="s">
        <v>35</v>
      </c>
      <c r="L17" s="421" t="s">
        <v>36</v>
      </c>
      <c r="M17" s="416" t="s">
        <v>37</v>
      </c>
      <c r="N17" s="431" t="s">
        <v>38</v>
      </c>
      <c r="O17" s="431" t="s">
        <v>39</v>
      </c>
      <c r="P17" s="408" t="s">
        <v>40</v>
      </c>
      <c r="Q17" s="433"/>
      <c r="R17" s="406" t="s">
        <v>41</v>
      </c>
      <c r="S17" s="408" t="s">
        <v>42</v>
      </c>
      <c r="T17" s="409"/>
      <c r="U17" s="445"/>
      <c r="V17" s="401"/>
      <c r="W17" s="401"/>
      <c r="X17" s="408" t="s">
        <v>8</v>
      </c>
      <c r="Y17" s="433"/>
      <c r="Z17" s="433"/>
      <c r="AA17" s="433"/>
      <c r="AB17" s="398" t="s">
        <v>6</v>
      </c>
      <c r="AC17" s="398" t="s">
        <v>10</v>
      </c>
      <c r="AD17" s="406" t="s">
        <v>43</v>
      </c>
      <c r="AE17" s="408" t="s">
        <v>8</v>
      </c>
      <c r="AF17" s="433"/>
      <c r="AG17" s="433"/>
      <c r="AH17" s="433"/>
      <c r="AI17" s="398" t="s">
        <v>44</v>
      </c>
      <c r="AJ17" s="406" t="s">
        <v>45</v>
      </c>
      <c r="AK17" s="408" t="s">
        <v>8</v>
      </c>
      <c r="AL17" s="433"/>
      <c r="AM17" s="433"/>
      <c r="AN17" s="433"/>
      <c r="AO17" s="406" t="s">
        <v>6</v>
      </c>
      <c r="AP17" s="431" t="s">
        <v>44</v>
      </c>
      <c r="AQ17" s="431" t="s">
        <v>45</v>
      </c>
      <c r="AR17" s="431" t="s">
        <v>46</v>
      </c>
      <c r="AS17" s="431" t="s">
        <v>47</v>
      </c>
      <c r="AT17" s="438"/>
      <c r="AU17" s="401"/>
    </row>
    <row r="18" spans="2:47" s="26" customFormat="1" ht="28.5" customHeight="1" thickBot="1" x14ac:dyDescent="0.5">
      <c r="B18" s="432"/>
      <c r="C18" s="432"/>
      <c r="D18" s="432"/>
      <c r="E18" s="432"/>
      <c r="F18" s="402"/>
      <c r="G18" s="415"/>
      <c r="H18" s="428"/>
      <c r="I18" s="424"/>
      <c r="J18" s="424"/>
      <c r="K18" s="424"/>
      <c r="L18" s="422"/>
      <c r="M18" s="402"/>
      <c r="N18" s="432"/>
      <c r="O18" s="432"/>
      <c r="P18" s="29" t="s">
        <v>48</v>
      </c>
      <c r="Q18" s="27" t="s">
        <v>49</v>
      </c>
      <c r="R18" s="407"/>
      <c r="S18" s="29" t="s">
        <v>50</v>
      </c>
      <c r="T18" s="28" t="s">
        <v>51</v>
      </c>
      <c r="U18" s="422"/>
      <c r="V18" s="402"/>
      <c r="W18" s="402"/>
      <c r="X18" s="29">
        <v>1</v>
      </c>
      <c r="Y18" s="27">
        <v>2</v>
      </c>
      <c r="Z18" s="27">
        <v>3</v>
      </c>
      <c r="AA18" s="27" t="s">
        <v>52</v>
      </c>
      <c r="AB18" s="399"/>
      <c r="AC18" s="399"/>
      <c r="AD18" s="407"/>
      <c r="AE18" s="29">
        <v>1</v>
      </c>
      <c r="AF18" s="27">
        <v>2</v>
      </c>
      <c r="AG18" s="27">
        <v>3</v>
      </c>
      <c r="AH18" s="27" t="s">
        <v>53</v>
      </c>
      <c r="AI18" s="399"/>
      <c r="AJ18" s="440"/>
      <c r="AK18" s="30">
        <v>1</v>
      </c>
      <c r="AL18" s="27">
        <v>2</v>
      </c>
      <c r="AM18" s="27">
        <v>3</v>
      </c>
      <c r="AN18" s="27" t="s">
        <v>53</v>
      </c>
      <c r="AO18" s="407"/>
      <c r="AP18" s="432"/>
      <c r="AQ18" s="432"/>
      <c r="AR18" s="432"/>
      <c r="AS18" s="432"/>
      <c r="AT18" s="439"/>
      <c r="AU18" s="402"/>
    </row>
    <row r="19" spans="2:47" s="103" customFormat="1" x14ac:dyDescent="0.35">
      <c r="B19" s="104" t="s">
        <v>54</v>
      </c>
      <c r="C19" s="105" t="s">
        <v>56</v>
      </c>
      <c r="D19" s="104" t="s">
        <v>57</v>
      </c>
      <c r="E19" s="106" t="s">
        <v>58</v>
      </c>
      <c r="F19" s="104" t="s">
        <v>59</v>
      </c>
      <c r="G19" s="107">
        <v>-20</v>
      </c>
      <c r="H19" s="104" t="s">
        <v>60</v>
      </c>
      <c r="I19" s="104" t="s">
        <v>61</v>
      </c>
      <c r="J19" s="104" t="s">
        <v>62</v>
      </c>
      <c r="K19" s="104" t="s">
        <v>63</v>
      </c>
      <c r="L19" s="104" t="s">
        <v>60</v>
      </c>
      <c r="M19" s="104">
        <v>200</v>
      </c>
      <c r="N19" s="104" t="s">
        <v>64</v>
      </c>
      <c r="O19" s="104" t="s">
        <v>65</v>
      </c>
      <c r="P19" s="104">
        <v>7.65</v>
      </c>
      <c r="Q19" s="104">
        <v>4</v>
      </c>
      <c r="R19" s="104">
        <v>700</v>
      </c>
      <c r="S19" s="104">
        <v>204600</v>
      </c>
      <c r="T19" s="104">
        <f t="shared" ref="T19:T84" si="0">S19*1000000</f>
        <v>204600000000</v>
      </c>
      <c r="U19" s="104" t="s">
        <v>60</v>
      </c>
      <c r="V19" s="107" t="s">
        <v>66</v>
      </c>
      <c r="W19" s="104" t="s">
        <v>60</v>
      </c>
      <c r="X19" s="108">
        <v>18.03</v>
      </c>
      <c r="Y19" s="108">
        <v>18.350000000000001</v>
      </c>
      <c r="Z19" s="104"/>
      <c r="AA19" s="109">
        <f>AVERAGE(X19:Z19)</f>
        <v>18.190000000000001</v>
      </c>
      <c r="AB19" s="109">
        <f>EXP((AA19-21.179)/-1.494)</f>
        <v>7.3940035752098252</v>
      </c>
      <c r="AC19" s="110">
        <f>(AB19*(6.0221*10^23))/(15123*340*10^9)</f>
        <v>865985758.54991186</v>
      </c>
      <c r="AD19" s="111">
        <f>AC19*100/AC$28</f>
        <v>92.281981046037515</v>
      </c>
      <c r="AE19" s="104">
        <v>20.47</v>
      </c>
      <c r="AF19" s="104">
        <v>20.239999999999998</v>
      </c>
      <c r="AG19" s="104"/>
      <c r="AH19" s="111">
        <f>AVERAGE(AE19:AG19)</f>
        <v>20.354999999999997</v>
      </c>
      <c r="AI19" s="107">
        <f>EXP((AH19-31.794)/-1.377)</f>
        <v>4052.9064410416186</v>
      </c>
      <c r="AJ19" s="112">
        <f>(AI19/5)*(50/200)</f>
        <v>202.64532205208093</v>
      </c>
      <c r="AK19" s="104">
        <v>35.03</v>
      </c>
      <c r="AL19" s="104">
        <v>35.450000000000003</v>
      </c>
      <c r="AM19" s="104"/>
      <c r="AN19" s="113">
        <f>AVERAGE(AK19:AM19)</f>
        <v>35.24</v>
      </c>
      <c r="AO19" s="107">
        <f>EXP((AN19-15.746)/-1.512)</f>
        <v>2.5159574202529523E-6</v>
      </c>
      <c r="AP19" s="107">
        <f>(AO19*(6.0221*10^23))/(29903*340*10^9)</f>
        <v>149.02446518749156</v>
      </c>
      <c r="AQ19" s="112">
        <f>(AP19/5)*(50/200)</f>
        <v>7.4512232593745775</v>
      </c>
      <c r="AR19" s="112">
        <f>AQ19/AJ19</f>
        <v>3.6769776789910669E-2</v>
      </c>
      <c r="AS19" s="112">
        <f>AR19*T19</f>
        <v>7523096331.215723</v>
      </c>
      <c r="AT19" s="104"/>
      <c r="AU19" s="104" t="s">
        <v>67</v>
      </c>
    </row>
    <row r="20" spans="2:47" s="103" customFormat="1" x14ac:dyDescent="0.35">
      <c r="B20" s="107" t="s">
        <v>54</v>
      </c>
      <c r="C20" s="114" t="s">
        <v>68</v>
      </c>
      <c r="D20" s="104" t="s">
        <v>57</v>
      </c>
      <c r="E20" s="106" t="s">
        <v>58</v>
      </c>
      <c r="F20" s="107" t="s">
        <v>59</v>
      </c>
      <c r="G20" s="107">
        <v>-20</v>
      </c>
      <c r="H20" s="107" t="s">
        <v>60</v>
      </c>
      <c r="I20" s="107" t="s">
        <v>61</v>
      </c>
      <c r="J20" s="107" t="s">
        <v>62</v>
      </c>
      <c r="K20" s="107" t="s">
        <v>63</v>
      </c>
      <c r="L20" s="107" t="s">
        <v>60</v>
      </c>
      <c r="M20" s="107">
        <v>200</v>
      </c>
      <c r="N20" s="107" t="s">
        <v>64</v>
      </c>
      <c r="O20" s="107" t="s">
        <v>65</v>
      </c>
      <c r="P20" s="115">
        <v>7.74</v>
      </c>
      <c r="Q20" s="107">
        <v>4</v>
      </c>
      <c r="R20" s="107">
        <v>380</v>
      </c>
      <c r="S20" s="107">
        <v>211656</v>
      </c>
      <c r="T20" s="116">
        <f t="shared" si="0"/>
        <v>211656000000</v>
      </c>
      <c r="U20" s="107" t="s">
        <v>60</v>
      </c>
      <c r="V20" s="107" t="s">
        <v>66</v>
      </c>
      <c r="W20" s="107" t="s">
        <v>60</v>
      </c>
      <c r="X20" s="117">
        <v>19.100000000000001</v>
      </c>
      <c r="Y20" s="117">
        <v>19.22</v>
      </c>
      <c r="Z20" s="107"/>
      <c r="AA20" s="111">
        <f t="shared" ref="AA20:AA28" si="1">AVERAGE(X20:Z20)</f>
        <v>19.16</v>
      </c>
      <c r="AB20" s="111">
        <f t="shared" ref="AB20:AB28" si="2">EXP((AA20-21.179)/-1.494)</f>
        <v>3.862851427264022</v>
      </c>
      <c r="AC20" s="112">
        <f t="shared" ref="AC20:AC27" si="3">(AB20*(6.0221*10^23))/(15123*340*10^9)</f>
        <v>452417190.41364074</v>
      </c>
      <c r="AD20" s="111">
        <f t="shared" ref="AD20:AD28" si="4">AC20*100/AC$28</f>
        <v>48.210902059825102</v>
      </c>
      <c r="AE20" s="107">
        <v>19.23</v>
      </c>
      <c r="AF20" s="107">
        <v>19.25</v>
      </c>
      <c r="AG20" s="107"/>
      <c r="AH20" s="111">
        <f t="shared" ref="AH20:AH27" si="5">AVERAGE(AE20:AG20)</f>
        <v>19.240000000000002</v>
      </c>
      <c r="AI20" s="107">
        <f t="shared" ref="AI20:AI27" si="6">EXP((AH20-31.794)/-1.377)</f>
        <v>9108.1130785931709</v>
      </c>
      <c r="AJ20" s="112">
        <f t="shared" ref="AJ20:AJ27" si="7">(AI20/5)*(50/200)</f>
        <v>455.40565392965857</v>
      </c>
      <c r="AK20" s="107"/>
      <c r="AL20" s="107">
        <v>34.99</v>
      </c>
      <c r="AM20" s="107"/>
      <c r="AN20" s="113">
        <f t="shared" ref="AN20:AN27" si="8">AVERAGE(AK20:AM20)</f>
        <v>34.99</v>
      </c>
      <c r="AO20" s="107">
        <f t="shared" ref="AO20:AO27" si="9">EXP((AN20-15.746)/-1.512)</f>
        <v>2.968323544906777E-6</v>
      </c>
      <c r="AP20" s="107">
        <f t="shared" ref="AP20:AP27" si="10">(AO20*(6.0221*10^23))/(29903*340*10^9)</f>
        <v>175.81888517759481</v>
      </c>
      <c r="AQ20" s="112">
        <f t="shared" ref="AQ20:AQ27" si="11">(AP20/5)*(50/200)</f>
        <v>8.7909442588797404</v>
      </c>
      <c r="AR20" s="112">
        <f t="shared" ref="AR20:AR27" si="12">AQ20/AJ20</f>
        <v>1.9303546591974415E-2</v>
      </c>
      <c r="AS20" s="112">
        <f t="shared" ref="AS20:AS27" si="13">AR20*T20</f>
        <v>4085711457.4709368</v>
      </c>
      <c r="AT20" s="107"/>
      <c r="AU20" s="107" t="s">
        <v>67</v>
      </c>
    </row>
    <row r="21" spans="2:47" s="103" customFormat="1" x14ac:dyDescent="0.35">
      <c r="B21" s="107" t="s">
        <v>54</v>
      </c>
      <c r="C21" s="114" t="s">
        <v>69</v>
      </c>
      <c r="D21" s="104" t="s">
        <v>57</v>
      </c>
      <c r="E21" s="106" t="s">
        <v>58</v>
      </c>
      <c r="F21" s="107" t="s">
        <v>59</v>
      </c>
      <c r="G21" s="107">
        <v>-20</v>
      </c>
      <c r="H21" s="107" t="s">
        <v>60</v>
      </c>
      <c r="I21" s="107" t="s">
        <v>61</v>
      </c>
      <c r="J21" s="107" t="s">
        <v>62</v>
      </c>
      <c r="K21" s="107" t="s">
        <v>63</v>
      </c>
      <c r="L21" s="107" t="s">
        <v>60</v>
      </c>
      <c r="M21" s="107">
        <v>200</v>
      </c>
      <c r="N21" s="107" t="s">
        <v>64</v>
      </c>
      <c r="O21" s="107" t="s">
        <v>65</v>
      </c>
      <c r="P21" s="115">
        <v>7.77</v>
      </c>
      <c r="Q21" s="107">
        <v>4</v>
      </c>
      <c r="R21" s="107">
        <v>260</v>
      </c>
      <c r="S21" s="118">
        <v>192432</v>
      </c>
      <c r="T21" s="116">
        <f t="shared" si="0"/>
        <v>192432000000</v>
      </c>
      <c r="U21" s="107" t="s">
        <v>60</v>
      </c>
      <c r="V21" s="107" t="s">
        <v>66</v>
      </c>
      <c r="W21" s="107" t="s">
        <v>60</v>
      </c>
      <c r="X21" s="117">
        <v>18.95</v>
      </c>
      <c r="Y21" s="117">
        <v>18.63</v>
      </c>
      <c r="Z21" s="107"/>
      <c r="AA21" s="111">
        <f t="shared" si="1"/>
        <v>18.79</v>
      </c>
      <c r="AB21" s="111">
        <f t="shared" si="2"/>
        <v>4.9483932025532953</v>
      </c>
      <c r="AC21" s="112">
        <f t="shared" si="3"/>
        <v>579555851.91811848</v>
      </c>
      <c r="AD21" s="111">
        <f t="shared" si="4"/>
        <v>61.759170533455631</v>
      </c>
      <c r="AE21" s="107">
        <v>19.440000000000001</v>
      </c>
      <c r="AF21" s="107">
        <v>19.760000000000002</v>
      </c>
      <c r="AG21" s="107"/>
      <c r="AH21" s="111">
        <f t="shared" si="5"/>
        <v>19.600000000000001</v>
      </c>
      <c r="AI21" s="107">
        <f t="shared" si="6"/>
        <v>7012.7341097922717</v>
      </c>
      <c r="AJ21" s="112">
        <f t="shared" si="7"/>
        <v>350.63670548961358</v>
      </c>
      <c r="AK21" s="107">
        <v>34.01</v>
      </c>
      <c r="AL21" s="107">
        <v>34.65</v>
      </c>
      <c r="AM21" s="107"/>
      <c r="AN21" s="113">
        <f t="shared" si="8"/>
        <v>34.33</v>
      </c>
      <c r="AO21" s="107">
        <f t="shared" si="9"/>
        <v>4.5928707622174911E-6</v>
      </c>
      <c r="AP21" s="107">
        <f t="shared" si="10"/>
        <v>272.04359799774124</v>
      </c>
      <c r="AQ21" s="112">
        <f t="shared" si="11"/>
        <v>13.602179899887062</v>
      </c>
      <c r="AR21" s="112">
        <f t="shared" si="12"/>
        <v>3.8792800887441546E-2</v>
      </c>
      <c r="AS21" s="112">
        <f t="shared" si="13"/>
        <v>7464976260.3721514</v>
      </c>
      <c r="AT21" s="107"/>
      <c r="AU21" s="107" t="s">
        <v>67</v>
      </c>
    </row>
    <row r="22" spans="2:47" s="103" customFormat="1" x14ac:dyDescent="0.35">
      <c r="B22" s="107" t="s">
        <v>54</v>
      </c>
      <c r="C22" s="114" t="s">
        <v>70</v>
      </c>
      <c r="D22" s="104" t="s">
        <v>57</v>
      </c>
      <c r="E22" s="106" t="s">
        <v>58</v>
      </c>
      <c r="F22" s="107" t="s">
        <v>59</v>
      </c>
      <c r="G22" s="107">
        <v>-20</v>
      </c>
      <c r="H22" s="107" t="s">
        <v>60</v>
      </c>
      <c r="I22" s="107" t="s">
        <v>61</v>
      </c>
      <c r="J22" s="107" t="s">
        <v>62</v>
      </c>
      <c r="K22" s="107" t="s">
        <v>63</v>
      </c>
      <c r="L22" s="107" t="s">
        <v>60</v>
      </c>
      <c r="M22" s="107">
        <v>200</v>
      </c>
      <c r="N22" s="107" t="s">
        <v>64</v>
      </c>
      <c r="O22" s="107" t="s">
        <v>65</v>
      </c>
      <c r="P22" s="115">
        <v>7.68</v>
      </c>
      <c r="Q22" s="107">
        <v>4</v>
      </c>
      <c r="R22" s="107">
        <v>340</v>
      </c>
      <c r="S22" s="107">
        <v>215280</v>
      </c>
      <c r="T22" s="116">
        <f t="shared" si="0"/>
        <v>215280000000</v>
      </c>
      <c r="U22" s="107" t="s">
        <v>60</v>
      </c>
      <c r="V22" s="107" t="s">
        <v>66</v>
      </c>
      <c r="W22" s="107" t="s">
        <v>60</v>
      </c>
      <c r="X22" s="117">
        <v>19.25</v>
      </c>
      <c r="Y22" s="117">
        <v>19.100000000000001</v>
      </c>
      <c r="Z22" s="107"/>
      <c r="AA22" s="111">
        <f t="shared" si="1"/>
        <v>19.175000000000001</v>
      </c>
      <c r="AB22" s="111">
        <f t="shared" si="2"/>
        <v>3.8242618254641387</v>
      </c>
      <c r="AC22" s="112">
        <f t="shared" si="3"/>
        <v>447897575.93862849</v>
      </c>
      <c r="AD22" s="111">
        <f t="shared" si="4"/>
        <v>47.729278692234303</v>
      </c>
      <c r="AE22" s="107">
        <v>21.52</v>
      </c>
      <c r="AF22" s="107">
        <v>21.46</v>
      </c>
      <c r="AG22" s="107"/>
      <c r="AH22" s="111">
        <f t="shared" si="5"/>
        <v>21.490000000000002</v>
      </c>
      <c r="AI22" s="107">
        <f t="shared" si="6"/>
        <v>1777.4480135584031</v>
      </c>
      <c r="AJ22" s="112">
        <f t="shared" si="7"/>
        <v>88.872400677920155</v>
      </c>
      <c r="AK22" s="107">
        <v>35.33</v>
      </c>
      <c r="AL22" s="107">
        <v>34.590000000000003</v>
      </c>
      <c r="AM22" s="107"/>
      <c r="AN22" s="113">
        <f t="shared" si="8"/>
        <v>34.96</v>
      </c>
      <c r="AO22" s="107">
        <f t="shared" si="9"/>
        <v>3.0278070157134421E-6</v>
      </c>
      <c r="AP22" s="107">
        <f t="shared" si="10"/>
        <v>179.34219298602656</v>
      </c>
      <c r="AQ22" s="112">
        <f t="shared" si="11"/>
        <v>8.967109649301328</v>
      </c>
      <c r="AR22" s="112">
        <f t="shared" si="12"/>
        <v>0.10089869949388186</v>
      </c>
      <c r="AS22" s="112">
        <f t="shared" si="13"/>
        <v>21721472027.042889</v>
      </c>
      <c r="AT22" s="107"/>
      <c r="AU22" s="107" t="s">
        <v>67</v>
      </c>
    </row>
    <row r="23" spans="2:47" s="103" customFormat="1" x14ac:dyDescent="0.35">
      <c r="B23" s="107" t="s">
        <v>54</v>
      </c>
      <c r="C23" s="114" t="s">
        <v>71</v>
      </c>
      <c r="D23" s="104" t="s">
        <v>57</v>
      </c>
      <c r="E23" s="106" t="s">
        <v>58</v>
      </c>
      <c r="F23" s="107" t="s">
        <v>59</v>
      </c>
      <c r="G23" s="107">
        <v>-20</v>
      </c>
      <c r="H23" s="107" t="s">
        <v>60</v>
      </c>
      <c r="I23" s="107" t="s">
        <v>61</v>
      </c>
      <c r="J23" s="107" t="s">
        <v>62</v>
      </c>
      <c r="K23" s="107" t="s">
        <v>63</v>
      </c>
      <c r="L23" s="107" t="s">
        <v>60</v>
      </c>
      <c r="M23" s="107">
        <v>200</v>
      </c>
      <c r="N23" s="107" t="s">
        <v>64</v>
      </c>
      <c r="O23" s="107" t="s">
        <v>65</v>
      </c>
      <c r="P23" s="115">
        <v>7.61</v>
      </c>
      <c r="Q23" s="107">
        <v>4</v>
      </c>
      <c r="R23" s="107">
        <v>270</v>
      </c>
      <c r="S23" s="107">
        <v>269808</v>
      </c>
      <c r="T23" s="116">
        <f t="shared" si="0"/>
        <v>269808000000</v>
      </c>
      <c r="U23" s="107" t="s">
        <v>60</v>
      </c>
      <c r="V23" s="107" t="s">
        <v>66</v>
      </c>
      <c r="W23" s="107" t="s">
        <v>60</v>
      </c>
      <c r="X23" s="117">
        <v>17.98</v>
      </c>
      <c r="Y23" s="117">
        <v>17.87</v>
      </c>
      <c r="Z23" s="107"/>
      <c r="AA23" s="111">
        <f t="shared" si="1"/>
        <v>17.925000000000001</v>
      </c>
      <c r="AB23" s="111">
        <f t="shared" si="2"/>
        <v>8.8290331748132189</v>
      </c>
      <c r="AC23" s="112">
        <f t="shared" si="3"/>
        <v>1034056436.8655978</v>
      </c>
      <c r="AD23" s="111">
        <f t="shared" si="4"/>
        <v>110.19208522222402</v>
      </c>
      <c r="AE23" s="107">
        <v>21.85</v>
      </c>
      <c r="AF23" s="107">
        <v>21.94</v>
      </c>
      <c r="AG23" s="107"/>
      <c r="AH23" s="111">
        <f t="shared" si="5"/>
        <v>21.895000000000003</v>
      </c>
      <c r="AI23" s="107">
        <f t="shared" si="6"/>
        <v>1324.5343825265452</v>
      </c>
      <c r="AJ23" s="112">
        <f t="shared" si="7"/>
        <v>66.226719126327254</v>
      </c>
      <c r="AK23" s="107">
        <v>35.61</v>
      </c>
      <c r="AL23" s="107">
        <v>34.28</v>
      </c>
      <c r="AM23" s="107"/>
      <c r="AN23" s="113">
        <f t="shared" si="8"/>
        <v>34.945</v>
      </c>
      <c r="AO23" s="107">
        <f t="shared" si="9"/>
        <v>3.0579942745305602E-6</v>
      </c>
      <c r="AP23" s="107">
        <f t="shared" si="10"/>
        <v>181.13023600475347</v>
      </c>
      <c r="AQ23" s="112">
        <f t="shared" si="11"/>
        <v>9.0565118002376739</v>
      </c>
      <c r="AR23" s="112">
        <f t="shared" si="12"/>
        <v>0.13675012018883809</v>
      </c>
      <c r="AS23" s="112">
        <f t="shared" si="13"/>
        <v>36896276427.910027</v>
      </c>
      <c r="AT23" s="107"/>
      <c r="AU23" s="107" t="s">
        <v>67</v>
      </c>
    </row>
    <row r="24" spans="2:47" s="103" customFormat="1" x14ac:dyDescent="0.35">
      <c r="B24" s="107" t="s">
        <v>54</v>
      </c>
      <c r="C24" s="114" t="s">
        <v>72</v>
      </c>
      <c r="D24" s="104" t="s">
        <v>57</v>
      </c>
      <c r="E24" s="106" t="s">
        <v>58</v>
      </c>
      <c r="F24" s="107" t="s">
        <v>59</v>
      </c>
      <c r="G24" s="107">
        <v>-20</v>
      </c>
      <c r="H24" s="107" t="s">
        <v>60</v>
      </c>
      <c r="I24" s="107" t="s">
        <v>61</v>
      </c>
      <c r="J24" s="107" t="s">
        <v>62</v>
      </c>
      <c r="K24" s="107" t="s">
        <v>63</v>
      </c>
      <c r="L24" s="107" t="s">
        <v>60</v>
      </c>
      <c r="M24" s="107">
        <v>200</v>
      </c>
      <c r="N24" s="107" t="s">
        <v>64</v>
      </c>
      <c r="O24" s="107" t="s">
        <v>65</v>
      </c>
      <c r="P24" s="115">
        <v>7.68</v>
      </c>
      <c r="Q24" s="107">
        <v>4</v>
      </c>
      <c r="R24" s="107">
        <v>290</v>
      </c>
      <c r="S24" s="107">
        <v>184512</v>
      </c>
      <c r="T24" s="116">
        <f t="shared" si="0"/>
        <v>184512000000</v>
      </c>
      <c r="U24" s="107" t="s">
        <v>60</v>
      </c>
      <c r="V24" s="107" t="s">
        <v>66</v>
      </c>
      <c r="W24" s="107" t="s">
        <v>60</v>
      </c>
      <c r="X24" s="111">
        <v>19.57</v>
      </c>
      <c r="Y24" s="111">
        <v>18.05</v>
      </c>
      <c r="Z24" s="107"/>
      <c r="AA24" s="111">
        <f t="shared" si="1"/>
        <v>18.810000000000002</v>
      </c>
      <c r="AB24" s="111">
        <f t="shared" si="2"/>
        <v>4.8825910776108383</v>
      </c>
      <c r="AC24" s="112">
        <f t="shared" si="3"/>
        <v>571849106.51248443</v>
      </c>
      <c r="AD24" s="111">
        <f t="shared" si="4"/>
        <v>60.937917150905498</v>
      </c>
      <c r="AE24" s="107">
        <v>20.239999999999998</v>
      </c>
      <c r="AF24" s="107">
        <v>19.66</v>
      </c>
      <c r="AG24" s="107"/>
      <c r="AH24" s="111">
        <f t="shared" si="5"/>
        <v>19.95</v>
      </c>
      <c r="AI24" s="107">
        <f t="shared" si="6"/>
        <v>5438.7644426611096</v>
      </c>
      <c r="AJ24" s="112">
        <f t="shared" si="7"/>
        <v>271.93822213305549</v>
      </c>
      <c r="AK24" s="107">
        <v>34.270000000000003</v>
      </c>
      <c r="AL24" s="107">
        <v>35.159999999999997</v>
      </c>
      <c r="AM24" s="107"/>
      <c r="AN24" s="113">
        <f t="shared" si="8"/>
        <v>34.715000000000003</v>
      </c>
      <c r="AO24" s="107">
        <f t="shared" si="9"/>
        <v>3.5604097527561493E-6</v>
      </c>
      <c r="AP24" s="107">
        <f t="shared" si="10"/>
        <v>210.88916488875603</v>
      </c>
      <c r="AQ24" s="112">
        <f t="shared" si="11"/>
        <v>10.544458244437802</v>
      </c>
      <c r="AR24" s="112">
        <f t="shared" si="12"/>
        <v>3.8775197402292898E-2</v>
      </c>
      <c r="AS24" s="112">
        <f t="shared" si="13"/>
        <v>7154489223.0918674</v>
      </c>
      <c r="AT24" s="107"/>
      <c r="AU24" s="107" t="s">
        <v>67</v>
      </c>
    </row>
    <row r="25" spans="2:47" s="103" customFormat="1" x14ac:dyDescent="0.35">
      <c r="B25" s="107" t="s">
        <v>54</v>
      </c>
      <c r="C25" s="114" t="s">
        <v>73</v>
      </c>
      <c r="D25" s="104" t="s">
        <v>57</v>
      </c>
      <c r="E25" s="106" t="s">
        <v>58</v>
      </c>
      <c r="F25" s="107" t="s">
        <v>59</v>
      </c>
      <c r="G25" s="107">
        <v>-20</v>
      </c>
      <c r="H25" s="107" t="s">
        <v>60</v>
      </c>
      <c r="I25" s="107" t="s">
        <v>61</v>
      </c>
      <c r="J25" s="107" t="s">
        <v>62</v>
      </c>
      <c r="K25" s="107" t="s">
        <v>63</v>
      </c>
      <c r="L25" s="107" t="s">
        <v>60</v>
      </c>
      <c r="M25" s="107">
        <v>200</v>
      </c>
      <c r="N25" s="107" t="s">
        <v>64</v>
      </c>
      <c r="O25" s="107" t="s">
        <v>65</v>
      </c>
      <c r="P25" s="119">
        <v>7.28</v>
      </c>
      <c r="Q25" s="107">
        <v>4</v>
      </c>
      <c r="R25" s="107">
        <v>290</v>
      </c>
      <c r="S25" s="107">
        <v>315744</v>
      </c>
      <c r="T25" s="116">
        <f t="shared" si="0"/>
        <v>315744000000</v>
      </c>
      <c r="U25" s="107" t="s">
        <v>60</v>
      </c>
      <c r="V25" s="107" t="s">
        <v>66</v>
      </c>
      <c r="W25" s="107" t="s">
        <v>60</v>
      </c>
      <c r="X25" s="111">
        <v>18.920000000000002</v>
      </c>
      <c r="Y25" s="111">
        <v>19.149999999999999</v>
      </c>
      <c r="Z25" s="107"/>
      <c r="AA25" s="111">
        <f t="shared" si="1"/>
        <v>19.035</v>
      </c>
      <c r="AB25" s="111">
        <f t="shared" si="2"/>
        <v>4.1999542309820148</v>
      </c>
      <c r="AC25" s="112">
        <f t="shared" si="3"/>
        <v>491898673.51242924</v>
      </c>
      <c r="AD25" s="111">
        <f t="shared" si="4"/>
        <v>52.418164637783363</v>
      </c>
      <c r="AE25" s="107">
        <v>20.97</v>
      </c>
      <c r="AF25" s="107">
        <v>21.42</v>
      </c>
      <c r="AG25" s="107"/>
      <c r="AH25" s="111">
        <f t="shared" si="5"/>
        <v>21.195</v>
      </c>
      <c r="AI25" s="107">
        <f t="shared" si="6"/>
        <v>2202.102260410873</v>
      </c>
      <c r="AJ25" s="112">
        <f t="shared" si="7"/>
        <v>110.10511302054366</v>
      </c>
      <c r="AK25" s="107">
        <v>37.796133247864802</v>
      </c>
      <c r="AL25" s="107">
        <v>38.001542997309897</v>
      </c>
      <c r="AM25" s="107"/>
      <c r="AN25" s="113">
        <f t="shared" si="8"/>
        <v>37.89883812258735</v>
      </c>
      <c r="AO25" s="107">
        <f t="shared" si="9"/>
        <v>4.3351130411577017E-7</v>
      </c>
      <c r="AP25" s="107">
        <f t="shared" si="10"/>
        <v>25.677616691179708</v>
      </c>
      <c r="AQ25" s="112">
        <f t="shared" si="11"/>
        <v>1.2838808345589854</v>
      </c>
      <c r="AR25" s="112">
        <f t="shared" si="12"/>
        <v>1.1660501491147246E-2</v>
      </c>
      <c r="AS25" s="112">
        <f t="shared" si="13"/>
        <v>3681733382.820796</v>
      </c>
      <c r="AT25" s="107"/>
      <c r="AU25" s="107" t="s">
        <v>67</v>
      </c>
    </row>
    <row r="26" spans="2:47" s="103" customFormat="1" x14ac:dyDescent="0.35">
      <c r="B26" s="107" t="s">
        <v>54</v>
      </c>
      <c r="C26" s="114" t="s">
        <v>74</v>
      </c>
      <c r="D26" s="104" t="s">
        <v>57</v>
      </c>
      <c r="E26" s="106" t="s">
        <v>58</v>
      </c>
      <c r="F26" s="107" t="s">
        <v>59</v>
      </c>
      <c r="G26" s="107">
        <v>-20</v>
      </c>
      <c r="H26" s="107" t="s">
        <v>60</v>
      </c>
      <c r="I26" s="107" t="s">
        <v>61</v>
      </c>
      <c r="J26" s="107" t="s">
        <v>62</v>
      </c>
      <c r="K26" s="107" t="s">
        <v>63</v>
      </c>
      <c r="L26" s="107" t="s">
        <v>60</v>
      </c>
      <c r="M26" s="107">
        <v>200</v>
      </c>
      <c r="N26" s="107" t="s">
        <v>64</v>
      </c>
      <c r="O26" s="107" t="s">
        <v>65</v>
      </c>
      <c r="P26" s="119">
        <v>7.89</v>
      </c>
      <c r="Q26" s="107">
        <v>4</v>
      </c>
      <c r="R26" s="107">
        <v>160</v>
      </c>
      <c r="S26" s="107">
        <v>251688</v>
      </c>
      <c r="T26" s="116">
        <f t="shared" si="0"/>
        <v>251688000000</v>
      </c>
      <c r="U26" s="107" t="s">
        <v>60</v>
      </c>
      <c r="V26" s="107" t="s">
        <v>66</v>
      </c>
      <c r="W26" s="107" t="s">
        <v>60</v>
      </c>
      <c r="X26" s="111">
        <v>19.190000000000001</v>
      </c>
      <c r="Y26" s="111">
        <v>19.059999999999999</v>
      </c>
      <c r="Z26" s="107"/>
      <c r="AA26" s="111">
        <f t="shared" si="1"/>
        <v>19.125</v>
      </c>
      <c r="AB26" s="111">
        <f t="shared" si="2"/>
        <v>3.9544149515303455</v>
      </c>
      <c r="AC26" s="112">
        <f t="shared" si="3"/>
        <v>463141111.11650914</v>
      </c>
      <c r="AD26" s="111">
        <f t="shared" si="4"/>
        <v>49.353674486820239</v>
      </c>
      <c r="AE26" s="107">
        <v>21.48</v>
      </c>
      <c r="AF26" s="107">
        <v>21.59</v>
      </c>
      <c r="AG26" s="107"/>
      <c r="AH26" s="111">
        <f t="shared" si="5"/>
        <v>21.535</v>
      </c>
      <c r="AI26" s="107">
        <f t="shared" si="6"/>
        <v>1720.3003484319688</v>
      </c>
      <c r="AJ26" s="112">
        <f t="shared" si="7"/>
        <v>86.015017421598444</v>
      </c>
      <c r="AK26" s="107">
        <v>38.214794656121398</v>
      </c>
      <c r="AL26" s="107">
        <v>35.951272566562402</v>
      </c>
      <c r="AM26" s="107"/>
      <c r="AN26" s="113">
        <f t="shared" si="8"/>
        <v>37.083033611341904</v>
      </c>
      <c r="AO26" s="107">
        <f t="shared" si="9"/>
        <v>7.4357610450285444E-7</v>
      </c>
      <c r="AP26" s="107">
        <f t="shared" si="10"/>
        <v>44.043285632630202</v>
      </c>
      <c r="AQ26" s="112">
        <f t="shared" si="11"/>
        <v>2.2021642816315099</v>
      </c>
      <c r="AR26" s="112">
        <f t="shared" si="12"/>
        <v>2.5602090746987917E-2</v>
      </c>
      <c r="AS26" s="112">
        <f t="shared" si="13"/>
        <v>6443739015.9278946</v>
      </c>
      <c r="AT26" s="107"/>
      <c r="AU26" s="107" t="s">
        <v>67</v>
      </c>
    </row>
    <row r="27" spans="2:47" s="103" customFormat="1" x14ac:dyDescent="0.35">
      <c r="B27" s="107" t="s">
        <v>54</v>
      </c>
      <c r="C27" s="114">
        <v>43839</v>
      </c>
      <c r="D27" s="104" t="s">
        <v>57</v>
      </c>
      <c r="E27" s="106" t="s">
        <v>58</v>
      </c>
      <c r="F27" s="107" t="s">
        <v>59</v>
      </c>
      <c r="G27" s="107">
        <v>-20</v>
      </c>
      <c r="H27" s="107" t="s">
        <v>60</v>
      </c>
      <c r="I27" s="107" t="s">
        <v>61</v>
      </c>
      <c r="J27" s="107" t="s">
        <v>62</v>
      </c>
      <c r="K27" s="107" t="s">
        <v>63</v>
      </c>
      <c r="L27" s="107" t="s">
        <v>60</v>
      </c>
      <c r="M27" s="107">
        <v>200</v>
      </c>
      <c r="N27" s="107" t="s">
        <v>64</v>
      </c>
      <c r="O27" s="107" t="s">
        <v>65</v>
      </c>
      <c r="P27" s="119">
        <v>7.93</v>
      </c>
      <c r="Q27" s="107">
        <v>4</v>
      </c>
      <c r="R27" s="107">
        <v>230</v>
      </c>
      <c r="S27" s="107">
        <v>201024</v>
      </c>
      <c r="T27" s="116">
        <f t="shared" si="0"/>
        <v>201024000000</v>
      </c>
      <c r="U27" s="107" t="s">
        <v>60</v>
      </c>
      <c r="V27" s="107" t="s">
        <v>66</v>
      </c>
      <c r="W27" s="107" t="s">
        <v>60</v>
      </c>
      <c r="X27" s="111">
        <v>19.100000000000001</v>
      </c>
      <c r="Y27" s="111">
        <v>19.07</v>
      </c>
      <c r="Z27" s="107"/>
      <c r="AA27" s="111">
        <f t="shared" si="1"/>
        <v>19.085000000000001</v>
      </c>
      <c r="AB27" s="111">
        <f t="shared" si="2"/>
        <v>4.0617195795361019</v>
      </c>
      <c r="AC27" s="112">
        <f t="shared" si="3"/>
        <v>475708630.01669359</v>
      </c>
      <c r="AD27" s="111">
        <f t="shared" si="4"/>
        <v>50.692906142182032</v>
      </c>
      <c r="AE27" s="107">
        <v>21.85</v>
      </c>
      <c r="AF27" s="107">
        <v>21.6</v>
      </c>
      <c r="AG27" s="107"/>
      <c r="AH27" s="111">
        <f t="shared" si="5"/>
        <v>21.725000000000001</v>
      </c>
      <c r="AI27" s="107">
        <f t="shared" si="6"/>
        <v>1498.5796782838979</v>
      </c>
      <c r="AJ27" s="112">
        <f t="shared" si="7"/>
        <v>74.928983914194902</v>
      </c>
      <c r="AK27" s="107">
        <v>35.397427833068001</v>
      </c>
      <c r="AL27" s="107">
        <v>35.9061916827593</v>
      </c>
      <c r="AM27" s="107"/>
      <c r="AN27" s="113">
        <f t="shared" si="8"/>
        <v>35.651809757913654</v>
      </c>
      <c r="AO27" s="107">
        <f t="shared" si="9"/>
        <v>1.9161011378811582E-6</v>
      </c>
      <c r="AP27" s="107">
        <f t="shared" si="10"/>
        <v>113.49395066041103</v>
      </c>
      <c r="AQ27" s="112">
        <f t="shared" si="11"/>
        <v>5.6746975330205514</v>
      </c>
      <c r="AR27" s="112">
        <f t="shared" si="12"/>
        <v>7.573434519703276E-2</v>
      </c>
      <c r="AS27" s="112">
        <f t="shared" si="13"/>
        <v>15224421008.888313</v>
      </c>
      <c r="AT27" s="107"/>
      <c r="AU27" s="107" t="s">
        <v>67</v>
      </c>
    </row>
    <row r="28" spans="2:47" s="5" customFormat="1" x14ac:dyDescent="0.35">
      <c r="B28" s="8"/>
      <c r="C28" s="38"/>
      <c r="D28" s="10" t="s">
        <v>75</v>
      </c>
      <c r="E28" s="34"/>
      <c r="F28" s="8"/>
      <c r="G28" s="8"/>
      <c r="H28" s="8"/>
      <c r="I28" s="8"/>
      <c r="J28" s="8"/>
      <c r="K28" s="8"/>
      <c r="L28" s="8"/>
      <c r="M28" s="8"/>
      <c r="N28" s="8"/>
      <c r="O28" s="8"/>
      <c r="P28" s="20"/>
      <c r="Q28" s="8"/>
      <c r="R28" s="8"/>
      <c r="S28" s="8"/>
      <c r="T28" s="24"/>
      <c r="U28" s="8"/>
      <c r="V28" s="8"/>
      <c r="W28" s="8"/>
      <c r="X28" s="18">
        <v>17.96</v>
      </c>
      <c r="Y28" s="18">
        <v>18.18</v>
      </c>
      <c r="Z28" s="8"/>
      <c r="AA28" s="18">
        <f t="shared" si="1"/>
        <v>18.07</v>
      </c>
      <c r="AB28" s="18">
        <f t="shared" si="2"/>
        <v>8.0124023036752021</v>
      </c>
      <c r="AC28" s="19">
        <f>(AB28*(6.0221*10^23))/(15123*340*10^9)</f>
        <v>938412622.63094449</v>
      </c>
      <c r="AD28" s="92">
        <f t="shared" si="4"/>
        <v>100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2:47" s="5" customFormat="1" x14ac:dyDescent="0.35">
      <c r="B29" s="8"/>
      <c r="C29" s="17"/>
      <c r="D29" s="1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20"/>
      <c r="Q29" s="8"/>
      <c r="R29" s="8"/>
      <c r="S29" s="8"/>
      <c r="T29" s="24">
        <f t="shared" si="0"/>
        <v>0</v>
      </c>
      <c r="U29" s="8"/>
      <c r="V29" s="8"/>
      <c r="W29" s="8"/>
      <c r="X29" s="18"/>
      <c r="Y29" s="18"/>
      <c r="Z29" s="8"/>
      <c r="AA29" s="18"/>
      <c r="AB29" s="18"/>
      <c r="AC29" s="19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47" s="103" customFormat="1" x14ac:dyDescent="0.35">
      <c r="B30" s="107" t="s">
        <v>54</v>
      </c>
      <c r="C30" s="114">
        <v>44053</v>
      </c>
      <c r="D30" s="104" t="s">
        <v>57</v>
      </c>
      <c r="E30" s="106" t="s">
        <v>58</v>
      </c>
      <c r="F30" s="107" t="s">
        <v>59</v>
      </c>
      <c r="G30" s="107">
        <v>-20</v>
      </c>
      <c r="H30" s="107" t="s">
        <v>60</v>
      </c>
      <c r="I30" s="107" t="s">
        <v>61</v>
      </c>
      <c r="J30" s="107" t="s">
        <v>62</v>
      </c>
      <c r="K30" s="107" t="s">
        <v>63</v>
      </c>
      <c r="L30" s="107" t="s">
        <v>60</v>
      </c>
      <c r="M30" s="107">
        <v>200</v>
      </c>
      <c r="N30" s="107" t="s">
        <v>64</v>
      </c>
      <c r="O30" s="107" t="s">
        <v>65</v>
      </c>
      <c r="P30" s="115" t="s">
        <v>76</v>
      </c>
      <c r="Q30" s="107">
        <v>4</v>
      </c>
      <c r="R30" s="107" t="s">
        <v>60</v>
      </c>
      <c r="S30" s="107">
        <v>192744</v>
      </c>
      <c r="T30" s="116">
        <f>S30*1000000</f>
        <v>192744000000</v>
      </c>
      <c r="U30" s="107" t="s">
        <v>60</v>
      </c>
      <c r="V30" s="107" t="s">
        <v>66</v>
      </c>
      <c r="W30" s="107" t="s">
        <v>60</v>
      </c>
      <c r="X30" s="117">
        <v>22.256965639885699</v>
      </c>
      <c r="Y30" s="117">
        <v>22.251730791014499</v>
      </c>
      <c r="Z30" s="107"/>
      <c r="AA30" s="111">
        <f t="shared" ref="AA30:AA40" si="14">AVERAGE(X30:Z30)</f>
        <v>22.254348215450101</v>
      </c>
      <c r="AB30" s="111">
        <f t="shared" ref="AB30:AB40" si="15">EXP((AA30-21.179)/-1.494)</f>
        <v>0.486860364937171</v>
      </c>
      <c r="AC30" s="112">
        <f t="shared" ref="AC30:AC40" si="16">(AB30*(6.0221*10^23))/(15123*340*10^9)</f>
        <v>57021089.880395211</v>
      </c>
      <c r="AD30" s="120">
        <f t="shared" ref="AD30:AD40" si="17">AC30*100/AC$62</f>
        <v>8.7326055539243548</v>
      </c>
      <c r="AE30" s="107">
        <v>25.253650203929901</v>
      </c>
      <c r="AF30" s="107">
        <v>25.241444816144799</v>
      </c>
      <c r="AG30" s="107"/>
      <c r="AH30" s="111">
        <f t="shared" ref="AH30:AH39" si="18">AVERAGE(AE30:AG30)</f>
        <v>25.24754751003735</v>
      </c>
      <c r="AI30" s="107">
        <f>EXP((AH30-31.794)/-1.377)</f>
        <v>116.06393949613692</v>
      </c>
      <c r="AJ30" s="112">
        <f>(AI30/5)*(50/200)</f>
        <v>5.8031969748068466</v>
      </c>
      <c r="AK30" s="107">
        <v>37.238504373887501</v>
      </c>
      <c r="AL30" s="107">
        <v>37.832624948582797</v>
      </c>
      <c r="AM30" s="107"/>
      <c r="AN30" s="113">
        <f>AVERAGE(AK30:AM30)</f>
        <v>37.535564661235149</v>
      </c>
      <c r="AO30" s="107">
        <f>EXP((AN30-15.746)/-1.512)</f>
        <v>5.5124430631876794E-7</v>
      </c>
      <c r="AP30" s="107">
        <f>(AO30*(6.0221*10^23))/(29903*340*10^9)</f>
        <v>32.651143964330281</v>
      </c>
      <c r="AQ30" s="112">
        <f>(AP30/5)*(50/200)</f>
        <v>1.6325571982165141</v>
      </c>
      <c r="AR30" s="112">
        <f>AQ30/AJ30</f>
        <v>0.28132031452729589</v>
      </c>
      <c r="AS30" s="112">
        <f>AR30*T30</f>
        <v>54222802703.249123</v>
      </c>
      <c r="AT30" s="107"/>
      <c r="AU30" s="107" t="s">
        <v>67</v>
      </c>
    </row>
    <row r="31" spans="2:47" s="103" customFormat="1" x14ac:dyDescent="0.35">
      <c r="B31" s="107" t="s">
        <v>54</v>
      </c>
      <c r="C31" s="114">
        <v>44081</v>
      </c>
      <c r="D31" s="104" t="s">
        <v>57</v>
      </c>
      <c r="E31" s="106" t="s">
        <v>58</v>
      </c>
      <c r="F31" s="107" t="s">
        <v>59</v>
      </c>
      <c r="G31" s="107">
        <v>-20</v>
      </c>
      <c r="H31" s="107" t="s">
        <v>60</v>
      </c>
      <c r="I31" s="107" t="s">
        <v>61</v>
      </c>
      <c r="J31" s="107" t="s">
        <v>62</v>
      </c>
      <c r="K31" s="107" t="s">
        <v>63</v>
      </c>
      <c r="L31" s="107" t="s">
        <v>60</v>
      </c>
      <c r="M31" s="107">
        <v>200</v>
      </c>
      <c r="N31" s="107" t="s">
        <v>64</v>
      </c>
      <c r="O31" s="107" t="s">
        <v>65</v>
      </c>
      <c r="P31" s="115" t="s">
        <v>77</v>
      </c>
      <c r="Q31" s="107">
        <v>4</v>
      </c>
      <c r="R31" s="107" t="s">
        <v>60</v>
      </c>
      <c r="S31" s="107">
        <v>196440</v>
      </c>
      <c r="T31" s="116">
        <f t="shared" si="0"/>
        <v>196440000000</v>
      </c>
      <c r="U31" s="107" t="s">
        <v>60</v>
      </c>
      <c r="V31" s="107" t="s">
        <v>66</v>
      </c>
      <c r="W31" s="107" t="s">
        <v>60</v>
      </c>
      <c r="X31" s="117">
        <v>21.152493297365201</v>
      </c>
      <c r="Y31" s="117">
        <v>21.381691363377499</v>
      </c>
      <c r="Z31" s="107"/>
      <c r="AA31" s="111">
        <f t="shared" si="14"/>
        <v>21.267092330371348</v>
      </c>
      <c r="AB31" s="111">
        <f t="shared" si="15"/>
        <v>0.94274063504130745</v>
      </c>
      <c r="AC31" s="112">
        <f t="shared" si="16"/>
        <v>110413790.80330032</v>
      </c>
      <c r="AD31" s="120">
        <f t="shared" si="17"/>
        <v>16.909534434034907</v>
      </c>
      <c r="AE31" s="107">
        <v>23.049266014950199</v>
      </c>
      <c r="AF31" s="107">
        <v>23.501225303326301</v>
      </c>
      <c r="AG31" s="107"/>
      <c r="AH31" s="111">
        <f t="shared" si="18"/>
        <v>23.27524565913825</v>
      </c>
      <c r="AI31" s="107">
        <f t="shared" ref="AI31:AI39" si="19">EXP((AH31-31.794)/-1.377)</f>
        <v>486.12180317287471</v>
      </c>
      <c r="AJ31" s="112">
        <f t="shared" ref="AJ31:AJ39" si="20">(AI31/5)*(50/200)</f>
        <v>24.306090158643734</v>
      </c>
      <c r="AK31" s="107">
        <v>32.386545612621397</v>
      </c>
      <c r="AL31" s="107">
        <v>32.835001406367702</v>
      </c>
      <c r="AM31" s="107"/>
      <c r="AN31" s="113">
        <f t="shared" ref="AN31:AN39" si="21">AVERAGE(AK31:AM31)</f>
        <v>32.61077350949455</v>
      </c>
      <c r="AO31" s="107">
        <f t="shared" ref="AO31:AO39" si="22">EXP((AN31-15.746)/-1.512)</f>
        <v>1.4318606196827343E-5</v>
      </c>
      <c r="AP31" s="107">
        <f t="shared" ref="AP31:AP39" si="23">(AO31*(6.0221*10^23))/(29903*340*10^9)</f>
        <v>848.11555773386829</v>
      </c>
      <c r="AQ31" s="112">
        <f t="shared" ref="AQ31:AQ39" si="24">(AP31/5)*(50/200)</f>
        <v>42.405777886693414</v>
      </c>
      <c r="AR31" s="112">
        <f t="shared" ref="AR31:AR39" si="25">AQ31/AJ31</f>
        <v>1.7446564877326873</v>
      </c>
      <c r="AS31" s="112">
        <f t="shared" ref="AS31:AS39" si="26">AR31*T31</f>
        <v>342720320450.20911</v>
      </c>
      <c r="AT31" s="107"/>
      <c r="AU31" s="107" t="s">
        <v>67</v>
      </c>
    </row>
    <row r="32" spans="2:47" s="103" customFormat="1" x14ac:dyDescent="0.35">
      <c r="B32" s="107" t="s">
        <v>54</v>
      </c>
      <c r="C32" s="114">
        <v>44084</v>
      </c>
      <c r="D32" s="104" t="s">
        <v>57</v>
      </c>
      <c r="E32" s="106" t="s">
        <v>58</v>
      </c>
      <c r="F32" s="107" t="s">
        <v>59</v>
      </c>
      <c r="G32" s="107">
        <v>-20</v>
      </c>
      <c r="H32" s="107" t="s">
        <v>60</v>
      </c>
      <c r="I32" s="107" t="s">
        <v>61</v>
      </c>
      <c r="J32" s="107" t="s">
        <v>62</v>
      </c>
      <c r="K32" s="107" t="s">
        <v>63</v>
      </c>
      <c r="L32" s="107" t="s">
        <v>60</v>
      </c>
      <c r="M32" s="107">
        <v>200</v>
      </c>
      <c r="N32" s="107" t="s">
        <v>64</v>
      </c>
      <c r="O32" s="107" t="s">
        <v>65</v>
      </c>
      <c r="P32" s="115" t="s">
        <v>78</v>
      </c>
      <c r="Q32" s="107">
        <v>4</v>
      </c>
      <c r="R32" s="107" t="s">
        <v>60</v>
      </c>
      <c r="S32" s="107">
        <v>352152</v>
      </c>
      <c r="T32" s="116">
        <f t="shared" si="0"/>
        <v>352152000000</v>
      </c>
      <c r="U32" s="107" t="s">
        <v>60</v>
      </c>
      <c r="V32" s="107" t="s">
        <v>66</v>
      </c>
      <c r="W32" s="107" t="s">
        <v>60</v>
      </c>
      <c r="X32" s="117">
        <v>28.583557554657201</v>
      </c>
      <c r="Y32" s="117">
        <v>28.4929627797911</v>
      </c>
      <c r="Z32" s="107"/>
      <c r="AA32" s="111">
        <f t="shared" si="14"/>
        <v>28.538260167224152</v>
      </c>
      <c r="AB32" s="111">
        <f t="shared" si="15"/>
        <v>7.2563600047962648E-3</v>
      </c>
      <c r="AC32" s="112">
        <f t="shared" si="16"/>
        <v>849864.94246946764</v>
      </c>
      <c r="AD32" s="120">
        <f t="shared" si="17"/>
        <v>0.13015421718984227</v>
      </c>
      <c r="AE32" s="107">
        <v>31.084241792171099</v>
      </c>
      <c r="AF32" s="107">
        <v>31.139026854673201</v>
      </c>
      <c r="AG32" s="107"/>
      <c r="AH32" s="111">
        <f t="shared" si="18"/>
        <v>31.111634323422152</v>
      </c>
      <c r="AI32" s="107">
        <f t="shared" si="19"/>
        <v>1.6413928064782206</v>
      </c>
      <c r="AJ32" s="112">
        <f t="shared" si="20"/>
        <v>8.2069640323911036E-2</v>
      </c>
      <c r="AK32" s="107">
        <v>37.1826824413248</v>
      </c>
      <c r="AL32" s="107">
        <v>38.489713129602798</v>
      </c>
      <c r="AM32" s="107"/>
      <c r="AN32" s="113">
        <f t="shared" si="21"/>
        <v>37.836197785463796</v>
      </c>
      <c r="AO32" s="107">
        <f t="shared" si="22"/>
        <v>4.5184837348668765E-7</v>
      </c>
      <c r="AP32" s="107">
        <f t="shared" si="23"/>
        <v>26.763752702111155</v>
      </c>
      <c r="AQ32" s="112">
        <f t="shared" si="24"/>
        <v>1.3381876351055577</v>
      </c>
      <c r="AR32" s="112">
        <f t="shared" si="25"/>
        <v>16.305513583634848</v>
      </c>
      <c r="AS32" s="112">
        <f t="shared" si="26"/>
        <v>5742019219504.1787</v>
      </c>
      <c r="AT32" s="107"/>
      <c r="AU32" s="107" t="s">
        <v>67</v>
      </c>
    </row>
    <row r="33" spans="2:47" s="103" customFormat="1" x14ac:dyDescent="0.35">
      <c r="B33" s="107" t="s">
        <v>54</v>
      </c>
      <c r="C33" s="114">
        <v>44091</v>
      </c>
      <c r="D33" s="104" t="s">
        <v>57</v>
      </c>
      <c r="E33" s="106" t="s">
        <v>58</v>
      </c>
      <c r="F33" s="107" t="s">
        <v>59</v>
      </c>
      <c r="G33" s="107">
        <v>-20</v>
      </c>
      <c r="H33" s="107" t="s">
        <v>60</v>
      </c>
      <c r="I33" s="107" t="s">
        <v>61</v>
      </c>
      <c r="J33" s="107" t="s">
        <v>62</v>
      </c>
      <c r="K33" s="107" t="s">
        <v>63</v>
      </c>
      <c r="L33" s="107" t="s">
        <v>60</v>
      </c>
      <c r="M33" s="107">
        <v>200</v>
      </c>
      <c r="N33" s="107" t="s">
        <v>64</v>
      </c>
      <c r="O33" s="107" t="s">
        <v>65</v>
      </c>
      <c r="P33" s="115" t="s">
        <v>79</v>
      </c>
      <c r="Q33" s="107">
        <v>4</v>
      </c>
      <c r="R33" s="107" t="s">
        <v>60</v>
      </c>
      <c r="S33" s="107">
        <v>202920</v>
      </c>
      <c r="T33" s="116">
        <f t="shared" si="0"/>
        <v>202920000000</v>
      </c>
      <c r="U33" s="107" t="s">
        <v>60</v>
      </c>
      <c r="V33" s="107" t="s">
        <v>66</v>
      </c>
      <c r="W33" s="107" t="s">
        <v>60</v>
      </c>
      <c r="X33" s="117">
        <v>19.797647944433798</v>
      </c>
      <c r="Y33" s="117">
        <v>23.879007464660901</v>
      </c>
      <c r="Z33" s="107"/>
      <c r="AA33" s="111">
        <f t="shared" si="14"/>
        <v>21.83832770454735</v>
      </c>
      <c r="AB33" s="111">
        <f t="shared" si="15"/>
        <v>0.64318873753831518</v>
      </c>
      <c r="AC33" s="112">
        <f t="shared" si="16"/>
        <v>75330270.144219115</v>
      </c>
      <c r="AD33" s="120">
        <f t="shared" si="17"/>
        <v>11.536600524820948</v>
      </c>
      <c r="AE33" s="107">
        <v>21.555558467025602</v>
      </c>
      <c r="AF33" s="107">
        <v>19.619996524754502</v>
      </c>
      <c r="AG33" s="107"/>
      <c r="AH33" s="111">
        <f t="shared" si="18"/>
        <v>20.587777495890052</v>
      </c>
      <c r="AI33" s="107">
        <f t="shared" si="19"/>
        <v>3422.5552647418513</v>
      </c>
      <c r="AJ33" s="112">
        <f t="shared" si="20"/>
        <v>171.12776323709255</v>
      </c>
      <c r="AK33" s="107">
        <v>33.223136115075597</v>
      </c>
      <c r="AL33" s="107">
        <v>33.018477120039002</v>
      </c>
      <c r="AM33" s="107"/>
      <c r="AN33" s="113">
        <f t="shared" si="21"/>
        <v>33.120806617557299</v>
      </c>
      <c r="AO33" s="107">
        <f t="shared" si="22"/>
        <v>1.0218873360529663E-5</v>
      </c>
      <c r="AP33" s="107">
        <f t="shared" si="23"/>
        <v>605.28136331437997</v>
      </c>
      <c r="AQ33" s="112">
        <f t="shared" si="24"/>
        <v>30.264068165718999</v>
      </c>
      <c r="AR33" s="112">
        <f t="shared" si="25"/>
        <v>0.17685072014754855</v>
      </c>
      <c r="AS33" s="112">
        <f t="shared" si="26"/>
        <v>35886548132.340553</v>
      </c>
      <c r="AT33" s="107"/>
      <c r="AU33" s="107" t="s">
        <v>67</v>
      </c>
    </row>
    <row r="34" spans="2:47" s="103" customFormat="1" x14ac:dyDescent="0.35">
      <c r="B34" s="107" t="s">
        <v>54</v>
      </c>
      <c r="C34" s="114">
        <v>44095</v>
      </c>
      <c r="D34" s="104" t="s">
        <v>57</v>
      </c>
      <c r="E34" s="106" t="s">
        <v>58</v>
      </c>
      <c r="F34" s="107" t="s">
        <v>59</v>
      </c>
      <c r="G34" s="107">
        <v>-20</v>
      </c>
      <c r="H34" s="107" t="s">
        <v>60</v>
      </c>
      <c r="I34" s="107" t="s">
        <v>61</v>
      </c>
      <c r="J34" s="107" t="s">
        <v>62</v>
      </c>
      <c r="K34" s="107" t="s">
        <v>63</v>
      </c>
      <c r="L34" s="107" t="s">
        <v>60</v>
      </c>
      <c r="M34" s="107">
        <v>200</v>
      </c>
      <c r="N34" s="107" t="s">
        <v>64</v>
      </c>
      <c r="O34" s="107" t="s">
        <v>65</v>
      </c>
      <c r="P34" s="115" t="s">
        <v>80</v>
      </c>
      <c r="Q34" s="107">
        <v>4</v>
      </c>
      <c r="R34" s="107" t="s">
        <v>60</v>
      </c>
      <c r="S34" s="107">
        <v>184560</v>
      </c>
      <c r="T34" s="116">
        <f t="shared" si="0"/>
        <v>184560000000</v>
      </c>
      <c r="U34" s="107" t="s">
        <v>60</v>
      </c>
      <c r="V34" s="107" t="s">
        <v>66</v>
      </c>
      <c r="W34" s="107" t="s">
        <v>60</v>
      </c>
      <c r="X34" s="111">
        <v>31.621395944206199</v>
      </c>
      <c r="Y34" s="111">
        <v>31.713536923192201</v>
      </c>
      <c r="Z34" s="107"/>
      <c r="AA34" s="111">
        <f t="shared" si="14"/>
        <v>31.6674664336992</v>
      </c>
      <c r="AB34" s="111">
        <f t="shared" si="15"/>
        <v>8.9347471203989721E-4</v>
      </c>
      <c r="AC34" s="112">
        <f t="shared" si="16"/>
        <v>104643.7655027882</v>
      </c>
      <c r="AD34" s="120">
        <f t="shared" si="17"/>
        <v>1.6025872703064378E-2</v>
      </c>
      <c r="AE34" s="107">
        <v>32.847940077451902</v>
      </c>
      <c r="AF34" s="107">
        <v>32.818997153326897</v>
      </c>
      <c r="AG34" s="107"/>
      <c r="AH34" s="111">
        <f t="shared" si="18"/>
        <v>32.8334686153894</v>
      </c>
      <c r="AI34" s="107">
        <f t="shared" si="19"/>
        <v>0.47006741012484066</v>
      </c>
      <c r="AJ34" s="112">
        <f t="shared" si="20"/>
        <v>2.3503370506242034E-2</v>
      </c>
      <c r="AK34" s="107">
        <v>37.7306419168819</v>
      </c>
      <c r="AL34" s="107"/>
      <c r="AM34" s="107"/>
      <c r="AN34" s="113">
        <f t="shared" si="21"/>
        <v>37.7306419168819</v>
      </c>
      <c r="AO34" s="107">
        <f t="shared" si="22"/>
        <v>4.8452001885410574E-7</v>
      </c>
      <c r="AP34" s="107">
        <f t="shared" si="23"/>
        <v>28.698950189350569</v>
      </c>
      <c r="AQ34" s="112">
        <f t="shared" si="24"/>
        <v>1.4349475094675284</v>
      </c>
      <c r="AR34" s="112">
        <f t="shared" si="25"/>
        <v>61.052839595343762</v>
      </c>
      <c r="AS34" s="112">
        <f t="shared" si="26"/>
        <v>11267912075716.645</v>
      </c>
      <c r="AT34" s="107"/>
      <c r="AU34" s="107" t="s">
        <v>67</v>
      </c>
    </row>
    <row r="35" spans="2:47" s="103" customFormat="1" x14ac:dyDescent="0.35">
      <c r="B35" s="107" t="s">
        <v>54</v>
      </c>
      <c r="C35" s="114">
        <v>44095</v>
      </c>
      <c r="D35" s="104" t="s">
        <v>57</v>
      </c>
      <c r="E35" s="106" t="s">
        <v>58</v>
      </c>
      <c r="F35" s="107" t="s">
        <v>59</v>
      </c>
      <c r="G35" s="107">
        <v>-20</v>
      </c>
      <c r="H35" s="107" t="s">
        <v>60</v>
      </c>
      <c r="I35" s="107" t="s">
        <v>61</v>
      </c>
      <c r="J35" s="107" t="s">
        <v>62</v>
      </c>
      <c r="K35" s="107" t="s">
        <v>63</v>
      </c>
      <c r="L35" s="107" t="s">
        <v>60</v>
      </c>
      <c r="M35" s="107">
        <v>200</v>
      </c>
      <c r="N35" s="107" t="s">
        <v>64</v>
      </c>
      <c r="O35" s="107" t="s">
        <v>65</v>
      </c>
      <c r="P35" s="119" t="s">
        <v>79</v>
      </c>
      <c r="Q35" s="107">
        <v>4</v>
      </c>
      <c r="R35" s="107" t="s">
        <v>60</v>
      </c>
      <c r="S35" s="107">
        <v>184560</v>
      </c>
      <c r="T35" s="116">
        <f t="shared" si="0"/>
        <v>184560000000</v>
      </c>
      <c r="U35" s="107" t="s">
        <v>60</v>
      </c>
      <c r="V35" s="107" t="s">
        <v>66</v>
      </c>
      <c r="W35" s="107" t="s">
        <v>60</v>
      </c>
      <c r="X35" s="111">
        <v>20.2348708712234</v>
      </c>
      <c r="Y35" s="111">
        <v>20.235866024488001</v>
      </c>
      <c r="Z35" s="107"/>
      <c r="AA35" s="111">
        <f t="shared" si="14"/>
        <v>20.235368447855699</v>
      </c>
      <c r="AB35" s="111">
        <f t="shared" si="15"/>
        <v>1.8806437868974373</v>
      </c>
      <c r="AC35" s="112">
        <f t="shared" si="16"/>
        <v>220261015.5368149</v>
      </c>
      <c r="AD35" s="120">
        <f t="shared" si="17"/>
        <v>33.732301006949413</v>
      </c>
      <c r="AE35" s="107">
        <v>21.6271245702602</v>
      </c>
      <c r="AF35" s="107">
        <v>21.697014618844801</v>
      </c>
      <c r="AG35" s="107"/>
      <c r="AH35" s="111">
        <f t="shared" si="18"/>
        <v>21.662069594552499</v>
      </c>
      <c r="AI35" s="107">
        <f t="shared" si="19"/>
        <v>1568.6554821643167</v>
      </c>
      <c r="AJ35" s="112">
        <f t="shared" si="20"/>
        <v>78.432774108215838</v>
      </c>
      <c r="AK35" s="107">
        <v>33.266644688322003</v>
      </c>
      <c r="AL35" s="107">
        <v>33.610874788475599</v>
      </c>
      <c r="AM35" s="107"/>
      <c r="AN35" s="113">
        <f t="shared" si="21"/>
        <v>33.438759738398801</v>
      </c>
      <c r="AO35" s="107">
        <f t="shared" si="22"/>
        <v>8.2808853119960069E-6</v>
      </c>
      <c r="AP35" s="107">
        <f t="shared" si="23"/>
        <v>490.49101346678913</v>
      </c>
      <c r="AQ35" s="112">
        <f t="shared" si="24"/>
        <v>24.524550673339455</v>
      </c>
      <c r="AR35" s="112">
        <f t="shared" si="25"/>
        <v>0.31268243348759106</v>
      </c>
      <c r="AS35" s="112">
        <f t="shared" si="26"/>
        <v>57708669924.469803</v>
      </c>
      <c r="AT35" s="107"/>
      <c r="AU35" s="107" t="s">
        <v>67</v>
      </c>
    </row>
    <row r="36" spans="2:47" s="103" customFormat="1" x14ac:dyDescent="0.35">
      <c r="B36" s="107" t="s">
        <v>54</v>
      </c>
      <c r="C36" s="114">
        <v>44102</v>
      </c>
      <c r="D36" s="104" t="s">
        <v>57</v>
      </c>
      <c r="E36" s="106" t="s">
        <v>58</v>
      </c>
      <c r="F36" s="107" t="s">
        <v>59</v>
      </c>
      <c r="G36" s="107">
        <v>-20</v>
      </c>
      <c r="H36" s="107" t="s">
        <v>60</v>
      </c>
      <c r="I36" s="107" t="s">
        <v>61</v>
      </c>
      <c r="J36" s="107" t="s">
        <v>62</v>
      </c>
      <c r="K36" s="107" t="s">
        <v>63</v>
      </c>
      <c r="L36" s="107" t="s">
        <v>60</v>
      </c>
      <c r="M36" s="107">
        <v>200</v>
      </c>
      <c r="N36" s="107" t="s">
        <v>64</v>
      </c>
      <c r="O36" s="107" t="s">
        <v>65</v>
      </c>
      <c r="P36" s="119" t="s">
        <v>81</v>
      </c>
      <c r="Q36" s="107">
        <v>4</v>
      </c>
      <c r="R36" s="107" t="s">
        <v>60</v>
      </c>
      <c r="S36" s="107">
        <v>179496</v>
      </c>
      <c r="T36" s="116">
        <f t="shared" si="0"/>
        <v>179496000000</v>
      </c>
      <c r="U36" s="107" t="s">
        <v>60</v>
      </c>
      <c r="V36" s="107" t="s">
        <v>66</v>
      </c>
      <c r="W36" s="107" t="s">
        <v>60</v>
      </c>
      <c r="X36" s="111">
        <v>20.2227484610852</v>
      </c>
      <c r="Y36" s="111">
        <v>20.222341193848099</v>
      </c>
      <c r="Z36" s="107"/>
      <c r="AA36" s="111">
        <f t="shared" si="14"/>
        <v>20.222544827466649</v>
      </c>
      <c r="AB36" s="111">
        <f t="shared" si="15"/>
        <v>1.8968556077979577</v>
      </c>
      <c r="AC36" s="112">
        <f t="shared" si="16"/>
        <v>222159744.13184592</v>
      </c>
      <c r="AD36" s="120">
        <f t="shared" si="17"/>
        <v>34.023085485273874</v>
      </c>
      <c r="AE36" s="107">
        <v>21.652128109185998</v>
      </c>
      <c r="AF36" s="107">
        <v>21.8353666667747</v>
      </c>
      <c r="AG36" s="107"/>
      <c r="AH36" s="111">
        <f t="shared" si="18"/>
        <v>21.743747387980349</v>
      </c>
      <c r="AI36" s="107">
        <f t="shared" si="19"/>
        <v>1478.3152836630034</v>
      </c>
      <c r="AJ36" s="112">
        <f t="shared" si="20"/>
        <v>73.915764183150173</v>
      </c>
      <c r="AK36" s="107">
        <v>32.3111938232448</v>
      </c>
      <c r="AL36" s="107">
        <v>32.248771369762501</v>
      </c>
      <c r="AM36" s="107"/>
      <c r="AN36" s="113">
        <f t="shared" si="21"/>
        <v>32.27998259650365</v>
      </c>
      <c r="AO36" s="107">
        <f t="shared" si="22"/>
        <v>1.7820275516888566E-5</v>
      </c>
      <c r="AP36" s="107">
        <f t="shared" si="23"/>
        <v>1055.5254262335927</v>
      </c>
      <c r="AQ36" s="112">
        <f t="shared" si="24"/>
        <v>52.776271311679636</v>
      </c>
      <c r="AR36" s="112">
        <f t="shared" si="25"/>
        <v>0.71400562376530918</v>
      </c>
      <c r="AS36" s="112">
        <f t="shared" si="26"/>
        <v>128161153443.37793</v>
      </c>
      <c r="AT36" s="107"/>
      <c r="AU36" s="107" t="s">
        <v>67</v>
      </c>
    </row>
    <row r="37" spans="2:47" s="103" customFormat="1" x14ac:dyDescent="0.35">
      <c r="B37" s="107" t="s">
        <v>54</v>
      </c>
      <c r="C37" s="114">
        <v>44053</v>
      </c>
      <c r="D37" s="104" t="s">
        <v>57</v>
      </c>
      <c r="E37" s="106" t="s">
        <v>58</v>
      </c>
      <c r="F37" s="107" t="s">
        <v>59</v>
      </c>
      <c r="G37" s="107">
        <v>-20</v>
      </c>
      <c r="H37" s="107" t="s">
        <v>60</v>
      </c>
      <c r="I37" s="107" t="s">
        <v>61</v>
      </c>
      <c r="J37" s="107" t="s">
        <v>62</v>
      </c>
      <c r="K37" s="107" t="s">
        <v>63</v>
      </c>
      <c r="L37" s="107" t="s">
        <v>60</v>
      </c>
      <c r="M37" s="107">
        <v>200</v>
      </c>
      <c r="N37" s="107" t="s">
        <v>64</v>
      </c>
      <c r="O37" s="107" t="s">
        <v>65</v>
      </c>
      <c r="P37" s="119" t="s">
        <v>83</v>
      </c>
      <c r="Q37" s="107">
        <v>4</v>
      </c>
      <c r="R37" s="107" t="s">
        <v>60</v>
      </c>
      <c r="S37" s="107">
        <v>201024</v>
      </c>
      <c r="T37" s="116">
        <f t="shared" si="0"/>
        <v>201024000000</v>
      </c>
      <c r="U37" s="107" t="s">
        <v>60</v>
      </c>
      <c r="V37" s="107" t="s">
        <v>66</v>
      </c>
      <c r="W37" s="107" t="s">
        <v>60</v>
      </c>
      <c r="X37" s="111" t="s">
        <v>84</v>
      </c>
      <c r="Y37" s="111" t="s">
        <v>84</v>
      </c>
      <c r="Z37" s="107"/>
      <c r="AA37" s="111" t="e">
        <f t="shared" si="14"/>
        <v>#DIV/0!</v>
      </c>
      <c r="AB37" s="111" t="e">
        <f t="shared" si="15"/>
        <v>#DIV/0!</v>
      </c>
      <c r="AC37" s="112" t="e">
        <f t="shared" si="16"/>
        <v>#DIV/0!</v>
      </c>
      <c r="AD37" s="120" t="e">
        <f t="shared" si="17"/>
        <v>#DIV/0!</v>
      </c>
      <c r="AE37" s="107">
        <v>28.206717069425899</v>
      </c>
      <c r="AF37" s="107">
        <v>26.7651027474671</v>
      </c>
      <c r="AG37" s="107"/>
      <c r="AH37" s="111">
        <f t="shared" si="18"/>
        <v>27.485909908446502</v>
      </c>
      <c r="AI37" s="107">
        <f t="shared" si="19"/>
        <v>22.842109284321442</v>
      </c>
      <c r="AJ37" s="112">
        <f t="shared" si="20"/>
        <v>1.1421054642160722</v>
      </c>
      <c r="AK37" s="107">
        <v>37.301401279044001</v>
      </c>
      <c r="AL37" s="107">
        <v>38.313264051044499</v>
      </c>
      <c r="AM37" s="107"/>
      <c r="AN37" s="113">
        <f t="shared" si="21"/>
        <v>37.80733266504425</v>
      </c>
      <c r="AO37" s="107">
        <f t="shared" si="22"/>
        <v>4.6055733539487449E-7</v>
      </c>
      <c r="AP37" s="107">
        <f t="shared" si="23"/>
        <v>27.279599425214794</v>
      </c>
      <c r="AQ37" s="112">
        <f t="shared" si="24"/>
        <v>1.3639799712607397</v>
      </c>
      <c r="AR37" s="112">
        <f t="shared" si="25"/>
        <v>1.1942679673605796</v>
      </c>
      <c r="AS37" s="112">
        <f t="shared" si="26"/>
        <v>240076523870.69315</v>
      </c>
      <c r="AT37" s="107"/>
      <c r="AU37" s="107" t="s">
        <v>67</v>
      </c>
    </row>
    <row r="38" spans="2:47" s="103" customFormat="1" x14ac:dyDescent="0.35">
      <c r="B38" s="107" t="s">
        <v>54</v>
      </c>
      <c r="C38" s="114">
        <v>44084</v>
      </c>
      <c r="D38" s="104" t="s">
        <v>57</v>
      </c>
      <c r="E38" s="106" t="s">
        <v>58</v>
      </c>
      <c r="F38" s="107" t="s">
        <v>59</v>
      </c>
      <c r="G38" s="107">
        <v>-20</v>
      </c>
      <c r="H38" s="107" t="s">
        <v>60</v>
      </c>
      <c r="I38" s="107" t="s">
        <v>61</v>
      </c>
      <c r="J38" s="107" t="s">
        <v>62</v>
      </c>
      <c r="K38" s="107" t="s">
        <v>63</v>
      </c>
      <c r="L38" s="107" t="s">
        <v>60</v>
      </c>
      <c r="M38" s="107">
        <v>200</v>
      </c>
      <c r="N38" s="107" t="s">
        <v>64</v>
      </c>
      <c r="O38" s="107" t="s">
        <v>65</v>
      </c>
      <c r="P38" s="119" t="s">
        <v>85</v>
      </c>
      <c r="Q38" s="107">
        <v>4</v>
      </c>
      <c r="R38" s="107" t="s">
        <v>60</v>
      </c>
      <c r="S38" s="107">
        <v>251688</v>
      </c>
      <c r="T38" s="116">
        <f t="shared" si="0"/>
        <v>251688000000</v>
      </c>
      <c r="U38" s="107" t="s">
        <v>60</v>
      </c>
      <c r="V38" s="107" t="s">
        <v>66</v>
      </c>
      <c r="W38" s="107" t="s">
        <v>60</v>
      </c>
      <c r="X38" s="111">
        <v>19.081700979230199</v>
      </c>
      <c r="Y38" s="111">
        <v>19.433835441249901</v>
      </c>
      <c r="Z38" s="107"/>
      <c r="AA38" s="111">
        <f t="shared" si="14"/>
        <v>19.257768210240052</v>
      </c>
      <c r="AB38" s="111">
        <f t="shared" si="15"/>
        <v>3.61815798853429</v>
      </c>
      <c r="AC38" s="112">
        <f t="shared" si="16"/>
        <v>423758692.88991731</v>
      </c>
      <c r="AD38" s="120">
        <f t="shared" si="17"/>
        <v>64.897348030636564</v>
      </c>
      <c r="AE38" s="107">
        <v>21.512334050183899</v>
      </c>
      <c r="AF38" s="107">
        <v>21.5634080879023</v>
      </c>
      <c r="AG38" s="107"/>
      <c r="AH38" s="111">
        <f t="shared" si="18"/>
        <v>21.537871069043099</v>
      </c>
      <c r="AI38" s="107">
        <f t="shared" si="19"/>
        <v>1716.7172288996628</v>
      </c>
      <c r="AJ38" s="112">
        <f t="shared" si="20"/>
        <v>85.835861444983138</v>
      </c>
      <c r="AK38" s="107">
        <v>35.176435616932601</v>
      </c>
      <c r="AL38" s="107">
        <v>34.490389976610302</v>
      </c>
      <c r="AM38" s="107"/>
      <c r="AN38" s="113">
        <f t="shared" si="21"/>
        <v>34.833412796771455</v>
      </c>
      <c r="AO38" s="107">
        <f t="shared" si="22"/>
        <v>3.2922140288791E-6</v>
      </c>
      <c r="AP38" s="107">
        <f t="shared" si="23"/>
        <v>195.00347302663738</v>
      </c>
      <c r="AQ38" s="112">
        <f t="shared" si="24"/>
        <v>9.7501736513318686</v>
      </c>
      <c r="AR38" s="112">
        <f t="shared" si="25"/>
        <v>0.11359091045624659</v>
      </c>
      <c r="AS38" s="112">
        <f t="shared" si="26"/>
        <v>28589469070.911789</v>
      </c>
      <c r="AT38" s="107"/>
      <c r="AU38" s="107" t="s">
        <v>67</v>
      </c>
    </row>
    <row r="39" spans="2:47" s="103" customFormat="1" ht="13.15" thickBot="1" x14ac:dyDescent="0.4">
      <c r="B39" s="107" t="s">
        <v>54</v>
      </c>
      <c r="C39" s="114">
        <v>44095</v>
      </c>
      <c r="D39" s="104" t="s">
        <v>57</v>
      </c>
      <c r="E39" s="106" t="s">
        <v>58</v>
      </c>
      <c r="F39" s="107" t="s">
        <v>59</v>
      </c>
      <c r="G39" s="107">
        <v>-20</v>
      </c>
      <c r="H39" s="107" t="s">
        <v>60</v>
      </c>
      <c r="I39" s="107" t="s">
        <v>61</v>
      </c>
      <c r="J39" s="107" t="s">
        <v>62</v>
      </c>
      <c r="K39" s="107" t="s">
        <v>63</v>
      </c>
      <c r="L39" s="107" t="s">
        <v>60</v>
      </c>
      <c r="M39" s="107">
        <v>200</v>
      </c>
      <c r="N39" s="107" t="s">
        <v>64</v>
      </c>
      <c r="O39" s="107" t="s">
        <v>65</v>
      </c>
      <c r="P39" s="119" t="s">
        <v>86</v>
      </c>
      <c r="Q39" s="107">
        <v>4</v>
      </c>
      <c r="R39" s="107" t="s">
        <v>60</v>
      </c>
      <c r="S39" s="107">
        <v>201024</v>
      </c>
      <c r="T39" s="116">
        <f t="shared" si="0"/>
        <v>201024000000</v>
      </c>
      <c r="U39" s="107" t="s">
        <v>60</v>
      </c>
      <c r="V39" s="107" t="s">
        <v>66</v>
      </c>
      <c r="W39" s="107" t="s">
        <v>60</v>
      </c>
      <c r="X39" s="111">
        <v>30.166667760503501</v>
      </c>
      <c r="Y39" s="111">
        <v>30.4768235254815</v>
      </c>
      <c r="Z39" s="107"/>
      <c r="AA39" s="111">
        <f t="shared" si="14"/>
        <v>30.3217456429925</v>
      </c>
      <c r="AB39" s="111">
        <f t="shared" si="15"/>
        <v>2.1992424225218284E-3</v>
      </c>
      <c r="AC39" s="112">
        <f t="shared" si="16"/>
        <v>257575.29031877237</v>
      </c>
      <c r="AD39" s="120">
        <f t="shared" si="17"/>
        <v>3.9446868088797042E-2</v>
      </c>
      <c r="AE39" s="107">
        <v>33.061341562899202</v>
      </c>
      <c r="AF39" s="107">
        <v>32.678566665668797</v>
      </c>
      <c r="AG39" s="107"/>
      <c r="AH39" s="111">
        <f t="shared" si="18"/>
        <v>32.869954114283999</v>
      </c>
      <c r="AI39" s="107">
        <f t="shared" si="19"/>
        <v>0.45777589040720157</v>
      </c>
      <c r="AJ39" s="112">
        <f t="shared" si="20"/>
        <v>2.2888794520360078E-2</v>
      </c>
      <c r="AK39" s="107" t="s">
        <v>84</v>
      </c>
      <c r="AL39" s="107" t="s">
        <v>84</v>
      </c>
      <c r="AM39" s="107"/>
      <c r="AN39" s="113" t="e">
        <f t="shared" si="21"/>
        <v>#DIV/0!</v>
      </c>
      <c r="AO39" s="107" t="e">
        <f t="shared" si="22"/>
        <v>#DIV/0!</v>
      </c>
      <c r="AP39" s="107" t="e">
        <f t="shared" si="23"/>
        <v>#DIV/0!</v>
      </c>
      <c r="AQ39" s="112" t="e">
        <f t="shared" si="24"/>
        <v>#DIV/0!</v>
      </c>
      <c r="AR39" s="112" t="e">
        <f t="shared" si="25"/>
        <v>#DIV/0!</v>
      </c>
      <c r="AS39" s="112" t="e">
        <f t="shared" si="26"/>
        <v>#DIV/0!</v>
      </c>
      <c r="AT39" s="107"/>
      <c r="AU39" s="107" t="s">
        <v>67</v>
      </c>
    </row>
    <row r="40" spans="2:47" s="5" customFormat="1" ht="13.9" thickBot="1" x14ac:dyDescent="0.4">
      <c r="B40" s="8"/>
      <c r="C40" s="17"/>
      <c r="D40" s="10" t="s">
        <v>75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20"/>
      <c r="Q40" s="8"/>
      <c r="R40" s="8"/>
      <c r="S40" s="8"/>
      <c r="T40" s="24">
        <f t="shared" si="0"/>
        <v>0</v>
      </c>
      <c r="U40" s="8"/>
      <c r="V40" s="8"/>
      <c r="W40" s="8"/>
      <c r="X40" s="89">
        <v>18.420000000000002</v>
      </c>
      <c r="Y40" s="90">
        <v>18.18</v>
      </c>
      <c r="Z40" s="8"/>
      <c r="AA40" s="18">
        <f t="shared" si="14"/>
        <v>18.3</v>
      </c>
      <c r="AB40" s="18">
        <f t="shared" si="15"/>
        <v>6.8691577422066086</v>
      </c>
      <c r="AC40" s="19">
        <f t="shared" si="16"/>
        <v>804515810.34229922</v>
      </c>
      <c r="AD40" s="91">
        <f t="shared" si="17"/>
        <v>123.20913627486809</v>
      </c>
      <c r="AE40" s="8"/>
      <c r="AF40" s="8"/>
      <c r="AG40" s="8"/>
      <c r="AH40" s="8"/>
      <c r="AI40" s="8"/>
      <c r="AJ40" s="60">
        <f t="shared" ref="AJ40" si="27">(AI40/5)*(50/50)</f>
        <v>0</v>
      </c>
      <c r="AK40" s="8"/>
      <c r="AL40" s="8"/>
      <c r="AM40" s="8"/>
      <c r="AN40" s="8"/>
      <c r="AO40" s="8"/>
      <c r="AP40" s="8"/>
      <c r="AQ40" s="60">
        <f t="shared" ref="AQ40" si="28">(AP40/5)*(50/50)</f>
        <v>0</v>
      </c>
      <c r="AR40" s="8"/>
      <c r="AS40" s="8"/>
      <c r="AT40" s="8"/>
      <c r="AU40" s="8"/>
    </row>
    <row r="41" spans="2:47" s="5" customFormat="1" x14ac:dyDescent="0.35">
      <c r="B41" s="8"/>
      <c r="C41" s="17"/>
      <c r="D41" s="10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20"/>
      <c r="Q41" s="8"/>
      <c r="R41" s="8"/>
      <c r="S41" s="8"/>
      <c r="T41" s="24"/>
      <c r="U41" s="8"/>
      <c r="V41" s="8"/>
      <c r="W41" s="8"/>
      <c r="X41" s="18"/>
      <c r="Y41" s="18"/>
      <c r="Z41" s="8"/>
      <c r="AA41" s="18"/>
      <c r="AB41" s="18"/>
      <c r="AC41" s="19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s="66" customFormat="1" x14ac:dyDescent="0.35">
      <c r="B42" s="52" t="s">
        <v>54</v>
      </c>
      <c r="C42" s="62">
        <v>44077</v>
      </c>
      <c r="D42" s="63" t="s">
        <v>57</v>
      </c>
      <c r="E42" s="64" t="s">
        <v>58</v>
      </c>
      <c r="F42" s="52" t="s">
        <v>59</v>
      </c>
      <c r="G42" s="52">
        <v>-20</v>
      </c>
      <c r="H42" s="52" t="s">
        <v>60</v>
      </c>
      <c r="I42" s="52" t="s">
        <v>61</v>
      </c>
      <c r="J42" s="52" t="s">
        <v>62</v>
      </c>
      <c r="K42" s="52" t="s">
        <v>63</v>
      </c>
      <c r="L42" s="52" t="s">
        <v>60</v>
      </c>
      <c r="M42" s="52">
        <v>50</v>
      </c>
      <c r="N42" s="52" t="s">
        <v>64</v>
      </c>
      <c r="O42" s="52" t="s">
        <v>65</v>
      </c>
      <c r="P42" s="87" t="s">
        <v>76</v>
      </c>
      <c r="Q42" s="52">
        <v>4</v>
      </c>
      <c r="R42" s="52">
        <v>190</v>
      </c>
      <c r="S42" s="52">
        <v>239568</v>
      </c>
      <c r="T42" s="55">
        <f>S42*1000000</f>
        <v>239568000000</v>
      </c>
      <c r="U42" s="52" t="s">
        <v>60</v>
      </c>
      <c r="V42" s="52" t="s">
        <v>66</v>
      </c>
      <c r="W42" s="52" t="s">
        <v>60</v>
      </c>
      <c r="X42" s="88">
        <v>16.61</v>
      </c>
      <c r="Y42" s="88">
        <v>16.43</v>
      </c>
      <c r="Z42" s="52"/>
      <c r="AA42" s="58">
        <f t="shared" ref="AA42:AA50" si="29">AVERAGE(X42:Z42)</f>
        <v>16.52</v>
      </c>
      <c r="AB42" s="58">
        <f t="shared" ref="AB42:AB50" si="30">EXP((AA42-21.179)/-1.494)</f>
        <v>22.61184526139651</v>
      </c>
      <c r="AC42" s="60">
        <f t="shared" ref="AC42:AC50" si="31">(AB42*(6.0221*10^23))/(15123*340*10^9)</f>
        <v>2648299499.956356</v>
      </c>
      <c r="AD42" s="58">
        <f>AC42*100/AC$50</f>
        <v>28.602577206490182</v>
      </c>
      <c r="AE42" s="52">
        <v>20.239999999999998</v>
      </c>
      <c r="AF42" s="52">
        <v>20.399999999999999</v>
      </c>
      <c r="AG42" s="52"/>
      <c r="AH42" s="58">
        <f t="shared" ref="AH42:AH49" si="32">AVERAGE(AE42:AG42)</f>
        <v>20.32</v>
      </c>
      <c r="AI42" s="52">
        <f>EXP((AH42-31.794)/-1.377)</f>
        <v>4157.2418516018406</v>
      </c>
      <c r="AJ42" s="60">
        <f>(AI42/5)*(50/50)</f>
        <v>831.4483703203681</v>
      </c>
      <c r="AK42" s="52">
        <v>33.46</v>
      </c>
      <c r="AL42" s="52">
        <v>33.33</v>
      </c>
      <c r="AM42" s="52"/>
      <c r="AN42" s="57">
        <f>AVERAGE(AK42:AM42)</f>
        <v>33.394999999999996</v>
      </c>
      <c r="AO42" s="52">
        <f>EXP((AN42-15.746)/-1.512)</f>
        <v>8.5240494061750994E-6</v>
      </c>
      <c r="AP42" s="52">
        <f>(AO42*(6.0221*10^23))/(29903*340*10^9)</f>
        <v>504.89403904907294</v>
      </c>
      <c r="AQ42" s="60">
        <f>(AP42/5)*(50/50)</f>
        <v>100.97880780981458</v>
      </c>
      <c r="AR42" s="60">
        <f>AQ42/AJ42</f>
        <v>0.12144928225778602</v>
      </c>
      <c r="AS42" s="60">
        <f>AR42*T42</f>
        <v>29095361651.933281</v>
      </c>
      <c r="AT42" s="52"/>
      <c r="AU42" s="52"/>
    </row>
    <row r="43" spans="2:47" s="66" customFormat="1" x14ac:dyDescent="0.35">
      <c r="B43" s="52" t="s">
        <v>54</v>
      </c>
      <c r="C43" s="62">
        <v>44080</v>
      </c>
      <c r="D43" s="63" t="s">
        <v>57</v>
      </c>
      <c r="E43" s="64" t="s">
        <v>58</v>
      </c>
      <c r="F43" s="52" t="s">
        <v>59</v>
      </c>
      <c r="G43" s="52">
        <v>-20</v>
      </c>
      <c r="H43" s="52" t="s">
        <v>60</v>
      </c>
      <c r="I43" s="52" t="s">
        <v>61</v>
      </c>
      <c r="J43" s="52" t="s">
        <v>62</v>
      </c>
      <c r="K43" s="52" t="s">
        <v>63</v>
      </c>
      <c r="L43" s="52" t="s">
        <v>60</v>
      </c>
      <c r="M43" s="52">
        <v>50</v>
      </c>
      <c r="N43" s="52" t="s">
        <v>64</v>
      </c>
      <c r="O43" s="52" t="s">
        <v>65</v>
      </c>
      <c r="P43" s="87" t="s">
        <v>77</v>
      </c>
      <c r="Q43" s="52">
        <v>4</v>
      </c>
      <c r="R43" s="52">
        <v>260</v>
      </c>
      <c r="S43" s="52">
        <v>188880</v>
      </c>
      <c r="T43" s="55">
        <f t="shared" si="0"/>
        <v>188880000000</v>
      </c>
      <c r="U43" s="52" t="s">
        <v>60</v>
      </c>
      <c r="V43" s="52" t="s">
        <v>66</v>
      </c>
      <c r="W43" s="52" t="s">
        <v>60</v>
      </c>
      <c r="X43" s="88">
        <v>16.66</v>
      </c>
      <c r="Y43" s="88">
        <v>16.649999999999999</v>
      </c>
      <c r="Z43" s="52"/>
      <c r="AA43" s="58">
        <f t="shared" si="29"/>
        <v>16.655000000000001</v>
      </c>
      <c r="AB43" s="58">
        <f t="shared" si="30"/>
        <v>20.658202371195607</v>
      </c>
      <c r="AC43" s="60">
        <f t="shared" si="31"/>
        <v>2419488828.8500385</v>
      </c>
      <c r="AD43" s="58">
        <f t="shared" ref="AD43:AD50" si="33">AC43*100/AC$50</f>
        <v>26.131340518156726</v>
      </c>
      <c r="AE43" s="52">
        <v>18.559999999999999</v>
      </c>
      <c r="AF43" s="52">
        <v>18.940000000000001</v>
      </c>
      <c r="AG43" s="52"/>
      <c r="AH43" s="58">
        <f t="shared" si="32"/>
        <v>18.75</v>
      </c>
      <c r="AI43" s="52">
        <f t="shared" ref="AI43:AI49" si="34">EXP((AH43-31.794)/-1.377)</f>
        <v>13000.809250329807</v>
      </c>
      <c r="AJ43" s="60">
        <f t="shared" ref="AJ43:AJ106" si="35">(AI43/5)*(50/50)</f>
        <v>2600.1618500659615</v>
      </c>
      <c r="AK43" s="52">
        <v>31.12</v>
      </c>
      <c r="AL43" s="52">
        <v>31.21</v>
      </c>
      <c r="AM43" s="52"/>
      <c r="AN43" s="57">
        <f t="shared" ref="AN43:AN49" si="36">AVERAGE(AK43:AM43)</f>
        <v>31.164999999999999</v>
      </c>
      <c r="AO43" s="52">
        <f t="shared" ref="AO43:AO49" si="37">EXP((AN43-15.746)/-1.512)</f>
        <v>3.725399678133435E-5</v>
      </c>
      <c r="AP43" s="52">
        <f t="shared" ref="AP43:AP49" si="38">(AO43*(6.0221*10^23))/(29903*340*10^9)</f>
        <v>2206.6180062287035</v>
      </c>
      <c r="AQ43" s="60">
        <f t="shared" ref="AQ43:AQ106" si="39">(AP43/5)*(50/50)</f>
        <v>441.32360124574069</v>
      </c>
      <c r="AR43" s="60">
        <f t="shared" ref="AR43:AR49" si="40">AQ43/AJ43</f>
        <v>0.16972928098093013</v>
      </c>
      <c r="AS43" s="60">
        <f>AR43*T43</f>
        <v>32058466591.678082</v>
      </c>
      <c r="AT43" s="52"/>
      <c r="AU43" s="52"/>
    </row>
    <row r="44" spans="2:47" s="66" customFormat="1" x14ac:dyDescent="0.35">
      <c r="B44" s="52" t="s">
        <v>54</v>
      </c>
      <c r="C44" s="62">
        <v>44087</v>
      </c>
      <c r="D44" s="63" t="s">
        <v>57</v>
      </c>
      <c r="E44" s="64" t="s">
        <v>58</v>
      </c>
      <c r="F44" s="52" t="s">
        <v>59</v>
      </c>
      <c r="G44" s="52">
        <v>-20</v>
      </c>
      <c r="H44" s="52" t="s">
        <v>60</v>
      </c>
      <c r="I44" s="52" t="s">
        <v>61</v>
      </c>
      <c r="J44" s="52" t="s">
        <v>62</v>
      </c>
      <c r="K44" s="52" t="s">
        <v>63</v>
      </c>
      <c r="L44" s="52" t="s">
        <v>60</v>
      </c>
      <c r="M44" s="52">
        <v>50</v>
      </c>
      <c r="N44" s="52" t="s">
        <v>64</v>
      </c>
      <c r="O44" s="52" t="s">
        <v>65</v>
      </c>
      <c r="P44" s="87" t="s">
        <v>78</v>
      </c>
      <c r="Q44" s="52">
        <v>4</v>
      </c>
      <c r="R44" s="52">
        <v>330</v>
      </c>
      <c r="S44" s="52">
        <v>303552</v>
      </c>
      <c r="T44" s="55">
        <f t="shared" si="0"/>
        <v>303552000000</v>
      </c>
      <c r="U44" s="52" t="s">
        <v>60</v>
      </c>
      <c r="V44" s="52" t="s">
        <v>66</v>
      </c>
      <c r="W44" s="52" t="s">
        <v>60</v>
      </c>
      <c r="X44" s="88">
        <v>17.600000000000001</v>
      </c>
      <c r="Y44" s="88">
        <v>17.829999999999998</v>
      </c>
      <c r="Z44" s="52"/>
      <c r="AA44" s="58">
        <f t="shared" si="29"/>
        <v>17.715</v>
      </c>
      <c r="AB44" s="58">
        <f t="shared" si="30"/>
        <v>10.161517227239157</v>
      </c>
      <c r="AC44" s="60">
        <f t="shared" si="31"/>
        <v>1190116979.8662131</v>
      </c>
      <c r="AD44" s="58">
        <f t="shared" si="33"/>
        <v>12.853686979867369</v>
      </c>
      <c r="AE44" s="52">
        <v>20.149999999999999</v>
      </c>
      <c r="AF44" s="52">
        <v>20.170000000000002</v>
      </c>
      <c r="AG44" s="52"/>
      <c r="AH44" s="58">
        <f t="shared" si="32"/>
        <v>20.16</v>
      </c>
      <c r="AI44" s="52">
        <f t="shared" si="34"/>
        <v>4669.4741514454709</v>
      </c>
      <c r="AJ44" s="60">
        <f t="shared" si="35"/>
        <v>933.89483028909422</v>
      </c>
      <c r="AK44" s="52">
        <v>32.21</v>
      </c>
      <c r="AL44" s="52">
        <v>33.08</v>
      </c>
      <c r="AM44" s="52"/>
      <c r="AN44" s="57">
        <f t="shared" si="36"/>
        <v>32.644999999999996</v>
      </c>
      <c r="AO44" s="52">
        <f t="shared" si="37"/>
        <v>1.3998123100487869E-5</v>
      </c>
      <c r="AP44" s="52">
        <f t="shared" si="38"/>
        <v>829.13279528758653</v>
      </c>
      <c r="AQ44" s="60">
        <f t="shared" si="39"/>
        <v>165.8265590575173</v>
      </c>
      <c r="AR44" s="60">
        <f t="shared" si="40"/>
        <v>0.17756448978969552</v>
      </c>
      <c r="AS44" s="60">
        <f t="shared" ref="AS44:AS49" si="41">AR44*T44</f>
        <v>53900056004.641655</v>
      </c>
      <c r="AT44" s="52"/>
      <c r="AU44" s="52"/>
    </row>
    <row r="45" spans="2:47" s="66" customFormat="1" x14ac:dyDescent="0.35">
      <c r="B45" s="52" t="s">
        <v>54</v>
      </c>
      <c r="C45" s="62">
        <v>44090</v>
      </c>
      <c r="D45" s="63" t="s">
        <v>57</v>
      </c>
      <c r="E45" s="64" t="s">
        <v>58</v>
      </c>
      <c r="F45" s="52" t="s">
        <v>59</v>
      </c>
      <c r="G45" s="52">
        <v>-20</v>
      </c>
      <c r="H45" s="52" t="s">
        <v>60</v>
      </c>
      <c r="I45" s="52" t="s">
        <v>61</v>
      </c>
      <c r="J45" s="52" t="s">
        <v>62</v>
      </c>
      <c r="K45" s="52" t="s">
        <v>63</v>
      </c>
      <c r="L45" s="52" t="s">
        <v>60</v>
      </c>
      <c r="M45" s="52">
        <v>50</v>
      </c>
      <c r="N45" s="52" t="s">
        <v>64</v>
      </c>
      <c r="O45" s="52" t="s">
        <v>65</v>
      </c>
      <c r="P45" s="87" t="s">
        <v>79</v>
      </c>
      <c r="Q45" s="52">
        <v>4</v>
      </c>
      <c r="R45" s="52">
        <v>250</v>
      </c>
      <c r="S45" s="52">
        <v>188736</v>
      </c>
      <c r="T45" s="55">
        <f t="shared" si="0"/>
        <v>188736000000</v>
      </c>
      <c r="U45" s="52" t="s">
        <v>60</v>
      </c>
      <c r="V45" s="52" t="s">
        <v>66</v>
      </c>
      <c r="W45" s="52" t="s">
        <v>60</v>
      </c>
      <c r="X45" s="88">
        <v>17.190000000000001</v>
      </c>
      <c r="Y45" s="88">
        <v>17.45</v>
      </c>
      <c r="Z45" s="52"/>
      <c r="AA45" s="58">
        <f t="shared" si="29"/>
        <v>17.32</v>
      </c>
      <c r="AB45" s="58">
        <f t="shared" si="30"/>
        <v>13.23677130077083</v>
      </c>
      <c r="AC45" s="60">
        <f t="shared" si="31"/>
        <v>1550290761.8386486</v>
      </c>
      <c r="AD45" s="58">
        <f t="shared" si="33"/>
        <v>16.743692021513876</v>
      </c>
      <c r="AE45" s="52">
        <v>19.95</v>
      </c>
      <c r="AF45" s="52">
        <v>20.079999999999998</v>
      </c>
      <c r="AG45" s="52"/>
      <c r="AH45" s="58">
        <f t="shared" si="32"/>
        <v>20.015000000000001</v>
      </c>
      <c r="AI45" s="52">
        <f t="shared" si="34"/>
        <v>5187.9978070029765</v>
      </c>
      <c r="AJ45" s="60">
        <f t="shared" si="35"/>
        <v>1037.5995614005953</v>
      </c>
      <c r="AK45" s="52">
        <v>32.14</v>
      </c>
      <c r="AL45" s="52">
        <v>32.04</v>
      </c>
      <c r="AM45" s="52"/>
      <c r="AN45" s="57">
        <f t="shared" si="36"/>
        <v>32.090000000000003</v>
      </c>
      <c r="AO45" s="52">
        <f t="shared" si="37"/>
        <v>2.0206144643853772E-5</v>
      </c>
      <c r="AP45" s="52">
        <f t="shared" si="38"/>
        <v>1196.8445391053799</v>
      </c>
      <c r="AQ45" s="60">
        <f t="shared" si="39"/>
        <v>239.36890782107599</v>
      </c>
      <c r="AR45" s="60">
        <f t="shared" si="40"/>
        <v>0.23069488146078804</v>
      </c>
      <c r="AS45" s="60">
        <f t="shared" si="41"/>
        <v>43540429147.383293</v>
      </c>
      <c r="AT45" s="52"/>
      <c r="AU45" s="52"/>
    </row>
    <row r="46" spans="2:47" s="66" customFormat="1" x14ac:dyDescent="0.35">
      <c r="B46" s="52" t="s">
        <v>54</v>
      </c>
      <c r="C46" s="62">
        <v>44098</v>
      </c>
      <c r="D46" s="63" t="s">
        <v>57</v>
      </c>
      <c r="E46" s="64" t="s">
        <v>58</v>
      </c>
      <c r="F46" s="52" t="s">
        <v>59</v>
      </c>
      <c r="G46" s="52">
        <v>-20</v>
      </c>
      <c r="H46" s="52" t="s">
        <v>60</v>
      </c>
      <c r="I46" s="52" t="s">
        <v>61</v>
      </c>
      <c r="J46" s="52" t="s">
        <v>62</v>
      </c>
      <c r="K46" s="52" t="s">
        <v>63</v>
      </c>
      <c r="L46" s="52" t="s">
        <v>60</v>
      </c>
      <c r="M46" s="52">
        <v>50</v>
      </c>
      <c r="N46" s="52" t="s">
        <v>64</v>
      </c>
      <c r="O46" s="52" t="s">
        <v>65</v>
      </c>
      <c r="P46" s="87" t="s">
        <v>80</v>
      </c>
      <c r="Q46" s="52">
        <v>4</v>
      </c>
      <c r="R46" s="52">
        <v>260</v>
      </c>
      <c r="S46" s="52">
        <v>185736</v>
      </c>
      <c r="T46" s="55">
        <f t="shared" si="0"/>
        <v>185736000000</v>
      </c>
      <c r="U46" s="52" t="s">
        <v>60</v>
      </c>
      <c r="V46" s="52" t="s">
        <v>66</v>
      </c>
      <c r="W46" s="52" t="s">
        <v>60</v>
      </c>
      <c r="X46" s="58">
        <v>17.53</v>
      </c>
      <c r="Y46" s="58">
        <v>17.399999999999999</v>
      </c>
      <c r="Z46" s="52"/>
      <c r="AA46" s="58">
        <f t="shared" si="29"/>
        <v>17.465</v>
      </c>
      <c r="AB46" s="58">
        <f t="shared" si="30"/>
        <v>12.012451959753987</v>
      </c>
      <c r="AC46" s="60">
        <f t="shared" si="31"/>
        <v>1406898470.7133753</v>
      </c>
      <c r="AD46" s="58">
        <f t="shared" si="33"/>
        <v>15.195004239866165</v>
      </c>
      <c r="AE46" s="52">
        <v>19.68</v>
      </c>
      <c r="AF46" s="52">
        <v>19.690000000000001</v>
      </c>
      <c r="AG46" s="52"/>
      <c r="AH46" s="58">
        <f t="shared" si="32"/>
        <v>19.685000000000002</v>
      </c>
      <c r="AI46" s="52">
        <f t="shared" si="34"/>
        <v>6592.9392111012985</v>
      </c>
      <c r="AJ46" s="60">
        <f t="shared" si="35"/>
        <v>1318.5878422202597</v>
      </c>
      <c r="AK46" s="52">
        <v>31.89</v>
      </c>
      <c r="AL46" s="52">
        <v>32.24</v>
      </c>
      <c r="AM46" s="52"/>
      <c r="AN46" s="57">
        <f t="shared" si="36"/>
        <v>32.064999999999998</v>
      </c>
      <c r="AO46" s="52">
        <f t="shared" si="37"/>
        <v>2.0543018276385664E-5</v>
      </c>
      <c r="AP46" s="52">
        <f t="shared" si="38"/>
        <v>1216.7981410700688</v>
      </c>
      <c r="AQ46" s="60">
        <f t="shared" si="39"/>
        <v>243.35962821401375</v>
      </c>
      <c r="AR46" s="60">
        <f t="shared" si="40"/>
        <v>0.18456080089760332</v>
      </c>
      <c r="AS46" s="60">
        <f t="shared" si="41"/>
        <v>34279584915.51725</v>
      </c>
      <c r="AT46" s="52"/>
      <c r="AU46" s="52"/>
    </row>
    <row r="47" spans="2:47" s="77" customFormat="1" x14ac:dyDescent="0.35">
      <c r="B47" s="68" t="s">
        <v>54</v>
      </c>
      <c r="C47" s="69">
        <v>44077</v>
      </c>
      <c r="D47" s="70" t="s">
        <v>57</v>
      </c>
      <c r="E47" s="71" t="s">
        <v>58</v>
      </c>
      <c r="F47" s="68" t="s">
        <v>59</v>
      </c>
      <c r="G47" s="68">
        <v>-20</v>
      </c>
      <c r="H47" s="68" t="s">
        <v>60</v>
      </c>
      <c r="I47" s="68" t="s">
        <v>61</v>
      </c>
      <c r="J47" s="68" t="s">
        <v>62</v>
      </c>
      <c r="K47" s="68" t="s">
        <v>63</v>
      </c>
      <c r="L47" s="68" t="s">
        <v>60</v>
      </c>
      <c r="M47" s="68">
        <v>50</v>
      </c>
      <c r="N47" s="68" t="s">
        <v>64</v>
      </c>
      <c r="O47" s="68" t="s">
        <v>65</v>
      </c>
      <c r="P47" s="72" t="s">
        <v>79</v>
      </c>
      <c r="Q47" s="68">
        <v>4</v>
      </c>
      <c r="R47" s="68" t="s">
        <v>60</v>
      </c>
      <c r="S47" s="68">
        <v>185304</v>
      </c>
      <c r="T47" s="73">
        <f t="shared" si="0"/>
        <v>185304000000</v>
      </c>
      <c r="U47" s="68" t="s">
        <v>60</v>
      </c>
      <c r="V47" s="68" t="s">
        <v>66</v>
      </c>
      <c r="W47" s="68" t="s">
        <v>60</v>
      </c>
      <c r="X47" s="74">
        <v>17.72</v>
      </c>
      <c r="Y47" s="74">
        <v>17.690000000000001</v>
      </c>
      <c r="Z47" s="68"/>
      <c r="AA47" s="74">
        <f t="shared" si="29"/>
        <v>17.704999999999998</v>
      </c>
      <c r="AB47" s="74">
        <f t="shared" si="30"/>
        <v>10.229760875069042</v>
      </c>
      <c r="AC47" s="75">
        <f t="shared" si="31"/>
        <v>1198109676.4521759</v>
      </c>
      <c r="AD47" s="74">
        <f t="shared" si="33"/>
        <v>12.940010947829384</v>
      </c>
      <c r="AE47" s="68">
        <v>20.52</v>
      </c>
      <c r="AF47" s="68">
        <v>20.66</v>
      </c>
      <c r="AG47" s="68"/>
      <c r="AH47" s="74">
        <f t="shared" si="32"/>
        <v>20.59</v>
      </c>
      <c r="AI47" s="68">
        <f t="shared" si="34"/>
        <v>3417.0356512265503</v>
      </c>
      <c r="AJ47" s="75">
        <f t="shared" si="35"/>
        <v>683.4071302453101</v>
      </c>
      <c r="AK47" s="68">
        <v>34.020000000000003</v>
      </c>
      <c r="AL47" s="68">
        <v>34.090000000000003</v>
      </c>
      <c r="AM47" s="68"/>
      <c r="AN47" s="76">
        <f t="shared" si="36"/>
        <v>34.055000000000007</v>
      </c>
      <c r="AO47" s="68">
        <f t="shared" si="37"/>
        <v>5.509002508505579E-6</v>
      </c>
      <c r="AP47" s="68">
        <f t="shared" si="38"/>
        <v>326.30764969943448</v>
      </c>
      <c r="AQ47" s="75">
        <f t="shared" si="39"/>
        <v>65.261529939886898</v>
      </c>
      <c r="AR47" s="75">
        <f t="shared" si="40"/>
        <v>9.5494365000934611E-2</v>
      </c>
      <c r="AS47" s="75">
        <f t="shared" si="41"/>
        <v>17695487812.133186</v>
      </c>
      <c r="AT47" s="68"/>
      <c r="AU47" s="68"/>
    </row>
    <row r="48" spans="2:47" s="77" customFormat="1" x14ac:dyDescent="0.35">
      <c r="B48" s="68" t="s">
        <v>54</v>
      </c>
      <c r="C48" s="69">
        <v>44087</v>
      </c>
      <c r="D48" s="70" t="s">
        <v>57</v>
      </c>
      <c r="E48" s="71" t="s">
        <v>58</v>
      </c>
      <c r="F48" s="68" t="s">
        <v>59</v>
      </c>
      <c r="G48" s="68">
        <v>-20</v>
      </c>
      <c r="H48" s="68" t="s">
        <v>60</v>
      </c>
      <c r="I48" s="68" t="s">
        <v>61</v>
      </c>
      <c r="J48" s="68" t="s">
        <v>62</v>
      </c>
      <c r="K48" s="68" t="s">
        <v>63</v>
      </c>
      <c r="L48" s="68" t="s">
        <v>60</v>
      </c>
      <c r="M48" s="68">
        <v>50</v>
      </c>
      <c r="N48" s="68" t="s">
        <v>64</v>
      </c>
      <c r="O48" s="68" t="s">
        <v>65</v>
      </c>
      <c r="P48" s="72" t="s">
        <v>81</v>
      </c>
      <c r="Q48" s="68">
        <v>4</v>
      </c>
      <c r="R48" s="68">
        <v>230</v>
      </c>
      <c r="S48" s="68">
        <v>220776</v>
      </c>
      <c r="T48" s="73">
        <f t="shared" si="0"/>
        <v>220776000000</v>
      </c>
      <c r="U48" s="68" t="s">
        <v>60</v>
      </c>
      <c r="V48" s="68" t="s">
        <v>66</v>
      </c>
      <c r="W48" s="68" t="s">
        <v>60</v>
      </c>
      <c r="X48" s="74">
        <v>18.190000000000001</v>
      </c>
      <c r="Y48" s="74">
        <v>18.079999999999998</v>
      </c>
      <c r="Z48" s="68"/>
      <c r="AA48" s="74">
        <f t="shared" si="29"/>
        <v>18.134999999999998</v>
      </c>
      <c r="AB48" s="74">
        <f t="shared" si="30"/>
        <v>7.671278319835289</v>
      </c>
      <c r="AC48" s="75">
        <f t="shared" si="31"/>
        <v>898460178.88374329</v>
      </c>
      <c r="AD48" s="74">
        <f t="shared" si="33"/>
        <v>9.7036897201025614</v>
      </c>
      <c r="AE48" s="68">
        <v>20.45</v>
      </c>
      <c r="AF48" s="68">
        <v>20.25</v>
      </c>
      <c r="AG48" s="68"/>
      <c r="AH48" s="74">
        <f t="shared" si="32"/>
        <v>20.350000000000001</v>
      </c>
      <c r="AI48" s="68">
        <f t="shared" si="34"/>
        <v>4067.649627581799</v>
      </c>
      <c r="AJ48" s="75">
        <f t="shared" si="35"/>
        <v>813.52992551635975</v>
      </c>
      <c r="AK48" s="68">
        <v>33.74</v>
      </c>
      <c r="AL48" s="68">
        <v>34.61</v>
      </c>
      <c r="AM48" s="68"/>
      <c r="AN48" s="76">
        <f t="shared" si="36"/>
        <v>34.174999999999997</v>
      </c>
      <c r="AO48" s="68">
        <f t="shared" si="37"/>
        <v>5.0886801504505041E-6</v>
      </c>
      <c r="AP48" s="68">
        <f t="shared" si="38"/>
        <v>301.41123686220715</v>
      </c>
      <c r="AQ48" s="75">
        <f t="shared" si="39"/>
        <v>60.282247372441432</v>
      </c>
      <c r="AR48" s="75">
        <f t="shared" si="40"/>
        <v>7.4099606519304598E-2</v>
      </c>
      <c r="AS48" s="75">
        <f t="shared" si="41"/>
        <v>16359414728.905993</v>
      </c>
      <c r="AT48" s="68"/>
      <c r="AU48" s="68"/>
    </row>
    <row r="49" spans="2:47" s="77" customFormat="1" x14ac:dyDescent="0.35">
      <c r="B49" s="68" t="s">
        <v>54</v>
      </c>
      <c r="C49" s="69">
        <v>44098</v>
      </c>
      <c r="D49" s="70" t="s">
        <v>57</v>
      </c>
      <c r="E49" s="71" t="s">
        <v>58</v>
      </c>
      <c r="F49" s="68" t="s">
        <v>59</v>
      </c>
      <c r="G49" s="68">
        <v>-20</v>
      </c>
      <c r="H49" s="68" t="s">
        <v>60</v>
      </c>
      <c r="I49" s="68" t="s">
        <v>61</v>
      </c>
      <c r="J49" s="68" t="s">
        <v>62</v>
      </c>
      <c r="K49" s="68" t="s">
        <v>63</v>
      </c>
      <c r="L49" s="68" t="s">
        <v>60</v>
      </c>
      <c r="M49" s="68">
        <v>50</v>
      </c>
      <c r="N49" s="68" t="s">
        <v>64</v>
      </c>
      <c r="O49" s="68" t="s">
        <v>65</v>
      </c>
      <c r="P49" s="72" t="s">
        <v>83</v>
      </c>
      <c r="Q49" s="68">
        <v>4</v>
      </c>
      <c r="R49" s="68">
        <v>290</v>
      </c>
      <c r="S49" s="68">
        <v>135072</v>
      </c>
      <c r="T49" s="73">
        <f t="shared" si="0"/>
        <v>135072000000</v>
      </c>
      <c r="U49" s="68" t="s">
        <v>60</v>
      </c>
      <c r="V49" s="68" t="s">
        <v>66</v>
      </c>
      <c r="W49" s="68" t="s">
        <v>60</v>
      </c>
      <c r="X49" s="74">
        <v>17.91</v>
      </c>
      <c r="Y49" s="74">
        <v>17.760000000000002</v>
      </c>
      <c r="Z49" s="68"/>
      <c r="AA49" s="74">
        <f t="shared" si="29"/>
        <v>17.835000000000001</v>
      </c>
      <c r="AB49" s="74">
        <f t="shared" si="30"/>
        <v>9.377249401630678</v>
      </c>
      <c r="AC49" s="75">
        <f t="shared" si="31"/>
        <v>1098263525.7858133</v>
      </c>
      <c r="AD49" s="74">
        <f t="shared" si="33"/>
        <v>11.861636982478203</v>
      </c>
      <c r="AE49" s="68">
        <v>20.54</v>
      </c>
      <c r="AF49" s="68">
        <v>20.11</v>
      </c>
      <c r="AG49" s="68"/>
      <c r="AH49" s="74">
        <f t="shared" si="32"/>
        <v>20.324999999999999</v>
      </c>
      <c r="AI49" s="68">
        <f t="shared" si="34"/>
        <v>4142.1739382557043</v>
      </c>
      <c r="AJ49" s="75">
        <f t="shared" si="35"/>
        <v>828.43478765114082</v>
      </c>
      <c r="AK49" s="68">
        <v>32.29</v>
      </c>
      <c r="AL49" s="68">
        <v>33.11</v>
      </c>
      <c r="AM49" s="68"/>
      <c r="AN49" s="76">
        <f t="shared" si="36"/>
        <v>32.700000000000003</v>
      </c>
      <c r="AO49" s="68">
        <f t="shared" si="37"/>
        <v>1.349808191529249E-5</v>
      </c>
      <c r="AP49" s="68">
        <f t="shared" si="38"/>
        <v>799.51449984442741</v>
      </c>
      <c r="AQ49" s="75">
        <f t="shared" si="39"/>
        <v>159.90289996888549</v>
      </c>
      <c r="AR49" s="75">
        <f t="shared" si="40"/>
        <v>0.19301808947721499</v>
      </c>
      <c r="AS49" s="75">
        <f t="shared" si="41"/>
        <v>26071339381.866383</v>
      </c>
      <c r="AT49" s="68"/>
      <c r="AU49" s="68"/>
    </row>
    <row r="50" spans="2:47" s="5" customFormat="1" x14ac:dyDescent="0.35">
      <c r="B50" s="8"/>
      <c r="C50" s="17"/>
      <c r="D50" s="10" t="s">
        <v>75</v>
      </c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20"/>
      <c r="Q50" s="8"/>
      <c r="R50" s="8"/>
      <c r="S50" s="8"/>
      <c r="T50" s="24"/>
      <c r="U50" s="8"/>
      <c r="V50" s="8"/>
      <c r="W50" s="8"/>
      <c r="X50" s="18">
        <v>14.7</v>
      </c>
      <c r="Y50" s="18">
        <v>14.6</v>
      </c>
      <c r="Z50" s="8"/>
      <c r="AA50" s="18">
        <f t="shared" si="29"/>
        <v>14.649999999999999</v>
      </c>
      <c r="AB50" s="18">
        <f t="shared" si="30"/>
        <v>79.055272181087517</v>
      </c>
      <c r="AC50" s="19">
        <f t="shared" si="31"/>
        <v>9258954117.4472675</v>
      </c>
      <c r="AD50" s="58">
        <f t="shared" si="33"/>
        <v>100</v>
      </c>
      <c r="AE50" s="8"/>
      <c r="AF50" s="8"/>
      <c r="AG50" s="8"/>
      <c r="AH50" s="8"/>
      <c r="AI50" s="8"/>
      <c r="AJ50" s="60">
        <f t="shared" si="35"/>
        <v>0</v>
      </c>
      <c r="AK50" s="8"/>
      <c r="AL50" s="8"/>
      <c r="AM50" s="8"/>
      <c r="AN50" s="8"/>
      <c r="AO50" s="8"/>
      <c r="AP50" s="8"/>
      <c r="AQ50" s="60">
        <f t="shared" si="39"/>
        <v>0</v>
      </c>
      <c r="AR50" s="8"/>
      <c r="AS50" s="8"/>
      <c r="AT50" s="8"/>
      <c r="AU50" s="8"/>
    </row>
    <row r="51" spans="2:47" s="5" customFormat="1" x14ac:dyDescent="0.35">
      <c r="B51" s="8"/>
      <c r="C51" s="17"/>
      <c r="D51" s="10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20"/>
      <c r="Q51" s="8"/>
      <c r="R51" s="8"/>
      <c r="S51" s="8"/>
      <c r="T51" s="24"/>
      <c r="U51" s="8"/>
      <c r="V51" s="8"/>
      <c r="W51" s="8"/>
      <c r="X51" s="18"/>
      <c r="Y51" s="18"/>
      <c r="Z51" s="8"/>
      <c r="AA51" s="18"/>
      <c r="AB51" s="18"/>
      <c r="AC51" s="19"/>
      <c r="AD51" s="8"/>
      <c r="AE51" s="8"/>
      <c r="AF51" s="8"/>
      <c r="AG51" s="8"/>
      <c r="AH51" s="8"/>
      <c r="AI51" s="8"/>
      <c r="AJ51" s="60">
        <f t="shared" si="35"/>
        <v>0</v>
      </c>
      <c r="AK51" s="8"/>
      <c r="AL51" s="8"/>
      <c r="AM51" s="8"/>
      <c r="AN51" s="8"/>
      <c r="AO51" s="8"/>
      <c r="AP51" s="8"/>
      <c r="AQ51" s="60">
        <f t="shared" si="39"/>
        <v>0</v>
      </c>
      <c r="AR51" s="8"/>
      <c r="AS51" s="8"/>
      <c r="AT51" s="8"/>
      <c r="AU51" s="8"/>
    </row>
    <row r="52" spans="2:47" s="66" customFormat="1" x14ac:dyDescent="0.35">
      <c r="B52" s="52" t="s">
        <v>54</v>
      </c>
      <c r="C52" s="62">
        <v>44063</v>
      </c>
      <c r="D52" s="63" t="s">
        <v>57</v>
      </c>
      <c r="E52" s="64" t="s">
        <v>58</v>
      </c>
      <c r="F52" s="52" t="s">
        <v>59</v>
      </c>
      <c r="G52" s="52">
        <v>-20</v>
      </c>
      <c r="H52" s="52" t="s">
        <v>60</v>
      </c>
      <c r="I52" s="52" t="s">
        <v>61</v>
      </c>
      <c r="J52" s="52" t="s">
        <v>62</v>
      </c>
      <c r="K52" s="52" t="s">
        <v>63</v>
      </c>
      <c r="L52" s="52" t="s">
        <v>60</v>
      </c>
      <c r="M52" s="52">
        <v>50</v>
      </c>
      <c r="N52" s="52" t="s">
        <v>64</v>
      </c>
      <c r="O52" s="52" t="s">
        <v>65</v>
      </c>
      <c r="P52" s="87" t="s">
        <v>76</v>
      </c>
      <c r="Q52" s="52">
        <v>4</v>
      </c>
      <c r="R52" s="52">
        <v>660</v>
      </c>
      <c r="S52" s="52">
        <v>197664</v>
      </c>
      <c r="T52" s="55">
        <f>S52*1000000</f>
        <v>197664000000</v>
      </c>
      <c r="U52" s="52" t="s">
        <v>60</v>
      </c>
      <c r="V52" s="52" t="s">
        <v>66</v>
      </c>
      <c r="W52" s="52" t="s">
        <v>60</v>
      </c>
      <c r="X52" s="88">
        <v>20.8211017191352</v>
      </c>
      <c r="Y52" s="88">
        <v>20.781973539147501</v>
      </c>
      <c r="Z52" s="52"/>
      <c r="AA52" s="58">
        <f t="shared" ref="AA52:AA62" si="42">AVERAGE(X52:Z52)</f>
        <v>20.80153762914135</v>
      </c>
      <c r="AB52" s="58">
        <f t="shared" ref="AB52:AB62" si="43">EXP((AA52-21.179)/-1.494)</f>
        <v>1.2874354151789584</v>
      </c>
      <c r="AC52" s="60">
        <f t="shared" ref="AC52:AC62" si="44">(AB52*(6.0221*10^23))/(15123*340*10^9)</f>
        <v>150784446.24178219</v>
      </c>
      <c r="AD52" s="91">
        <f>AC52*100/AC$62</f>
        <v>23.092176867512187</v>
      </c>
      <c r="AE52" s="52">
        <v>20.8220016328169</v>
      </c>
      <c r="AF52" s="52">
        <v>20.466638310152302</v>
      </c>
      <c r="AG52" s="52"/>
      <c r="AH52" s="58">
        <f t="shared" ref="AH52:AH61" si="45">AVERAGE(AE52:AG52)</f>
        <v>20.644319971484599</v>
      </c>
      <c r="AI52" s="52">
        <f>EXP((AH52-31.794)/-1.377)</f>
        <v>3284.8643316821222</v>
      </c>
      <c r="AJ52" s="60">
        <f t="shared" si="35"/>
        <v>656.97286633642443</v>
      </c>
      <c r="AK52" s="52">
        <v>38.793462639891402</v>
      </c>
      <c r="AL52" s="52">
        <v>36.524770427854598</v>
      </c>
      <c r="AM52" s="52"/>
      <c r="AN52" s="57">
        <f>AVERAGE(AK52:AM52)</f>
        <v>37.659116533873004</v>
      </c>
      <c r="AO52" s="52">
        <f>EXP((AN52-15.746)/-1.512)</f>
        <v>5.0799108415791373E-7</v>
      </c>
      <c r="AP52" s="52">
        <f>(AO52*(6.0221*10^23))/(29903*340*10^9)</f>
        <v>30.089181568516363</v>
      </c>
      <c r="AQ52" s="60">
        <f t="shared" si="39"/>
        <v>6.0178363137032722</v>
      </c>
      <c r="AR52" s="60">
        <f>AQ52/AJ52</f>
        <v>9.159946509300191E-3</v>
      </c>
      <c r="AS52" s="60">
        <f>AR52*T52</f>
        <v>1810591666.8143129</v>
      </c>
      <c r="AT52" s="52"/>
      <c r="AU52" s="52"/>
    </row>
    <row r="53" spans="2:47" s="103" customFormat="1" x14ac:dyDescent="0.35">
      <c r="B53" s="107" t="s">
        <v>54</v>
      </c>
      <c r="C53" s="114">
        <v>44071</v>
      </c>
      <c r="D53" s="104" t="s">
        <v>57</v>
      </c>
      <c r="E53" s="106" t="s">
        <v>58</v>
      </c>
      <c r="F53" s="107" t="s">
        <v>59</v>
      </c>
      <c r="G53" s="107">
        <v>-20</v>
      </c>
      <c r="H53" s="107" t="s">
        <v>60</v>
      </c>
      <c r="I53" s="107" t="s">
        <v>61</v>
      </c>
      <c r="J53" s="107" t="s">
        <v>62</v>
      </c>
      <c r="K53" s="107" t="s">
        <v>63</v>
      </c>
      <c r="L53" s="107" t="s">
        <v>60</v>
      </c>
      <c r="M53" s="107">
        <v>50</v>
      </c>
      <c r="N53" s="107" t="s">
        <v>64</v>
      </c>
      <c r="O53" s="107" t="s">
        <v>65</v>
      </c>
      <c r="P53" s="115" t="s">
        <v>77</v>
      </c>
      <c r="Q53" s="107">
        <v>4</v>
      </c>
      <c r="R53" s="107">
        <v>300</v>
      </c>
      <c r="S53" s="107">
        <v>183600</v>
      </c>
      <c r="T53" s="116">
        <f t="shared" si="0"/>
        <v>183600000000</v>
      </c>
      <c r="U53" s="107" t="s">
        <v>60</v>
      </c>
      <c r="V53" s="107" t="s">
        <v>66</v>
      </c>
      <c r="W53" s="107" t="s">
        <v>60</v>
      </c>
      <c r="X53" s="117">
        <v>22.1221366938661</v>
      </c>
      <c r="Y53" s="117">
        <v>21.999623980589298</v>
      </c>
      <c r="Z53" s="107"/>
      <c r="AA53" s="111">
        <f t="shared" si="42"/>
        <v>22.060880337227701</v>
      </c>
      <c r="AB53" s="111">
        <f t="shared" si="43"/>
        <v>0.55417134656900491</v>
      </c>
      <c r="AC53" s="112">
        <f t="shared" si="44"/>
        <v>64904552.593696482</v>
      </c>
      <c r="AD53" s="120">
        <f t="shared" ref="AD53:AD62" si="46">AC53*100/AC$62</f>
        <v>9.9399337621142099</v>
      </c>
      <c r="AE53" s="107">
        <v>22.696866216238298</v>
      </c>
      <c r="AF53" s="107">
        <v>22.5520130933951</v>
      </c>
      <c r="AG53" s="107"/>
      <c r="AH53" s="111">
        <f t="shared" si="45"/>
        <v>22.624439654816697</v>
      </c>
      <c r="AI53" s="107">
        <f t="shared" ref="AI53:AI61" si="47">EXP((AH53-31.794)/-1.377)</f>
        <v>779.83722967104666</v>
      </c>
      <c r="AJ53" s="112">
        <f t="shared" si="35"/>
        <v>155.96744593420934</v>
      </c>
      <c r="AK53" s="107"/>
      <c r="AL53" s="107"/>
      <c r="AM53" s="107"/>
      <c r="AN53" s="113" t="e">
        <f t="shared" ref="AN53:AN61" si="48">AVERAGE(AK53:AM53)</f>
        <v>#DIV/0!</v>
      </c>
      <c r="AO53" s="107" t="e">
        <f t="shared" ref="AO53:AO61" si="49">EXP((AN53-15.746)/-1.512)</f>
        <v>#DIV/0!</v>
      </c>
      <c r="AP53" s="107" t="e">
        <f t="shared" ref="AP53:AP61" si="50">(AO53*(6.0221*10^23))/(29903*340*10^9)</f>
        <v>#DIV/0!</v>
      </c>
      <c r="AQ53" s="112" t="e">
        <f t="shared" si="39"/>
        <v>#DIV/0!</v>
      </c>
      <c r="AR53" s="112" t="e">
        <f t="shared" ref="AR53:AR61" si="51">AQ53/AJ53</f>
        <v>#DIV/0!</v>
      </c>
      <c r="AS53" s="112" t="e">
        <f t="shared" ref="AS53:AS61" si="52">AR53*T53</f>
        <v>#DIV/0!</v>
      </c>
      <c r="AT53" s="107"/>
      <c r="AU53" s="107" t="s">
        <v>87</v>
      </c>
    </row>
    <row r="54" spans="2:47" s="66" customFormat="1" x14ac:dyDescent="0.35">
      <c r="B54" s="52" t="s">
        <v>54</v>
      </c>
      <c r="C54" s="62">
        <v>44083</v>
      </c>
      <c r="D54" s="63" t="s">
        <v>57</v>
      </c>
      <c r="E54" s="64" t="s">
        <v>58</v>
      </c>
      <c r="F54" s="52" t="s">
        <v>59</v>
      </c>
      <c r="G54" s="52">
        <v>-20</v>
      </c>
      <c r="H54" s="52" t="s">
        <v>60</v>
      </c>
      <c r="I54" s="52" t="s">
        <v>61</v>
      </c>
      <c r="J54" s="52" t="s">
        <v>62</v>
      </c>
      <c r="K54" s="52" t="s">
        <v>63</v>
      </c>
      <c r="L54" s="52" t="s">
        <v>60</v>
      </c>
      <c r="M54" s="52">
        <v>50</v>
      </c>
      <c r="N54" s="52" t="s">
        <v>64</v>
      </c>
      <c r="O54" s="52" t="s">
        <v>65</v>
      </c>
      <c r="P54" s="87" t="s">
        <v>78</v>
      </c>
      <c r="Q54" s="52">
        <v>4</v>
      </c>
      <c r="R54" s="52">
        <v>270</v>
      </c>
      <c r="S54" s="52">
        <v>238944</v>
      </c>
      <c r="T54" s="55">
        <f t="shared" si="0"/>
        <v>238944000000</v>
      </c>
      <c r="U54" s="52" t="s">
        <v>60</v>
      </c>
      <c r="V54" s="52" t="s">
        <v>66</v>
      </c>
      <c r="W54" s="52" t="s">
        <v>60</v>
      </c>
      <c r="X54" s="88">
        <v>19.0636005386724</v>
      </c>
      <c r="Y54" s="88">
        <v>19.470080303242401</v>
      </c>
      <c r="Z54" s="52"/>
      <c r="AA54" s="58">
        <f t="shared" si="42"/>
        <v>19.266840420957401</v>
      </c>
      <c r="AB54" s="58">
        <f t="shared" si="43"/>
        <v>3.5962535505944673</v>
      </c>
      <c r="AC54" s="60">
        <f t="shared" si="44"/>
        <v>421193244.9411869</v>
      </c>
      <c r="AD54" s="91">
        <f t="shared" si="46"/>
        <v>64.504457522012856</v>
      </c>
      <c r="AE54" s="52">
        <v>21.247341052030599</v>
      </c>
      <c r="AF54" s="52">
        <v>21.397974806630099</v>
      </c>
      <c r="AG54" s="52"/>
      <c r="AH54" s="58">
        <f t="shared" si="45"/>
        <v>21.322657929330347</v>
      </c>
      <c r="AI54" s="52">
        <f t="shared" si="47"/>
        <v>2007.1287004537339</v>
      </c>
      <c r="AJ54" s="60">
        <f t="shared" si="35"/>
        <v>401.42574009074679</v>
      </c>
      <c r="AK54" s="52">
        <v>35.220483397130501</v>
      </c>
      <c r="AL54" s="52">
        <v>35.126743051674602</v>
      </c>
      <c r="AM54" s="52"/>
      <c r="AN54" s="57">
        <f t="shared" si="48"/>
        <v>35.173613224402551</v>
      </c>
      <c r="AO54" s="52">
        <f t="shared" si="49"/>
        <v>2.6288855541729779E-6</v>
      </c>
      <c r="AP54" s="52">
        <f t="shared" si="50"/>
        <v>155.71339188656154</v>
      </c>
      <c r="AQ54" s="60">
        <f t="shared" si="39"/>
        <v>31.142678377312308</v>
      </c>
      <c r="AR54" s="60">
        <f t="shared" si="51"/>
        <v>7.7580173035919811E-2</v>
      </c>
      <c r="AS54" s="60">
        <f t="shared" si="52"/>
        <v>18537316865.894825</v>
      </c>
      <c r="AT54" s="52"/>
      <c r="AU54" s="52"/>
    </row>
    <row r="55" spans="2:47" s="66" customFormat="1" x14ac:dyDescent="0.35">
      <c r="B55" s="52" t="s">
        <v>54</v>
      </c>
      <c r="C55" s="62">
        <v>44116</v>
      </c>
      <c r="D55" s="63" t="s">
        <v>57</v>
      </c>
      <c r="E55" s="64" t="s">
        <v>58</v>
      </c>
      <c r="F55" s="52" t="s">
        <v>59</v>
      </c>
      <c r="G55" s="52">
        <v>-20</v>
      </c>
      <c r="H55" s="52" t="s">
        <v>60</v>
      </c>
      <c r="I55" s="52" t="s">
        <v>61</v>
      </c>
      <c r="J55" s="52" t="s">
        <v>62</v>
      </c>
      <c r="K55" s="52" t="s">
        <v>63</v>
      </c>
      <c r="L55" s="52" t="s">
        <v>60</v>
      </c>
      <c r="M55" s="52">
        <v>50</v>
      </c>
      <c r="N55" s="52" t="s">
        <v>64</v>
      </c>
      <c r="O55" s="52" t="s">
        <v>65</v>
      </c>
      <c r="P55" s="87" t="s">
        <v>79</v>
      </c>
      <c r="Q55" s="52">
        <v>4</v>
      </c>
      <c r="R55" s="52">
        <v>210</v>
      </c>
      <c r="S55" s="52">
        <v>221040</v>
      </c>
      <c r="T55" s="55">
        <f t="shared" si="0"/>
        <v>221040000000</v>
      </c>
      <c r="U55" s="52" t="s">
        <v>60</v>
      </c>
      <c r="V55" s="52" t="s">
        <v>66</v>
      </c>
      <c r="W55" s="52" t="s">
        <v>60</v>
      </c>
      <c r="X55" s="88">
        <v>20.786342255565099</v>
      </c>
      <c r="Y55" s="88">
        <v>20.715641519411001</v>
      </c>
      <c r="Z55" s="52"/>
      <c r="AA55" s="58">
        <f t="shared" si="42"/>
        <v>20.750991887488048</v>
      </c>
      <c r="AB55" s="58">
        <f t="shared" si="43"/>
        <v>1.3317377660430187</v>
      </c>
      <c r="AC55" s="60">
        <f t="shared" si="44"/>
        <v>155973137.93341002</v>
      </c>
      <c r="AD55" s="91">
        <f t="shared" si="46"/>
        <v>23.886809133906112</v>
      </c>
      <c r="AE55" s="52">
        <v>23.778807387312899</v>
      </c>
      <c r="AF55" s="52">
        <v>23.775519380017801</v>
      </c>
      <c r="AG55" s="52"/>
      <c r="AH55" s="58">
        <f t="shared" si="45"/>
        <v>23.77716338366535</v>
      </c>
      <c r="AI55" s="52">
        <f t="shared" si="47"/>
        <v>337.63260168801821</v>
      </c>
      <c r="AJ55" s="60">
        <f t="shared" si="35"/>
        <v>67.526520337603642</v>
      </c>
      <c r="AK55" s="52">
        <v>37.454365200729903</v>
      </c>
      <c r="AL55" s="52">
        <v>35.2470188764675</v>
      </c>
      <c r="AM55" s="52"/>
      <c r="AN55" s="57">
        <f t="shared" si="48"/>
        <v>36.350692038598702</v>
      </c>
      <c r="AO55" s="52">
        <f t="shared" si="49"/>
        <v>1.2069164680848573E-6</v>
      </c>
      <c r="AP55" s="52">
        <f t="shared" si="50"/>
        <v>71.487728581765538</v>
      </c>
      <c r="AQ55" s="60">
        <f t="shared" si="39"/>
        <v>14.297545716353108</v>
      </c>
      <c r="AR55" s="60">
        <f t="shared" si="51"/>
        <v>0.21173230376556515</v>
      </c>
      <c r="AS55" s="60">
        <f t="shared" si="52"/>
        <v>46801308424.340523</v>
      </c>
      <c r="AT55" s="52"/>
      <c r="AU55" s="52"/>
    </row>
    <row r="56" spans="2:47" s="66" customFormat="1" x14ac:dyDescent="0.35">
      <c r="B56" s="52" t="s">
        <v>54</v>
      </c>
      <c r="C56" s="62">
        <v>44130</v>
      </c>
      <c r="D56" s="63" t="s">
        <v>57</v>
      </c>
      <c r="E56" s="64" t="s">
        <v>58</v>
      </c>
      <c r="F56" s="52" t="s">
        <v>59</v>
      </c>
      <c r="G56" s="52">
        <v>-20</v>
      </c>
      <c r="H56" s="52" t="s">
        <v>60</v>
      </c>
      <c r="I56" s="52" t="s">
        <v>61</v>
      </c>
      <c r="J56" s="52" t="s">
        <v>62</v>
      </c>
      <c r="K56" s="52" t="s">
        <v>63</v>
      </c>
      <c r="L56" s="52" t="s">
        <v>60</v>
      </c>
      <c r="M56" s="52">
        <v>50</v>
      </c>
      <c r="N56" s="52" t="s">
        <v>64</v>
      </c>
      <c r="O56" s="52" t="s">
        <v>65</v>
      </c>
      <c r="P56" s="87" t="s">
        <v>80</v>
      </c>
      <c r="Q56" s="52">
        <v>4</v>
      </c>
      <c r="R56" s="52">
        <v>210</v>
      </c>
      <c r="S56" s="52">
        <v>294528</v>
      </c>
      <c r="T56" s="55">
        <f t="shared" si="0"/>
        <v>294528000000</v>
      </c>
      <c r="U56" s="52" t="s">
        <v>60</v>
      </c>
      <c r="V56" s="52" t="s">
        <v>66</v>
      </c>
      <c r="W56" s="52" t="s">
        <v>60</v>
      </c>
      <c r="X56" s="58">
        <v>19.698250415872899</v>
      </c>
      <c r="Y56" s="58">
        <v>19.482391329685701</v>
      </c>
      <c r="Z56" s="52"/>
      <c r="AA56" s="58">
        <f t="shared" si="42"/>
        <v>19.590320872779301</v>
      </c>
      <c r="AB56" s="58">
        <f t="shared" si="43"/>
        <v>2.8961228951286131</v>
      </c>
      <c r="AC56" s="60">
        <f t="shared" si="44"/>
        <v>339193936.90860474</v>
      </c>
      <c r="AD56" s="91">
        <f t="shared" si="46"/>
        <v>51.946514237426904</v>
      </c>
      <c r="AE56" s="52">
        <v>23.1039134727929</v>
      </c>
      <c r="AF56" s="52">
        <v>23.000637049194602</v>
      </c>
      <c r="AG56" s="52"/>
      <c r="AH56" s="58">
        <f t="shared" si="45"/>
        <v>23.052275260993753</v>
      </c>
      <c r="AI56" s="52">
        <f t="shared" si="47"/>
        <v>571.56829587837046</v>
      </c>
      <c r="AJ56" s="60">
        <f t="shared" si="35"/>
        <v>114.31365917567409</v>
      </c>
      <c r="AK56" s="52">
        <v>35.065238818214098</v>
      </c>
      <c r="AL56" s="52">
        <v>36.045551751208897</v>
      </c>
      <c r="AM56" s="52"/>
      <c r="AN56" s="57">
        <f t="shared" si="48"/>
        <v>35.555395284711494</v>
      </c>
      <c r="AO56" s="52">
        <f t="shared" si="49"/>
        <v>2.0422632927349461E-6</v>
      </c>
      <c r="AP56" s="52">
        <f t="shared" si="50"/>
        <v>120.966751075331</v>
      </c>
      <c r="AQ56" s="60">
        <f t="shared" si="39"/>
        <v>24.1933502150662</v>
      </c>
      <c r="AR56" s="60">
        <f t="shared" si="51"/>
        <v>0.21164006462155607</v>
      </c>
      <c r="AS56" s="60">
        <f t="shared" si="52"/>
        <v>62333924952.857666</v>
      </c>
      <c r="AT56" s="52"/>
      <c r="AU56" s="52"/>
    </row>
    <row r="57" spans="2:47" s="77" customFormat="1" x14ac:dyDescent="0.35">
      <c r="B57" s="68" t="s">
        <v>54</v>
      </c>
      <c r="C57" s="69">
        <v>44063</v>
      </c>
      <c r="D57" s="70" t="s">
        <v>57</v>
      </c>
      <c r="E57" s="71" t="s">
        <v>58</v>
      </c>
      <c r="F57" s="68" t="s">
        <v>59</v>
      </c>
      <c r="G57" s="68">
        <v>-20</v>
      </c>
      <c r="H57" s="68" t="s">
        <v>60</v>
      </c>
      <c r="I57" s="68" t="s">
        <v>61</v>
      </c>
      <c r="J57" s="68" t="s">
        <v>62</v>
      </c>
      <c r="K57" s="68" t="s">
        <v>63</v>
      </c>
      <c r="L57" s="68" t="s">
        <v>60</v>
      </c>
      <c r="M57" s="68">
        <v>50</v>
      </c>
      <c r="N57" s="68" t="s">
        <v>64</v>
      </c>
      <c r="O57" s="68" t="s">
        <v>65</v>
      </c>
      <c r="P57" s="72" t="s">
        <v>79</v>
      </c>
      <c r="Q57" s="68">
        <v>4</v>
      </c>
      <c r="R57" s="68">
        <v>240</v>
      </c>
      <c r="S57" s="68">
        <v>145800</v>
      </c>
      <c r="T57" s="73">
        <f t="shared" si="0"/>
        <v>145800000000</v>
      </c>
      <c r="U57" s="68" t="s">
        <v>60</v>
      </c>
      <c r="V57" s="68" t="s">
        <v>66</v>
      </c>
      <c r="W57" s="68" t="s">
        <v>60</v>
      </c>
      <c r="X57" s="74">
        <v>18.194613318007001</v>
      </c>
      <c r="Y57" s="74">
        <v>17.349823177147702</v>
      </c>
      <c r="Z57" s="68"/>
      <c r="AA57" s="74">
        <f t="shared" si="42"/>
        <v>17.772218247577349</v>
      </c>
      <c r="AB57" s="74">
        <f t="shared" si="43"/>
        <v>9.7797025672082487</v>
      </c>
      <c r="AC57" s="75">
        <f t="shared" si="44"/>
        <v>1145398843.7943139</v>
      </c>
      <c r="AD57" s="121">
        <f t="shared" si="46"/>
        <v>175.41433048293456</v>
      </c>
      <c r="AE57" s="68">
        <v>22.945237971670601</v>
      </c>
      <c r="AF57" s="68">
        <v>22.130624808078299</v>
      </c>
      <c r="AG57" s="68"/>
      <c r="AH57" s="74">
        <f t="shared" si="45"/>
        <v>22.537931389874451</v>
      </c>
      <c r="AI57" s="68">
        <f t="shared" si="47"/>
        <v>830.40118531678627</v>
      </c>
      <c r="AJ57" s="75">
        <f t="shared" si="35"/>
        <v>166.08023706335726</v>
      </c>
      <c r="AK57" s="68"/>
      <c r="AL57" s="68">
        <v>36.6033125738428</v>
      </c>
      <c r="AM57" s="68"/>
      <c r="AN57" s="76">
        <f t="shared" si="48"/>
        <v>36.6033125738428</v>
      </c>
      <c r="AO57" s="68">
        <f t="shared" si="49"/>
        <v>1.021213534599535E-6</v>
      </c>
      <c r="AP57" s="68">
        <f t="shared" si="50"/>
        <v>60.488225917838847</v>
      </c>
      <c r="AQ57" s="75">
        <f t="shared" si="39"/>
        <v>12.097645183567769</v>
      </c>
      <c r="AR57" s="75">
        <f t="shared" si="51"/>
        <v>7.2842171937367167E-2</v>
      </c>
      <c r="AS57" s="75">
        <f t="shared" si="52"/>
        <v>10620388668.468134</v>
      </c>
      <c r="AT57" s="68"/>
      <c r="AU57" s="68"/>
    </row>
    <row r="58" spans="2:47" s="77" customFormat="1" x14ac:dyDescent="0.35">
      <c r="B58" s="68" t="s">
        <v>54</v>
      </c>
      <c r="C58" s="69">
        <v>44071</v>
      </c>
      <c r="D58" s="70" t="s">
        <v>57</v>
      </c>
      <c r="E58" s="71" t="s">
        <v>58</v>
      </c>
      <c r="F58" s="68" t="s">
        <v>59</v>
      </c>
      <c r="G58" s="68">
        <v>-20</v>
      </c>
      <c r="H58" s="68" t="s">
        <v>60</v>
      </c>
      <c r="I58" s="68" t="s">
        <v>61</v>
      </c>
      <c r="J58" s="68" t="s">
        <v>62</v>
      </c>
      <c r="K58" s="68" t="s">
        <v>63</v>
      </c>
      <c r="L58" s="68" t="s">
        <v>60</v>
      </c>
      <c r="M58" s="68">
        <v>50</v>
      </c>
      <c r="N58" s="68" t="s">
        <v>64</v>
      </c>
      <c r="O58" s="68" t="s">
        <v>65</v>
      </c>
      <c r="P58" s="72" t="s">
        <v>81</v>
      </c>
      <c r="Q58" s="68">
        <v>4</v>
      </c>
      <c r="R58" s="68">
        <v>290</v>
      </c>
      <c r="S58" s="68">
        <v>134832</v>
      </c>
      <c r="T58" s="73">
        <f t="shared" si="0"/>
        <v>134832000000</v>
      </c>
      <c r="U58" s="68" t="s">
        <v>60</v>
      </c>
      <c r="V58" s="68" t="s">
        <v>66</v>
      </c>
      <c r="W58" s="68" t="s">
        <v>60</v>
      </c>
      <c r="X58" s="74">
        <v>19.354380013949399</v>
      </c>
      <c r="Y58" s="74">
        <v>19.301238269387401</v>
      </c>
      <c r="Z58" s="68"/>
      <c r="AA58" s="74">
        <f t="shared" si="42"/>
        <v>19.3278091416684</v>
      </c>
      <c r="AB58" s="74">
        <f t="shared" si="43"/>
        <v>3.4524480985403661</v>
      </c>
      <c r="AC58" s="75">
        <f t="shared" si="44"/>
        <v>404350749.23314965</v>
      </c>
      <c r="AD58" s="121">
        <f t="shared" si="46"/>
        <v>61.925080805951147</v>
      </c>
      <c r="AE58" s="68">
        <v>23.4536888332571</v>
      </c>
      <c r="AF58" s="68">
        <v>23.323107344154401</v>
      </c>
      <c r="AG58" s="68"/>
      <c r="AH58" s="74">
        <f t="shared" si="45"/>
        <v>23.388398088705749</v>
      </c>
      <c r="AI58" s="68">
        <f t="shared" si="47"/>
        <v>447.77284653682449</v>
      </c>
      <c r="AJ58" s="75">
        <f t="shared" si="35"/>
        <v>89.554569307364901</v>
      </c>
      <c r="AK58" s="68">
        <v>36.301421753410402</v>
      </c>
      <c r="AL58" s="68">
        <v>37.630993283399398</v>
      </c>
      <c r="AM58" s="68"/>
      <c r="AN58" s="76">
        <f t="shared" si="48"/>
        <v>36.9662075184049</v>
      </c>
      <c r="AO58" s="68">
        <f t="shared" si="49"/>
        <v>8.033070785122302E-7</v>
      </c>
      <c r="AP58" s="68">
        <f t="shared" si="50"/>
        <v>47.581253479470888</v>
      </c>
      <c r="AQ58" s="75">
        <f t="shared" si="39"/>
        <v>9.5162506958941773</v>
      </c>
      <c r="AR58" s="75">
        <f t="shared" si="51"/>
        <v>0.10626203408151021</v>
      </c>
      <c r="AS58" s="75">
        <f t="shared" si="52"/>
        <v>14327522579.278185</v>
      </c>
      <c r="AT58" s="68"/>
      <c r="AU58" s="68"/>
    </row>
    <row r="59" spans="2:47" s="77" customFormat="1" x14ac:dyDescent="0.35">
      <c r="B59" s="68" t="s">
        <v>54</v>
      </c>
      <c r="C59" s="69">
        <v>44083</v>
      </c>
      <c r="D59" s="70" t="s">
        <v>57</v>
      </c>
      <c r="E59" s="71" t="s">
        <v>58</v>
      </c>
      <c r="F59" s="68" t="s">
        <v>59</v>
      </c>
      <c r="G59" s="68">
        <v>-20</v>
      </c>
      <c r="H59" s="68" t="s">
        <v>60</v>
      </c>
      <c r="I59" s="68" t="s">
        <v>61</v>
      </c>
      <c r="J59" s="68" t="s">
        <v>62</v>
      </c>
      <c r="K59" s="68" t="s">
        <v>63</v>
      </c>
      <c r="L59" s="68" t="s">
        <v>60</v>
      </c>
      <c r="M59" s="68">
        <v>50</v>
      </c>
      <c r="N59" s="68" t="s">
        <v>64</v>
      </c>
      <c r="O59" s="68" t="s">
        <v>65</v>
      </c>
      <c r="P59" s="72" t="s">
        <v>83</v>
      </c>
      <c r="Q59" s="68">
        <v>4</v>
      </c>
      <c r="R59" s="68">
        <v>250</v>
      </c>
      <c r="S59" s="68">
        <v>166176</v>
      </c>
      <c r="T59" s="73">
        <f t="shared" si="0"/>
        <v>166176000000</v>
      </c>
      <c r="U59" s="68" t="s">
        <v>60</v>
      </c>
      <c r="V59" s="68" t="s">
        <v>66</v>
      </c>
      <c r="W59" s="68" t="s">
        <v>60</v>
      </c>
      <c r="X59" s="74">
        <v>20.3840841159553</v>
      </c>
      <c r="Y59" s="74">
        <v>20.262895330152698</v>
      </c>
      <c r="Z59" s="68"/>
      <c r="AA59" s="74">
        <f t="shared" si="42"/>
        <v>20.323489723053999</v>
      </c>
      <c r="AB59" s="74">
        <f t="shared" si="43"/>
        <v>1.7729249688808952</v>
      </c>
      <c r="AC59" s="75">
        <f t="shared" si="44"/>
        <v>207644986.69921619</v>
      </c>
      <c r="AD59" s="121">
        <f t="shared" si="46"/>
        <v>31.800194768244165</v>
      </c>
      <c r="AE59" s="68">
        <v>23.218645210192399</v>
      </c>
      <c r="AF59" s="68">
        <v>22.7760796863172</v>
      </c>
      <c r="AG59" s="68"/>
      <c r="AH59" s="74">
        <f t="shared" si="45"/>
        <v>22.997362448254798</v>
      </c>
      <c r="AI59" s="68">
        <f t="shared" si="47"/>
        <v>594.82221632891685</v>
      </c>
      <c r="AJ59" s="75">
        <f t="shared" si="35"/>
        <v>118.96444326578337</v>
      </c>
      <c r="AK59" s="68">
        <v>36.978470245328602</v>
      </c>
      <c r="AL59" s="68">
        <v>35.861971679876902</v>
      </c>
      <c r="AM59" s="68"/>
      <c r="AN59" s="76">
        <f t="shared" si="48"/>
        <v>36.420220962602755</v>
      </c>
      <c r="AO59" s="68">
        <f t="shared" si="49"/>
        <v>1.1526734637353425E-6</v>
      </c>
      <c r="AP59" s="68">
        <f t="shared" si="50"/>
        <v>68.274822572991937</v>
      </c>
      <c r="AQ59" s="75">
        <f t="shared" si="39"/>
        <v>13.654964514598387</v>
      </c>
      <c r="AR59" s="75">
        <f t="shared" si="51"/>
        <v>0.11478189734466514</v>
      </c>
      <c r="AS59" s="75">
        <f t="shared" si="52"/>
        <v>19073996573.147076</v>
      </c>
      <c r="AT59" s="68"/>
      <c r="AU59" s="68"/>
    </row>
    <row r="60" spans="2:47" s="77" customFormat="1" x14ac:dyDescent="0.35">
      <c r="B60" s="68" t="s">
        <v>54</v>
      </c>
      <c r="C60" s="69">
        <v>44116</v>
      </c>
      <c r="D60" s="70" t="s">
        <v>57</v>
      </c>
      <c r="E60" s="71" t="s">
        <v>58</v>
      </c>
      <c r="F60" s="68" t="s">
        <v>59</v>
      </c>
      <c r="G60" s="68">
        <v>-20</v>
      </c>
      <c r="H60" s="68" t="s">
        <v>60</v>
      </c>
      <c r="I60" s="68" t="s">
        <v>61</v>
      </c>
      <c r="J60" s="68" t="s">
        <v>62</v>
      </c>
      <c r="K60" s="68" t="s">
        <v>63</v>
      </c>
      <c r="L60" s="68" t="s">
        <v>60</v>
      </c>
      <c r="M60" s="68">
        <v>50</v>
      </c>
      <c r="N60" s="68" t="s">
        <v>64</v>
      </c>
      <c r="O60" s="68" t="s">
        <v>65</v>
      </c>
      <c r="P60" s="72" t="s">
        <v>85</v>
      </c>
      <c r="Q60" s="68">
        <v>4</v>
      </c>
      <c r="R60" s="68">
        <v>140</v>
      </c>
      <c r="S60" s="68">
        <v>193176</v>
      </c>
      <c r="T60" s="73">
        <f t="shared" si="0"/>
        <v>193176000000</v>
      </c>
      <c r="U60" s="68" t="s">
        <v>60</v>
      </c>
      <c r="V60" s="68" t="s">
        <v>66</v>
      </c>
      <c r="W60" s="68" t="s">
        <v>60</v>
      </c>
      <c r="X60" s="74">
        <v>21.1374470093761</v>
      </c>
      <c r="Y60" s="74">
        <v>21.1433901740705</v>
      </c>
      <c r="Z60" s="68"/>
      <c r="AA60" s="74">
        <f t="shared" si="42"/>
        <v>21.1404185917233</v>
      </c>
      <c r="AB60" s="74">
        <f t="shared" si="43"/>
        <v>1.0261605703243415</v>
      </c>
      <c r="AC60" s="75">
        <f t="shared" si="44"/>
        <v>120183934.29855996</v>
      </c>
      <c r="AD60" s="121">
        <f t="shared" si="46"/>
        <v>18.405802034817409</v>
      </c>
      <c r="AE60" s="68">
        <v>24.4365517630564</v>
      </c>
      <c r="AF60" s="68">
        <v>24.491224684792702</v>
      </c>
      <c r="AG60" s="68"/>
      <c r="AH60" s="74">
        <f t="shared" si="45"/>
        <v>24.463888223924549</v>
      </c>
      <c r="AI60" s="68">
        <f t="shared" si="47"/>
        <v>205.04869288031966</v>
      </c>
      <c r="AJ60" s="75">
        <f t="shared" si="35"/>
        <v>41.009738576063931</v>
      </c>
      <c r="AK60" s="68">
        <v>35.613636972755302</v>
      </c>
      <c r="AL60" s="68">
        <v>36.8141044067537</v>
      </c>
      <c r="AM60" s="68"/>
      <c r="AN60" s="76">
        <f t="shared" si="48"/>
        <v>36.213870689754501</v>
      </c>
      <c r="AO60" s="68">
        <f t="shared" si="49"/>
        <v>1.3212246129193893E-6</v>
      </c>
      <c r="AP60" s="68">
        <f t="shared" si="50"/>
        <v>78.258395689807372</v>
      </c>
      <c r="AQ60" s="75">
        <f t="shared" si="39"/>
        <v>15.651679137961475</v>
      </c>
      <c r="AR60" s="75">
        <f t="shared" si="51"/>
        <v>0.38165761795655184</v>
      </c>
      <c r="AS60" s="75">
        <f t="shared" si="52"/>
        <v>73727092006.374863</v>
      </c>
      <c r="AT60" s="68"/>
      <c r="AU60" s="68"/>
    </row>
    <row r="61" spans="2:47" s="77" customFormat="1" ht="13.15" thickBot="1" x14ac:dyDescent="0.4">
      <c r="B61" s="68" t="s">
        <v>54</v>
      </c>
      <c r="C61" s="69">
        <v>44130</v>
      </c>
      <c r="D61" s="70" t="s">
        <v>57</v>
      </c>
      <c r="E61" s="71" t="s">
        <v>58</v>
      </c>
      <c r="F61" s="68" t="s">
        <v>59</v>
      </c>
      <c r="G61" s="68">
        <v>-20</v>
      </c>
      <c r="H61" s="68" t="s">
        <v>60</v>
      </c>
      <c r="I61" s="68" t="s">
        <v>61</v>
      </c>
      <c r="J61" s="68" t="s">
        <v>62</v>
      </c>
      <c r="K61" s="68" t="s">
        <v>63</v>
      </c>
      <c r="L61" s="68" t="s">
        <v>60</v>
      </c>
      <c r="M61" s="68">
        <v>50</v>
      </c>
      <c r="N61" s="68" t="s">
        <v>64</v>
      </c>
      <c r="O61" s="68" t="s">
        <v>65</v>
      </c>
      <c r="P61" s="72" t="s">
        <v>86</v>
      </c>
      <c r="Q61" s="68">
        <v>4</v>
      </c>
      <c r="R61" s="68">
        <v>220</v>
      </c>
      <c r="S61" s="68">
        <v>234768</v>
      </c>
      <c r="T61" s="73">
        <f t="shared" si="0"/>
        <v>234768000000</v>
      </c>
      <c r="U61" s="68" t="s">
        <v>60</v>
      </c>
      <c r="V61" s="68" t="s">
        <v>66</v>
      </c>
      <c r="W61" s="68" t="s">
        <v>60</v>
      </c>
      <c r="X61" s="74">
        <v>20.261556657577</v>
      </c>
      <c r="Y61" s="74">
        <v>20.362451594866499</v>
      </c>
      <c r="Z61" s="68"/>
      <c r="AA61" s="74">
        <f t="shared" si="42"/>
        <v>20.312004126221751</v>
      </c>
      <c r="AB61" s="74">
        <f t="shared" si="43"/>
        <v>1.7866074161795058</v>
      </c>
      <c r="AC61" s="75">
        <f t="shared" si="44"/>
        <v>209247475.03752756</v>
      </c>
      <c r="AD61" s="121">
        <f t="shared" si="46"/>
        <v>32.045610957106739</v>
      </c>
      <c r="AE61" s="68">
        <v>24.6302912575687</v>
      </c>
      <c r="AF61" s="68">
        <v>24.528478141007302</v>
      </c>
      <c r="AG61" s="68"/>
      <c r="AH61" s="74">
        <f t="shared" si="45"/>
        <v>24.579384699287999</v>
      </c>
      <c r="AI61" s="68">
        <f t="shared" si="47"/>
        <v>188.55166254333835</v>
      </c>
      <c r="AJ61" s="75">
        <f t="shared" si="35"/>
        <v>37.710332508667669</v>
      </c>
      <c r="AK61" s="68">
        <v>35.1834536697312</v>
      </c>
      <c r="AL61" s="68">
        <v>36.193315558464803</v>
      </c>
      <c r="AM61" s="68"/>
      <c r="AN61" s="76">
        <f t="shared" si="48"/>
        <v>35.688384614097998</v>
      </c>
      <c r="AO61" s="68">
        <f t="shared" si="49"/>
        <v>1.8703072915668793E-6</v>
      </c>
      <c r="AP61" s="68">
        <f t="shared" si="50"/>
        <v>110.78150274657571</v>
      </c>
      <c r="AQ61" s="75">
        <f t="shared" si="39"/>
        <v>22.156300549315141</v>
      </c>
      <c r="AR61" s="75">
        <f t="shared" si="51"/>
        <v>0.58753925185418465</v>
      </c>
      <c r="AS61" s="75">
        <f t="shared" si="52"/>
        <v>137935415079.30322</v>
      </c>
      <c r="AT61" s="68"/>
      <c r="AU61" s="68"/>
    </row>
    <row r="62" spans="2:47" s="5" customFormat="1" ht="13.9" thickBot="1" x14ac:dyDescent="0.4">
      <c r="B62" s="8"/>
      <c r="C62" s="17"/>
      <c r="D62" s="10" t="s">
        <v>75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20"/>
      <c r="Q62" s="8"/>
      <c r="R62" s="8"/>
      <c r="S62" s="8"/>
      <c r="T62" s="24">
        <f t="shared" si="0"/>
        <v>0</v>
      </c>
      <c r="U62" s="8"/>
      <c r="V62" s="8"/>
      <c r="W62" s="8"/>
      <c r="X62" s="89">
        <v>18.767959729731299</v>
      </c>
      <c r="Y62" s="90">
        <v>18.455674775334401</v>
      </c>
      <c r="Z62" s="8"/>
      <c r="AA62" s="18">
        <f t="shared" si="42"/>
        <v>18.611817252532852</v>
      </c>
      <c r="AB62" s="18">
        <f t="shared" si="43"/>
        <v>5.5752016042723964</v>
      </c>
      <c r="AC62" s="19">
        <f t="shared" si="44"/>
        <v>652967656.99866569</v>
      </c>
      <c r="AD62" s="91">
        <f t="shared" si="46"/>
        <v>100</v>
      </c>
      <c r="AE62" s="8"/>
      <c r="AF62" s="8"/>
      <c r="AG62" s="8"/>
      <c r="AH62" s="8"/>
      <c r="AI62" s="8"/>
      <c r="AJ62" s="60">
        <f t="shared" si="35"/>
        <v>0</v>
      </c>
      <c r="AK62" s="8"/>
      <c r="AL62" s="8"/>
      <c r="AM62" s="8"/>
      <c r="AN62" s="8"/>
      <c r="AO62" s="8"/>
      <c r="AP62" s="8"/>
      <c r="AQ62" s="60">
        <f t="shared" si="39"/>
        <v>0</v>
      </c>
      <c r="AR62" s="8"/>
      <c r="AS62" s="8"/>
      <c r="AT62" s="8"/>
      <c r="AU62" s="8"/>
    </row>
    <row r="63" spans="2:47" s="5" customFormat="1" x14ac:dyDescent="0.35">
      <c r="B63" s="8"/>
      <c r="C63" s="17"/>
      <c r="D63" s="1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20"/>
      <c r="Q63" s="8"/>
      <c r="R63" s="8"/>
      <c r="S63" s="8"/>
      <c r="T63" s="24">
        <f t="shared" si="0"/>
        <v>0</v>
      </c>
      <c r="U63" s="8"/>
      <c r="V63" s="8"/>
      <c r="W63" s="8"/>
      <c r="X63" s="18"/>
      <c r="Y63" s="18"/>
      <c r="Z63" s="8"/>
      <c r="AA63" s="18"/>
      <c r="AB63" s="18"/>
      <c r="AC63" s="19"/>
      <c r="AD63" s="8"/>
      <c r="AE63" s="8"/>
      <c r="AF63" s="8"/>
      <c r="AG63" s="8"/>
      <c r="AH63" s="8"/>
      <c r="AI63" s="8"/>
      <c r="AJ63" s="60">
        <f t="shared" si="35"/>
        <v>0</v>
      </c>
      <c r="AK63" s="8"/>
      <c r="AL63" s="8"/>
      <c r="AM63" s="8"/>
      <c r="AN63" s="8"/>
      <c r="AO63" s="8"/>
      <c r="AP63" s="8"/>
      <c r="AQ63" s="60">
        <f t="shared" si="39"/>
        <v>0</v>
      </c>
      <c r="AR63" s="8"/>
      <c r="AS63" s="8"/>
      <c r="AT63" s="8"/>
      <c r="AU63" s="8"/>
    </row>
    <row r="64" spans="2:47" s="168" customFormat="1" ht="13.5" x14ac:dyDescent="0.35">
      <c r="B64" s="123" t="s">
        <v>54</v>
      </c>
      <c r="C64" s="126" t="s">
        <v>88</v>
      </c>
      <c r="D64" s="135" t="s">
        <v>57</v>
      </c>
      <c r="E64" s="125" t="s">
        <v>58</v>
      </c>
      <c r="F64" s="123" t="s">
        <v>59</v>
      </c>
      <c r="G64" s="123">
        <v>-20</v>
      </c>
      <c r="H64" s="126">
        <v>43933</v>
      </c>
      <c r="I64" s="123" t="s">
        <v>61</v>
      </c>
      <c r="J64" s="123" t="s">
        <v>62</v>
      </c>
      <c r="K64" s="123" t="s">
        <v>89</v>
      </c>
      <c r="L64" s="126" t="s">
        <v>90</v>
      </c>
      <c r="M64" s="123" t="s">
        <v>91</v>
      </c>
      <c r="N64" s="123" t="s">
        <v>92</v>
      </c>
      <c r="O64" s="123" t="s">
        <v>65</v>
      </c>
      <c r="P64" s="166">
        <v>8.42</v>
      </c>
      <c r="Q64" s="123">
        <v>3.52</v>
      </c>
      <c r="R64" s="167">
        <v>210</v>
      </c>
      <c r="S64" s="123">
        <v>163008</v>
      </c>
      <c r="T64" s="127">
        <f t="shared" si="0"/>
        <v>163008000000</v>
      </c>
      <c r="U64" s="123" t="s">
        <v>93</v>
      </c>
      <c r="V64" s="123" t="s">
        <v>66</v>
      </c>
      <c r="W64" s="123" t="s">
        <v>94</v>
      </c>
      <c r="X64" s="130" t="s">
        <v>95</v>
      </c>
      <c r="Y64" s="130">
        <v>17.649999999999999</v>
      </c>
      <c r="Z64" s="123"/>
      <c r="AA64" s="130">
        <f>AVERAGE(X64:Z64)</f>
        <v>17.649999999999999</v>
      </c>
      <c r="AB64" s="130">
        <f>EXP((AA64-21.179)/-1.494)</f>
        <v>10.613376369078816</v>
      </c>
      <c r="AC64" s="132">
        <f>(AB64*(6.0221*10^23))/(15123*340*10^9)</f>
        <v>1243038726.2142498</v>
      </c>
      <c r="AD64" s="130">
        <f t="shared" ref="AD64:AD74" si="53">AC64*100/AC$74</f>
        <v>157.64160522336832</v>
      </c>
      <c r="AE64" s="123"/>
      <c r="AF64" s="123">
        <v>24.42</v>
      </c>
      <c r="AG64" s="123"/>
      <c r="AH64" s="130">
        <f t="shared" ref="AH64:AH74" si="54">AVERAGE(AE64:AG64)</f>
        <v>24.42</v>
      </c>
      <c r="AI64" s="123">
        <f>EXP((AH64-31.794)/-1.377)</f>
        <v>211.68934065834904</v>
      </c>
      <c r="AJ64" s="132">
        <f t="shared" si="35"/>
        <v>42.337868131669808</v>
      </c>
      <c r="AK64" s="123">
        <v>36.130000000000003</v>
      </c>
      <c r="AL64" s="130">
        <v>35</v>
      </c>
      <c r="AM64" s="123"/>
      <c r="AN64" s="129">
        <f>AVERAGE(AK64:AM64)</f>
        <v>35.564999999999998</v>
      </c>
      <c r="AO64" s="123">
        <f>EXP((AN64-15.746)/-1.512)</f>
        <v>2.0293312903411192E-6</v>
      </c>
      <c r="AP64" s="123">
        <f>(AO64*(6.0221*10^23))/(29903*340*10^9)</f>
        <v>120.20076643464117</v>
      </c>
      <c r="AQ64" s="132">
        <f t="shared" si="39"/>
        <v>24.040153286928234</v>
      </c>
      <c r="AR64" s="132">
        <f>AQ64/AJ64</f>
        <v>0.56781681146920071</v>
      </c>
      <c r="AS64" s="132">
        <f>AR64*T64</f>
        <v>92558682803.971466</v>
      </c>
      <c r="AT64" s="123"/>
      <c r="AU64" s="123"/>
    </row>
    <row r="65" spans="2:47" s="103" customFormat="1" x14ac:dyDescent="0.35">
      <c r="B65" s="107" t="s">
        <v>54</v>
      </c>
      <c r="C65" s="114" t="s">
        <v>96</v>
      </c>
      <c r="D65" s="104" t="s">
        <v>57</v>
      </c>
      <c r="E65" s="106" t="s">
        <v>58</v>
      </c>
      <c r="F65" s="107" t="s">
        <v>59</v>
      </c>
      <c r="G65" s="107">
        <v>-20</v>
      </c>
      <c r="H65" s="114">
        <v>43933</v>
      </c>
      <c r="I65" s="107" t="s">
        <v>61</v>
      </c>
      <c r="J65" s="107" t="s">
        <v>62</v>
      </c>
      <c r="K65" s="107" t="s">
        <v>89</v>
      </c>
      <c r="L65" s="114" t="s">
        <v>90</v>
      </c>
      <c r="M65" s="107" t="s">
        <v>91</v>
      </c>
      <c r="N65" s="107" t="s">
        <v>92</v>
      </c>
      <c r="O65" s="107" t="s">
        <v>65</v>
      </c>
      <c r="P65" s="119">
        <v>8.6</v>
      </c>
      <c r="Q65" s="107">
        <v>4.0199999999999996</v>
      </c>
      <c r="R65" s="107">
        <v>240</v>
      </c>
      <c r="S65" s="107">
        <v>132408</v>
      </c>
      <c r="T65" s="116">
        <f t="shared" si="0"/>
        <v>132408000000</v>
      </c>
      <c r="U65" s="107" t="s">
        <v>93</v>
      </c>
      <c r="V65" s="107" t="s">
        <v>66</v>
      </c>
      <c r="W65" s="107" t="s">
        <v>94</v>
      </c>
      <c r="X65" s="111">
        <v>22.93</v>
      </c>
      <c r="Y65" s="111">
        <v>21.09</v>
      </c>
      <c r="Z65" s="107"/>
      <c r="AA65" s="111">
        <f t="shared" ref="AA65:AA74" si="55">AVERAGE(X65:Z65)</f>
        <v>22.009999999999998</v>
      </c>
      <c r="AB65" s="111">
        <f t="shared" ref="AB65:AB74" si="56">EXP((AA65-21.179)/-1.494)</f>
        <v>0.57336951080145204</v>
      </c>
      <c r="AC65" s="112">
        <f t="shared" ref="AC65:AC74" si="57">(AB65*(6.0221*10^23))/(15123*340*10^9)</f>
        <v>67153041.743923813</v>
      </c>
      <c r="AD65" s="113">
        <f t="shared" si="53"/>
        <v>8.5163181748847556</v>
      </c>
      <c r="AE65" s="157">
        <v>27.8</v>
      </c>
      <c r="AF65" s="107">
        <v>27.68</v>
      </c>
      <c r="AG65" s="107"/>
      <c r="AH65" s="113">
        <f t="shared" si="54"/>
        <v>27.740000000000002</v>
      </c>
      <c r="AI65" s="107">
        <f t="shared" ref="AI65:AI111" si="58">EXP((AH65-31.794)/-1.377)</f>
        <v>18.993205999348952</v>
      </c>
      <c r="AJ65" s="112">
        <f t="shared" si="35"/>
        <v>3.7986411998697904</v>
      </c>
      <c r="AK65" s="107">
        <v>33.74</v>
      </c>
      <c r="AL65" s="107">
        <v>34.61</v>
      </c>
      <c r="AM65" s="107"/>
      <c r="AN65" s="113">
        <v>6</v>
      </c>
      <c r="AO65" s="107">
        <f t="shared" ref="AO65:AO74" si="59">EXP((AN65-15.746)/-1.512)</f>
        <v>630.02984782745466</v>
      </c>
      <c r="AP65" s="107">
        <f t="shared" ref="AP65:AP73" si="60">(AO65*(6.0221*10^23))/(29903*340*10^9)</f>
        <v>37317746464.565956</v>
      </c>
      <c r="AQ65" s="112">
        <f t="shared" si="39"/>
        <v>7463549292.9131908</v>
      </c>
      <c r="AR65" s="112">
        <f>AQ65/AJ65</f>
        <v>1964794488.3999641</v>
      </c>
      <c r="AS65" s="112">
        <f t="shared" ref="AS65:AS74" si="61">AR65*T65</f>
        <v>2.6015450862006246E+20</v>
      </c>
      <c r="AT65" s="107"/>
      <c r="AU65" s="107" t="s">
        <v>97</v>
      </c>
    </row>
    <row r="66" spans="2:47" s="168" customFormat="1" x14ac:dyDescent="0.35">
      <c r="B66" s="123" t="s">
        <v>54</v>
      </c>
      <c r="C66" s="126" t="s">
        <v>98</v>
      </c>
      <c r="D66" s="135" t="s">
        <v>57</v>
      </c>
      <c r="E66" s="125" t="s">
        <v>58</v>
      </c>
      <c r="F66" s="123" t="s">
        <v>59</v>
      </c>
      <c r="G66" s="123">
        <v>-20</v>
      </c>
      <c r="H66" s="126">
        <v>43933</v>
      </c>
      <c r="I66" s="123" t="s">
        <v>61</v>
      </c>
      <c r="J66" s="123" t="s">
        <v>62</v>
      </c>
      <c r="K66" s="123" t="s">
        <v>89</v>
      </c>
      <c r="L66" s="126" t="s">
        <v>90</v>
      </c>
      <c r="M66" s="123" t="s">
        <v>91</v>
      </c>
      <c r="N66" s="123" t="s">
        <v>92</v>
      </c>
      <c r="O66" s="123" t="s">
        <v>65</v>
      </c>
      <c r="P66" s="166">
        <v>8.2200000000000006</v>
      </c>
      <c r="Q66" s="123">
        <v>4.09</v>
      </c>
      <c r="R66" s="123">
        <v>190</v>
      </c>
      <c r="S66" s="123">
        <v>163680</v>
      </c>
      <c r="T66" s="127">
        <f t="shared" si="0"/>
        <v>163680000000</v>
      </c>
      <c r="U66" s="123" t="s">
        <v>93</v>
      </c>
      <c r="V66" s="123" t="s">
        <v>66</v>
      </c>
      <c r="W66" s="123" t="s">
        <v>94</v>
      </c>
      <c r="X66" s="130">
        <v>18.010000000000002</v>
      </c>
      <c r="Y66" s="130">
        <v>17.97</v>
      </c>
      <c r="Z66" s="123"/>
      <c r="AA66" s="130">
        <f t="shared" si="55"/>
        <v>17.990000000000002</v>
      </c>
      <c r="AB66" s="130">
        <f t="shared" si="56"/>
        <v>8.453141543826872</v>
      </c>
      <c r="AC66" s="132">
        <f t="shared" si="57"/>
        <v>990032006.00331783</v>
      </c>
      <c r="AD66" s="129">
        <f t="shared" si="53"/>
        <v>125.55540817637745</v>
      </c>
      <c r="AE66" s="130">
        <v>24.5</v>
      </c>
      <c r="AF66" s="123">
        <v>24.36</v>
      </c>
      <c r="AG66" s="123"/>
      <c r="AH66" s="130">
        <f t="shared" si="54"/>
        <v>24.43</v>
      </c>
      <c r="AI66" s="123">
        <f t="shared" si="58"/>
        <v>210.1575865796828</v>
      </c>
      <c r="AJ66" s="132">
        <f t="shared" si="35"/>
        <v>42.031517315936561</v>
      </c>
      <c r="AK66" s="123">
        <v>34.86</v>
      </c>
      <c r="AL66" s="130">
        <v>36.4</v>
      </c>
      <c r="AM66" s="123"/>
      <c r="AN66" s="129">
        <f>AVERAGE(AK66:AM66)</f>
        <v>35.629999999999995</v>
      </c>
      <c r="AO66" s="123">
        <f>EXP((AN66-15.746)/-1.512)</f>
        <v>1.9439401279233478E-6</v>
      </c>
      <c r="AP66" s="123">
        <f t="shared" si="60"/>
        <v>115.14290169948708</v>
      </c>
      <c r="AQ66" s="132">
        <f t="shared" si="39"/>
        <v>23.028580339897417</v>
      </c>
      <c r="AR66" s="132">
        <f t="shared" ref="AR66:AR112" si="62">AQ66/AJ66</f>
        <v>0.54788838972429765</v>
      </c>
      <c r="AS66" s="132">
        <f t="shared" si="61"/>
        <v>89678371630.073044</v>
      </c>
      <c r="AT66" s="123"/>
      <c r="AU66" s="123"/>
    </row>
    <row r="67" spans="2:47" s="103" customFormat="1" ht="14.25" x14ac:dyDescent="0.45">
      <c r="B67" s="107" t="s">
        <v>54</v>
      </c>
      <c r="C67" s="114" t="s">
        <v>99</v>
      </c>
      <c r="D67" s="104" t="s">
        <v>57</v>
      </c>
      <c r="E67" s="106" t="s">
        <v>58</v>
      </c>
      <c r="F67" s="107" t="s">
        <v>59</v>
      </c>
      <c r="G67" s="107">
        <v>-20</v>
      </c>
      <c r="H67" s="114">
        <v>43933</v>
      </c>
      <c r="I67" s="107" t="s">
        <v>61</v>
      </c>
      <c r="J67" s="107" t="s">
        <v>62</v>
      </c>
      <c r="K67" s="107" t="s">
        <v>89</v>
      </c>
      <c r="L67" s="114" t="s">
        <v>90</v>
      </c>
      <c r="M67" s="107" t="s">
        <v>91</v>
      </c>
      <c r="N67" s="107" t="s">
        <v>92</v>
      </c>
      <c r="O67" s="107" t="s">
        <v>65</v>
      </c>
      <c r="P67" s="119">
        <v>7.78</v>
      </c>
      <c r="Q67" s="107">
        <v>3.99</v>
      </c>
      <c r="R67" s="107">
        <v>170</v>
      </c>
      <c r="S67" s="107">
        <v>245784</v>
      </c>
      <c r="T67" s="116">
        <f t="shared" si="0"/>
        <v>245784000000</v>
      </c>
      <c r="U67" s="107" t="s">
        <v>93</v>
      </c>
      <c r="V67" s="107" t="s">
        <v>66</v>
      </c>
      <c r="W67" s="107" t="s">
        <v>94</v>
      </c>
      <c r="X67" s="111">
        <v>17.97</v>
      </c>
      <c r="Y67" s="111">
        <v>18.47</v>
      </c>
      <c r="Z67" s="107"/>
      <c r="AA67" s="111">
        <f t="shared" si="55"/>
        <v>18.22</v>
      </c>
      <c r="AB67" s="111">
        <f t="shared" si="56"/>
        <v>7.2470103822810534</v>
      </c>
      <c r="AC67" s="112">
        <f t="shared" si="57"/>
        <v>848769914.60484278</v>
      </c>
      <c r="AD67" s="113">
        <f t="shared" si="53"/>
        <v>107.64061407089797</v>
      </c>
      <c r="AE67" s="111">
        <v>25.2</v>
      </c>
      <c r="AF67" s="157">
        <v>25.2</v>
      </c>
      <c r="AG67" s="107"/>
      <c r="AH67" s="111">
        <f t="shared" si="54"/>
        <v>25.2</v>
      </c>
      <c r="AI67" s="107">
        <f t="shared" si="58"/>
        <v>120.14159721702842</v>
      </c>
      <c r="AJ67" s="112">
        <f t="shared" si="35"/>
        <v>24.028319443405685</v>
      </c>
      <c r="AK67" s="107" t="s">
        <v>100</v>
      </c>
      <c r="AL67" s="107" t="s">
        <v>100</v>
      </c>
      <c r="AM67" s="107"/>
      <c r="AN67" s="113" t="e">
        <f t="shared" ref="AN67:AN68" si="63">AVERAGE(AK67:AM67)</f>
        <v>#DIV/0!</v>
      </c>
      <c r="AO67" s="107" t="e">
        <f t="shared" si="59"/>
        <v>#DIV/0!</v>
      </c>
      <c r="AP67" s="107" t="e">
        <f t="shared" si="60"/>
        <v>#DIV/0!</v>
      </c>
      <c r="AQ67" s="112" t="e">
        <f t="shared" si="39"/>
        <v>#DIV/0!</v>
      </c>
      <c r="AR67" s="112" t="e">
        <f t="shared" si="62"/>
        <v>#DIV/0!</v>
      </c>
      <c r="AS67" s="112" t="e">
        <f t="shared" si="61"/>
        <v>#DIV/0!</v>
      </c>
      <c r="AT67" s="107"/>
      <c r="AU67" s="165" t="s">
        <v>101</v>
      </c>
    </row>
    <row r="68" spans="2:47" s="103" customFormat="1" x14ac:dyDescent="0.35">
      <c r="B68" s="107" t="s">
        <v>54</v>
      </c>
      <c r="C68" s="114" t="s">
        <v>102</v>
      </c>
      <c r="D68" s="104" t="s">
        <v>57</v>
      </c>
      <c r="E68" s="106" t="s">
        <v>58</v>
      </c>
      <c r="F68" s="107" t="s">
        <v>59</v>
      </c>
      <c r="G68" s="107">
        <v>-20</v>
      </c>
      <c r="H68" s="114">
        <v>43933</v>
      </c>
      <c r="I68" s="107" t="s">
        <v>61</v>
      </c>
      <c r="J68" s="107" t="s">
        <v>62</v>
      </c>
      <c r="K68" s="107" t="s">
        <v>89</v>
      </c>
      <c r="L68" s="114" t="s">
        <v>90</v>
      </c>
      <c r="M68" s="107" t="s">
        <v>91</v>
      </c>
      <c r="N68" s="107" t="s">
        <v>92</v>
      </c>
      <c r="O68" s="107" t="s">
        <v>65</v>
      </c>
      <c r="P68" s="119">
        <v>8.59</v>
      </c>
      <c r="Q68" s="107">
        <v>4.6100000000000003</v>
      </c>
      <c r="R68" s="107">
        <v>330</v>
      </c>
      <c r="S68" s="107">
        <v>233736</v>
      </c>
      <c r="T68" s="116">
        <f t="shared" si="0"/>
        <v>233736000000</v>
      </c>
      <c r="U68" s="107" t="s">
        <v>93</v>
      </c>
      <c r="V68" s="107" t="s">
        <v>66</v>
      </c>
      <c r="W68" s="107" t="s">
        <v>94</v>
      </c>
      <c r="X68" s="111">
        <v>22.02</v>
      </c>
      <c r="Y68" s="111">
        <v>19.41</v>
      </c>
      <c r="Z68" s="107"/>
      <c r="AA68" s="111">
        <f t="shared" si="55"/>
        <v>20.715</v>
      </c>
      <c r="AB68" s="111">
        <f t="shared" si="56"/>
        <v>1.3642101764766041</v>
      </c>
      <c r="AC68" s="112">
        <f t="shared" si="57"/>
        <v>159776306.90611023</v>
      </c>
      <c r="AD68" s="113">
        <f t="shared" si="53"/>
        <v>20.262758485450011</v>
      </c>
      <c r="AE68" s="111">
        <v>22.99</v>
      </c>
      <c r="AF68" s="113">
        <v>22.58</v>
      </c>
      <c r="AG68" s="107"/>
      <c r="AH68" s="111">
        <f t="shared" si="54"/>
        <v>22.784999999999997</v>
      </c>
      <c r="AI68" s="107">
        <f t="shared" si="58"/>
        <v>694.00811958649638</v>
      </c>
      <c r="AJ68" s="112">
        <f t="shared" si="35"/>
        <v>138.80162391729928</v>
      </c>
      <c r="AK68" s="107" t="s">
        <v>100</v>
      </c>
      <c r="AL68" s="107" t="s">
        <v>100</v>
      </c>
      <c r="AM68" s="107"/>
      <c r="AN68" s="113" t="e">
        <f t="shared" si="63"/>
        <v>#DIV/0!</v>
      </c>
      <c r="AO68" s="107" t="e">
        <f>EXP((AN68-15.746)/-1.512)</f>
        <v>#DIV/0!</v>
      </c>
      <c r="AP68" s="107" t="e">
        <f t="shared" si="60"/>
        <v>#DIV/0!</v>
      </c>
      <c r="AQ68" s="112" t="e">
        <f t="shared" si="39"/>
        <v>#DIV/0!</v>
      </c>
      <c r="AR68" s="112" t="e">
        <f t="shared" si="62"/>
        <v>#DIV/0!</v>
      </c>
      <c r="AS68" s="112" t="e">
        <f t="shared" si="61"/>
        <v>#DIV/0!</v>
      </c>
      <c r="AT68" s="107"/>
      <c r="AU68" s="107" t="s">
        <v>103</v>
      </c>
    </row>
    <row r="69" spans="2:47" s="66" customFormat="1" x14ac:dyDescent="0.35">
      <c r="B69" s="52" t="s">
        <v>54</v>
      </c>
      <c r="C69" s="62" t="s">
        <v>104</v>
      </c>
      <c r="D69" s="63" t="s">
        <v>57</v>
      </c>
      <c r="E69" s="64" t="s">
        <v>58</v>
      </c>
      <c r="F69" s="52" t="s">
        <v>59</v>
      </c>
      <c r="G69" s="52">
        <v>-20</v>
      </c>
      <c r="H69" s="62">
        <v>43933</v>
      </c>
      <c r="I69" s="52" t="s">
        <v>61</v>
      </c>
      <c r="J69" s="52" t="s">
        <v>62</v>
      </c>
      <c r="K69" s="52" t="s">
        <v>89</v>
      </c>
      <c r="L69" s="62" t="s">
        <v>90</v>
      </c>
      <c r="M69" s="52" t="s">
        <v>91</v>
      </c>
      <c r="N69" s="52" t="s">
        <v>92</v>
      </c>
      <c r="O69" s="52" t="s">
        <v>65</v>
      </c>
      <c r="P69" s="65">
        <v>7.42</v>
      </c>
      <c r="Q69" s="52">
        <v>4.37</v>
      </c>
      <c r="R69" s="52">
        <v>210</v>
      </c>
      <c r="S69" s="52">
        <v>426168</v>
      </c>
      <c r="T69" s="55">
        <f t="shared" si="0"/>
        <v>426168000000</v>
      </c>
      <c r="U69" s="52" t="s">
        <v>93</v>
      </c>
      <c r="V69" s="52" t="s">
        <v>66</v>
      </c>
      <c r="W69" s="52" t="s">
        <v>94</v>
      </c>
      <c r="X69" s="58">
        <v>19.12</v>
      </c>
      <c r="Y69" s="58">
        <v>21.07</v>
      </c>
      <c r="Z69" s="52"/>
      <c r="AA69" s="58">
        <f t="shared" si="55"/>
        <v>20.094999999999999</v>
      </c>
      <c r="AB69" s="58">
        <f t="shared" si="56"/>
        <v>2.0659061473445002</v>
      </c>
      <c r="AC69" s="60">
        <f t="shared" si="57"/>
        <v>241958944.69124383</v>
      </c>
      <c r="AD69" s="57">
        <f t="shared" si="53"/>
        <v>30.685123186343581</v>
      </c>
      <c r="AE69" s="58">
        <v>24.5</v>
      </c>
      <c r="AF69" s="52">
        <v>25.55</v>
      </c>
      <c r="AG69" s="52"/>
      <c r="AH69" s="58">
        <f t="shared" si="54"/>
        <v>25.024999999999999</v>
      </c>
      <c r="AI69" s="52">
        <f t="shared" si="58"/>
        <v>136.42280126673808</v>
      </c>
      <c r="AJ69" s="60">
        <f t="shared" si="35"/>
        <v>27.284560253347614</v>
      </c>
      <c r="AK69" s="52">
        <v>35.71</v>
      </c>
      <c r="AL69" s="52">
        <v>36.15</v>
      </c>
      <c r="AM69" s="52"/>
      <c r="AN69" s="57">
        <f>AVERAGE(AK69:AM69)</f>
        <v>35.93</v>
      </c>
      <c r="AO69" s="52">
        <f t="shared" si="59"/>
        <v>1.5940918623004178E-6</v>
      </c>
      <c r="AP69" s="52">
        <f t="shared" si="60"/>
        <v>94.420790004931092</v>
      </c>
      <c r="AQ69" s="60">
        <f t="shared" si="39"/>
        <v>18.884158000986218</v>
      </c>
      <c r="AR69" s="60">
        <f t="shared" si="62"/>
        <v>0.69211883298244736</v>
      </c>
      <c r="AS69" s="60">
        <f t="shared" si="61"/>
        <v>294958898814.46362</v>
      </c>
      <c r="AT69" s="52"/>
      <c r="AU69" s="52"/>
    </row>
    <row r="70" spans="2:47" s="66" customFormat="1" x14ac:dyDescent="0.35">
      <c r="B70" s="52" t="s">
        <v>54</v>
      </c>
      <c r="C70" s="62">
        <v>43840</v>
      </c>
      <c r="D70" s="63" t="s">
        <v>57</v>
      </c>
      <c r="E70" s="64" t="s">
        <v>58</v>
      </c>
      <c r="F70" s="52" t="s">
        <v>59</v>
      </c>
      <c r="G70" s="52">
        <v>-20</v>
      </c>
      <c r="H70" s="62">
        <v>43933</v>
      </c>
      <c r="I70" s="52" t="s">
        <v>61</v>
      </c>
      <c r="J70" s="52" t="s">
        <v>62</v>
      </c>
      <c r="K70" s="52" t="s">
        <v>89</v>
      </c>
      <c r="L70" s="62" t="s">
        <v>90</v>
      </c>
      <c r="M70" s="52" t="s">
        <v>91</v>
      </c>
      <c r="N70" s="52" t="s">
        <v>92</v>
      </c>
      <c r="O70" s="52" t="s">
        <v>65</v>
      </c>
      <c r="P70" s="65">
        <v>7.56</v>
      </c>
      <c r="Q70" s="52">
        <v>4.58</v>
      </c>
      <c r="R70" s="52">
        <v>190</v>
      </c>
      <c r="S70" s="52">
        <v>295056</v>
      </c>
      <c r="T70" s="55">
        <f t="shared" si="0"/>
        <v>295056000000</v>
      </c>
      <c r="U70" s="52" t="s">
        <v>93</v>
      </c>
      <c r="V70" s="52" t="s">
        <v>66</v>
      </c>
      <c r="W70" s="52" t="s">
        <v>94</v>
      </c>
      <c r="X70" s="58">
        <v>18.190000000000001</v>
      </c>
      <c r="Y70" s="58">
        <v>18.62</v>
      </c>
      <c r="Z70" s="52"/>
      <c r="AA70" s="58">
        <f t="shared" si="55"/>
        <v>18.405000000000001</v>
      </c>
      <c r="AB70" s="58">
        <f t="shared" si="56"/>
        <v>6.4029599448525563</v>
      </c>
      <c r="AC70" s="60">
        <f t="shared" si="57"/>
        <v>749914720.54440987</v>
      </c>
      <c r="AD70" s="57">
        <f t="shared" si="53"/>
        <v>95.103843375253348</v>
      </c>
      <c r="AE70" s="57">
        <v>24.49</v>
      </c>
      <c r="AF70" s="52">
        <v>24.9</v>
      </c>
      <c r="AG70" s="52"/>
      <c r="AH70" s="58">
        <f t="shared" si="54"/>
        <v>24.695</v>
      </c>
      <c r="AI70" s="52">
        <f t="shared" si="58"/>
        <v>173.36692674497155</v>
      </c>
      <c r="AJ70" s="60">
        <f t="shared" si="35"/>
        <v>34.673385348994309</v>
      </c>
      <c r="AK70" s="52">
        <v>33.08</v>
      </c>
      <c r="AL70" s="52">
        <v>34.119999999999997</v>
      </c>
      <c r="AM70" s="52"/>
      <c r="AN70" s="57">
        <f>AVERAGE(AK70:AM70)</f>
        <v>33.599999999999994</v>
      </c>
      <c r="AO70" s="52">
        <f t="shared" si="59"/>
        <v>7.4432642787186471E-6</v>
      </c>
      <c r="AP70" s="52">
        <f t="shared" si="60"/>
        <v>440.87728570290562</v>
      </c>
      <c r="AQ70" s="60">
        <f t="shared" si="39"/>
        <v>88.17545714058113</v>
      </c>
      <c r="AR70" s="60">
        <f t="shared" si="62"/>
        <v>2.543029942218741</v>
      </c>
      <c r="AS70" s="60">
        <f t="shared" si="61"/>
        <v>750336242631.29285</v>
      </c>
      <c r="AT70" s="52"/>
      <c r="AU70" s="52"/>
    </row>
    <row r="71" spans="2:47" s="66" customFormat="1" x14ac:dyDescent="0.35">
      <c r="B71" s="52" t="s">
        <v>54</v>
      </c>
      <c r="C71" s="62">
        <v>43871</v>
      </c>
      <c r="D71" s="63" t="s">
        <v>57</v>
      </c>
      <c r="E71" s="64" t="s">
        <v>58</v>
      </c>
      <c r="F71" s="52" t="s">
        <v>59</v>
      </c>
      <c r="G71" s="52">
        <v>-20</v>
      </c>
      <c r="H71" s="62">
        <v>43933</v>
      </c>
      <c r="I71" s="52" t="s">
        <v>61</v>
      </c>
      <c r="J71" s="52" t="s">
        <v>62</v>
      </c>
      <c r="K71" s="52" t="s">
        <v>89</v>
      </c>
      <c r="L71" s="62" t="s">
        <v>90</v>
      </c>
      <c r="M71" s="52" t="s">
        <v>91</v>
      </c>
      <c r="N71" s="52" t="s">
        <v>92</v>
      </c>
      <c r="O71" s="52" t="s">
        <v>65</v>
      </c>
      <c r="P71" s="65">
        <v>7.65</v>
      </c>
      <c r="Q71" s="52">
        <v>3.73</v>
      </c>
      <c r="R71" s="52">
        <v>200</v>
      </c>
      <c r="S71" s="52">
        <v>321072</v>
      </c>
      <c r="T71" s="55">
        <f t="shared" si="0"/>
        <v>321072000000</v>
      </c>
      <c r="U71" s="52" t="s">
        <v>93</v>
      </c>
      <c r="V71" s="52" t="s">
        <v>66</v>
      </c>
      <c r="W71" s="52" t="s">
        <v>94</v>
      </c>
      <c r="X71" s="58">
        <v>18.52</v>
      </c>
      <c r="Y71" s="58">
        <v>19.27</v>
      </c>
      <c r="Z71" s="52"/>
      <c r="AA71" s="58">
        <f t="shared" si="55"/>
        <v>18.895</v>
      </c>
      <c r="AB71" s="58">
        <f t="shared" si="56"/>
        <v>4.6125543562130087</v>
      </c>
      <c r="AC71" s="60">
        <f t="shared" si="57"/>
        <v>540222403.51763296</v>
      </c>
      <c r="AD71" s="57">
        <f t="shared" si="53"/>
        <v>68.510759216255877</v>
      </c>
      <c r="AE71" s="52">
        <v>23.34</v>
      </c>
      <c r="AF71" s="52">
        <v>26.79</v>
      </c>
      <c r="AG71" s="52"/>
      <c r="AH71" s="58">
        <f t="shared" si="54"/>
        <v>25.064999999999998</v>
      </c>
      <c r="AI71" s="52">
        <f t="shared" si="58"/>
        <v>132.51690731344601</v>
      </c>
      <c r="AJ71" s="60">
        <f t="shared" si="35"/>
        <v>26.503381462689202</v>
      </c>
      <c r="AK71" s="52">
        <v>34.130000000000003</v>
      </c>
      <c r="AL71" s="52">
        <v>33.29</v>
      </c>
      <c r="AM71" s="52"/>
      <c r="AN71" s="57">
        <f>AVERAGE(AK71:AM71)</f>
        <v>33.71</v>
      </c>
      <c r="AO71" s="52">
        <f t="shared" si="59"/>
        <v>6.9209855292572844E-6</v>
      </c>
      <c r="AP71" s="52">
        <f t="shared" si="60"/>
        <v>409.94182125873942</v>
      </c>
      <c r="AQ71" s="60">
        <f t="shared" si="39"/>
        <v>81.988364251747882</v>
      </c>
      <c r="AR71" s="60">
        <f t="shared" si="62"/>
        <v>3.0935057991437453</v>
      </c>
      <c r="AS71" s="60">
        <f t="shared" si="61"/>
        <v>993238093942.68066</v>
      </c>
      <c r="AT71" s="52"/>
      <c r="AU71" s="52"/>
    </row>
    <row r="72" spans="2:47" s="103" customFormat="1" x14ac:dyDescent="0.35">
      <c r="B72" s="107" t="s">
        <v>54</v>
      </c>
      <c r="C72" s="114">
        <v>43961</v>
      </c>
      <c r="D72" s="104" t="s">
        <v>57</v>
      </c>
      <c r="E72" s="106" t="s">
        <v>58</v>
      </c>
      <c r="F72" s="107" t="s">
        <v>59</v>
      </c>
      <c r="G72" s="107">
        <v>-20</v>
      </c>
      <c r="H72" s="114">
        <v>43933</v>
      </c>
      <c r="I72" s="107" t="s">
        <v>61</v>
      </c>
      <c r="J72" s="107" t="s">
        <v>62</v>
      </c>
      <c r="K72" s="107" t="s">
        <v>89</v>
      </c>
      <c r="L72" s="114" t="s">
        <v>90</v>
      </c>
      <c r="M72" s="107" t="s">
        <v>91</v>
      </c>
      <c r="N72" s="107" t="s">
        <v>92</v>
      </c>
      <c r="O72" s="107" t="s">
        <v>65</v>
      </c>
      <c r="P72" s="119">
        <v>7.8</v>
      </c>
      <c r="Q72" s="107">
        <v>4.5599999999999996</v>
      </c>
      <c r="R72" s="107">
        <v>250</v>
      </c>
      <c r="S72" s="107">
        <v>200664</v>
      </c>
      <c r="T72" s="116">
        <f t="shared" si="0"/>
        <v>200664000000</v>
      </c>
      <c r="U72" s="107" t="s">
        <v>93</v>
      </c>
      <c r="V72" s="107" t="s">
        <v>66</v>
      </c>
      <c r="W72" s="107" t="s">
        <v>94</v>
      </c>
      <c r="X72" s="111">
        <v>18.920000000000002</v>
      </c>
      <c r="Y72" s="111">
        <v>19.829999999999998</v>
      </c>
      <c r="Z72" s="107"/>
      <c r="AA72" s="111">
        <f t="shared" si="55"/>
        <v>19.375</v>
      </c>
      <c r="AB72" s="111">
        <f t="shared" si="56"/>
        <v>3.3451002166963621</v>
      </c>
      <c r="AC72" s="112">
        <f t="shared" si="57"/>
        <v>391778164.44307971</v>
      </c>
      <c r="AD72" s="113">
        <f t="shared" si="53"/>
        <v>49.685128412987844</v>
      </c>
      <c r="AE72" s="107">
        <v>23.13</v>
      </c>
      <c r="AF72" s="107">
        <v>23.65</v>
      </c>
      <c r="AG72" s="107"/>
      <c r="AH72" s="111">
        <f t="shared" si="54"/>
        <v>23.39</v>
      </c>
      <c r="AI72" s="107">
        <f t="shared" si="58"/>
        <v>447.25223991629753</v>
      </c>
      <c r="AJ72" s="112">
        <f t="shared" si="35"/>
        <v>89.450447983259508</v>
      </c>
      <c r="AK72" s="107" t="s">
        <v>100</v>
      </c>
      <c r="AL72" s="107" t="s">
        <v>100</v>
      </c>
      <c r="AM72" s="107"/>
      <c r="AN72" s="113" t="e">
        <f t="shared" ref="AN72:AN74" si="64">AVERAGE(AK72:AM72)</f>
        <v>#DIV/0!</v>
      </c>
      <c r="AO72" s="107" t="e">
        <f t="shared" si="59"/>
        <v>#DIV/0!</v>
      </c>
      <c r="AP72" s="107" t="e">
        <f t="shared" si="60"/>
        <v>#DIV/0!</v>
      </c>
      <c r="AQ72" s="112" t="e">
        <f t="shared" si="39"/>
        <v>#DIV/0!</v>
      </c>
      <c r="AR72" s="112" t="e">
        <f t="shared" si="62"/>
        <v>#DIV/0!</v>
      </c>
      <c r="AS72" s="112" t="e">
        <f t="shared" si="61"/>
        <v>#DIV/0!</v>
      </c>
      <c r="AT72" s="107"/>
      <c r="AU72" s="107" t="s">
        <v>103</v>
      </c>
    </row>
    <row r="73" spans="2:47" s="103" customFormat="1" x14ac:dyDescent="0.35">
      <c r="B73" s="107" t="s">
        <v>54</v>
      </c>
      <c r="C73" s="114" t="s">
        <v>99</v>
      </c>
      <c r="D73" s="104" t="s">
        <v>57</v>
      </c>
      <c r="E73" s="106" t="s">
        <v>58</v>
      </c>
      <c r="F73" s="107" t="s">
        <v>59</v>
      </c>
      <c r="G73" s="107">
        <v>-20</v>
      </c>
      <c r="H73" s="114">
        <v>43933</v>
      </c>
      <c r="I73" s="107" t="s">
        <v>61</v>
      </c>
      <c r="J73" s="107" t="s">
        <v>62</v>
      </c>
      <c r="K73" s="107" t="s">
        <v>89</v>
      </c>
      <c r="L73" s="114" t="s">
        <v>90</v>
      </c>
      <c r="M73" s="107" t="s">
        <v>91</v>
      </c>
      <c r="N73" s="107" t="s">
        <v>92</v>
      </c>
      <c r="O73" s="107" t="s">
        <v>65</v>
      </c>
      <c r="P73" s="119">
        <v>7.84</v>
      </c>
      <c r="Q73" s="107">
        <v>4.2699999999999996</v>
      </c>
      <c r="R73" s="107">
        <v>300</v>
      </c>
      <c r="S73" s="107">
        <v>319488</v>
      </c>
      <c r="T73" s="116">
        <f t="shared" si="0"/>
        <v>319488000000</v>
      </c>
      <c r="U73" s="107" t="s">
        <v>93</v>
      </c>
      <c r="V73" s="107" t="s">
        <v>66</v>
      </c>
      <c r="W73" s="107" t="s">
        <v>94</v>
      </c>
      <c r="X73" s="111">
        <v>20.149999999999999</v>
      </c>
      <c r="Y73" s="111">
        <v>20.75</v>
      </c>
      <c r="Z73" s="107"/>
      <c r="AA73" s="111">
        <f t="shared" si="55"/>
        <v>20.45</v>
      </c>
      <c r="AB73" s="111">
        <f t="shared" si="56"/>
        <v>1.6289763431968496</v>
      </c>
      <c r="AC73" s="112">
        <f t="shared" si="57"/>
        <v>190785722.49448147</v>
      </c>
      <c r="AD73" s="113">
        <f t="shared" si="53"/>
        <v>24.195358449794828</v>
      </c>
      <c r="AE73" s="107">
        <v>24.83</v>
      </c>
      <c r="AF73" s="107">
        <v>25.18</v>
      </c>
      <c r="AG73" s="107"/>
      <c r="AH73" s="111">
        <f t="shared" si="54"/>
        <v>25.004999999999999</v>
      </c>
      <c r="AI73" s="107">
        <f t="shared" si="58"/>
        <v>138.41871034508986</v>
      </c>
      <c r="AJ73" s="112">
        <f t="shared" si="35"/>
        <v>27.683742069017974</v>
      </c>
      <c r="AK73" s="107" t="s">
        <v>100</v>
      </c>
      <c r="AL73" s="107" t="s">
        <v>100</v>
      </c>
      <c r="AM73" s="107"/>
      <c r="AN73" s="113" t="e">
        <f t="shared" si="64"/>
        <v>#DIV/0!</v>
      </c>
      <c r="AO73" s="107" t="e">
        <f t="shared" si="59"/>
        <v>#DIV/0!</v>
      </c>
      <c r="AP73" s="107" t="e">
        <f t="shared" si="60"/>
        <v>#DIV/0!</v>
      </c>
      <c r="AQ73" s="112" t="e">
        <f t="shared" si="39"/>
        <v>#DIV/0!</v>
      </c>
      <c r="AR73" s="112" t="e">
        <f t="shared" si="62"/>
        <v>#DIV/0!</v>
      </c>
      <c r="AS73" s="112" t="e">
        <f t="shared" si="61"/>
        <v>#DIV/0!</v>
      </c>
      <c r="AT73" s="107"/>
      <c r="AU73" s="107" t="s">
        <v>103</v>
      </c>
    </row>
    <row r="74" spans="2:47" s="5" customFormat="1" x14ac:dyDescent="0.35">
      <c r="B74" s="8"/>
      <c r="C74" s="17"/>
      <c r="D74" s="10" t="s">
        <v>105</v>
      </c>
      <c r="E74" s="8"/>
      <c r="F74" s="8" t="s">
        <v>106</v>
      </c>
      <c r="G74" s="8">
        <v>-80</v>
      </c>
      <c r="H74" s="8"/>
      <c r="I74" s="8"/>
      <c r="J74" s="8"/>
      <c r="K74" s="8"/>
      <c r="L74" s="8"/>
      <c r="M74" s="24" t="s">
        <v>107</v>
      </c>
      <c r="N74" s="8" t="s">
        <v>108</v>
      </c>
      <c r="O74" s="8" t="s">
        <v>108</v>
      </c>
      <c r="P74" s="20" t="s">
        <v>108</v>
      </c>
      <c r="Q74" s="8" t="s">
        <v>108</v>
      </c>
      <c r="R74" s="8" t="s">
        <v>108</v>
      </c>
      <c r="S74" s="8" t="s">
        <v>108</v>
      </c>
      <c r="T74" s="24" t="e">
        <f t="shared" si="0"/>
        <v>#VALUE!</v>
      </c>
      <c r="U74" s="8" t="s">
        <v>93</v>
      </c>
      <c r="V74" s="8" t="s">
        <v>66</v>
      </c>
      <c r="W74" s="8" t="s">
        <v>94</v>
      </c>
      <c r="X74" s="21">
        <v>18.04</v>
      </c>
      <c r="Y74" s="21">
        <v>18.62</v>
      </c>
      <c r="Z74" s="8"/>
      <c r="AA74" s="18">
        <f t="shared" si="55"/>
        <v>18.329999999999998</v>
      </c>
      <c r="AB74" s="18">
        <f t="shared" si="56"/>
        <v>6.7325985129625687</v>
      </c>
      <c r="AC74" s="19">
        <f t="shared" si="57"/>
        <v>788521992.30840206</v>
      </c>
      <c r="AD74" s="21">
        <f t="shared" si="53"/>
        <v>100</v>
      </c>
      <c r="AE74" s="8" t="s">
        <v>95</v>
      </c>
      <c r="AF74" s="8" t="s">
        <v>95</v>
      </c>
      <c r="AG74" s="8" t="s">
        <v>109</v>
      </c>
      <c r="AH74" s="21" t="e">
        <f t="shared" si="54"/>
        <v>#DIV/0!</v>
      </c>
      <c r="AI74" s="8" t="e">
        <f t="shared" si="58"/>
        <v>#DIV/0!</v>
      </c>
      <c r="AJ74" s="60" t="e">
        <f t="shared" si="35"/>
        <v>#DIV/0!</v>
      </c>
      <c r="AK74" s="8" t="s">
        <v>100</v>
      </c>
      <c r="AL74" s="8" t="s">
        <v>100</v>
      </c>
      <c r="AM74" s="8"/>
      <c r="AN74" s="21" t="e">
        <f t="shared" si="64"/>
        <v>#DIV/0!</v>
      </c>
      <c r="AO74" s="8" t="e">
        <f t="shared" si="59"/>
        <v>#DIV/0!</v>
      </c>
      <c r="AP74" s="8" t="e">
        <f>(AO74*(6.0221*10^23))/(B11*340*10^9)</f>
        <v>#DIV/0!</v>
      </c>
      <c r="AQ74" s="60" t="e">
        <f t="shared" si="39"/>
        <v>#DIV/0!</v>
      </c>
      <c r="AR74" s="19" t="e">
        <f t="shared" si="62"/>
        <v>#DIV/0!</v>
      </c>
      <c r="AS74" s="19" t="e">
        <f t="shared" si="61"/>
        <v>#DIV/0!</v>
      </c>
      <c r="AT74" s="8"/>
      <c r="AU74" s="8"/>
    </row>
    <row r="75" spans="2:47" s="5" customFormat="1" x14ac:dyDescent="0.35">
      <c r="B75" s="8"/>
      <c r="C75" s="17"/>
      <c r="D75" s="8" t="s">
        <v>109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24">
        <f t="shared" si="0"/>
        <v>0</v>
      </c>
      <c r="U75" s="8"/>
      <c r="V75" s="8"/>
      <c r="W75" s="8"/>
      <c r="X75" s="8"/>
      <c r="Y75" s="8"/>
      <c r="Z75" s="8"/>
      <c r="AA75" s="8"/>
      <c r="AB75" s="18"/>
      <c r="AC75" s="51"/>
      <c r="AD75" s="21"/>
      <c r="AE75" s="8"/>
      <c r="AF75" s="8"/>
      <c r="AG75" s="8"/>
      <c r="AH75" s="8"/>
      <c r="AI75" s="8"/>
      <c r="AJ75" s="60">
        <f t="shared" si="35"/>
        <v>0</v>
      </c>
      <c r="AK75" s="8"/>
      <c r="AL75" s="8"/>
      <c r="AM75" s="8"/>
      <c r="AN75" s="8"/>
      <c r="AO75" s="8"/>
      <c r="AP75" s="8"/>
      <c r="AQ75" s="60"/>
      <c r="AR75" s="19"/>
      <c r="AS75" s="8"/>
      <c r="AT75" s="8"/>
      <c r="AU75" s="8"/>
    </row>
    <row r="76" spans="2:47" s="66" customFormat="1" x14ac:dyDescent="0.35">
      <c r="B76" s="52" t="s">
        <v>54</v>
      </c>
      <c r="C76" s="78" t="s">
        <v>110</v>
      </c>
      <c r="D76" s="52" t="s">
        <v>57</v>
      </c>
      <c r="E76" s="64" t="s">
        <v>58</v>
      </c>
      <c r="F76" s="52" t="s">
        <v>59</v>
      </c>
      <c r="G76" s="52">
        <v>-20</v>
      </c>
      <c r="H76" s="62" t="s">
        <v>111</v>
      </c>
      <c r="I76" s="52" t="s">
        <v>61</v>
      </c>
      <c r="J76" s="52" t="s">
        <v>62</v>
      </c>
      <c r="K76" s="52" t="s">
        <v>89</v>
      </c>
      <c r="L76" s="52" t="s">
        <v>112</v>
      </c>
      <c r="M76" s="52" t="s">
        <v>91</v>
      </c>
      <c r="N76" s="52" t="s">
        <v>92</v>
      </c>
      <c r="O76" s="52" t="s">
        <v>65</v>
      </c>
      <c r="P76" s="52">
        <v>8.65</v>
      </c>
      <c r="Q76" s="52">
        <v>4.1900000000000004</v>
      </c>
      <c r="R76" s="52">
        <v>210</v>
      </c>
      <c r="S76" s="52">
        <v>209112</v>
      </c>
      <c r="T76" s="55">
        <f t="shared" si="0"/>
        <v>209112000000</v>
      </c>
      <c r="U76" s="52" t="s">
        <v>113</v>
      </c>
      <c r="V76" s="52" t="s">
        <v>66</v>
      </c>
      <c r="W76" s="52" t="s">
        <v>114</v>
      </c>
      <c r="X76" s="67">
        <v>21.13</v>
      </c>
      <c r="Y76" s="67">
        <v>21.09</v>
      </c>
      <c r="Z76" s="52"/>
      <c r="AA76" s="57">
        <f t="shared" ref="AA76:AA86" si="65">AVERAGE(X76:Z76)</f>
        <v>21.11</v>
      </c>
      <c r="AB76" s="58">
        <f t="shared" ref="AB76:AB86" si="66">EXP((AA76-21.179)/-1.494)</f>
        <v>1.0472678642589164</v>
      </c>
      <c r="AC76" s="59">
        <f t="shared" ref="AC76:AC86" si="67">(AB76*(6.0221*10^23))/(15123*340*10^9)</f>
        <v>122656020.73494637</v>
      </c>
      <c r="AD76" s="57">
        <f t="shared" ref="AD76:AD86" si="68">AC76*100/AC$86</f>
        <v>19.99331090702189</v>
      </c>
      <c r="AE76" s="57">
        <v>24.1</v>
      </c>
      <c r="AF76" s="67">
        <v>23.84</v>
      </c>
      <c r="AG76" s="52"/>
      <c r="AH76" s="57">
        <f t="shared" ref="AH76:AH86" si="69">AVERAGE(AE76:AG76)</f>
        <v>23.97</v>
      </c>
      <c r="AI76" s="52">
        <f t="shared" si="58"/>
        <v>293.51161462965825</v>
      </c>
      <c r="AJ76" s="60">
        <f t="shared" si="35"/>
        <v>58.702322925931654</v>
      </c>
      <c r="AK76" s="52">
        <v>35.93</v>
      </c>
      <c r="AL76" s="52">
        <v>34.69</v>
      </c>
      <c r="AM76" s="52"/>
      <c r="AN76" s="57">
        <f t="shared" ref="AN76:AN86" si="70">AVERAGE(AK76:AM76)</f>
        <v>35.31</v>
      </c>
      <c r="AO76" s="52">
        <f>EXP((AN76-15.746)/-1.512)</f>
        <v>2.4021330628430918E-6</v>
      </c>
      <c r="AP76" s="52">
        <f>(AO76*(6.0221*10^23))/(29903*340*10^9)</f>
        <v>142.28245363683146</v>
      </c>
      <c r="AQ76" s="60">
        <f t="shared" si="39"/>
        <v>28.456490727366294</v>
      </c>
      <c r="AR76" s="60">
        <f t="shared" si="62"/>
        <v>0.48475919365698023</v>
      </c>
      <c r="AS76" s="60">
        <f>AR76*T76</f>
        <v>101368964503.99844</v>
      </c>
      <c r="AT76" s="52"/>
      <c r="AU76" s="52"/>
    </row>
    <row r="77" spans="2:47" s="66" customFormat="1" ht="14.25" x14ac:dyDescent="0.45">
      <c r="B77" s="52" t="s">
        <v>54</v>
      </c>
      <c r="C77" s="62" t="s">
        <v>115</v>
      </c>
      <c r="D77" s="52" t="s">
        <v>57</v>
      </c>
      <c r="E77" s="64" t="s">
        <v>58</v>
      </c>
      <c r="F77" s="52" t="s">
        <v>59</v>
      </c>
      <c r="G77" s="52">
        <v>-20</v>
      </c>
      <c r="H77" s="62" t="s">
        <v>111</v>
      </c>
      <c r="I77" s="52" t="s">
        <v>61</v>
      </c>
      <c r="J77" s="52" t="s">
        <v>62</v>
      </c>
      <c r="K77" s="52" t="s">
        <v>89</v>
      </c>
      <c r="L77" s="52" t="s">
        <v>112</v>
      </c>
      <c r="M77" s="52" t="s">
        <v>91</v>
      </c>
      <c r="N77" s="52" t="s">
        <v>92</v>
      </c>
      <c r="O77" s="52" t="s">
        <v>65</v>
      </c>
      <c r="P77" s="52">
        <v>7.88</v>
      </c>
      <c r="Q77" s="52">
        <v>4.2699999999999996</v>
      </c>
      <c r="R77" s="52">
        <v>280</v>
      </c>
      <c r="S77" s="79">
        <v>188232</v>
      </c>
      <c r="T77" s="55">
        <f t="shared" si="0"/>
        <v>188232000000</v>
      </c>
      <c r="U77" s="52" t="s">
        <v>113</v>
      </c>
      <c r="V77" s="52" t="s">
        <v>66</v>
      </c>
      <c r="W77" s="52" t="s">
        <v>114</v>
      </c>
      <c r="X77" s="57">
        <v>21.7</v>
      </c>
      <c r="Y77" s="67">
        <v>21.75</v>
      </c>
      <c r="Z77" s="52"/>
      <c r="AA77" s="57">
        <f t="shared" si="65"/>
        <v>21.725000000000001</v>
      </c>
      <c r="AB77" s="58">
        <f t="shared" si="66"/>
        <v>0.69387611199265076</v>
      </c>
      <c r="AC77" s="59">
        <f t="shared" si="67"/>
        <v>81266775.850398138</v>
      </c>
      <c r="AD77" s="57">
        <f t="shared" si="68"/>
        <v>13.246735922563181</v>
      </c>
      <c r="AE77" s="52">
        <v>22.39</v>
      </c>
      <c r="AF77" s="52">
        <v>22.66</v>
      </c>
      <c r="AG77" s="52"/>
      <c r="AH77" s="57">
        <f t="shared" si="69"/>
        <v>22.524999999999999</v>
      </c>
      <c r="AI77" s="52">
        <f t="shared" si="58"/>
        <v>838.23620422186787</v>
      </c>
      <c r="AJ77" s="60">
        <f t="shared" si="35"/>
        <v>167.64724084437358</v>
      </c>
      <c r="AK77" s="52">
        <v>35.729999999999997</v>
      </c>
      <c r="AL77" s="52">
        <v>38.15</v>
      </c>
      <c r="AM77" s="52"/>
      <c r="AN77" s="57">
        <f t="shared" si="70"/>
        <v>36.94</v>
      </c>
      <c r="AO77" s="52">
        <f t="shared" ref="AO77:AO112" si="71">EXP((AN77-15.746)/-1.512)</f>
        <v>8.1735218237108468E-7</v>
      </c>
      <c r="AP77" s="52">
        <f t="shared" ref="AP77:AP112" si="72">(AO77*(6.0221*10^23))/(29903*340*10^9)</f>
        <v>48.413169025505098</v>
      </c>
      <c r="AQ77" s="60">
        <f t="shared" si="39"/>
        <v>9.6826338051010197</v>
      </c>
      <c r="AR77" s="60">
        <f t="shared" si="62"/>
        <v>5.775599858568134E-2</v>
      </c>
      <c r="AS77" s="60">
        <f t="shared" ref="AS77:AS112" si="73">AR77*T77</f>
        <v>10871527125.77997</v>
      </c>
      <c r="AT77" s="52"/>
      <c r="AU77" s="52"/>
    </row>
    <row r="78" spans="2:47" s="61" customFormat="1" x14ac:dyDescent="0.35">
      <c r="B78" s="52" t="s">
        <v>54</v>
      </c>
      <c r="C78" s="62" t="s">
        <v>116</v>
      </c>
      <c r="D78" s="52" t="s">
        <v>57</v>
      </c>
      <c r="E78" s="64" t="s">
        <v>58</v>
      </c>
      <c r="F78" s="52" t="s">
        <v>59</v>
      </c>
      <c r="G78" s="52">
        <v>-20</v>
      </c>
      <c r="H78" s="62" t="s">
        <v>111</v>
      </c>
      <c r="I78" s="52" t="s">
        <v>61</v>
      </c>
      <c r="J78" s="52" t="s">
        <v>62</v>
      </c>
      <c r="K78" s="52" t="s">
        <v>89</v>
      </c>
      <c r="L78" s="52" t="s">
        <v>112</v>
      </c>
      <c r="M78" s="52" t="s">
        <v>91</v>
      </c>
      <c r="N78" s="52" t="s">
        <v>92</v>
      </c>
      <c r="O78" s="52" t="s">
        <v>65</v>
      </c>
      <c r="P78" s="52">
        <v>7.92</v>
      </c>
      <c r="Q78" s="52">
        <v>4.62</v>
      </c>
      <c r="R78" s="52">
        <v>300</v>
      </c>
      <c r="S78" s="52">
        <v>182904</v>
      </c>
      <c r="T78" s="55">
        <f t="shared" si="0"/>
        <v>182904000000</v>
      </c>
      <c r="U78" s="67" t="s">
        <v>113</v>
      </c>
      <c r="V78" s="52" t="s">
        <v>66</v>
      </c>
      <c r="W78" s="67" t="s">
        <v>114</v>
      </c>
      <c r="X78" s="52">
        <v>21.82</v>
      </c>
      <c r="Y78" s="52">
        <v>21.38</v>
      </c>
      <c r="Z78" s="52"/>
      <c r="AA78" s="57">
        <f t="shared" si="65"/>
        <v>21.6</v>
      </c>
      <c r="AB78" s="58">
        <f t="shared" si="66"/>
        <v>0.75442920009092496</v>
      </c>
      <c r="AC78" s="59">
        <f t="shared" si="67"/>
        <v>88358754.018374011</v>
      </c>
      <c r="AD78" s="57">
        <f t="shared" si="68"/>
        <v>14.402750308229244</v>
      </c>
      <c r="AE78" s="58">
        <v>22.8</v>
      </c>
      <c r="AF78" s="52">
        <v>22.69</v>
      </c>
      <c r="AG78" s="52"/>
      <c r="AH78" s="57">
        <f t="shared" si="69"/>
        <v>22.745000000000001</v>
      </c>
      <c r="AI78" s="52">
        <f t="shared" si="58"/>
        <v>714.46378952917394</v>
      </c>
      <c r="AJ78" s="60">
        <f t="shared" si="35"/>
        <v>142.8927579058348</v>
      </c>
      <c r="AK78" s="52">
        <v>35.58</v>
      </c>
      <c r="AL78" s="52">
        <v>37.11</v>
      </c>
      <c r="AM78" s="52"/>
      <c r="AN78" s="57">
        <f t="shared" si="70"/>
        <v>36.344999999999999</v>
      </c>
      <c r="AO78" s="52">
        <f t="shared" si="71"/>
        <v>1.2114685595752181E-6</v>
      </c>
      <c r="AP78" s="52">
        <f t="shared" si="72"/>
        <v>71.757356753679247</v>
      </c>
      <c r="AQ78" s="60">
        <f t="shared" si="39"/>
        <v>14.351471350735849</v>
      </c>
      <c r="AR78" s="60">
        <f t="shared" si="62"/>
        <v>0.10043526040832214</v>
      </c>
      <c r="AS78" s="60">
        <f t="shared" si="73"/>
        <v>18370010869.723751</v>
      </c>
      <c r="AT78" s="52"/>
      <c r="AU78" s="52"/>
    </row>
    <row r="79" spans="2:47" s="61" customFormat="1" x14ac:dyDescent="0.35">
      <c r="B79" s="52" t="s">
        <v>54</v>
      </c>
      <c r="C79" s="78" t="s">
        <v>117</v>
      </c>
      <c r="D79" s="52" t="s">
        <v>57</v>
      </c>
      <c r="E79" s="64" t="s">
        <v>58</v>
      </c>
      <c r="F79" s="52" t="s">
        <v>59</v>
      </c>
      <c r="G79" s="52">
        <v>-20</v>
      </c>
      <c r="H79" s="62" t="s">
        <v>111</v>
      </c>
      <c r="I79" s="52" t="s">
        <v>61</v>
      </c>
      <c r="J79" s="52" t="s">
        <v>62</v>
      </c>
      <c r="K79" s="52" t="s">
        <v>89</v>
      </c>
      <c r="L79" s="52" t="s">
        <v>112</v>
      </c>
      <c r="M79" s="52" t="s">
        <v>91</v>
      </c>
      <c r="N79" s="52" t="s">
        <v>92</v>
      </c>
      <c r="O79" s="52" t="s">
        <v>65</v>
      </c>
      <c r="P79" s="52">
        <v>8.49</v>
      </c>
      <c r="Q79" s="52">
        <v>4.66</v>
      </c>
      <c r="R79" s="52">
        <v>260</v>
      </c>
      <c r="S79" s="52">
        <v>205512</v>
      </c>
      <c r="T79" s="55">
        <f t="shared" si="0"/>
        <v>205512000000</v>
      </c>
      <c r="U79" s="67" t="s">
        <v>113</v>
      </c>
      <c r="V79" s="52" t="s">
        <v>66</v>
      </c>
      <c r="W79" s="67" t="s">
        <v>114</v>
      </c>
      <c r="X79" s="52">
        <v>21.39</v>
      </c>
      <c r="Y79" s="52">
        <v>21.32</v>
      </c>
      <c r="Z79" s="52"/>
      <c r="AA79" s="57">
        <f t="shared" si="65"/>
        <v>21.355</v>
      </c>
      <c r="AB79" s="58">
        <f t="shared" si="66"/>
        <v>0.88886976386520522</v>
      </c>
      <c r="AC79" s="59">
        <f t="shared" si="67"/>
        <v>104104433.93531184</v>
      </c>
      <c r="AD79" s="57">
        <f t="shared" si="68"/>
        <v>16.969344855610444</v>
      </c>
      <c r="AE79" s="52">
        <v>22.67</v>
      </c>
      <c r="AF79" s="52">
        <v>22.46</v>
      </c>
      <c r="AG79" s="52"/>
      <c r="AH79" s="57">
        <f t="shared" si="69"/>
        <v>22.565000000000001</v>
      </c>
      <c r="AI79" s="52">
        <f t="shared" si="58"/>
        <v>814.23683101518998</v>
      </c>
      <c r="AJ79" s="60">
        <f t="shared" si="35"/>
        <v>162.84736620303801</v>
      </c>
      <c r="AK79" s="52">
        <v>35.86</v>
      </c>
      <c r="AL79" s="52">
        <v>38.01</v>
      </c>
      <c r="AM79" s="52"/>
      <c r="AN79" s="57">
        <f t="shared" si="70"/>
        <v>36.935000000000002</v>
      </c>
      <c r="AO79" s="52">
        <f t="shared" si="71"/>
        <v>8.2005954055689121E-7</v>
      </c>
      <c r="AP79" s="52">
        <f t="shared" si="72"/>
        <v>48.573530485704303</v>
      </c>
      <c r="AQ79" s="60">
        <f t="shared" si="39"/>
        <v>9.7147060971408603</v>
      </c>
      <c r="AR79" s="60">
        <f t="shared" si="62"/>
        <v>5.9655285336506887E-2</v>
      </c>
      <c r="AS79" s="60">
        <f t="shared" si="73"/>
        <v>12259877000.076204</v>
      </c>
      <c r="AT79" s="52"/>
      <c r="AU79" s="52"/>
    </row>
    <row r="80" spans="2:47" s="61" customFormat="1" x14ac:dyDescent="0.35">
      <c r="B80" s="52" t="s">
        <v>54</v>
      </c>
      <c r="C80" s="78" t="s">
        <v>118</v>
      </c>
      <c r="D80" s="52" t="s">
        <v>57</v>
      </c>
      <c r="E80" s="64" t="s">
        <v>58</v>
      </c>
      <c r="F80" s="52" t="s">
        <v>59</v>
      </c>
      <c r="G80" s="52">
        <v>-20</v>
      </c>
      <c r="H80" s="62" t="s">
        <v>111</v>
      </c>
      <c r="I80" s="52" t="s">
        <v>61</v>
      </c>
      <c r="J80" s="52" t="s">
        <v>62</v>
      </c>
      <c r="K80" s="52" t="s">
        <v>89</v>
      </c>
      <c r="L80" s="52" t="s">
        <v>112</v>
      </c>
      <c r="M80" s="52" t="s">
        <v>91</v>
      </c>
      <c r="N80" s="52" t="s">
        <v>92</v>
      </c>
      <c r="O80" s="52" t="s">
        <v>65</v>
      </c>
      <c r="P80" s="52">
        <v>7.86</v>
      </c>
      <c r="Q80" s="58">
        <v>4.5999999999999996</v>
      </c>
      <c r="R80" s="52">
        <v>350</v>
      </c>
      <c r="S80" s="52">
        <v>183168</v>
      </c>
      <c r="T80" s="55">
        <f t="shared" si="0"/>
        <v>183168000000</v>
      </c>
      <c r="U80" s="67" t="s">
        <v>113</v>
      </c>
      <c r="V80" s="52" t="s">
        <v>66</v>
      </c>
      <c r="W80" s="67" t="s">
        <v>114</v>
      </c>
      <c r="X80" s="58">
        <v>20</v>
      </c>
      <c r="Y80" s="52">
        <v>19.95</v>
      </c>
      <c r="Z80" s="52"/>
      <c r="AA80" s="57">
        <f t="shared" si="65"/>
        <v>19.975000000000001</v>
      </c>
      <c r="AB80" s="58">
        <f t="shared" si="66"/>
        <v>2.2386885542843498</v>
      </c>
      <c r="AC80" s="59">
        <f t="shared" si="67"/>
        <v>262195221.58993861</v>
      </c>
      <c r="AD80" s="57">
        <f t="shared" si="68"/>
        <v>42.738632414230779</v>
      </c>
      <c r="AE80" s="52">
        <v>20.82</v>
      </c>
      <c r="AF80" s="52">
        <v>20.96</v>
      </c>
      <c r="AG80" s="52"/>
      <c r="AH80" s="57">
        <f t="shared" si="69"/>
        <v>20.89</v>
      </c>
      <c r="AI80" s="52">
        <f t="shared" si="58"/>
        <v>2748.0964797383353</v>
      </c>
      <c r="AJ80" s="60">
        <f t="shared" si="35"/>
        <v>549.61929594766707</v>
      </c>
      <c r="AK80" s="52">
        <v>34.65</v>
      </c>
      <c r="AL80" s="52">
        <v>33.909999999999997</v>
      </c>
      <c r="AM80" s="52"/>
      <c r="AN80" s="57">
        <f t="shared" si="70"/>
        <v>34.28</v>
      </c>
      <c r="AO80" s="52">
        <f t="shared" si="71"/>
        <v>4.7472905749399255E-6</v>
      </c>
      <c r="AP80" s="52">
        <f t="shared" si="72"/>
        <v>281.19014786383542</v>
      </c>
      <c r="AQ80" s="60">
        <f t="shared" si="39"/>
        <v>56.238029572767083</v>
      </c>
      <c r="AR80" s="60">
        <f t="shared" si="62"/>
        <v>0.10232178889534818</v>
      </c>
      <c r="AS80" s="60">
        <f t="shared" si="73"/>
        <v>18742077428.383137</v>
      </c>
      <c r="AT80" s="52"/>
      <c r="AU80" s="52"/>
    </row>
    <row r="81" spans="2:47" s="122" customFormat="1" x14ac:dyDescent="0.35">
      <c r="B81" s="123" t="s">
        <v>54</v>
      </c>
      <c r="C81" s="124" t="s">
        <v>110</v>
      </c>
      <c r="D81" s="123" t="s">
        <v>57</v>
      </c>
      <c r="E81" s="125" t="s">
        <v>58</v>
      </c>
      <c r="F81" s="123" t="s">
        <v>59</v>
      </c>
      <c r="G81" s="123">
        <v>-20</v>
      </c>
      <c r="H81" s="126" t="s">
        <v>111</v>
      </c>
      <c r="I81" s="123" t="s">
        <v>61</v>
      </c>
      <c r="J81" s="123" t="s">
        <v>62</v>
      </c>
      <c r="K81" s="123" t="s">
        <v>89</v>
      </c>
      <c r="L81" s="123" t="s">
        <v>112</v>
      </c>
      <c r="M81" s="123" t="s">
        <v>91</v>
      </c>
      <c r="N81" s="123" t="s">
        <v>92</v>
      </c>
      <c r="O81" s="123" t="s">
        <v>65</v>
      </c>
      <c r="P81" s="123">
        <v>12.41</v>
      </c>
      <c r="Q81" s="123">
        <v>4.05</v>
      </c>
      <c r="R81" s="123">
        <v>200</v>
      </c>
      <c r="S81" s="123">
        <v>224136</v>
      </c>
      <c r="T81" s="127">
        <f t="shared" si="0"/>
        <v>224136000000</v>
      </c>
      <c r="U81" s="128" t="s">
        <v>113</v>
      </c>
      <c r="V81" s="123" t="s">
        <v>66</v>
      </c>
      <c r="W81" s="128" t="s">
        <v>114</v>
      </c>
      <c r="X81" s="123">
        <v>21.02</v>
      </c>
      <c r="Y81" s="123">
        <v>21.01</v>
      </c>
      <c r="Z81" s="123"/>
      <c r="AA81" s="129">
        <f t="shared" si="65"/>
        <v>21.015000000000001</v>
      </c>
      <c r="AB81" s="130">
        <f t="shared" si="66"/>
        <v>1.1160240601773634</v>
      </c>
      <c r="AC81" s="131">
        <f t="shared" si="67"/>
        <v>130708746.95718831</v>
      </c>
      <c r="AD81" s="129">
        <f t="shared" si="68"/>
        <v>21.305930198318855</v>
      </c>
      <c r="AE81" s="123">
        <v>23.22</v>
      </c>
      <c r="AF81" s="123">
        <v>23.11</v>
      </c>
      <c r="AG81" s="123"/>
      <c r="AH81" s="129">
        <f t="shared" si="69"/>
        <v>23.164999999999999</v>
      </c>
      <c r="AI81" s="123">
        <f t="shared" si="58"/>
        <v>526.6422225437459</v>
      </c>
      <c r="AJ81" s="132">
        <f t="shared" si="35"/>
        <v>105.32844450874919</v>
      </c>
      <c r="AK81" s="123">
        <v>35.25</v>
      </c>
      <c r="AL81" s="123">
        <v>36.15</v>
      </c>
      <c r="AM81" s="123"/>
      <c r="AN81" s="129">
        <f t="shared" si="70"/>
        <v>35.700000000000003</v>
      </c>
      <c r="AO81" s="123">
        <f t="shared" si="71"/>
        <v>1.8559943884116325E-6</v>
      </c>
      <c r="AP81" s="123">
        <f t="shared" si="72"/>
        <v>109.93372498975798</v>
      </c>
      <c r="AQ81" s="132">
        <f t="shared" si="39"/>
        <v>21.986744997951597</v>
      </c>
      <c r="AR81" s="132">
        <f t="shared" si="62"/>
        <v>0.20874460930755748</v>
      </c>
      <c r="AS81" s="132">
        <f t="shared" si="73"/>
        <v>46787181751.758705</v>
      </c>
      <c r="AT81" s="123"/>
      <c r="AU81" s="123"/>
    </row>
    <row r="82" spans="2:47" s="122" customFormat="1" x14ac:dyDescent="0.35">
      <c r="B82" s="123" t="s">
        <v>54</v>
      </c>
      <c r="C82" s="124" t="s">
        <v>115</v>
      </c>
      <c r="D82" s="123" t="s">
        <v>57</v>
      </c>
      <c r="E82" s="125" t="s">
        <v>58</v>
      </c>
      <c r="F82" s="123" t="s">
        <v>59</v>
      </c>
      <c r="G82" s="123">
        <v>-20</v>
      </c>
      <c r="H82" s="126" t="s">
        <v>111</v>
      </c>
      <c r="I82" s="123" t="s">
        <v>61</v>
      </c>
      <c r="J82" s="123" t="s">
        <v>62</v>
      </c>
      <c r="K82" s="123" t="s">
        <v>89</v>
      </c>
      <c r="L82" s="123" t="s">
        <v>112</v>
      </c>
      <c r="M82" s="123" t="s">
        <v>91</v>
      </c>
      <c r="N82" s="123" t="s">
        <v>92</v>
      </c>
      <c r="O82" s="123" t="s">
        <v>65</v>
      </c>
      <c r="P82" s="123">
        <v>11.43</v>
      </c>
      <c r="Q82" s="123">
        <v>4.21</v>
      </c>
      <c r="R82" s="123">
        <v>250</v>
      </c>
      <c r="S82" s="123">
        <v>185760</v>
      </c>
      <c r="T82" s="127">
        <f t="shared" si="0"/>
        <v>185760000000</v>
      </c>
      <c r="U82" s="128" t="s">
        <v>113</v>
      </c>
      <c r="V82" s="123" t="s">
        <v>66</v>
      </c>
      <c r="W82" s="128" t="s">
        <v>114</v>
      </c>
      <c r="X82" s="123">
        <v>21.11</v>
      </c>
      <c r="Y82" s="123">
        <v>21.2</v>
      </c>
      <c r="Z82" s="123"/>
      <c r="AA82" s="129">
        <f t="shared" si="65"/>
        <v>21.155000000000001</v>
      </c>
      <c r="AB82" s="130">
        <f t="shared" si="66"/>
        <v>1.0161939809134222</v>
      </c>
      <c r="AC82" s="131">
        <f t="shared" si="67"/>
        <v>119016647.26611821</v>
      </c>
      <c r="AD82" s="129">
        <f t="shared" si="68"/>
        <v>19.400081770506159</v>
      </c>
      <c r="AE82" s="123">
        <v>24.02</v>
      </c>
      <c r="AF82" s="123">
        <v>23.75</v>
      </c>
      <c r="AG82" s="123"/>
      <c r="AH82" s="129">
        <f t="shared" si="69"/>
        <v>23.884999999999998</v>
      </c>
      <c r="AI82" s="123">
        <f t="shared" si="58"/>
        <v>312.20049899258555</v>
      </c>
      <c r="AJ82" s="132">
        <f t="shared" si="35"/>
        <v>62.44009979851711</v>
      </c>
      <c r="AK82" s="123">
        <v>36.42</v>
      </c>
      <c r="AL82" s="123">
        <v>36.04</v>
      </c>
      <c r="AM82" s="123"/>
      <c r="AN82" s="129">
        <f t="shared" si="70"/>
        <v>36.230000000000004</v>
      </c>
      <c r="AO82" s="123">
        <f t="shared" si="71"/>
        <v>1.3072053140685076E-6</v>
      </c>
      <c r="AP82" s="123">
        <f t="shared" si="72"/>
        <v>77.428008618572193</v>
      </c>
      <c r="AQ82" s="132">
        <f t="shared" si="39"/>
        <v>15.485601723714439</v>
      </c>
      <c r="AR82" s="132">
        <f t="shared" si="62"/>
        <v>0.24800731859307831</v>
      </c>
      <c r="AS82" s="132">
        <f t="shared" si="73"/>
        <v>46069839501.850227</v>
      </c>
      <c r="AT82" s="123"/>
      <c r="AU82" s="123"/>
    </row>
    <row r="83" spans="2:47" s="141" customFormat="1" x14ac:dyDescent="0.35">
      <c r="B83" s="158" t="s">
        <v>54</v>
      </c>
      <c r="C83" s="159" t="s">
        <v>116</v>
      </c>
      <c r="D83" s="158" t="s">
        <v>57</v>
      </c>
      <c r="E83" s="106" t="s">
        <v>58</v>
      </c>
      <c r="F83" s="158" t="s">
        <v>59</v>
      </c>
      <c r="G83" s="107">
        <v>-20</v>
      </c>
      <c r="H83" s="114" t="s">
        <v>111</v>
      </c>
      <c r="I83" s="158" t="s">
        <v>61</v>
      </c>
      <c r="J83" s="158" t="s">
        <v>62</v>
      </c>
      <c r="K83" s="158" t="s">
        <v>89</v>
      </c>
      <c r="L83" s="107" t="s">
        <v>112</v>
      </c>
      <c r="M83" s="158" t="s">
        <v>91</v>
      </c>
      <c r="N83" s="158" t="s">
        <v>92</v>
      </c>
      <c r="O83" s="158" t="s">
        <v>65</v>
      </c>
      <c r="P83" s="158">
        <v>7.88</v>
      </c>
      <c r="Q83" s="158">
        <v>4.4000000000000004</v>
      </c>
      <c r="R83" s="158">
        <v>210</v>
      </c>
      <c r="S83" s="158">
        <v>148032</v>
      </c>
      <c r="T83" s="116">
        <f t="shared" si="0"/>
        <v>148032000000</v>
      </c>
      <c r="U83" s="160" t="s">
        <v>113</v>
      </c>
      <c r="V83" s="158" t="s">
        <v>66</v>
      </c>
      <c r="W83" s="160" t="s">
        <v>114</v>
      </c>
      <c r="X83" s="161">
        <v>23.3</v>
      </c>
      <c r="Y83" s="158">
        <v>23.14</v>
      </c>
      <c r="Z83" s="158"/>
      <c r="AA83" s="162">
        <f t="shared" si="65"/>
        <v>23.22</v>
      </c>
      <c r="AB83" s="113">
        <f t="shared" si="66"/>
        <v>0.25509195488560621</v>
      </c>
      <c r="AC83" s="144">
        <f t="shared" si="67"/>
        <v>29876371.820028879</v>
      </c>
      <c r="AD83" s="113">
        <f t="shared" si="68"/>
        <v>4.8699410513440702</v>
      </c>
      <c r="AE83" s="158">
        <v>23.91</v>
      </c>
      <c r="AF83" s="158">
        <v>24.26</v>
      </c>
      <c r="AG83" s="158"/>
      <c r="AH83" s="162">
        <f t="shared" si="69"/>
        <v>24.085000000000001</v>
      </c>
      <c r="AI83" s="107">
        <f t="shared" si="58"/>
        <v>269.99469857346645</v>
      </c>
      <c r="AJ83" s="112">
        <f t="shared" si="35"/>
        <v>53.998939714693293</v>
      </c>
      <c r="AK83" s="158" t="s">
        <v>100</v>
      </c>
      <c r="AL83" s="158" t="s">
        <v>100</v>
      </c>
      <c r="AM83" s="158"/>
      <c r="AN83" s="113" t="e">
        <f t="shared" si="70"/>
        <v>#DIV/0!</v>
      </c>
      <c r="AO83" s="107" t="e">
        <f t="shared" si="71"/>
        <v>#DIV/0!</v>
      </c>
      <c r="AP83" s="107" t="e">
        <f t="shared" si="72"/>
        <v>#DIV/0!</v>
      </c>
      <c r="AQ83" s="112" t="e">
        <f t="shared" si="39"/>
        <v>#DIV/0!</v>
      </c>
      <c r="AR83" s="112" t="e">
        <f t="shared" si="62"/>
        <v>#DIV/0!</v>
      </c>
      <c r="AS83" s="112" t="e">
        <f t="shared" si="73"/>
        <v>#DIV/0!</v>
      </c>
      <c r="AT83" s="158"/>
      <c r="AU83" s="158" t="s">
        <v>119</v>
      </c>
    </row>
    <row r="84" spans="2:47" s="164" customFormat="1" x14ac:dyDescent="0.35">
      <c r="B84" s="107" t="s">
        <v>54</v>
      </c>
      <c r="C84" s="163" t="s">
        <v>117</v>
      </c>
      <c r="D84" s="107" t="s">
        <v>57</v>
      </c>
      <c r="E84" s="106" t="s">
        <v>58</v>
      </c>
      <c r="F84" s="107" t="s">
        <v>59</v>
      </c>
      <c r="G84" s="107">
        <v>-20</v>
      </c>
      <c r="H84" s="114" t="s">
        <v>111</v>
      </c>
      <c r="I84" s="107" t="s">
        <v>61</v>
      </c>
      <c r="J84" s="107" t="s">
        <v>62</v>
      </c>
      <c r="K84" s="107" t="s">
        <v>89</v>
      </c>
      <c r="L84" s="107" t="s">
        <v>112</v>
      </c>
      <c r="M84" s="107" t="s">
        <v>91</v>
      </c>
      <c r="N84" s="107" t="s">
        <v>92</v>
      </c>
      <c r="O84" s="107" t="s">
        <v>65</v>
      </c>
      <c r="P84" s="107">
        <v>8.66</v>
      </c>
      <c r="Q84" s="107">
        <v>4.28</v>
      </c>
      <c r="R84" s="107">
        <v>230</v>
      </c>
      <c r="S84" s="107">
        <v>144336</v>
      </c>
      <c r="T84" s="116">
        <f t="shared" si="0"/>
        <v>144336000000</v>
      </c>
      <c r="U84" s="157" t="s">
        <v>113</v>
      </c>
      <c r="V84" s="107" t="s">
        <v>66</v>
      </c>
      <c r="W84" s="157" t="s">
        <v>114</v>
      </c>
      <c r="X84" s="107">
        <v>22.53</v>
      </c>
      <c r="Y84" s="107">
        <v>22.52</v>
      </c>
      <c r="Z84" s="107"/>
      <c r="AA84" s="113">
        <f t="shared" si="65"/>
        <v>22.524999999999999</v>
      </c>
      <c r="AB84" s="111">
        <f t="shared" si="66"/>
        <v>0.40618884922209753</v>
      </c>
      <c r="AC84" s="144">
        <f t="shared" si="67"/>
        <v>47572841.307171255</v>
      </c>
      <c r="AD84" s="113">
        <f t="shared" si="68"/>
        <v>7.7545203348806861</v>
      </c>
      <c r="AE84" s="107">
        <v>23.21</v>
      </c>
      <c r="AF84" s="107">
        <v>23.64</v>
      </c>
      <c r="AG84" s="107"/>
      <c r="AH84" s="113">
        <f t="shared" si="69"/>
        <v>23.425000000000001</v>
      </c>
      <c r="AI84" s="107">
        <f t="shared" si="58"/>
        <v>436.02743083821366</v>
      </c>
      <c r="AJ84" s="112">
        <f t="shared" si="35"/>
        <v>87.205486167642732</v>
      </c>
      <c r="AK84" s="107" t="s">
        <v>100</v>
      </c>
      <c r="AL84" s="107" t="s">
        <v>100</v>
      </c>
      <c r="AM84" s="107"/>
      <c r="AN84" s="113" t="e">
        <f t="shared" si="70"/>
        <v>#DIV/0!</v>
      </c>
      <c r="AO84" s="107" t="e">
        <f t="shared" si="71"/>
        <v>#DIV/0!</v>
      </c>
      <c r="AP84" s="107" t="e">
        <f t="shared" si="72"/>
        <v>#DIV/0!</v>
      </c>
      <c r="AQ84" s="112" t="e">
        <f t="shared" si="39"/>
        <v>#DIV/0!</v>
      </c>
      <c r="AR84" s="112" t="e">
        <f t="shared" si="62"/>
        <v>#DIV/0!</v>
      </c>
      <c r="AS84" s="112" t="e">
        <f t="shared" si="73"/>
        <v>#DIV/0!</v>
      </c>
      <c r="AT84" s="107"/>
      <c r="AU84" s="107" t="s">
        <v>119</v>
      </c>
    </row>
    <row r="85" spans="2:47" s="134" customFormat="1" x14ac:dyDescent="0.35">
      <c r="B85" s="135" t="s">
        <v>54</v>
      </c>
      <c r="C85" s="136" t="s">
        <v>118</v>
      </c>
      <c r="D85" s="135" t="s">
        <v>57</v>
      </c>
      <c r="E85" s="125" t="s">
        <v>58</v>
      </c>
      <c r="F85" s="135" t="s">
        <v>59</v>
      </c>
      <c r="G85" s="123">
        <v>-20</v>
      </c>
      <c r="H85" s="126" t="s">
        <v>111</v>
      </c>
      <c r="I85" s="135" t="s">
        <v>61</v>
      </c>
      <c r="J85" s="135" t="s">
        <v>62</v>
      </c>
      <c r="K85" s="135" t="s">
        <v>89</v>
      </c>
      <c r="L85" s="123" t="s">
        <v>112</v>
      </c>
      <c r="M85" s="135" t="s">
        <v>91</v>
      </c>
      <c r="N85" s="135" t="s">
        <v>92</v>
      </c>
      <c r="O85" s="135" t="s">
        <v>65</v>
      </c>
      <c r="P85" s="135">
        <v>7.89</v>
      </c>
      <c r="Q85" s="137">
        <v>4.5999999999999996</v>
      </c>
      <c r="R85" s="135">
        <v>230</v>
      </c>
      <c r="S85" s="135">
        <v>143280</v>
      </c>
      <c r="T85" s="135">
        <f t="shared" ref="T85:T112" si="74">S85*1000000</f>
        <v>143280000000</v>
      </c>
      <c r="U85" s="127" t="s">
        <v>113</v>
      </c>
      <c r="V85" s="135" t="s">
        <v>66</v>
      </c>
      <c r="W85" s="127" t="s">
        <v>114</v>
      </c>
      <c r="X85" s="135">
        <v>20.61</v>
      </c>
      <c r="Y85" s="135">
        <v>21.21</v>
      </c>
      <c r="Z85" s="135"/>
      <c r="AA85" s="138">
        <f t="shared" si="65"/>
        <v>20.91</v>
      </c>
      <c r="AB85" s="129">
        <f t="shared" si="66"/>
        <v>1.1972814728630514</v>
      </c>
      <c r="AC85" s="131">
        <f t="shared" si="67"/>
        <v>140225615.78835085</v>
      </c>
      <c r="AD85" s="129">
        <f t="shared" si="68"/>
        <v>22.85720926527922</v>
      </c>
      <c r="AE85" s="135">
        <v>22.82</v>
      </c>
      <c r="AF85" s="135">
        <v>22.84</v>
      </c>
      <c r="AG85" s="135"/>
      <c r="AH85" s="138">
        <f t="shared" si="69"/>
        <v>22.83</v>
      </c>
      <c r="AI85" s="123">
        <f t="shared" si="58"/>
        <v>671.69469983490683</v>
      </c>
      <c r="AJ85" s="132">
        <f t="shared" si="35"/>
        <v>134.33893996698137</v>
      </c>
      <c r="AK85" s="135">
        <v>33.78</v>
      </c>
      <c r="AL85" s="135">
        <v>34.83</v>
      </c>
      <c r="AM85" s="135"/>
      <c r="AN85" s="129">
        <f t="shared" si="70"/>
        <v>34.305</v>
      </c>
      <c r="AO85" s="123">
        <f t="shared" si="71"/>
        <v>4.6694423737093367E-6</v>
      </c>
      <c r="AP85" s="123">
        <f t="shared" si="72"/>
        <v>276.57906563294841</v>
      </c>
      <c r="AQ85" s="132">
        <f t="shared" si="39"/>
        <v>55.315813126589681</v>
      </c>
      <c r="AR85" s="132">
        <f t="shared" si="62"/>
        <v>0.41176306095749698</v>
      </c>
      <c r="AS85" s="132">
        <f t="shared" si="73"/>
        <v>58997411373.990166</v>
      </c>
      <c r="AT85" s="135"/>
      <c r="AU85" s="135"/>
    </row>
    <row r="86" spans="2:47" s="22" customFormat="1" x14ac:dyDescent="0.35">
      <c r="B86" s="10"/>
      <c r="C86" s="23"/>
      <c r="D86" s="10" t="s">
        <v>105</v>
      </c>
      <c r="E86" s="10"/>
      <c r="F86" s="10" t="s">
        <v>106</v>
      </c>
      <c r="G86" s="10">
        <v>-80</v>
      </c>
      <c r="H86" s="38" t="s">
        <v>108</v>
      </c>
      <c r="I86" s="10" t="s">
        <v>61</v>
      </c>
      <c r="J86" s="10" t="s">
        <v>62</v>
      </c>
      <c r="K86" s="10" t="s">
        <v>89</v>
      </c>
      <c r="L86" s="8" t="s">
        <v>112</v>
      </c>
      <c r="M86" s="10" t="s">
        <v>107</v>
      </c>
      <c r="N86" s="10" t="s">
        <v>108</v>
      </c>
      <c r="O86" s="10" t="s">
        <v>108</v>
      </c>
      <c r="P86" s="10" t="s">
        <v>108</v>
      </c>
      <c r="Q86" s="10" t="s">
        <v>108</v>
      </c>
      <c r="R86" s="10" t="s">
        <v>108</v>
      </c>
      <c r="S86" s="10" t="s">
        <v>108</v>
      </c>
      <c r="T86" s="10" t="e">
        <f t="shared" si="74"/>
        <v>#VALUE!</v>
      </c>
      <c r="U86" s="24" t="s">
        <v>113</v>
      </c>
      <c r="V86" s="10" t="s">
        <v>66</v>
      </c>
      <c r="W86" s="24" t="s">
        <v>120</v>
      </c>
      <c r="X86" s="10">
        <v>18.78</v>
      </c>
      <c r="Y86" s="10">
        <v>18.63</v>
      </c>
      <c r="Z86" s="10"/>
      <c r="AA86" s="25">
        <f t="shared" si="65"/>
        <v>18.704999999999998</v>
      </c>
      <c r="AB86" s="21">
        <f t="shared" si="66"/>
        <v>5.2380912252562597</v>
      </c>
      <c r="AC86" s="51">
        <f t="shared" si="67"/>
        <v>613485286.68089736</v>
      </c>
      <c r="AD86" s="21">
        <f t="shared" si="68"/>
        <v>100</v>
      </c>
      <c r="AE86" s="10">
        <v>30.32</v>
      </c>
      <c r="AF86" s="10">
        <v>30.37</v>
      </c>
      <c r="AG86" s="10"/>
      <c r="AH86" s="25">
        <f t="shared" si="69"/>
        <v>30.344999999999999</v>
      </c>
      <c r="AI86" s="8">
        <f t="shared" si="58"/>
        <v>2.8641957112557694</v>
      </c>
      <c r="AJ86" s="60">
        <f t="shared" si="35"/>
        <v>0.57283914225115384</v>
      </c>
      <c r="AK86" s="10" t="s">
        <v>100</v>
      </c>
      <c r="AL86" s="10" t="s">
        <v>100</v>
      </c>
      <c r="AM86" s="10"/>
      <c r="AN86" s="21" t="e">
        <f t="shared" si="70"/>
        <v>#DIV/0!</v>
      </c>
      <c r="AO86" s="8" t="e">
        <f t="shared" si="71"/>
        <v>#DIV/0!</v>
      </c>
      <c r="AP86" s="8" t="e">
        <f t="shared" si="72"/>
        <v>#DIV/0!</v>
      </c>
      <c r="AQ86" s="60" t="e">
        <f t="shared" si="39"/>
        <v>#DIV/0!</v>
      </c>
      <c r="AR86" s="19" t="e">
        <f t="shared" si="62"/>
        <v>#DIV/0!</v>
      </c>
      <c r="AS86" s="19" t="e">
        <f t="shared" si="73"/>
        <v>#DIV/0!</v>
      </c>
      <c r="AT86" s="10"/>
      <c r="AU86" s="10"/>
    </row>
    <row r="87" spans="2:47" s="5" customFormat="1" x14ac:dyDescent="0.35">
      <c r="B87" s="10"/>
      <c r="C87" s="23"/>
      <c r="D87" s="10"/>
      <c r="E87" s="10"/>
      <c r="F87" s="10"/>
      <c r="G87" s="10"/>
      <c r="H87" s="4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>
        <f t="shared" si="74"/>
        <v>0</v>
      </c>
      <c r="U87" s="24"/>
      <c r="V87" s="10"/>
      <c r="W87" s="24"/>
      <c r="X87" s="10"/>
      <c r="Y87" s="10"/>
      <c r="Z87" s="10"/>
      <c r="AA87" s="25"/>
      <c r="AB87" s="21"/>
      <c r="AC87" s="51"/>
      <c r="AD87" s="21"/>
      <c r="AE87" s="10"/>
      <c r="AF87" s="10"/>
      <c r="AG87" s="10"/>
      <c r="AH87" s="25"/>
      <c r="AI87" s="10"/>
      <c r="AJ87" s="60">
        <f t="shared" si="35"/>
        <v>0</v>
      </c>
      <c r="AK87" s="10"/>
      <c r="AL87" s="10"/>
      <c r="AM87" s="10"/>
      <c r="AN87" s="10"/>
      <c r="AO87" s="10"/>
      <c r="AP87" s="10"/>
      <c r="AQ87" s="60">
        <f t="shared" si="39"/>
        <v>0</v>
      </c>
      <c r="AR87" s="19"/>
      <c r="AS87" s="10"/>
      <c r="AT87" s="10"/>
      <c r="AU87" s="10"/>
    </row>
    <row r="88" spans="2:47" s="122" customFormat="1" x14ac:dyDescent="0.35">
      <c r="B88" s="135" t="s">
        <v>54</v>
      </c>
      <c r="C88" s="136" t="s">
        <v>121</v>
      </c>
      <c r="D88" s="135" t="s">
        <v>57</v>
      </c>
      <c r="E88" s="125" t="s">
        <v>58</v>
      </c>
      <c r="F88" s="135" t="s">
        <v>59</v>
      </c>
      <c r="G88" s="135">
        <v>-20</v>
      </c>
      <c r="H88" s="135" t="s">
        <v>122</v>
      </c>
      <c r="I88" s="135" t="s">
        <v>61</v>
      </c>
      <c r="J88" s="135" t="s">
        <v>62</v>
      </c>
      <c r="K88" s="135" t="s">
        <v>123</v>
      </c>
      <c r="L88" s="135" t="s">
        <v>124</v>
      </c>
      <c r="M88" s="135" t="s">
        <v>125</v>
      </c>
      <c r="N88" s="135" t="s">
        <v>126</v>
      </c>
      <c r="O88" s="135" t="s">
        <v>65</v>
      </c>
      <c r="P88" s="135">
        <v>8.1199999999999992</v>
      </c>
      <c r="Q88" s="135">
        <v>4.49</v>
      </c>
      <c r="R88" s="135">
        <v>240</v>
      </c>
      <c r="S88" s="135">
        <v>141936</v>
      </c>
      <c r="T88" s="135">
        <f t="shared" si="74"/>
        <v>141936000000</v>
      </c>
      <c r="U88" s="135" t="s">
        <v>127</v>
      </c>
      <c r="V88" s="135" t="s">
        <v>66</v>
      </c>
      <c r="W88" s="135" t="s">
        <v>127</v>
      </c>
      <c r="X88" s="135">
        <v>17.29</v>
      </c>
      <c r="Y88" s="135">
        <v>16.920000000000002</v>
      </c>
      <c r="Z88" s="135"/>
      <c r="AA88" s="129">
        <f t="shared" ref="AA88:AA98" si="75">AVERAGE(X88:Z88)</f>
        <v>17.105</v>
      </c>
      <c r="AB88" s="129">
        <f t="shared" ref="AB88:AB98" si="76">EXP((AA88-21.179)/-1.494)</f>
        <v>15.285545304842303</v>
      </c>
      <c r="AC88" s="131">
        <f t="shared" ref="AC88:AC98" si="77">(AB88*(6.0221*10^23))/(15123*340*10^9)</f>
        <v>1790243189.7711477</v>
      </c>
      <c r="AD88" s="129">
        <f t="shared" ref="AD88:AD98" si="78">AC88*100/AC$98</f>
        <v>51.033354202927057</v>
      </c>
      <c r="AE88" s="135">
        <v>24.22</v>
      </c>
      <c r="AF88" s="135">
        <v>24.24</v>
      </c>
      <c r="AG88" s="135"/>
      <c r="AH88" s="129">
        <f t="shared" ref="AH88:AH98" si="79">AVERAGE(AE88:AG88)</f>
        <v>24.229999999999997</v>
      </c>
      <c r="AI88" s="123">
        <f t="shared" si="58"/>
        <v>243.00959886959197</v>
      </c>
      <c r="AJ88" s="132">
        <f t="shared" si="35"/>
        <v>48.601919773918397</v>
      </c>
      <c r="AK88" s="135">
        <v>35.58</v>
      </c>
      <c r="AL88" s="135">
        <v>36.31</v>
      </c>
      <c r="AM88" s="135"/>
      <c r="AN88" s="129">
        <f t="shared" ref="AN88:AN98" si="80">AVERAGE(AK88:AM88)</f>
        <v>35.945</v>
      </c>
      <c r="AO88" s="123">
        <f t="shared" si="71"/>
        <v>1.5783556446016772E-6</v>
      </c>
      <c r="AP88" s="123">
        <f t="shared" si="72"/>
        <v>93.48870689106306</v>
      </c>
      <c r="AQ88" s="132">
        <f t="shared" si="39"/>
        <v>18.697741378212612</v>
      </c>
      <c r="AR88" s="132">
        <f t="shared" si="62"/>
        <v>0.38471199214329221</v>
      </c>
      <c r="AS88" s="132">
        <f t="shared" si="73"/>
        <v>54604481316.850327</v>
      </c>
      <c r="AT88" s="135"/>
      <c r="AU88" s="135"/>
    </row>
    <row r="89" spans="2:47" s="122" customFormat="1" x14ac:dyDescent="0.35">
      <c r="B89" s="123" t="s">
        <v>54</v>
      </c>
      <c r="C89" s="124" t="s">
        <v>128</v>
      </c>
      <c r="D89" s="135" t="s">
        <v>57</v>
      </c>
      <c r="E89" s="125" t="s">
        <v>58</v>
      </c>
      <c r="F89" s="135" t="s">
        <v>59</v>
      </c>
      <c r="G89" s="135">
        <v>-20</v>
      </c>
      <c r="H89" s="135" t="s">
        <v>122</v>
      </c>
      <c r="I89" s="135" t="s">
        <v>61</v>
      </c>
      <c r="J89" s="135" t="s">
        <v>62</v>
      </c>
      <c r="K89" s="135" t="s">
        <v>123</v>
      </c>
      <c r="L89" s="135" t="s">
        <v>124</v>
      </c>
      <c r="M89" s="135" t="s">
        <v>125</v>
      </c>
      <c r="N89" s="135" t="s">
        <v>126</v>
      </c>
      <c r="O89" s="135" t="s">
        <v>65</v>
      </c>
      <c r="P89" s="123">
        <v>7.78</v>
      </c>
      <c r="Q89" s="130">
        <v>4.4000000000000004</v>
      </c>
      <c r="R89" s="123">
        <v>300</v>
      </c>
      <c r="S89" s="123">
        <v>148656</v>
      </c>
      <c r="T89" s="127">
        <f t="shared" si="74"/>
        <v>148656000000</v>
      </c>
      <c r="U89" s="135" t="s">
        <v>127</v>
      </c>
      <c r="V89" s="135" t="s">
        <v>66</v>
      </c>
      <c r="W89" s="135" t="s">
        <v>127</v>
      </c>
      <c r="X89" s="123">
        <v>17.47</v>
      </c>
      <c r="Y89" s="123">
        <v>17.04</v>
      </c>
      <c r="Z89" s="123"/>
      <c r="AA89" s="129">
        <f t="shared" si="75"/>
        <v>17.254999999999999</v>
      </c>
      <c r="AB89" s="130">
        <f t="shared" si="76"/>
        <v>13.825379870430185</v>
      </c>
      <c r="AC89" s="131">
        <f t="shared" si="77"/>
        <v>1619228602.2793019</v>
      </c>
      <c r="AD89" s="129">
        <f t="shared" si="78"/>
        <v>46.158347238954477</v>
      </c>
      <c r="AE89" s="123">
        <v>24.01</v>
      </c>
      <c r="AF89" s="123">
        <v>24.07</v>
      </c>
      <c r="AG89" s="123"/>
      <c r="AH89" s="129">
        <f t="shared" si="79"/>
        <v>24.04</v>
      </c>
      <c r="AI89" s="123">
        <f t="shared" si="58"/>
        <v>278.96381064395672</v>
      </c>
      <c r="AJ89" s="132">
        <f t="shared" si="35"/>
        <v>55.792762128791345</v>
      </c>
      <c r="AK89" s="123">
        <v>35.53</v>
      </c>
      <c r="AL89" s="123">
        <v>37.07</v>
      </c>
      <c r="AM89" s="123"/>
      <c r="AN89" s="129">
        <f t="shared" si="80"/>
        <v>36.299999999999997</v>
      </c>
      <c r="AO89" s="123">
        <f t="shared" si="71"/>
        <v>1.2480660759880712E-6</v>
      </c>
      <c r="AP89" s="123">
        <f t="shared" si="72"/>
        <v>73.925090303823168</v>
      </c>
      <c r="AQ89" s="132">
        <f t="shared" si="39"/>
        <v>14.785018060764633</v>
      </c>
      <c r="AR89" s="132">
        <f t="shared" si="62"/>
        <v>0.26499885462983663</v>
      </c>
      <c r="AS89" s="132">
        <f t="shared" si="73"/>
        <v>39393669733.852997</v>
      </c>
      <c r="AT89" s="123"/>
      <c r="AU89" s="123"/>
    </row>
    <row r="90" spans="2:47" s="122" customFormat="1" x14ac:dyDescent="0.35">
      <c r="B90" s="123" t="s">
        <v>54</v>
      </c>
      <c r="C90" s="124" t="s">
        <v>129</v>
      </c>
      <c r="D90" s="135" t="s">
        <v>57</v>
      </c>
      <c r="E90" s="125" t="s">
        <v>58</v>
      </c>
      <c r="F90" s="135" t="s">
        <v>59</v>
      </c>
      <c r="G90" s="135">
        <v>-20</v>
      </c>
      <c r="H90" s="135" t="s">
        <v>122</v>
      </c>
      <c r="I90" s="135" t="s">
        <v>61</v>
      </c>
      <c r="J90" s="135" t="s">
        <v>62</v>
      </c>
      <c r="K90" s="135" t="s">
        <v>123</v>
      </c>
      <c r="L90" s="135" t="s">
        <v>124</v>
      </c>
      <c r="M90" s="135" t="s">
        <v>125</v>
      </c>
      <c r="N90" s="135" t="s">
        <v>126</v>
      </c>
      <c r="O90" s="135" t="s">
        <v>65</v>
      </c>
      <c r="P90" s="130">
        <v>8</v>
      </c>
      <c r="Q90" s="123">
        <v>4.6100000000000003</v>
      </c>
      <c r="R90" s="123">
        <v>220</v>
      </c>
      <c r="S90" s="123">
        <v>156984</v>
      </c>
      <c r="T90" s="127">
        <f t="shared" si="74"/>
        <v>156984000000</v>
      </c>
      <c r="U90" s="135" t="s">
        <v>127</v>
      </c>
      <c r="V90" s="135" t="s">
        <v>66</v>
      </c>
      <c r="W90" s="135" t="s">
        <v>127</v>
      </c>
      <c r="X90" s="123">
        <v>17.32</v>
      </c>
      <c r="Y90" s="123">
        <v>17.11</v>
      </c>
      <c r="Z90" s="123"/>
      <c r="AA90" s="129">
        <f t="shared" si="75"/>
        <v>17.215</v>
      </c>
      <c r="AB90" s="130">
        <f t="shared" si="76"/>
        <v>14.20053707123448</v>
      </c>
      <c r="AC90" s="131">
        <f t="shared" si="77"/>
        <v>1663167016.672718</v>
      </c>
      <c r="AD90" s="129">
        <f t="shared" si="78"/>
        <v>47.410872414118437</v>
      </c>
      <c r="AE90" s="123">
        <v>24.41</v>
      </c>
      <c r="AF90" s="123">
        <v>24.5</v>
      </c>
      <c r="AG90" s="123"/>
      <c r="AH90" s="129">
        <f t="shared" si="79"/>
        <v>24.454999999999998</v>
      </c>
      <c r="AI90" s="123">
        <f t="shared" si="58"/>
        <v>206.37651666176072</v>
      </c>
      <c r="AJ90" s="132">
        <f t="shared" si="35"/>
        <v>41.275303332352145</v>
      </c>
      <c r="AK90" s="123">
        <v>36.26</v>
      </c>
      <c r="AL90" s="123">
        <v>35.130000000000003</v>
      </c>
      <c r="AM90" s="123"/>
      <c r="AN90" s="129">
        <f t="shared" si="80"/>
        <v>35.695</v>
      </c>
      <c r="AO90" s="123">
        <f t="shared" si="71"/>
        <v>1.8621420952492264E-6</v>
      </c>
      <c r="AP90" s="123">
        <f t="shared" si="72"/>
        <v>110.2978641902973</v>
      </c>
      <c r="AQ90" s="132">
        <f t="shared" si="39"/>
        <v>22.059572838059459</v>
      </c>
      <c r="AR90" s="132">
        <f t="shared" si="62"/>
        <v>0.53444968436534457</v>
      </c>
      <c r="AS90" s="132">
        <f t="shared" si="73"/>
        <v>83900049250.409256</v>
      </c>
      <c r="AT90" s="123"/>
      <c r="AU90" s="123"/>
    </row>
    <row r="91" spans="2:47" s="122" customFormat="1" x14ac:dyDescent="0.35">
      <c r="B91" s="123" t="s">
        <v>54</v>
      </c>
      <c r="C91" s="124" t="s">
        <v>130</v>
      </c>
      <c r="D91" s="135" t="s">
        <v>57</v>
      </c>
      <c r="E91" s="125" t="s">
        <v>58</v>
      </c>
      <c r="F91" s="135" t="s">
        <v>59</v>
      </c>
      <c r="G91" s="135">
        <v>-20</v>
      </c>
      <c r="H91" s="135" t="s">
        <v>122</v>
      </c>
      <c r="I91" s="135" t="s">
        <v>61</v>
      </c>
      <c r="J91" s="135" t="s">
        <v>62</v>
      </c>
      <c r="K91" s="135" t="s">
        <v>123</v>
      </c>
      <c r="L91" s="135" t="s">
        <v>124</v>
      </c>
      <c r="M91" s="135" t="s">
        <v>125</v>
      </c>
      <c r="N91" s="135" t="s">
        <v>126</v>
      </c>
      <c r="O91" s="135" t="s">
        <v>65</v>
      </c>
      <c r="P91" s="123">
        <v>7.94</v>
      </c>
      <c r="Q91" s="123">
        <v>3.73</v>
      </c>
      <c r="R91" s="123">
        <v>152</v>
      </c>
      <c r="S91" s="123">
        <v>196632</v>
      </c>
      <c r="T91" s="127">
        <f t="shared" si="74"/>
        <v>196632000000</v>
      </c>
      <c r="U91" s="135" t="s">
        <v>127</v>
      </c>
      <c r="V91" s="135" t="s">
        <v>66</v>
      </c>
      <c r="W91" s="135" t="s">
        <v>127</v>
      </c>
      <c r="X91" s="123">
        <v>16.62</v>
      </c>
      <c r="Y91" s="123">
        <v>16.7</v>
      </c>
      <c r="Z91" s="123"/>
      <c r="AA91" s="129">
        <f t="shared" si="75"/>
        <v>16.66</v>
      </c>
      <c r="AB91" s="130">
        <f t="shared" si="76"/>
        <v>20.589180710248357</v>
      </c>
      <c r="AC91" s="131">
        <f t="shared" si="77"/>
        <v>2411405011.3614755</v>
      </c>
      <c r="AD91" s="129">
        <f t="shared" si="78"/>
        <v>68.740429666013654</v>
      </c>
      <c r="AE91" s="123">
        <v>23.96</v>
      </c>
      <c r="AF91" s="123">
        <v>24.03</v>
      </c>
      <c r="AG91" s="123"/>
      <c r="AH91" s="129">
        <f t="shared" si="79"/>
        <v>23.995000000000001</v>
      </c>
      <c r="AI91" s="123">
        <f t="shared" si="58"/>
        <v>288.23087290294302</v>
      </c>
      <c r="AJ91" s="132">
        <f t="shared" si="35"/>
        <v>57.646174580588607</v>
      </c>
      <c r="AK91" s="123">
        <v>35.06</v>
      </c>
      <c r="AL91" s="123">
        <v>34.69</v>
      </c>
      <c r="AM91" s="123"/>
      <c r="AN91" s="129">
        <f t="shared" si="80"/>
        <v>34.875</v>
      </c>
      <c r="AO91" s="123">
        <f t="shared" si="71"/>
        <v>3.2028964194806362E-6</v>
      </c>
      <c r="AP91" s="123">
        <f t="shared" si="72"/>
        <v>189.71303811494752</v>
      </c>
      <c r="AQ91" s="132">
        <f t="shared" si="39"/>
        <v>37.942607622989506</v>
      </c>
      <c r="AR91" s="132">
        <f t="shared" si="62"/>
        <v>0.6581981874607522</v>
      </c>
      <c r="AS91" s="132">
        <f t="shared" si="73"/>
        <v>129422825996.78262</v>
      </c>
      <c r="AT91" s="123"/>
      <c r="AU91" s="123"/>
    </row>
    <row r="92" spans="2:47" s="122" customFormat="1" x14ac:dyDescent="0.35">
      <c r="B92" s="123" t="s">
        <v>54</v>
      </c>
      <c r="C92" s="124" t="s">
        <v>131</v>
      </c>
      <c r="D92" s="135" t="s">
        <v>57</v>
      </c>
      <c r="E92" s="125" t="s">
        <v>58</v>
      </c>
      <c r="F92" s="135" t="s">
        <v>59</v>
      </c>
      <c r="G92" s="135">
        <v>-20</v>
      </c>
      <c r="H92" s="135" t="s">
        <v>122</v>
      </c>
      <c r="I92" s="135" t="s">
        <v>61</v>
      </c>
      <c r="J92" s="135" t="s">
        <v>62</v>
      </c>
      <c r="K92" s="135" t="s">
        <v>123</v>
      </c>
      <c r="L92" s="135" t="s">
        <v>124</v>
      </c>
      <c r="M92" s="135" t="s">
        <v>125</v>
      </c>
      <c r="N92" s="135" t="s">
        <v>126</v>
      </c>
      <c r="O92" s="135" t="s">
        <v>65</v>
      </c>
      <c r="P92" s="123">
        <v>7.52</v>
      </c>
      <c r="Q92" s="123">
        <v>4.1500000000000004</v>
      </c>
      <c r="R92" s="123">
        <v>189</v>
      </c>
      <c r="S92" s="123">
        <v>250704</v>
      </c>
      <c r="T92" s="127">
        <f t="shared" si="74"/>
        <v>250704000000</v>
      </c>
      <c r="U92" s="135" t="s">
        <v>127</v>
      </c>
      <c r="V92" s="135" t="s">
        <v>66</v>
      </c>
      <c r="W92" s="135" t="s">
        <v>127</v>
      </c>
      <c r="X92" s="123">
        <v>16.59</v>
      </c>
      <c r="Y92" s="123">
        <v>16.559999999999999</v>
      </c>
      <c r="Z92" s="123"/>
      <c r="AA92" s="129">
        <f t="shared" si="75"/>
        <v>16.574999999999999</v>
      </c>
      <c r="AB92" s="130">
        <f t="shared" si="76"/>
        <v>21.79455075597458</v>
      </c>
      <c r="AC92" s="131">
        <f t="shared" si="77"/>
        <v>2552577960.8690014</v>
      </c>
      <c r="AD92" s="129">
        <f t="shared" si="78"/>
        <v>72.764759532064133</v>
      </c>
      <c r="AE92" s="123">
        <v>22.76</v>
      </c>
      <c r="AF92" s="123">
        <v>22.84</v>
      </c>
      <c r="AG92" s="123"/>
      <c r="AH92" s="129">
        <f t="shared" si="79"/>
        <v>22.8</v>
      </c>
      <c r="AI92" s="123">
        <f t="shared" si="58"/>
        <v>686.48914565261407</v>
      </c>
      <c r="AJ92" s="132">
        <f t="shared" si="35"/>
        <v>137.29782913052281</v>
      </c>
      <c r="AK92" s="123">
        <v>35.24</v>
      </c>
      <c r="AL92" s="123">
        <v>35.39</v>
      </c>
      <c r="AM92" s="123"/>
      <c r="AN92" s="129">
        <f t="shared" si="80"/>
        <v>35.314999999999998</v>
      </c>
      <c r="AO92" s="123">
        <f t="shared" si="71"/>
        <v>2.3942026208575405E-6</v>
      </c>
      <c r="AP92" s="123">
        <f t="shared" si="72"/>
        <v>141.81271998153042</v>
      </c>
      <c r="AQ92" s="132">
        <f t="shared" si="39"/>
        <v>28.362543996306083</v>
      </c>
      <c r="AR92" s="132">
        <f t="shared" si="62"/>
        <v>0.20657678403161858</v>
      </c>
      <c r="AS92" s="132">
        <f t="shared" si="73"/>
        <v>51789626063.862907</v>
      </c>
      <c r="AT92" s="123"/>
      <c r="AU92" s="123"/>
    </row>
    <row r="93" spans="2:47" s="61" customFormat="1" ht="12.75" customHeight="1" x14ac:dyDescent="0.45">
      <c r="B93" s="52" t="s">
        <v>54</v>
      </c>
      <c r="C93" s="78" t="s">
        <v>121</v>
      </c>
      <c r="D93" s="63" t="s">
        <v>57</v>
      </c>
      <c r="E93" s="64" t="s">
        <v>58</v>
      </c>
      <c r="F93" s="63" t="s">
        <v>59</v>
      </c>
      <c r="G93" s="63">
        <v>-20</v>
      </c>
      <c r="H93" s="63" t="s">
        <v>122</v>
      </c>
      <c r="I93" s="63" t="s">
        <v>61</v>
      </c>
      <c r="J93" s="63" t="s">
        <v>62</v>
      </c>
      <c r="K93" s="63" t="s">
        <v>123</v>
      </c>
      <c r="L93" s="63" t="s">
        <v>124</v>
      </c>
      <c r="M93" s="63" t="s">
        <v>125</v>
      </c>
      <c r="N93" s="63" t="s">
        <v>126</v>
      </c>
      <c r="O93" s="63" t="s">
        <v>65</v>
      </c>
      <c r="P93" s="52">
        <v>7.86</v>
      </c>
      <c r="Q93" s="52">
        <v>4.62</v>
      </c>
      <c r="R93" s="52">
        <v>310</v>
      </c>
      <c r="S93" s="52">
        <v>189240</v>
      </c>
      <c r="T93" s="55">
        <f t="shared" si="74"/>
        <v>189240000000</v>
      </c>
      <c r="U93" s="63" t="s">
        <v>127</v>
      </c>
      <c r="V93" s="63" t="s">
        <v>66</v>
      </c>
      <c r="W93" s="63" t="s">
        <v>127</v>
      </c>
      <c r="X93" s="52">
        <v>17.010000000000002</v>
      </c>
      <c r="Y93" s="52">
        <v>17.079999999999998</v>
      </c>
      <c r="Z93" s="52"/>
      <c r="AA93" s="57">
        <f t="shared" si="75"/>
        <v>17.045000000000002</v>
      </c>
      <c r="AB93" s="58">
        <f t="shared" si="76"/>
        <v>15.911916168496393</v>
      </c>
      <c r="AC93" s="59">
        <f t="shared" si="77"/>
        <v>1863603750.389981</v>
      </c>
      <c r="AD93" s="57">
        <f t="shared" si="78"/>
        <v>53.12459828416543</v>
      </c>
      <c r="AE93" s="52">
        <v>22.32</v>
      </c>
      <c r="AF93" s="52">
        <v>22.59</v>
      </c>
      <c r="AG93" s="52"/>
      <c r="AH93" s="57">
        <f t="shared" si="79"/>
        <v>22.454999999999998</v>
      </c>
      <c r="AI93" s="52">
        <f t="shared" si="58"/>
        <v>881.94974528867795</v>
      </c>
      <c r="AJ93" s="60">
        <f t="shared" si="35"/>
        <v>176.38994905773558</v>
      </c>
      <c r="AK93" s="52">
        <v>34.81</v>
      </c>
      <c r="AL93" s="52">
        <v>35.47</v>
      </c>
      <c r="AM93" s="52"/>
      <c r="AN93" s="57">
        <f t="shared" si="80"/>
        <v>35.14</v>
      </c>
      <c r="AO93" s="52">
        <f t="shared" si="71"/>
        <v>2.6879826855290061E-6</v>
      </c>
      <c r="AP93" s="52">
        <f t="shared" si="72"/>
        <v>159.21381614793938</v>
      </c>
      <c r="AQ93" s="60">
        <f t="shared" si="39"/>
        <v>31.842763229587877</v>
      </c>
      <c r="AR93" s="60">
        <f t="shared" si="62"/>
        <v>0.18052481674658896</v>
      </c>
      <c r="AS93" s="60">
        <f t="shared" si="73"/>
        <v>34162516321.124496</v>
      </c>
      <c r="AT93" s="52"/>
      <c r="AU93" s="80" t="s">
        <v>132</v>
      </c>
    </row>
    <row r="94" spans="2:47" s="61" customFormat="1" x14ac:dyDescent="0.35">
      <c r="B94" s="52" t="s">
        <v>54</v>
      </c>
      <c r="C94" s="78" t="s">
        <v>128</v>
      </c>
      <c r="D94" s="63" t="s">
        <v>57</v>
      </c>
      <c r="E94" s="64" t="s">
        <v>58</v>
      </c>
      <c r="F94" s="63" t="s">
        <v>59</v>
      </c>
      <c r="G94" s="63">
        <v>-20</v>
      </c>
      <c r="H94" s="63" t="s">
        <v>122</v>
      </c>
      <c r="I94" s="63" t="s">
        <v>61</v>
      </c>
      <c r="J94" s="63" t="s">
        <v>62</v>
      </c>
      <c r="K94" s="63" t="s">
        <v>123</v>
      </c>
      <c r="L94" s="63" t="s">
        <v>124</v>
      </c>
      <c r="M94" s="63" t="s">
        <v>125</v>
      </c>
      <c r="N94" s="63" t="s">
        <v>126</v>
      </c>
      <c r="O94" s="63" t="s">
        <v>65</v>
      </c>
      <c r="P94" s="52">
        <v>8.3699999999999992</v>
      </c>
      <c r="Q94" s="52">
        <v>4.57</v>
      </c>
      <c r="R94" s="52">
        <v>220</v>
      </c>
      <c r="S94" s="52">
        <v>188448</v>
      </c>
      <c r="T94" s="55">
        <f t="shared" si="74"/>
        <v>188448000000</v>
      </c>
      <c r="U94" s="63" t="s">
        <v>127</v>
      </c>
      <c r="V94" s="63" t="s">
        <v>66</v>
      </c>
      <c r="W94" s="63" t="s">
        <v>127</v>
      </c>
      <c r="X94" s="52">
        <v>16.079999999999998</v>
      </c>
      <c r="Y94" s="52">
        <v>16.48</v>
      </c>
      <c r="Z94" s="52"/>
      <c r="AA94" s="57">
        <f t="shared" si="75"/>
        <v>16.28</v>
      </c>
      <c r="AB94" s="58">
        <f t="shared" si="76"/>
        <v>26.552302467391076</v>
      </c>
      <c r="AC94" s="59">
        <f t="shared" si="77"/>
        <v>3109805879.8027892</v>
      </c>
      <c r="AD94" s="57">
        <f t="shared" si="78"/>
        <v>88.649310816039772</v>
      </c>
      <c r="AE94" s="52">
        <v>23.37</v>
      </c>
      <c r="AF94" s="52">
        <v>23.12</v>
      </c>
      <c r="AG94" s="52"/>
      <c r="AH94" s="57">
        <f t="shared" si="79"/>
        <v>23.245000000000001</v>
      </c>
      <c r="AI94" s="52">
        <f t="shared" si="58"/>
        <v>496.91754673160335</v>
      </c>
      <c r="AJ94" s="60">
        <f t="shared" si="35"/>
        <v>99.383509346320665</v>
      </c>
      <c r="AK94" s="52">
        <v>34.36</v>
      </c>
      <c r="AL94" s="52">
        <v>34.06</v>
      </c>
      <c r="AM94" s="52"/>
      <c r="AN94" s="57">
        <f t="shared" si="80"/>
        <v>34.21</v>
      </c>
      <c r="AO94" s="52">
        <f t="shared" si="71"/>
        <v>4.9722395203122001E-6</v>
      </c>
      <c r="AP94" s="52">
        <f t="shared" si="72"/>
        <v>294.51425899892098</v>
      </c>
      <c r="AQ94" s="60">
        <f t="shared" si="39"/>
        <v>58.902851799784194</v>
      </c>
      <c r="AR94" s="60">
        <f t="shared" si="62"/>
        <v>0.59268234928720465</v>
      </c>
      <c r="AS94" s="60">
        <f t="shared" si="73"/>
        <v>111689803358.47514</v>
      </c>
      <c r="AT94" s="52"/>
      <c r="AU94" s="52"/>
    </row>
    <row r="95" spans="2:47" s="61" customFormat="1" x14ac:dyDescent="0.35">
      <c r="B95" s="52" t="s">
        <v>54</v>
      </c>
      <c r="C95" s="78" t="s">
        <v>129</v>
      </c>
      <c r="D95" s="63" t="s">
        <v>57</v>
      </c>
      <c r="E95" s="64" t="s">
        <v>58</v>
      </c>
      <c r="F95" s="63" t="s">
        <v>59</v>
      </c>
      <c r="G95" s="63">
        <v>-20</v>
      </c>
      <c r="H95" s="63" t="s">
        <v>122</v>
      </c>
      <c r="I95" s="63" t="s">
        <v>61</v>
      </c>
      <c r="J95" s="63" t="s">
        <v>62</v>
      </c>
      <c r="K95" s="63" t="s">
        <v>123</v>
      </c>
      <c r="L95" s="63" t="s">
        <v>124</v>
      </c>
      <c r="M95" s="63" t="s">
        <v>125</v>
      </c>
      <c r="N95" s="63" t="s">
        <v>126</v>
      </c>
      <c r="O95" s="63" t="s">
        <v>65</v>
      </c>
      <c r="P95" s="52">
        <v>7.55</v>
      </c>
      <c r="Q95" s="52">
        <v>4.08</v>
      </c>
      <c r="R95" s="52">
        <v>310</v>
      </c>
      <c r="S95" s="52">
        <v>195864</v>
      </c>
      <c r="T95" s="55">
        <f t="shared" si="74"/>
        <v>195864000000</v>
      </c>
      <c r="U95" s="63" t="s">
        <v>127</v>
      </c>
      <c r="V95" s="63" t="s">
        <v>66</v>
      </c>
      <c r="W95" s="63" t="s">
        <v>127</v>
      </c>
      <c r="X95" s="52">
        <v>16.86</v>
      </c>
      <c r="Y95" s="52">
        <v>17.02</v>
      </c>
      <c r="Z95" s="52"/>
      <c r="AA95" s="57">
        <f t="shared" si="75"/>
        <v>16.939999999999998</v>
      </c>
      <c r="AB95" s="58">
        <f t="shared" si="76"/>
        <v>17.070458519741173</v>
      </c>
      <c r="AC95" s="59">
        <f t="shared" si="77"/>
        <v>1999292239.9409802</v>
      </c>
      <c r="AD95" s="57">
        <f t="shared" si="78"/>
        <v>56.992586045873665</v>
      </c>
      <c r="AE95" s="52">
        <v>22.16</v>
      </c>
      <c r="AF95" s="52">
        <v>22.13</v>
      </c>
      <c r="AG95" s="52"/>
      <c r="AH95" s="57">
        <f t="shared" si="79"/>
        <v>22.145</v>
      </c>
      <c r="AI95" s="52">
        <f t="shared" si="58"/>
        <v>1104.6260762220161</v>
      </c>
      <c r="AJ95" s="60">
        <f t="shared" si="35"/>
        <v>220.9252152444032</v>
      </c>
      <c r="AK95" s="52">
        <v>33.51</v>
      </c>
      <c r="AL95" s="52">
        <v>33.76</v>
      </c>
      <c r="AM95" s="52"/>
      <c r="AN95" s="57">
        <f t="shared" si="80"/>
        <v>33.634999999999998</v>
      </c>
      <c r="AO95" s="52">
        <f t="shared" si="71"/>
        <v>7.2729453831945883E-6</v>
      </c>
      <c r="AP95" s="52">
        <f t="shared" si="72"/>
        <v>430.78900594408316</v>
      </c>
      <c r="AQ95" s="60">
        <f t="shared" si="39"/>
        <v>86.157801188816634</v>
      </c>
      <c r="AR95" s="60">
        <f t="shared" si="62"/>
        <v>0.38998627247461426</v>
      </c>
      <c r="AS95" s="60">
        <f t="shared" si="73"/>
        <v>76384271271.96785</v>
      </c>
      <c r="AT95" s="52"/>
      <c r="AU95" s="52"/>
    </row>
    <row r="96" spans="2:47" s="61" customFormat="1" x14ac:dyDescent="0.35">
      <c r="B96" s="52" t="s">
        <v>54</v>
      </c>
      <c r="C96" s="52" t="s">
        <v>130</v>
      </c>
      <c r="D96" s="63" t="s">
        <v>57</v>
      </c>
      <c r="E96" s="64" t="s">
        <v>58</v>
      </c>
      <c r="F96" s="63" t="s">
        <v>59</v>
      </c>
      <c r="G96" s="63">
        <v>-20</v>
      </c>
      <c r="H96" s="63" t="s">
        <v>122</v>
      </c>
      <c r="I96" s="63" t="s">
        <v>61</v>
      </c>
      <c r="J96" s="63" t="s">
        <v>62</v>
      </c>
      <c r="K96" s="63" t="s">
        <v>123</v>
      </c>
      <c r="L96" s="63" t="s">
        <v>124</v>
      </c>
      <c r="M96" s="63" t="s">
        <v>125</v>
      </c>
      <c r="N96" s="63" t="s">
        <v>126</v>
      </c>
      <c r="O96" s="63" t="s">
        <v>65</v>
      </c>
      <c r="P96" s="52">
        <v>8.16</v>
      </c>
      <c r="Q96" s="52">
        <v>4.57</v>
      </c>
      <c r="R96" s="52">
        <v>180</v>
      </c>
      <c r="S96" s="52">
        <v>222000</v>
      </c>
      <c r="T96" s="55">
        <f t="shared" si="74"/>
        <v>222000000000</v>
      </c>
      <c r="U96" s="63" t="s">
        <v>127</v>
      </c>
      <c r="V96" s="63" t="s">
        <v>66</v>
      </c>
      <c r="W96" s="63" t="s">
        <v>127</v>
      </c>
      <c r="X96" s="52">
        <v>17.059999999999999</v>
      </c>
      <c r="Y96" s="52">
        <v>17.079999999999998</v>
      </c>
      <c r="Z96" s="52"/>
      <c r="AA96" s="57">
        <f t="shared" si="75"/>
        <v>17.07</v>
      </c>
      <c r="AB96" s="58">
        <f t="shared" si="76"/>
        <v>15.647867911548204</v>
      </c>
      <c r="AC96" s="59">
        <f t="shared" si="77"/>
        <v>1832678416.3999212</v>
      </c>
      <c r="AD96" s="57">
        <f t="shared" si="78"/>
        <v>52.243028935165263</v>
      </c>
      <c r="AE96" s="52">
        <v>21.54</v>
      </c>
      <c r="AF96" s="52">
        <v>21.78</v>
      </c>
      <c r="AG96" s="52"/>
      <c r="AH96" s="57">
        <f t="shared" si="79"/>
        <v>21.66</v>
      </c>
      <c r="AI96" s="52">
        <f t="shared" si="58"/>
        <v>1571.0149024626051</v>
      </c>
      <c r="AJ96" s="60">
        <f t="shared" si="35"/>
        <v>314.20298049252102</v>
      </c>
      <c r="AK96" s="52">
        <v>33.11</v>
      </c>
      <c r="AL96" s="52">
        <v>32.92</v>
      </c>
      <c r="AM96" s="52"/>
      <c r="AN96" s="57">
        <f t="shared" si="80"/>
        <v>33.015000000000001</v>
      </c>
      <c r="AO96" s="52">
        <f t="shared" si="71"/>
        <v>1.0959583310344562E-5</v>
      </c>
      <c r="AP96" s="52">
        <f t="shared" si="72"/>
        <v>649.1548816981375</v>
      </c>
      <c r="AQ96" s="60">
        <f t="shared" si="39"/>
        <v>129.83097633962751</v>
      </c>
      <c r="AR96" s="60">
        <f t="shared" si="62"/>
        <v>0.41320733538591586</v>
      </c>
      <c r="AS96" s="60">
        <f t="shared" si="73"/>
        <v>91732028455.673325</v>
      </c>
      <c r="AT96" s="52"/>
      <c r="AU96" s="52"/>
    </row>
    <row r="97" spans="2:47" s="61" customFormat="1" ht="14.25" x14ac:dyDescent="0.45">
      <c r="B97" s="52" t="s">
        <v>54</v>
      </c>
      <c r="C97" s="52" t="s">
        <v>131</v>
      </c>
      <c r="D97" s="63" t="s">
        <v>57</v>
      </c>
      <c r="E97" s="64" t="s">
        <v>58</v>
      </c>
      <c r="F97" s="63" t="s">
        <v>59</v>
      </c>
      <c r="G97" s="63">
        <v>-20</v>
      </c>
      <c r="H97" s="63" t="s">
        <v>122</v>
      </c>
      <c r="I97" s="63" t="s">
        <v>61</v>
      </c>
      <c r="J97" s="63" t="s">
        <v>62</v>
      </c>
      <c r="K97" s="63" t="s">
        <v>123</v>
      </c>
      <c r="L97" s="63" t="s">
        <v>124</v>
      </c>
      <c r="M97" s="63" t="s">
        <v>125</v>
      </c>
      <c r="N97" s="63" t="s">
        <v>126</v>
      </c>
      <c r="O97" s="63" t="s">
        <v>65</v>
      </c>
      <c r="P97" s="52">
        <v>7.17</v>
      </c>
      <c r="Q97" s="52">
        <v>4.42</v>
      </c>
      <c r="R97" s="52">
        <v>250</v>
      </c>
      <c r="S97" s="52">
        <v>236352</v>
      </c>
      <c r="T97" s="55">
        <f t="shared" si="74"/>
        <v>236352000000</v>
      </c>
      <c r="U97" s="63" t="s">
        <v>127</v>
      </c>
      <c r="V97" s="63" t="s">
        <v>66</v>
      </c>
      <c r="W97" s="63" t="s">
        <v>127</v>
      </c>
      <c r="X97" s="52">
        <v>16.579999999999998</v>
      </c>
      <c r="Y97" s="52">
        <v>16.88</v>
      </c>
      <c r="Z97" s="52"/>
      <c r="AA97" s="57">
        <f t="shared" si="75"/>
        <v>16.729999999999997</v>
      </c>
      <c r="AB97" s="58">
        <f t="shared" si="76"/>
        <v>19.646744427244833</v>
      </c>
      <c r="AC97" s="59">
        <f t="shared" si="77"/>
        <v>2301026866.2713027</v>
      </c>
      <c r="AD97" s="57">
        <f t="shared" si="78"/>
        <v>65.593948223250038</v>
      </c>
      <c r="AE97" s="52">
        <v>23.63</v>
      </c>
      <c r="AF97" s="52">
        <v>23.36</v>
      </c>
      <c r="AG97" s="52"/>
      <c r="AH97" s="57">
        <f t="shared" si="79"/>
        <v>23.494999999999997</v>
      </c>
      <c r="AI97" s="52">
        <f t="shared" si="58"/>
        <v>414.41587858592311</v>
      </c>
      <c r="AJ97" s="60">
        <f t="shared" si="35"/>
        <v>82.883175717184628</v>
      </c>
      <c r="AK97" s="52">
        <v>33.11</v>
      </c>
      <c r="AL97" s="58">
        <v>33.6</v>
      </c>
      <c r="AM97" s="52"/>
      <c r="AN97" s="57">
        <f t="shared" si="80"/>
        <v>33.355000000000004</v>
      </c>
      <c r="AO97" s="52">
        <f t="shared" si="71"/>
        <v>8.7525626939756413E-6</v>
      </c>
      <c r="AP97" s="52">
        <f t="shared" si="72"/>
        <v>518.42927228815029</v>
      </c>
      <c r="AQ97" s="60">
        <f t="shared" si="39"/>
        <v>103.68585445763006</v>
      </c>
      <c r="AR97" s="60">
        <f t="shared" si="62"/>
        <v>1.2509879545570102</v>
      </c>
      <c r="AS97" s="60">
        <f t="shared" si="73"/>
        <v>295673505035.4585</v>
      </c>
      <c r="AT97" s="52"/>
      <c r="AU97" s="80" t="s">
        <v>133</v>
      </c>
    </row>
    <row r="98" spans="2:47" x14ac:dyDescent="0.35">
      <c r="B98" s="8"/>
      <c r="C98" s="8"/>
      <c r="D98" s="8" t="s">
        <v>105</v>
      </c>
      <c r="E98" s="8"/>
      <c r="F98" s="8" t="s">
        <v>134</v>
      </c>
      <c r="G98" s="8">
        <v>-80</v>
      </c>
      <c r="H98" s="8" t="s">
        <v>108</v>
      </c>
      <c r="I98" s="10" t="s">
        <v>61</v>
      </c>
      <c r="J98" s="10" t="s">
        <v>62</v>
      </c>
      <c r="K98" s="10" t="s">
        <v>123</v>
      </c>
      <c r="L98" s="10" t="s">
        <v>124</v>
      </c>
      <c r="M98" s="10" t="s">
        <v>107</v>
      </c>
      <c r="N98" s="8" t="s">
        <v>108</v>
      </c>
      <c r="O98" s="8" t="s">
        <v>108</v>
      </c>
      <c r="P98" s="8" t="s">
        <v>108</v>
      </c>
      <c r="Q98" s="8" t="s">
        <v>108</v>
      </c>
      <c r="R98" s="8" t="s">
        <v>108</v>
      </c>
      <c r="S98" s="8" t="s">
        <v>108</v>
      </c>
      <c r="T98" s="24" t="e">
        <f t="shared" si="74"/>
        <v>#VALUE!</v>
      </c>
      <c r="U98" s="10" t="s">
        <v>127</v>
      </c>
      <c r="V98" s="10" t="s">
        <v>66</v>
      </c>
      <c r="W98" s="10" t="s">
        <v>127</v>
      </c>
      <c r="X98" s="8">
        <v>16.149999999999999</v>
      </c>
      <c r="Y98" s="8">
        <v>16.05</v>
      </c>
      <c r="Z98" s="8"/>
      <c r="AA98" s="21">
        <f t="shared" si="75"/>
        <v>16.100000000000001</v>
      </c>
      <c r="AB98" s="18">
        <f t="shared" si="76"/>
        <v>29.952068688374769</v>
      </c>
      <c r="AC98" s="51">
        <f t="shared" si="77"/>
        <v>3507986527.1102777</v>
      </c>
      <c r="AD98" s="21">
        <f t="shared" si="78"/>
        <v>100</v>
      </c>
      <c r="AE98" s="8">
        <v>29.77</v>
      </c>
      <c r="AF98" s="8">
        <v>30.04</v>
      </c>
      <c r="AG98" s="8"/>
      <c r="AH98" s="21">
        <f t="shared" si="79"/>
        <v>29.905000000000001</v>
      </c>
      <c r="AI98" s="8">
        <f t="shared" si="58"/>
        <v>3.9425306070879205</v>
      </c>
      <c r="AJ98" s="60">
        <f t="shared" si="35"/>
        <v>0.78850612141758414</v>
      </c>
      <c r="AK98" s="8">
        <v>24.1</v>
      </c>
      <c r="AL98" s="8">
        <v>24.85</v>
      </c>
      <c r="AM98" s="8"/>
      <c r="AN98" s="21">
        <f t="shared" si="80"/>
        <v>24.475000000000001</v>
      </c>
      <c r="AO98" s="19">
        <f t="shared" si="71"/>
        <v>3.1099514988174471E-3</v>
      </c>
      <c r="AP98" s="8">
        <f t="shared" si="72"/>
        <v>184207.75134728313</v>
      </c>
      <c r="AQ98" s="60">
        <f t="shared" si="39"/>
        <v>36841.550269456624</v>
      </c>
      <c r="AR98" s="19">
        <f t="shared" si="62"/>
        <v>46723.226705231558</v>
      </c>
      <c r="AS98" s="19" t="e">
        <f t="shared" si="73"/>
        <v>#VALUE!</v>
      </c>
      <c r="AT98" s="8"/>
      <c r="AU98" s="8"/>
    </row>
    <row r="99" spans="2:47" x14ac:dyDescent="0.3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24">
        <f t="shared" si="74"/>
        <v>0</v>
      </c>
      <c r="U99" s="8"/>
      <c r="V99" s="8"/>
      <c r="W99" s="8"/>
      <c r="X99" s="8"/>
      <c r="Y99" s="8"/>
      <c r="Z99" s="8"/>
      <c r="AA99" s="8"/>
      <c r="AB99" s="18"/>
      <c r="AC99" s="51"/>
      <c r="AD99" s="21"/>
      <c r="AE99" s="8"/>
      <c r="AF99" s="8"/>
      <c r="AG99" s="8"/>
      <c r="AH99" s="8"/>
      <c r="AI99" s="8"/>
      <c r="AJ99" s="60">
        <f t="shared" si="35"/>
        <v>0</v>
      </c>
      <c r="AK99" s="8"/>
      <c r="AL99" s="8"/>
      <c r="AM99" s="8"/>
      <c r="AN99" s="8"/>
      <c r="AO99" s="8"/>
      <c r="AP99" s="8"/>
      <c r="AQ99" s="60">
        <f t="shared" si="39"/>
        <v>0</v>
      </c>
      <c r="AR99" s="19"/>
      <c r="AS99" s="19"/>
      <c r="AT99" s="8"/>
      <c r="AU99" s="8"/>
    </row>
    <row r="100" spans="2:47" s="61" customFormat="1" x14ac:dyDescent="0.35">
      <c r="B100" s="52" t="s">
        <v>54</v>
      </c>
      <c r="C100" s="81" t="s">
        <v>111</v>
      </c>
      <c r="D100" s="52" t="s">
        <v>57</v>
      </c>
      <c r="E100" s="52" t="s">
        <v>58</v>
      </c>
      <c r="F100" s="52" t="s">
        <v>59</v>
      </c>
      <c r="G100" s="52">
        <v>-20</v>
      </c>
      <c r="H100" s="52" t="s">
        <v>135</v>
      </c>
      <c r="I100" s="52" t="s">
        <v>61</v>
      </c>
      <c r="J100" s="52" t="s">
        <v>62</v>
      </c>
      <c r="K100" s="52" t="s">
        <v>123</v>
      </c>
      <c r="L100" s="82">
        <v>44287</v>
      </c>
      <c r="M100" s="52" t="s">
        <v>91</v>
      </c>
      <c r="N100" s="52" t="s">
        <v>136</v>
      </c>
      <c r="O100" s="52" t="s">
        <v>65</v>
      </c>
      <c r="P100" s="52">
        <v>6.49</v>
      </c>
      <c r="Q100" s="52">
        <v>4.25</v>
      </c>
      <c r="R100" s="52">
        <v>270</v>
      </c>
      <c r="S100" s="52">
        <v>193776</v>
      </c>
      <c r="T100" s="55">
        <f t="shared" si="74"/>
        <v>193776000000</v>
      </c>
      <c r="U100" s="82">
        <v>44317</v>
      </c>
      <c r="V100" s="63" t="s">
        <v>66</v>
      </c>
      <c r="W100" s="82">
        <v>44348</v>
      </c>
      <c r="X100" s="52">
        <v>18.309999999999999</v>
      </c>
      <c r="Y100" s="52">
        <v>18.350000000000001</v>
      </c>
      <c r="Z100" s="52"/>
      <c r="AA100" s="57">
        <f t="shared" ref="AA100:AA112" si="81">AVERAGE(X100:Z100)</f>
        <v>18.329999999999998</v>
      </c>
      <c r="AB100" s="58">
        <f t="shared" ref="AB100:AB112" si="82">EXP((AA100-21.179)/-1.494)</f>
        <v>6.7325985129625687</v>
      </c>
      <c r="AC100" s="59">
        <f t="shared" ref="AC100:AC112" si="83">(AB100*(6.0221*10^23))/(15123*340*10^9)</f>
        <v>788521992.30840206</v>
      </c>
      <c r="AD100" s="57">
        <f>AC100*100/AC$112</f>
        <v>6.32257150610452</v>
      </c>
      <c r="AE100" s="52">
        <v>21.07</v>
      </c>
      <c r="AF100" s="52">
        <v>21.32</v>
      </c>
      <c r="AG100" s="52"/>
      <c r="AH100" s="57">
        <f t="shared" ref="AH100:AH111" si="84">AVERAGE(AE100:AG100)</f>
        <v>21.195</v>
      </c>
      <c r="AI100" s="52">
        <f t="shared" si="58"/>
        <v>2202.102260410873</v>
      </c>
      <c r="AJ100" s="60">
        <f t="shared" si="35"/>
        <v>440.42045208217462</v>
      </c>
      <c r="AK100" s="52">
        <v>33.21</v>
      </c>
      <c r="AL100" s="52">
        <v>33.25</v>
      </c>
      <c r="AM100" s="52"/>
      <c r="AN100" s="57">
        <f t="shared" ref="AN100:AN112" si="85">AVERAGE(AK100:AM100)</f>
        <v>33.230000000000004</v>
      </c>
      <c r="AO100" s="52">
        <f t="shared" si="71"/>
        <v>9.5069061197446955E-6</v>
      </c>
      <c r="AP100" s="52">
        <f t="shared" si="72"/>
        <v>563.1103247924616</v>
      </c>
      <c r="AQ100" s="60">
        <f t="shared" si="39"/>
        <v>112.62206495849232</v>
      </c>
      <c r="AR100" s="60">
        <f t="shared" si="62"/>
        <v>0.25571488432485201</v>
      </c>
      <c r="AS100" s="60">
        <f t="shared" si="73"/>
        <v>49551407424.932526</v>
      </c>
      <c r="AT100" s="52"/>
      <c r="AU100" s="52"/>
    </row>
    <row r="101" spans="2:47" s="61" customFormat="1" x14ac:dyDescent="0.35">
      <c r="B101" s="52" t="s">
        <v>54</v>
      </c>
      <c r="C101" s="81" t="s">
        <v>137</v>
      </c>
      <c r="D101" s="52" t="s">
        <v>57</v>
      </c>
      <c r="E101" s="52" t="s">
        <v>58</v>
      </c>
      <c r="F101" s="52" t="s">
        <v>59</v>
      </c>
      <c r="G101" s="52">
        <v>-20</v>
      </c>
      <c r="H101" s="52" t="s">
        <v>135</v>
      </c>
      <c r="I101" s="52" t="s">
        <v>61</v>
      </c>
      <c r="J101" s="52" t="s">
        <v>62</v>
      </c>
      <c r="K101" s="52" t="s">
        <v>123</v>
      </c>
      <c r="L101" s="82">
        <v>44287</v>
      </c>
      <c r="M101" s="52" t="s">
        <v>91</v>
      </c>
      <c r="N101" s="52" t="s">
        <v>136</v>
      </c>
      <c r="O101" s="52" t="s">
        <v>65</v>
      </c>
      <c r="P101" s="52">
        <v>6.71</v>
      </c>
      <c r="Q101" s="52">
        <v>4.33</v>
      </c>
      <c r="R101" s="52">
        <v>270</v>
      </c>
      <c r="S101" s="52">
        <v>192288</v>
      </c>
      <c r="T101" s="55">
        <f t="shared" si="74"/>
        <v>192288000000</v>
      </c>
      <c r="U101" s="82">
        <v>44317</v>
      </c>
      <c r="V101" s="63" t="s">
        <v>66</v>
      </c>
      <c r="W101" s="82">
        <v>44348</v>
      </c>
      <c r="X101" s="58">
        <v>17.5</v>
      </c>
      <c r="Y101" s="52">
        <v>17.47</v>
      </c>
      <c r="Z101" s="52"/>
      <c r="AA101" s="57">
        <f t="shared" si="81"/>
        <v>17.484999999999999</v>
      </c>
      <c r="AB101" s="58">
        <f t="shared" si="82"/>
        <v>11.852714276759638</v>
      </c>
      <c r="AC101" s="59">
        <f t="shared" si="83"/>
        <v>1388189991.9887161</v>
      </c>
      <c r="AD101" s="57">
        <f t="shared" ref="AD101:AD112" si="86">AC101*100/AC$112</f>
        <v>11.130863278413846</v>
      </c>
      <c r="AE101" s="52">
        <v>20.89</v>
      </c>
      <c r="AF101" s="52">
        <v>20.76</v>
      </c>
      <c r="AG101" s="52"/>
      <c r="AH101" s="57">
        <f t="shared" si="84"/>
        <v>20.825000000000003</v>
      </c>
      <c r="AI101" s="52">
        <f t="shared" si="58"/>
        <v>2880.9282453488922</v>
      </c>
      <c r="AJ101" s="60">
        <f t="shared" si="35"/>
        <v>576.18564906977849</v>
      </c>
      <c r="AK101" s="52">
        <v>32.880000000000003</v>
      </c>
      <c r="AL101" s="52">
        <v>32.39</v>
      </c>
      <c r="AM101" s="52"/>
      <c r="AN101" s="57">
        <f t="shared" si="85"/>
        <v>32.635000000000005</v>
      </c>
      <c r="AO101" s="52">
        <f t="shared" si="71"/>
        <v>1.4091010107164547E-5</v>
      </c>
      <c r="AP101" s="52">
        <f t="shared" si="72"/>
        <v>834.63465171068424</v>
      </c>
      <c r="AQ101" s="60">
        <f t="shared" si="39"/>
        <v>166.92693034213684</v>
      </c>
      <c r="AR101" s="60">
        <f t="shared" si="62"/>
        <v>0.28971032272607206</v>
      </c>
      <c r="AS101" s="60">
        <f t="shared" si="73"/>
        <v>55707818536.350945</v>
      </c>
      <c r="AT101" s="52"/>
      <c r="AU101" s="52"/>
    </row>
    <row r="102" spans="2:47" s="61" customFormat="1" x14ac:dyDescent="0.35">
      <c r="B102" s="52" t="s">
        <v>54</v>
      </c>
      <c r="C102" s="81" t="s">
        <v>138</v>
      </c>
      <c r="D102" s="52" t="s">
        <v>57</v>
      </c>
      <c r="E102" s="52" t="s">
        <v>58</v>
      </c>
      <c r="F102" s="52" t="s">
        <v>59</v>
      </c>
      <c r="G102" s="52">
        <v>-20</v>
      </c>
      <c r="H102" s="52" t="s">
        <v>135</v>
      </c>
      <c r="I102" s="52" t="s">
        <v>61</v>
      </c>
      <c r="J102" s="52" t="s">
        <v>62</v>
      </c>
      <c r="K102" s="52" t="s">
        <v>123</v>
      </c>
      <c r="L102" s="82">
        <v>44287</v>
      </c>
      <c r="M102" s="52" t="s">
        <v>91</v>
      </c>
      <c r="N102" s="52" t="s">
        <v>136</v>
      </c>
      <c r="O102" s="52" t="s">
        <v>65</v>
      </c>
      <c r="P102" s="52">
        <v>6.57</v>
      </c>
      <c r="Q102" s="52">
        <v>3.75</v>
      </c>
      <c r="R102" s="52">
        <v>340</v>
      </c>
      <c r="S102" s="52">
        <v>192696</v>
      </c>
      <c r="T102" s="55">
        <f t="shared" si="74"/>
        <v>192696000000</v>
      </c>
      <c r="U102" s="82">
        <v>44317</v>
      </c>
      <c r="V102" s="63" t="s">
        <v>66</v>
      </c>
      <c r="W102" s="82">
        <v>44348</v>
      </c>
      <c r="X102" s="52">
        <v>18.63</v>
      </c>
      <c r="Y102" s="52">
        <v>18.22</v>
      </c>
      <c r="Z102" s="52"/>
      <c r="AA102" s="57">
        <f t="shared" si="81"/>
        <v>18.424999999999997</v>
      </c>
      <c r="AB102" s="58">
        <f t="shared" si="82"/>
        <v>6.3178154639986124</v>
      </c>
      <c r="AC102" s="59">
        <f t="shared" si="83"/>
        <v>739942598.25793278</v>
      </c>
      <c r="AD102" s="57">
        <f t="shared" si="86"/>
        <v>5.9330494691754705</v>
      </c>
      <c r="AE102" s="52">
        <v>20.61</v>
      </c>
      <c r="AF102" s="52">
        <v>21.03</v>
      </c>
      <c r="AG102" s="52"/>
      <c r="AH102" s="57">
        <f t="shared" si="84"/>
        <v>20.82</v>
      </c>
      <c r="AI102" s="52">
        <f t="shared" si="58"/>
        <v>2891.4081474014033</v>
      </c>
      <c r="AJ102" s="60">
        <f t="shared" si="35"/>
        <v>578.28162948028069</v>
      </c>
      <c r="AK102" s="52">
        <v>32.07</v>
      </c>
      <c r="AL102" s="52">
        <v>31.86</v>
      </c>
      <c r="AM102" s="52"/>
      <c r="AN102" s="57">
        <f t="shared" si="85"/>
        <v>31.965</v>
      </c>
      <c r="AO102" s="52">
        <f t="shared" si="71"/>
        <v>2.1947620015714973E-5</v>
      </c>
      <c r="AP102" s="52">
        <f t="shared" si="72"/>
        <v>1299.995106694362</v>
      </c>
      <c r="AQ102" s="60">
        <f t="shared" si="39"/>
        <v>259.99902133887241</v>
      </c>
      <c r="AR102" s="60">
        <f t="shared" si="62"/>
        <v>0.4496062265933321</v>
      </c>
      <c r="AS102" s="60">
        <f t="shared" si="73"/>
        <v>86637321439.628723</v>
      </c>
      <c r="AT102" s="52"/>
      <c r="AU102" s="52"/>
    </row>
    <row r="103" spans="2:47" s="61" customFormat="1" x14ac:dyDescent="0.35">
      <c r="B103" s="52" t="s">
        <v>54</v>
      </c>
      <c r="C103" s="81" t="s">
        <v>112</v>
      </c>
      <c r="D103" s="52" t="s">
        <v>57</v>
      </c>
      <c r="E103" s="52" t="s">
        <v>58</v>
      </c>
      <c r="F103" s="52" t="s">
        <v>59</v>
      </c>
      <c r="G103" s="52">
        <v>-20</v>
      </c>
      <c r="H103" s="52" t="s">
        <v>135</v>
      </c>
      <c r="I103" s="52" t="s">
        <v>61</v>
      </c>
      <c r="J103" s="52" t="s">
        <v>62</v>
      </c>
      <c r="K103" s="52" t="s">
        <v>123</v>
      </c>
      <c r="L103" s="82">
        <v>44287</v>
      </c>
      <c r="M103" s="52" t="s">
        <v>91</v>
      </c>
      <c r="N103" s="52" t="s">
        <v>136</v>
      </c>
      <c r="O103" s="52" t="s">
        <v>65</v>
      </c>
      <c r="P103" s="52">
        <v>6.56</v>
      </c>
      <c r="Q103" s="58">
        <v>3.8</v>
      </c>
      <c r="R103" s="52">
        <v>310</v>
      </c>
      <c r="S103" s="52">
        <v>202800</v>
      </c>
      <c r="T103" s="55">
        <f t="shared" si="74"/>
        <v>202800000000</v>
      </c>
      <c r="U103" s="82">
        <v>44317</v>
      </c>
      <c r="V103" s="63" t="s">
        <v>66</v>
      </c>
      <c r="W103" s="82">
        <v>44348</v>
      </c>
      <c r="X103" s="52">
        <v>18.48</v>
      </c>
      <c r="Y103" s="52">
        <v>18.420000000000002</v>
      </c>
      <c r="Z103" s="52"/>
      <c r="AA103" s="57">
        <f t="shared" si="81"/>
        <v>18.450000000000003</v>
      </c>
      <c r="AB103" s="58">
        <f t="shared" si="82"/>
        <v>6.2129752836379071</v>
      </c>
      <c r="AC103" s="59">
        <f t="shared" si="83"/>
        <v>727663715.48587537</v>
      </c>
      <c r="AD103" s="57">
        <f t="shared" si="86"/>
        <v>5.8345942388855283</v>
      </c>
      <c r="AE103" s="58">
        <v>20.399999999999999</v>
      </c>
      <c r="AF103" s="52">
        <v>20.32</v>
      </c>
      <c r="AG103" s="52"/>
      <c r="AH103" s="57">
        <f t="shared" si="84"/>
        <v>20.36</v>
      </c>
      <c r="AI103" s="52">
        <f t="shared" si="58"/>
        <v>4038.2166911464715</v>
      </c>
      <c r="AJ103" s="60">
        <f t="shared" si="35"/>
        <v>807.64333822929427</v>
      </c>
      <c r="AK103" s="52">
        <v>31.39</v>
      </c>
      <c r="AL103" s="52">
        <v>31.2</v>
      </c>
      <c r="AM103" s="52"/>
      <c r="AN103" s="57">
        <f t="shared" si="85"/>
        <v>31.295000000000002</v>
      </c>
      <c r="AO103" s="52">
        <f t="shared" si="71"/>
        <v>3.4184776016113568E-5</v>
      </c>
      <c r="AP103" s="52">
        <f t="shared" si="72"/>
        <v>2024.8228059612109</v>
      </c>
      <c r="AQ103" s="60">
        <f t="shared" si="39"/>
        <v>404.96456119224217</v>
      </c>
      <c r="AR103" s="60">
        <f t="shared" si="62"/>
        <v>0.50141509503452442</v>
      </c>
      <c r="AS103" s="60">
        <f t="shared" si="73"/>
        <v>101686981273.00156</v>
      </c>
      <c r="AT103" s="52"/>
      <c r="AU103" s="52"/>
    </row>
    <row r="104" spans="2:47" s="61" customFormat="1" x14ac:dyDescent="0.35">
      <c r="B104" s="52" t="s">
        <v>54</v>
      </c>
      <c r="C104" s="81" t="s">
        <v>139</v>
      </c>
      <c r="D104" s="52" t="s">
        <v>57</v>
      </c>
      <c r="E104" s="52" t="s">
        <v>58</v>
      </c>
      <c r="F104" s="52" t="s">
        <v>59</v>
      </c>
      <c r="G104" s="52">
        <v>-20</v>
      </c>
      <c r="H104" s="52" t="s">
        <v>135</v>
      </c>
      <c r="I104" s="52" t="s">
        <v>61</v>
      </c>
      <c r="J104" s="52" t="s">
        <v>62</v>
      </c>
      <c r="K104" s="52" t="s">
        <v>123</v>
      </c>
      <c r="L104" s="82">
        <v>44287</v>
      </c>
      <c r="M104" s="52" t="s">
        <v>91</v>
      </c>
      <c r="N104" s="52" t="s">
        <v>136</v>
      </c>
      <c r="O104" s="52" t="s">
        <v>65</v>
      </c>
      <c r="P104" s="52">
        <v>6.62</v>
      </c>
      <c r="Q104" s="58">
        <v>3.6</v>
      </c>
      <c r="R104" s="52">
        <v>280</v>
      </c>
      <c r="S104" s="52">
        <v>187296</v>
      </c>
      <c r="T104" s="55">
        <f t="shared" si="74"/>
        <v>187296000000</v>
      </c>
      <c r="U104" s="82">
        <v>44317</v>
      </c>
      <c r="V104" s="63" t="s">
        <v>66</v>
      </c>
      <c r="W104" s="82">
        <v>44348</v>
      </c>
      <c r="X104" s="52">
        <v>17.86</v>
      </c>
      <c r="Y104" s="52">
        <v>17.940000000000001</v>
      </c>
      <c r="Z104" s="52"/>
      <c r="AA104" s="57">
        <f t="shared" si="81"/>
        <v>17.899999999999999</v>
      </c>
      <c r="AB104" s="58">
        <f t="shared" si="82"/>
        <v>8.9780177414983005</v>
      </c>
      <c r="AC104" s="59">
        <f t="shared" si="83"/>
        <v>1051505510.5211172</v>
      </c>
      <c r="AD104" s="57">
        <f t="shared" si="86"/>
        <v>8.4312407823528268</v>
      </c>
      <c r="AE104" s="52">
        <v>24.72</v>
      </c>
      <c r="AF104" s="52">
        <v>24.27</v>
      </c>
      <c r="AG104" s="52"/>
      <c r="AH104" s="57">
        <f t="shared" si="84"/>
        <v>24.494999999999997</v>
      </c>
      <c r="AI104" s="52">
        <f t="shared" si="58"/>
        <v>200.46779186615584</v>
      </c>
      <c r="AJ104" s="60">
        <f t="shared" si="35"/>
        <v>40.093558373231168</v>
      </c>
      <c r="AK104" s="58">
        <v>33.299999999999997</v>
      </c>
      <c r="AL104" s="52">
        <v>33.31</v>
      </c>
      <c r="AM104" s="52"/>
      <c r="AN104" s="57">
        <f t="shared" si="85"/>
        <v>33.305</v>
      </c>
      <c r="AO104" s="52">
        <f t="shared" si="71"/>
        <v>9.0468381399916392E-6</v>
      </c>
      <c r="AP104" s="52">
        <f t="shared" si="72"/>
        <v>535.85971073966266</v>
      </c>
      <c r="AQ104" s="60">
        <f t="shared" si="39"/>
        <v>107.17194214793253</v>
      </c>
      <c r="AR104" s="60">
        <f t="shared" si="62"/>
        <v>2.6730464068633744</v>
      </c>
      <c r="AS104" s="60">
        <f t="shared" si="73"/>
        <v>500650899819.88257</v>
      </c>
      <c r="AT104" s="52"/>
      <c r="AU104" s="52"/>
    </row>
    <row r="105" spans="2:47" s="122" customFormat="1" x14ac:dyDescent="0.35">
      <c r="B105" s="123" t="s">
        <v>54</v>
      </c>
      <c r="C105" s="139" t="s">
        <v>111</v>
      </c>
      <c r="D105" s="123" t="s">
        <v>57</v>
      </c>
      <c r="E105" s="123" t="s">
        <v>58</v>
      </c>
      <c r="F105" s="123" t="s">
        <v>59</v>
      </c>
      <c r="G105" s="123">
        <v>-20</v>
      </c>
      <c r="H105" s="123" t="s">
        <v>135</v>
      </c>
      <c r="I105" s="123" t="s">
        <v>61</v>
      </c>
      <c r="J105" s="123" t="s">
        <v>62</v>
      </c>
      <c r="K105" s="123" t="s">
        <v>123</v>
      </c>
      <c r="L105" s="140">
        <v>44287</v>
      </c>
      <c r="M105" s="123" t="s">
        <v>91</v>
      </c>
      <c r="N105" s="123" t="s">
        <v>136</v>
      </c>
      <c r="O105" s="123" t="s">
        <v>65</v>
      </c>
      <c r="P105" s="123">
        <v>6.25</v>
      </c>
      <c r="Q105" s="123">
        <v>3.97</v>
      </c>
      <c r="R105" s="123">
        <v>380</v>
      </c>
      <c r="S105" s="123">
        <v>166512</v>
      </c>
      <c r="T105" s="127">
        <f t="shared" si="74"/>
        <v>166512000000</v>
      </c>
      <c r="U105" s="140">
        <v>44317</v>
      </c>
      <c r="V105" s="135" t="s">
        <v>66</v>
      </c>
      <c r="W105" s="140">
        <v>44348</v>
      </c>
      <c r="X105" s="123">
        <v>17.829999999999998</v>
      </c>
      <c r="Y105" s="123">
        <v>17.86</v>
      </c>
      <c r="Z105" s="123"/>
      <c r="AA105" s="129">
        <f t="shared" si="81"/>
        <v>17.844999999999999</v>
      </c>
      <c r="AB105" s="130">
        <f t="shared" si="82"/>
        <v>9.3146929339289493</v>
      </c>
      <c r="AC105" s="131">
        <f t="shared" si="83"/>
        <v>1090936911.7824724</v>
      </c>
      <c r="AD105" s="129">
        <f t="shared" si="86"/>
        <v>8.747411867614467</v>
      </c>
      <c r="AE105" s="123">
        <v>21.56</v>
      </c>
      <c r="AF105" s="123">
        <v>21.28</v>
      </c>
      <c r="AG105" s="123"/>
      <c r="AH105" s="129">
        <f t="shared" si="84"/>
        <v>21.42</v>
      </c>
      <c r="AI105" s="123">
        <f t="shared" si="58"/>
        <v>1870.1409160403844</v>
      </c>
      <c r="AJ105" s="132">
        <f t="shared" si="35"/>
        <v>374.02818320807688</v>
      </c>
      <c r="AK105" s="123">
        <v>34.65</v>
      </c>
      <c r="AL105" s="123">
        <v>34.22</v>
      </c>
      <c r="AM105" s="123"/>
      <c r="AN105" s="129">
        <f t="shared" si="85"/>
        <v>34.435000000000002</v>
      </c>
      <c r="AO105" s="123">
        <f t="shared" si="71"/>
        <v>4.2847440665851153E-6</v>
      </c>
      <c r="AP105" s="123">
        <f t="shared" si="72"/>
        <v>253.79272631884487</v>
      </c>
      <c r="AQ105" s="132">
        <f t="shared" si="39"/>
        <v>50.758545263768973</v>
      </c>
      <c r="AR105" s="132">
        <f t="shared" si="62"/>
        <v>0.13570780904371399</v>
      </c>
      <c r="AS105" s="132">
        <f t="shared" si="73"/>
        <v>22596978699.486904</v>
      </c>
      <c r="AT105" s="123"/>
      <c r="AU105" s="123"/>
    </row>
    <row r="106" spans="2:47" s="122" customFormat="1" x14ac:dyDescent="0.35">
      <c r="B106" s="123" t="s">
        <v>54</v>
      </c>
      <c r="C106" s="139" t="s">
        <v>137</v>
      </c>
      <c r="D106" s="123" t="s">
        <v>57</v>
      </c>
      <c r="E106" s="123" t="s">
        <v>58</v>
      </c>
      <c r="F106" s="123" t="s">
        <v>59</v>
      </c>
      <c r="G106" s="123">
        <v>-20</v>
      </c>
      <c r="H106" s="123" t="s">
        <v>135</v>
      </c>
      <c r="I106" s="123" t="s">
        <v>61</v>
      </c>
      <c r="J106" s="123" t="s">
        <v>62</v>
      </c>
      <c r="K106" s="123" t="s">
        <v>123</v>
      </c>
      <c r="L106" s="140">
        <v>44287</v>
      </c>
      <c r="M106" s="123" t="s">
        <v>91</v>
      </c>
      <c r="N106" s="123" t="s">
        <v>136</v>
      </c>
      <c r="O106" s="123" t="s">
        <v>65</v>
      </c>
      <c r="P106" s="123">
        <v>6.59</v>
      </c>
      <c r="Q106" s="123">
        <v>3.66</v>
      </c>
      <c r="R106" s="123">
        <v>210</v>
      </c>
      <c r="S106" s="123">
        <v>161544</v>
      </c>
      <c r="T106" s="127">
        <f t="shared" si="74"/>
        <v>161544000000</v>
      </c>
      <c r="U106" s="140">
        <v>44317</v>
      </c>
      <c r="V106" s="135" t="s">
        <v>66</v>
      </c>
      <c r="W106" s="140">
        <v>44348</v>
      </c>
      <c r="X106" s="123">
        <v>18.239999999999998</v>
      </c>
      <c r="Y106" s="123">
        <v>18.010000000000002</v>
      </c>
      <c r="Z106" s="123"/>
      <c r="AA106" s="129">
        <f t="shared" si="81"/>
        <v>18.125</v>
      </c>
      <c r="AB106" s="130">
        <f t="shared" si="82"/>
        <v>7.7227977931931004</v>
      </c>
      <c r="AC106" s="131">
        <f t="shared" si="83"/>
        <v>904494140.02022958</v>
      </c>
      <c r="AD106" s="129">
        <f t="shared" si="86"/>
        <v>7.2524659209425577</v>
      </c>
      <c r="AE106" s="123">
        <v>21.46</v>
      </c>
      <c r="AF106" s="123">
        <v>21.25</v>
      </c>
      <c r="AG106" s="123"/>
      <c r="AH106" s="129">
        <f t="shared" si="84"/>
        <v>21.355</v>
      </c>
      <c r="AI106" s="123">
        <f t="shared" si="58"/>
        <v>1960.5358936729931</v>
      </c>
      <c r="AJ106" s="132">
        <f t="shared" si="35"/>
        <v>392.10717873459862</v>
      </c>
      <c r="AK106" s="123">
        <v>34.17</v>
      </c>
      <c r="AL106" s="123">
        <v>33.25</v>
      </c>
      <c r="AM106" s="123"/>
      <c r="AN106" s="129">
        <f t="shared" si="85"/>
        <v>33.71</v>
      </c>
      <c r="AO106" s="123">
        <f t="shared" si="71"/>
        <v>6.9209855292572844E-6</v>
      </c>
      <c r="AP106" s="123">
        <f t="shared" si="72"/>
        <v>409.94182125873942</v>
      </c>
      <c r="AQ106" s="132">
        <f t="shared" si="39"/>
        <v>81.988364251747882</v>
      </c>
      <c r="AR106" s="132">
        <f t="shared" si="62"/>
        <v>0.20909682020191339</v>
      </c>
      <c r="AS106" s="132">
        <f t="shared" si="73"/>
        <v>33778336722.697895</v>
      </c>
      <c r="AT106" s="123"/>
      <c r="AU106" s="123"/>
    </row>
    <row r="107" spans="2:47" s="122" customFormat="1" x14ac:dyDescent="0.35">
      <c r="B107" s="123" t="s">
        <v>54</v>
      </c>
      <c r="C107" s="139" t="s">
        <v>138</v>
      </c>
      <c r="D107" s="123" t="s">
        <v>57</v>
      </c>
      <c r="E107" s="123" t="s">
        <v>58</v>
      </c>
      <c r="F107" s="123" t="s">
        <v>59</v>
      </c>
      <c r="G107" s="123">
        <v>-20</v>
      </c>
      <c r="H107" s="123" t="s">
        <v>135</v>
      </c>
      <c r="I107" s="123" t="s">
        <v>61</v>
      </c>
      <c r="J107" s="123" t="s">
        <v>62</v>
      </c>
      <c r="K107" s="123" t="s">
        <v>123</v>
      </c>
      <c r="L107" s="140">
        <v>44287</v>
      </c>
      <c r="M107" s="123" t="s">
        <v>91</v>
      </c>
      <c r="N107" s="123" t="s">
        <v>136</v>
      </c>
      <c r="O107" s="123" t="s">
        <v>65</v>
      </c>
      <c r="P107" s="123">
        <v>6.67</v>
      </c>
      <c r="Q107" s="123">
        <v>4.37</v>
      </c>
      <c r="R107" s="123">
        <v>200</v>
      </c>
      <c r="S107" s="123">
        <v>166344</v>
      </c>
      <c r="T107" s="127">
        <f t="shared" si="74"/>
        <v>166344000000</v>
      </c>
      <c r="U107" s="140">
        <v>44317</v>
      </c>
      <c r="V107" s="135" t="s">
        <v>66</v>
      </c>
      <c r="W107" s="140">
        <v>44348</v>
      </c>
      <c r="X107" s="123">
        <v>17.61</v>
      </c>
      <c r="Y107" s="123">
        <v>17.59</v>
      </c>
      <c r="Z107" s="123"/>
      <c r="AA107" s="129">
        <f t="shared" si="81"/>
        <v>17.600000000000001</v>
      </c>
      <c r="AB107" s="130">
        <f t="shared" si="82"/>
        <v>10.974587022427603</v>
      </c>
      <c r="AC107" s="131">
        <f t="shared" si="83"/>
        <v>1285343720.8568416</v>
      </c>
      <c r="AD107" s="129">
        <f t="shared" si="86"/>
        <v>10.306215507381017</v>
      </c>
      <c r="AE107" s="123">
        <v>21.62</v>
      </c>
      <c r="AF107" s="123">
        <v>21.47</v>
      </c>
      <c r="AG107" s="123"/>
      <c r="AH107" s="129">
        <f t="shared" si="84"/>
        <v>21.545000000000002</v>
      </c>
      <c r="AI107" s="123">
        <f t="shared" si="58"/>
        <v>1707.8524988281708</v>
      </c>
      <c r="AJ107" s="132">
        <f t="shared" ref="AJ107:AJ156" si="87">(AI107/5)*(50/50)</f>
        <v>341.57049976563417</v>
      </c>
      <c r="AK107" s="123">
        <v>33.409999999999997</v>
      </c>
      <c r="AL107" s="123">
        <v>33.5</v>
      </c>
      <c r="AM107" s="123"/>
      <c r="AN107" s="129">
        <f t="shared" si="85"/>
        <v>33.454999999999998</v>
      </c>
      <c r="AO107" s="123">
        <f t="shared" si="71"/>
        <v>8.1924170027916033E-6</v>
      </c>
      <c r="AP107" s="123">
        <f t="shared" si="72"/>
        <v>485.2508840595504</v>
      </c>
      <c r="AQ107" s="132">
        <f t="shared" ref="AQ107:AQ157" si="88">(AP107/5)*(50/50)</f>
        <v>97.050176811910077</v>
      </c>
      <c r="AR107" s="132">
        <f t="shared" si="62"/>
        <v>0.2841292701755575</v>
      </c>
      <c r="AS107" s="132">
        <f t="shared" si="73"/>
        <v>47263199318.082939</v>
      </c>
      <c r="AT107" s="123"/>
      <c r="AU107" s="123"/>
    </row>
    <row r="108" spans="2:47" s="122" customFormat="1" x14ac:dyDescent="0.35">
      <c r="B108" s="123" t="s">
        <v>54</v>
      </c>
      <c r="C108" s="139" t="s">
        <v>112</v>
      </c>
      <c r="D108" s="123" t="s">
        <v>57</v>
      </c>
      <c r="E108" s="123" t="s">
        <v>58</v>
      </c>
      <c r="F108" s="123" t="s">
        <v>59</v>
      </c>
      <c r="G108" s="123">
        <v>-20</v>
      </c>
      <c r="H108" s="123" t="s">
        <v>135</v>
      </c>
      <c r="I108" s="123" t="s">
        <v>61</v>
      </c>
      <c r="J108" s="123" t="s">
        <v>62</v>
      </c>
      <c r="K108" s="123" t="s">
        <v>123</v>
      </c>
      <c r="L108" s="140">
        <v>44287</v>
      </c>
      <c r="M108" s="123" t="s">
        <v>91</v>
      </c>
      <c r="N108" s="123" t="s">
        <v>136</v>
      </c>
      <c r="O108" s="123" t="s">
        <v>65</v>
      </c>
      <c r="P108" s="123">
        <v>6.69</v>
      </c>
      <c r="Q108" s="123">
        <v>3.88</v>
      </c>
      <c r="R108" s="123">
        <v>240</v>
      </c>
      <c r="S108" s="123">
        <v>156312</v>
      </c>
      <c r="T108" s="127">
        <f t="shared" si="74"/>
        <v>156312000000</v>
      </c>
      <c r="U108" s="140">
        <v>44317</v>
      </c>
      <c r="V108" s="135" t="s">
        <v>66</v>
      </c>
      <c r="W108" s="140">
        <v>44348</v>
      </c>
      <c r="X108" s="123">
        <v>17.940000000000001</v>
      </c>
      <c r="Y108" s="123">
        <v>18.079999999999998</v>
      </c>
      <c r="Z108" s="123"/>
      <c r="AA108" s="129">
        <f t="shared" si="81"/>
        <v>18.009999999999998</v>
      </c>
      <c r="AB108" s="130">
        <f t="shared" si="82"/>
        <v>8.3407344142285265</v>
      </c>
      <c r="AC108" s="131">
        <f t="shared" si="83"/>
        <v>976866882.07532752</v>
      </c>
      <c r="AD108" s="129">
        <f t="shared" si="86"/>
        <v>7.8327691226283349</v>
      </c>
      <c r="AE108" s="130">
        <v>21.8</v>
      </c>
      <c r="AF108" s="123">
        <v>22.14</v>
      </c>
      <c r="AG108" s="123"/>
      <c r="AH108" s="129">
        <f t="shared" si="84"/>
        <v>21.97</v>
      </c>
      <c r="AI108" s="123">
        <f t="shared" si="58"/>
        <v>1254.3214603537303</v>
      </c>
      <c r="AJ108" s="132">
        <f t="shared" si="87"/>
        <v>250.86429207074607</v>
      </c>
      <c r="AK108" s="123">
        <v>33.17</v>
      </c>
      <c r="AL108" s="123">
        <v>33.82</v>
      </c>
      <c r="AM108" s="123"/>
      <c r="AN108" s="129">
        <f t="shared" si="85"/>
        <v>33.495000000000005</v>
      </c>
      <c r="AO108" s="123">
        <f t="shared" si="71"/>
        <v>7.9785280870766504E-6</v>
      </c>
      <c r="AP108" s="123">
        <f t="shared" si="72"/>
        <v>472.5818774152533</v>
      </c>
      <c r="AQ108" s="132">
        <f t="shared" si="88"/>
        <v>94.516375483050666</v>
      </c>
      <c r="AR108" s="132">
        <f t="shared" si="62"/>
        <v>0.37676296894576039</v>
      </c>
      <c r="AS108" s="132">
        <f t="shared" si="73"/>
        <v>58892573201.849701</v>
      </c>
      <c r="AT108" s="123"/>
      <c r="AU108" s="123"/>
    </row>
    <row r="109" spans="2:47" s="122" customFormat="1" x14ac:dyDescent="0.35">
      <c r="B109" s="123" t="s">
        <v>54</v>
      </c>
      <c r="C109" s="139" t="s">
        <v>139</v>
      </c>
      <c r="D109" s="123" t="s">
        <v>57</v>
      </c>
      <c r="E109" s="123" t="s">
        <v>58</v>
      </c>
      <c r="F109" s="123" t="s">
        <v>59</v>
      </c>
      <c r="G109" s="123">
        <v>-20</v>
      </c>
      <c r="H109" s="123" t="s">
        <v>135</v>
      </c>
      <c r="I109" s="123" t="s">
        <v>61</v>
      </c>
      <c r="J109" s="123" t="s">
        <v>62</v>
      </c>
      <c r="K109" s="123" t="s">
        <v>123</v>
      </c>
      <c r="L109" s="140">
        <v>44287</v>
      </c>
      <c r="M109" s="123" t="s">
        <v>91</v>
      </c>
      <c r="N109" s="123" t="s">
        <v>136</v>
      </c>
      <c r="O109" s="123" t="s">
        <v>65</v>
      </c>
      <c r="P109" s="123">
        <v>6.44</v>
      </c>
      <c r="Q109" s="123">
        <v>4.37</v>
      </c>
      <c r="R109" s="123">
        <v>330</v>
      </c>
      <c r="S109" s="123">
        <v>153600</v>
      </c>
      <c r="T109" s="127">
        <f t="shared" si="74"/>
        <v>153600000000</v>
      </c>
      <c r="U109" s="140">
        <v>44317</v>
      </c>
      <c r="V109" s="135" t="s">
        <v>66</v>
      </c>
      <c r="W109" s="140">
        <v>44348</v>
      </c>
      <c r="X109" s="123">
        <v>18.809999999999999</v>
      </c>
      <c r="Y109" s="123">
        <v>18.829999999999998</v>
      </c>
      <c r="Z109" s="123"/>
      <c r="AA109" s="129">
        <f t="shared" si="81"/>
        <v>18.82</v>
      </c>
      <c r="AB109" s="130">
        <f t="shared" si="82"/>
        <v>4.8500188767483765</v>
      </c>
      <c r="AC109" s="131">
        <f t="shared" si="83"/>
        <v>568034250.08394682</v>
      </c>
      <c r="AD109" s="129">
        <f t="shared" si="86"/>
        <v>4.5546442573634005</v>
      </c>
      <c r="AE109" s="123">
        <v>22.16</v>
      </c>
      <c r="AF109" s="123">
        <v>22.12</v>
      </c>
      <c r="AG109" s="123"/>
      <c r="AH109" s="129">
        <f t="shared" si="84"/>
        <v>22.14</v>
      </c>
      <c r="AI109" s="123">
        <f t="shared" si="58"/>
        <v>1108.64435508826</v>
      </c>
      <c r="AJ109" s="132">
        <f t="shared" si="87"/>
        <v>221.72887101765201</v>
      </c>
      <c r="AK109" s="123">
        <v>33.979999999999997</v>
      </c>
      <c r="AL109" s="123">
        <v>34.53</v>
      </c>
      <c r="AM109" s="123"/>
      <c r="AN109" s="129">
        <f t="shared" si="85"/>
        <v>34.254999999999995</v>
      </c>
      <c r="AO109" s="123">
        <f t="shared" si="71"/>
        <v>4.8264366490105612E-6</v>
      </c>
      <c r="AP109" s="123">
        <f t="shared" si="72"/>
        <v>285.87810532492801</v>
      </c>
      <c r="AQ109" s="132">
        <f t="shared" si="88"/>
        <v>57.175621064985606</v>
      </c>
      <c r="AR109" s="132">
        <f t="shared" si="62"/>
        <v>0.25786277088126158</v>
      </c>
      <c r="AS109" s="132">
        <f t="shared" si="73"/>
        <v>39607721607.361778</v>
      </c>
      <c r="AT109" s="123"/>
      <c r="AU109" s="123"/>
    </row>
    <row r="110" spans="2:47" s="141" customFormat="1" x14ac:dyDescent="0.35">
      <c r="B110" s="107" t="s">
        <v>54</v>
      </c>
      <c r="C110" s="142" t="s">
        <v>111</v>
      </c>
      <c r="D110" s="107" t="s">
        <v>57</v>
      </c>
      <c r="E110" s="107" t="s">
        <v>58</v>
      </c>
      <c r="F110" s="107" t="s">
        <v>59</v>
      </c>
      <c r="G110" s="107">
        <v>-20</v>
      </c>
      <c r="H110" s="107" t="s">
        <v>135</v>
      </c>
      <c r="I110" s="107" t="s">
        <v>61</v>
      </c>
      <c r="J110" s="107" t="s">
        <v>62</v>
      </c>
      <c r="K110" s="107" t="s">
        <v>123</v>
      </c>
      <c r="L110" s="143">
        <v>44287</v>
      </c>
      <c r="M110" s="107" t="s">
        <v>141</v>
      </c>
      <c r="N110" s="107" t="s">
        <v>136</v>
      </c>
      <c r="O110" s="107" t="s">
        <v>65</v>
      </c>
      <c r="P110" s="107">
        <v>6.49</v>
      </c>
      <c r="Q110" s="107">
        <v>3.99</v>
      </c>
      <c r="R110" s="107">
        <v>270</v>
      </c>
      <c r="S110" s="107">
        <v>193776</v>
      </c>
      <c r="T110" s="116">
        <f t="shared" si="74"/>
        <v>193776000000</v>
      </c>
      <c r="U110" s="143">
        <v>44317</v>
      </c>
      <c r="V110" s="104" t="s">
        <v>66</v>
      </c>
      <c r="W110" s="143">
        <v>44348</v>
      </c>
      <c r="X110" s="107">
        <v>18.149999999999999</v>
      </c>
      <c r="Y110" s="107">
        <v>18.079999999999998</v>
      </c>
      <c r="Z110" s="107"/>
      <c r="AA110" s="113">
        <f t="shared" si="81"/>
        <v>18.114999999999998</v>
      </c>
      <c r="AB110" s="111">
        <f t="shared" si="82"/>
        <v>7.7746632657474652</v>
      </c>
      <c r="AC110" s="144">
        <f t="shared" si="83"/>
        <v>910568624.58541536</v>
      </c>
      <c r="AD110" s="113">
        <f t="shared" si="86"/>
        <v>7.3011726956435137</v>
      </c>
      <c r="AE110" s="107">
        <v>19.66</v>
      </c>
      <c r="AF110" s="107">
        <v>19.2</v>
      </c>
      <c r="AG110" s="107"/>
      <c r="AH110" s="113">
        <f t="shared" si="84"/>
        <v>19.43</v>
      </c>
      <c r="AI110" s="107">
        <f t="shared" si="58"/>
        <v>7934.215196510685</v>
      </c>
      <c r="AJ110" s="112">
        <f t="shared" si="87"/>
        <v>1586.843039302137</v>
      </c>
      <c r="AK110" s="111">
        <v>32.1</v>
      </c>
      <c r="AL110" s="107">
        <v>32.06</v>
      </c>
      <c r="AM110" s="107"/>
      <c r="AN110" s="113">
        <f t="shared" si="85"/>
        <v>32.08</v>
      </c>
      <c r="AO110" s="107">
        <f t="shared" si="71"/>
        <v>2.0340226068840004E-5</v>
      </c>
      <c r="AP110" s="107">
        <f t="shared" si="72"/>
        <v>1204.7864114476158</v>
      </c>
      <c r="AQ110" s="112">
        <f t="shared" si="88"/>
        <v>240.95728228952316</v>
      </c>
      <c r="AR110" s="112">
        <f t="shared" si="62"/>
        <v>0.15184695418615035</v>
      </c>
      <c r="AS110" s="112">
        <f t="shared" si="73"/>
        <v>29424295394.375469</v>
      </c>
      <c r="AT110" s="107"/>
      <c r="AU110" s="107" t="s">
        <v>142</v>
      </c>
    </row>
    <row r="111" spans="2:47" s="141" customFormat="1" x14ac:dyDescent="0.35">
      <c r="B111" s="107" t="s">
        <v>54</v>
      </c>
      <c r="C111" s="142" t="s">
        <v>137</v>
      </c>
      <c r="D111" s="107" t="s">
        <v>57</v>
      </c>
      <c r="E111" s="107" t="s">
        <v>58</v>
      </c>
      <c r="F111" s="107" t="s">
        <v>59</v>
      </c>
      <c r="G111" s="107">
        <v>-20</v>
      </c>
      <c r="H111" s="107" t="s">
        <v>135</v>
      </c>
      <c r="I111" s="107" t="s">
        <v>61</v>
      </c>
      <c r="J111" s="107" t="s">
        <v>62</v>
      </c>
      <c r="K111" s="107" t="s">
        <v>123</v>
      </c>
      <c r="L111" s="143">
        <v>44287</v>
      </c>
      <c r="M111" s="107" t="s">
        <v>141</v>
      </c>
      <c r="N111" s="107" t="s">
        <v>136</v>
      </c>
      <c r="O111" s="107" t="s">
        <v>65</v>
      </c>
      <c r="P111" s="107">
        <v>6.71</v>
      </c>
      <c r="Q111" s="107">
        <v>3.82</v>
      </c>
      <c r="R111" s="107">
        <v>270</v>
      </c>
      <c r="S111" s="107">
        <v>192288</v>
      </c>
      <c r="T111" s="116">
        <f t="shared" si="74"/>
        <v>192288000000</v>
      </c>
      <c r="U111" s="143">
        <v>44317</v>
      </c>
      <c r="V111" s="104" t="s">
        <v>66</v>
      </c>
      <c r="W111" s="143">
        <v>44348</v>
      </c>
      <c r="X111" s="107">
        <v>18.36</v>
      </c>
      <c r="Y111" s="107">
        <v>18.27</v>
      </c>
      <c r="Z111" s="107"/>
      <c r="AA111" s="113">
        <f t="shared" si="81"/>
        <v>18.314999999999998</v>
      </c>
      <c r="AB111" s="111">
        <f t="shared" si="82"/>
        <v>6.8005353613142576</v>
      </c>
      <c r="AC111" s="144">
        <f t="shared" si="83"/>
        <v>796478756.53699636</v>
      </c>
      <c r="AD111" s="113">
        <f t="shared" si="86"/>
        <v>6.3863708817506275</v>
      </c>
      <c r="AE111" s="107">
        <v>18.829999999999998</v>
      </c>
      <c r="AF111" s="107">
        <v>18.57</v>
      </c>
      <c r="AG111" s="107"/>
      <c r="AH111" s="113">
        <f t="shared" si="84"/>
        <v>18.7</v>
      </c>
      <c r="AI111" s="107">
        <f t="shared" si="58"/>
        <v>13481.554612536807</v>
      </c>
      <c r="AJ111" s="112">
        <f t="shared" si="87"/>
        <v>2696.3109225073613</v>
      </c>
      <c r="AK111" s="107">
        <v>31.88</v>
      </c>
      <c r="AL111" s="107">
        <v>31.96</v>
      </c>
      <c r="AM111" s="107"/>
      <c r="AN111" s="113">
        <f t="shared" si="85"/>
        <v>31.92</v>
      </c>
      <c r="AO111" s="107">
        <f t="shared" si="71"/>
        <v>2.261064042792429E-5</v>
      </c>
      <c r="AP111" s="107">
        <f t="shared" si="72"/>
        <v>1339.2669407653652</v>
      </c>
      <c r="AQ111" s="112">
        <f t="shared" si="88"/>
        <v>267.85338815307307</v>
      </c>
      <c r="AR111" s="112">
        <f t="shared" si="62"/>
        <v>9.9340690243538407E-2</v>
      </c>
      <c r="AS111" s="112">
        <f t="shared" si="73"/>
        <v>19102022645.549515</v>
      </c>
      <c r="AT111" s="107"/>
      <c r="AU111" s="107" t="s">
        <v>142</v>
      </c>
    </row>
    <row r="112" spans="2:47" x14ac:dyDescent="0.35">
      <c r="B112" s="8"/>
      <c r="C112" s="8"/>
      <c r="D112" s="8" t="s">
        <v>105</v>
      </c>
      <c r="E112" s="8"/>
      <c r="F112" s="8" t="s">
        <v>106</v>
      </c>
      <c r="G112" s="8">
        <v>-80</v>
      </c>
      <c r="H112" s="8" t="s">
        <v>108</v>
      </c>
      <c r="I112" s="8" t="s">
        <v>61</v>
      </c>
      <c r="J112" s="8" t="s">
        <v>62</v>
      </c>
      <c r="K112" s="8" t="s">
        <v>123</v>
      </c>
      <c r="L112" s="48">
        <v>44287</v>
      </c>
      <c r="M112" s="8" t="s">
        <v>107</v>
      </c>
      <c r="N112" s="8" t="s">
        <v>108</v>
      </c>
      <c r="O112" s="8" t="s">
        <v>108</v>
      </c>
      <c r="P112" s="8" t="s">
        <v>108</v>
      </c>
      <c r="Q112" s="8" t="s">
        <v>108</v>
      </c>
      <c r="R112" s="8" t="s">
        <v>108</v>
      </c>
      <c r="S112" s="8" t="s">
        <v>108</v>
      </c>
      <c r="T112" s="24" t="e">
        <f t="shared" si="74"/>
        <v>#VALUE!</v>
      </c>
      <c r="U112" s="48">
        <v>44317</v>
      </c>
      <c r="V112" s="10" t="s">
        <v>66</v>
      </c>
      <c r="W112" s="48">
        <v>44348</v>
      </c>
      <c r="X112" s="8">
        <v>14.11</v>
      </c>
      <c r="Y112" s="18">
        <v>14.3</v>
      </c>
      <c r="Z112" s="8"/>
      <c r="AA112" s="21">
        <f t="shared" si="81"/>
        <v>14.205</v>
      </c>
      <c r="AB112" s="18">
        <f t="shared" si="82"/>
        <v>106.48513040085292</v>
      </c>
      <c r="AC112" s="51">
        <f t="shared" si="83"/>
        <v>12471539334.068022</v>
      </c>
      <c r="AD112" s="21">
        <f t="shared" si="86"/>
        <v>100</v>
      </c>
      <c r="AE112" s="8" t="s">
        <v>108</v>
      </c>
      <c r="AF112" s="8" t="s">
        <v>108</v>
      </c>
      <c r="AG112" s="8"/>
      <c r="AH112" s="8"/>
      <c r="AI112" s="8"/>
      <c r="AJ112" s="60">
        <f t="shared" si="87"/>
        <v>0</v>
      </c>
      <c r="AK112" s="8">
        <v>35.770000000000003</v>
      </c>
      <c r="AL112" s="8">
        <v>34.380000000000003</v>
      </c>
      <c r="AM112" s="8"/>
      <c r="AN112" s="21">
        <f t="shared" si="85"/>
        <v>35.075000000000003</v>
      </c>
      <c r="AO112" s="8">
        <f t="shared" si="71"/>
        <v>2.8060572922409756E-6</v>
      </c>
      <c r="AP112" s="8">
        <f t="shared" si="72"/>
        <v>166.20757724096518</v>
      </c>
      <c r="AQ112" s="60">
        <f t="shared" si="88"/>
        <v>33.241515448193034</v>
      </c>
      <c r="AR112" s="19" t="e">
        <f t="shared" si="62"/>
        <v>#DIV/0!</v>
      </c>
      <c r="AS112" s="19" t="e">
        <f t="shared" si="73"/>
        <v>#DIV/0!</v>
      </c>
      <c r="AT112" s="8"/>
      <c r="AU112" s="8"/>
    </row>
    <row r="113" spans="2:49" x14ac:dyDescent="0.3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24"/>
      <c r="U113" s="48"/>
      <c r="V113" s="10"/>
      <c r="W113" s="48"/>
      <c r="X113" s="8"/>
      <c r="Y113" s="8"/>
      <c r="Z113" s="8"/>
      <c r="AA113" s="21"/>
      <c r="AB113" s="18"/>
      <c r="AC113" s="8"/>
      <c r="AD113" s="8"/>
      <c r="AE113" s="8"/>
      <c r="AF113" s="8"/>
      <c r="AG113" s="8"/>
      <c r="AH113" s="8"/>
      <c r="AI113" s="8"/>
      <c r="AJ113" s="60">
        <f t="shared" si="87"/>
        <v>0</v>
      </c>
      <c r="AK113" s="8"/>
      <c r="AL113" s="8"/>
      <c r="AM113" s="8"/>
      <c r="AN113" s="8"/>
      <c r="AO113" s="8"/>
      <c r="AP113" s="8"/>
      <c r="AQ113" s="60">
        <f t="shared" si="88"/>
        <v>0</v>
      </c>
      <c r="AR113" s="8"/>
      <c r="AS113" s="8"/>
      <c r="AT113" s="8"/>
      <c r="AU113" s="8"/>
    </row>
    <row r="114" spans="2:49" s="141" customFormat="1" x14ac:dyDescent="0.35">
      <c r="B114" s="107" t="s">
        <v>143</v>
      </c>
      <c r="C114" s="107" t="s">
        <v>135</v>
      </c>
      <c r="D114" s="107" t="s">
        <v>145</v>
      </c>
      <c r="E114" s="107" t="s">
        <v>60</v>
      </c>
      <c r="F114" s="107" t="s">
        <v>146</v>
      </c>
      <c r="G114" s="107">
        <v>4</v>
      </c>
      <c r="H114" s="107" t="s">
        <v>147</v>
      </c>
      <c r="I114" s="107" t="s">
        <v>61</v>
      </c>
      <c r="J114" s="107" t="s">
        <v>62</v>
      </c>
      <c r="K114" s="107" t="s">
        <v>123</v>
      </c>
      <c r="L114" s="107" t="s">
        <v>148</v>
      </c>
      <c r="M114" s="107" t="s">
        <v>91</v>
      </c>
      <c r="N114" s="107" t="s">
        <v>136</v>
      </c>
      <c r="O114" s="107" t="s">
        <v>149</v>
      </c>
      <c r="P114" s="107">
        <v>7.52</v>
      </c>
      <c r="Q114" s="111">
        <v>4.2</v>
      </c>
      <c r="R114" s="107" t="s">
        <v>60</v>
      </c>
      <c r="S114" s="107" t="s">
        <v>60</v>
      </c>
      <c r="T114" s="116" t="s">
        <v>60</v>
      </c>
      <c r="U114" s="107" t="s">
        <v>150</v>
      </c>
      <c r="V114" s="107" t="s">
        <v>66</v>
      </c>
      <c r="W114" s="107"/>
      <c r="X114" s="107"/>
      <c r="Y114" s="107"/>
      <c r="Z114" s="107"/>
      <c r="AA114" s="107"/>
      <c r="AB114" s="111"/>
      <c r="AC114" s="107"/>
      <c r="AD114" s="107"/>
      <c r="AE114" s="107"/>
      <c r="AF114" s="107"/>
      <c r="AG114" s="107"/>
      <c r="AH114" s="107"/>
      <c r="AI114" s="107"/>
      <c r="AJ114" s="112">
        <f t="shared" si="87"/>
        <v>0</v>
      </c>
      <c r="AK114" s="107"/>
      <c r="AL114" s="107"/>
      <c r="AM114" s="107"/>
      <c r="AN114" s="107"/>
      <c r="AO114" s="107"/>
      <c r="AP114" s="107"/>
      <c r="AQ114" s="112">
        <f t="shared" si="88"/>
        <v>0</v>
      </c>
      <c r="AR114" s="107"/>
      <c r="AS114" s="107"/>
      <c r="AT114" s="107"/>
      <c r="AU114" s="107" t="s">
        <v>151</v>
      </c>
    </row>
    <row r="115" spans="2:49" s="141" customFormat="1" x14ac:dyDescent="0.35">
      <c r="B115" s="107" t="s">
        <v>143</v>
      </c>
      <c r="C115" s="107" t="s">
        <v>135</v>
      </c>
      <c r="D115" s="107" t="s">
        <v>145</v>
      </c>
      <c r="E115" s="107" t="s">
        <v>60</v>
      </c>
      <c r="F115" s="107" t="s">
        <v>146</v>
      </c>
      <c r="G115" s="107">
        <v>4</v>
      </c>
      <c r="H115" s="107" t="s">
        <v>147</v>
      </c>
      <c r="I115" s="107" t="s">
        <v>61</v>
      </c>
      <c r="J115" s="107" t="s">
        <v>62</v>
      </c>
      <c r="K115" s="107" t="s">
        <v>123</v>
      </c>
      <c r="L115" s="107" t="s">
        <v>148</v>
      </c>
      <c r="M115" s="107" t="s">
        <v>91</v>
      </c>
      <c r="N115" s="107" t="s">
        <v>136</v>
      </c>
      <c r="O115" s="107" t="s">
        <v>149</v>
      </c>
      <c r="P115" s="107">
        <v>7.35</v>
      </c>
      <c r="Q115" s="107">
        <v>4.05</v>
      </c>
      <c r="R115" s="107" t="s">
        <v>60</v>
      </c>
      <c r="S115" s="107" t="s">
        <v>60</v>
      </c>
      <c r="T115" s="116" t="s">
        <v>60</v>
      </c>
      <c r="U115" s="107" t="s">
        <v>150</v>
      </c>
      <c r="V115" s="107" t="s">
        <v>66</v>
      </c>
      <c r="W115" s="107"/>
      <c r="X115" s="107"/>
      <c r="Y115" s="107"/>
      <c r="Z115" s="107"/>
      <c r="AA115" s="107"/>
      <c r="AB115" s="111"/>
      <c r="AC115" s="107"/>
      <c r="AD115" s="107"/>
      <c r="AE115" s="107"/>
      <c r="AF115" s="107"/>
      <c r="AG115" s="107"/>
      <c r="AH115" s="107"/>
      <c r="AI115" s="107"/>
      <c r="AJ115" s="112">
        <f t="shared" si="87"/>
        <v>0</v>
      </c>
      <c r="AK115" s="107"/>
      <c r="AL115" s="107"/>
      <c r="AM115" s="107"/>
      <c r="AN115" s="107"/>
      <c r="AO115" s="107"/>
      <c r="AP115" s="107"/>
      <c r="AQ115" s="112">
        <f t="shared" si="88"/>
        <v>0</v>
      </c>
      <c r="AR115" s="107"/>
      <c r="AS115" s="107"/>
      <c r="AT115" s="107"/>
      <c r="AU115" s="107" t="s">
        <v>151</v>
      </c>
    </row>
    <row r="116" spans="2:49" s="141" customFormat="1" x14ac:dyDescent="0.35">
      <c r="B116" s="107" t="s">
        <v>143</v>
      </c>
      <c r="C116" s="107" t="s">
        <v>153</v>
      </c>
      <c r="D116" s="107" t="s">
        <v>145</v>
      </c>
      <c r="E116" s="107" t="s">
        <v>60</v>
      </c>
      <c r="F116" s="107" t="s">
        <v>146</v>
      </c>
      <c r="G116" s="107">
        <v>4</v>
      </c>
      <c r="H116" s="107" t="s">
        <v>147</v>
      </c>
      <c r="I116" s="107" t="s">
        <v>61</v>
      </c>
      <c r="J116" s="107" t="s">
        <v>62</v>
      </c>
      <c r="K116" s="107" t="s">
        <v>123</v>
      </c>
      <c r="L116" s="107" t="s">
        <v>148</v>
      </c>
      <c r="M116" s="107" t="s">
        <v>91</v>
      </c>
      <c r="N116" s="107" t="s">
        <v>136</v>
      </c>
      <c r="O116" s="107" t="s">
        <v>149</v>
      </c>
      <c r="P116" s="107">
        <v>7.57</v>
      </c>
      <c r="Q116" s="107">
        <v>4.41</v>
      </c>
      <c r="R116" s="107" t="s">
        <v>60</v>
      </c>
      <c r="S116" s="107" t="s">
        <v>60</v>
      </c>
      <c r="T116" s="116" t="s">
        <v>60</v>
      </c>
      <c r="U116" s="107" t="s">
        <v>150</v>
      </c>
      <c r="V116" s="107" t="s">
        <v>66</v>
      </c>
      <c r="W116" s="107"/>
      <c r="X116" s="107"/>
      <c r="Y116" s="107"/>
      <c r="Z116" s="107"/>
      <c r="AA116" s="107"/>
      <c r="AB116" s="111"/>
      <c r="AC116" s="107"/>
      <c r="AD116" s="107"/>
      <c r="AE116" s="107"/>
      <c r="AF116" s="107"/>
      <c r="AG116" s="107"/>
      <c r="AH116" s="107"/>
      <c r="AI116" s="107"/>
      <c r="AJ116" s="112">
        <f t="shared" si="87"/>
        <v>0</v>
      </c>
      <c r="AK116" s="107"/>
      <c r="AL116" s="107"/>
      <c r="AM116" s="107"/>
      <c r="AN116" s="107"/>
      <c r="AO116" s="107"/>
      <c r="AP116" s="107"/>
      <c r="AQ116" s="112">
        <f t="shared" si="88"/>
        <v>0</v>
      </c>
      <c r="AR116" s="107"/>
      <c r="AS116" s="107"/>
      <c r="AT116" s="107"/>
      <c r="AU116" s="107" t="s">
        <v>151</v>
      </c>
    </row>
    <row r="117" spans="2:49" s="141" customFormat="1" x14ac:dyDescent="0.35">
      <c r="B117" s="107" t="s">
        <v>143</v>
      </c>
      <c r="C117" s="107" t="s">
        <v>153</v>
      </c>
      <c r="D117" s="107" t="s">
        <v>145</v>
      </c>
      <c r="E117" s="107" t="s">
        <v>60</v>
      </c>
      <c r="F117" s="107" t="s">
        <v>146</v>
      </c>
      <c r="G117" s="107">
        <v>4</v>
      </c>
      <c r="H117" s="107" t="s">
        <v>147</v>
      </c>
      <c r="I117" s="107" t="s">
        <v>61</v>
      </c>
      <c r="J117" s="107" t="s">
        <v>62</v>
      </c>
      <c r="K117" s="107" t="s">
        <v>123</v>
      </c>
      <c r="L117" s="107" t="s">
        <v>148</v>
      </c>
      <c r="M117" s="107" t="s">
        <v>91</v>
      </c>
      <c r="N117" s="107" t="s">
        <v>136</v>
      </c>
      <c r="O117" s="107" t="s">
        <v>149</v>
      </c>
      <c r="P117" s="107">
        <v>7.57</v>
      </c>
      <c r="Q117" s="107">
        <v>4.21</v>
      </c>
      <c r="R117" s="107" t="s">
        <v>60</v>
      </c>
      <c r="S117" s="107" t="s">
        <v>60</v>
      </c>
      <c r="T117" s="116" t="s">
        <v>60</v>
      </c>
      <c r="U117" s="107" t="s">
        <v>150</v>
      </c>
      <c r="V117" s="107" t="s">
        <v>66</v>
      </c>
      <c r="W117" s="107"/>
      <c r="X117" s="107"/>
      <c r="Y117" s="107"/>
      <c r="Z117" s="107"/>
      <c r="AA117" s="107"/>
      <c r="AB117" s="111"/>
      <c r="AC117" s="107"/>
      <c r="AD117" s="107"/>
      <c r="AE117" s="107"/>
      <c r="AF117" s="107"/>
      <c r="AG117" s="107"/>
      <c r="AH117" s="107"/>
      <c r="AI117" s="107"/>
      <c r="AJ117" s="112">
        <f t="shared" si="87"/>
        <v>0</v>
      </c>
      <c r="AK117" s="107"/>
      <c r="AL117" s="107"/>
      <c r="AM117" s="107"/>
      <c r="AN117" s="107"/>
      <c r="AO117" s="107"/>
      <c r="AP117" s="107"/>
      <c r="AQ117" s="112">
        <f t="shared" si="88"/>
        <v>0</v>
      </c>
      <c r="AR117" s="107"/>
      <c r="AS117" s="107"/>
      <c r="AT117" s="107"/>
      <c r="AU117" s="107" t="s">
        <v>151</v>
      </c>
    </row>
    <row r="118" spans="2:49" x14ac:dyDescent="0.35">
      <c r="B118" s="8"/>
      <c r="C118" s="8"/>
      <c r="D118" s="8" t="s">
        <v>154</v>
      </c>
      <c r="E118" s="8"/>
      <c r="F118" s="8" t="s">
        <v>106</v>
      </c>
      <c r="G118" s="8">
        <v>-80</v>
      </c>
      <c r="H118" s="8" t="s">
        <v>108</v>
      </c>
      <c r="I118" s="8" t="s">
        <v>155</v>
      </c>
      <c r="J118" s="8" t="s">
        <v>156</v>
      </c>
      <c r="K118" s="8" t="s">
        <v>157</v>
      </c>
      <c r="L118" s="8" t="s">
        <v>148</v>
      </c>
      <c r="M118" s="8" t="s">
        <v>107</v>
      </c>
      <c r="N118" s="8" t="s">
        <v>108</v>
      </c>
      <c r="O118" s="8" t="s">
        <v>108</v>
      </c>
      <c r="P118" s="8" t="s">
        <v>108</v>
      </c>
      <c r="Q118" s="8" t="s">
        <v>108</v>
      </c>
      <c r="R118" s="8"/>
      <c r="S118" s="8"/>
      <c r="T118" s="24"/>
      <c r="U118" s="8" t="s">
        <v>150</v>
      </c>
      <c r="V118" s="8" t="s">
        <v>66</v>
      </c>
      <c r="W118" s="8"/>
      <c r="X118" s="8"/>
      <c r="Y118" s="8"/>
      <c r="Z118" s="8"/>
      <c r="AA118" s="8"/>
      <c r="AB118" s="18"/>
      <c r="AC118" s="8"/>
      <c r="AD118" s="8"/>
      <c r="AE118" s="8"/>
      <c r="AF118" s="8"/>
      <c r="AG118" s="8"/>
      <c r="AH118" s="8"/>
      <c r="AI118" s="8"/>
      <c r="AJ118" s="60">
        <f t="shared" si="87"/>
        <v>0</v>
      </c>
      <c r="AK118" s="8"/>
      <c r="AL118" s="8"/>
      <c r="AM118" s="8"/>
      <c r="AN118" s="8"/>
      <c r="AO118" s="8"/>
      <c r="AP118" s="8"/>
      <c r="AQ118" s="60">
        <f t="shared" si="88"/>
        <v>0</v>
      </c>
      <c r="AR118" s="8"/>
      <c r="AS118" s="8"/>
      <c r="AT118" s="8"/>
      <c r="AU118" s="8"/>
    </row>
    <row r="119" spans="2:49" x14ac:dyDescent="0.3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24"/>
      <c r="U119" s="8"/>
      <c r="V119" s="8"/>
      <c r="W119" s="8"/>
      <c r="X119" s="8"/>
      <c r="Y119" s="8"/>
      <c r="Z119" s="8"/>
      <c r="AA119" s="8"/>
      <c r="AB119" s="18"/>
      <c r="AC119" s="8"/>
      <c r="AD119" s="8"/>
      <c r="AE119" s="8"/>
      <c r="AF119" s="8"/>
      <c r="AG119" s="8"/>
      <c r="AH119" s="8"/>
      <c r="AI119" s="8"/>
      <c r="AJ119" s="60">
        <f t="shared" si="87"/>
        <v>0</v>
      </c>
      <c r="AK119" s="8"/>
      <c r="AL119" s="8"/>
      <c r="AM119" s="8"/>
      <c r="AN119" s="8"/>
      <c r="AO119" s="8"/>
      <c r="AP119" s="8"/>
      <c r="AQ119" s="60">
        <f t="shared" si="88"/>
        <v>0</v>
      </c>
      <c r="AR119" s="8"/>
      <c r="AS119" s="8"/>
      <c r="AT119" s="8"/>
      <c r="AU119" s="8"/>
    </row>
    <row r="120" spans="2:49" s="61" customFormat="1" x14ac:dyDescent="0.35">
      <c r="B120" s="52" t="s">
        <v>54</v>
      </c>
      <c r="C120" s="52" t="s">
        <v>158</v>
      </c>
      <c r="D120" s="52" t="s">
        <v>159</v>
      </c>
      <c r="E120" s="52" t="s">
        <v>58</v>
      </c>
      <c r="F120" s="52" t="s">
        <v>59</v>
      </c>
      <c r="G120" s="52">
        <v>-20</v>
      </c>
      <c r="H120" s="52" t="s">
        <v>150</v>
      </c>
      <c r="I120" s="52" t="s">
        <v>61</v>
      </c>
      <c r="J120" s="52" t="s">
        <v>62</v>
      </c>
      <c r="K120" s="52" t="s">
        <v>123</v>
      </c>
      <c r="L120" s="52" t="s">
        <v>150</v>
      </c>
      <c r="M120" s="52" t="s">
        <v>91</v>
      </c>
      <c r="N120" s="52" t="s">
        <v>126</v>
      </c>
      <c r="O120" s="52" t="s">
        <v>65</v>
      </c>
      <c r="P120" s="52">
        <v>7.58</v>
      </c>
      <c r="Q120" s="52">
        <v>4.32</v>
      </c>
      <c r="R120" s="52">
        <v>220</v>
      </c>
      <c r="S120" s="52">
        <v>231480</v>
      </c>
      <c r="T120" s="55">
        <f t="shared" ref="T120:T129" si="89">S120*1000000</f>
        <v>231480000000</v>
      </c>
      <c r="U120" s="52" t="s">
        <v>160</v>
      </c>
      <c r="V120" s="52" t="s">
        <v>66</v>
      </c>
      <c r="W120" s="52" t="s">
        <v>161</v>
      </c>
      <c r="X120" s="52">
        <v>19.309999999999999</v>
      </c>
      <c r="Y120" s="52">
        <v>19.170000000000002</v>
      </c>
      <c r="Z120" s="52"/>
      <c r="AA120" s="57">
        <f t="shared" ref="AA120:AA130" si="90">AVERAGE(X120:Z120)</f>
        <v>19.240000000000002</v>
      </c>
      <c r="AB120" s="58">
        <f t="shared" ref="AB120:AB156" si="91">EXP((AA120-21.179)/-1.494)</f>
        <v>3.6614458085311248</v>
      </c>
      <c r="AC120" s="59">
        <f t="shared" ref="AC120:AC156" si="92">(AB120*(6.0221*10^23))/(15123*340*10^9)</f>
        <v>428828562.7181676</v>
      </c>
      <c r="AD120" s="57">
        <f>AC120*100/AC$130</f>
        <v>44.938911927666283</v>
      </c>
      <c r="AE120" s="52">
        <v>25.1</v>
      </c>
      <c r="AF120" s="52">
        <v>24.93</v>
      </c>
      <c r="AG120" s="52"/>
      <c r="AH120" s="57">
        <f>AVERAGE(AE120:AG120)</f>
        <v>25.015000000000001</v>
      </c>
      <c r="AI120" s="52">
        <f t="shared" ref="AI120:AI156" si="93">EXP((AH120-31.794)/-1.377)</f>
        <v>137.41713216701308</v>
      </c>
      <c r="AJ120" s="60">
        <f t="shared" si="87"/>
        <v>27.483426433402617</v>
      </c>
      <c r="AK120" s="52">
        <v>26.92</v>
      </c>
      <c r="AL120" s="52">
        <v>26.85</v>
      </c>
      <c r="AM120" s="52"/>
      <c r="AN120" s="57">
        <f t="shared" ref="AN120:AN130" si="94">AVERAGE(AK120:AM120)</f>
        <v>26.885000000000002</v>
      </c>
      <c r="AO120" s="60">
        <f t="shared" ref="AO120:AO156" si="95">EXP((AN120-15.746)/-1.512)</f>
        <v>6.3172051036611645E-4</v>
      </c>
      <c r="AP120" s="52">
        <f t="shared" ref="AP120:AP156" si="96">(AO120*(6.0221*10^23))/(29903*340*10^9)</f>
        <v>37417.887301055664</v>
      </c>
      <c r="AQ120" s="60">
        <f t="shared" si="88"/>
        <v>7483.5774602111323</v>
      </c>
      <c r="AR120" s="60">
        <f t="shared" ref="AR120:AR156" si="97">AQ120/AJ120</f>
        <v>272.29419440640754</v>
      </c>
      <c r="AS120" s="60">
        <f t="shared" ref="AS120:AS129" si="98">AR120*T120</f>
        <v>63030660121195.219</v>
      </c>
      <c r="AT120" s="52"/>
      <c r="AU120" s="52"/>
    </row>
    <row r="121" spans="2:49" s="61" customFormat="1" x14ac:dyDescent="0.35">
      <c r="B121" s="52" t="s">
        <v>54</v>
      </c>
      <c r="C121" s="52" t="s">
        <v>90</v>
      </c>
      <c r="D121" s="52" t="s">
        <v>159</v>
      </c>
      <c r="E121" s="52" t="s">
        <v>58</v>
      </c>
      <c r="F121" s="52" t="s">
        <v>59</v>
      </c>
      <c r="G121" s="52">
        <v>-20</v>
      </c>
      <c r="H121" s="52" t="s">
        <v>150</v>
      </c>
      <c r="I121" s="52" t="s">
        <v>61</v>
      </c>
      <c r="J121" s="52" t="s">
        <v>62</v>
      </c>
      <c r="K121" s="52" t="s">
        <v>123</v>
      </c>
      <c r="L121" s="52" t="s">
        <v>150</v>
      </c>
      <c r="M121" s="52" t="s">
        <v>91</v>
      </c>
      <c r="N121" s="52" t="s">
        <v>126</v>
      </c>
      <c r="O121" s="52" t="s">
        <v>65</v>
      </c>
      <c r="P121" s="52">
        <v>8.33</v>
      </c>
      <c r="Q121" s="58">
        <v>4.2</v>
      </c>
      <c r="R121" s="52">
        <v>210</v>
      </c>
      <c r="S121" s="52">
        <v>221904</v>
      </c>
      <c r="T121" s="55">
        <f t="shared" si="89"/>
        <v>221904000000</v>
      </c>
      <c r="U121" s="52" t="s">
        <v>160</v>
      </c>
      <c r="V121" s="52" t="s">
        <v>66</v>
      </c>
      <c r="W121" s="52" t="s">
        <v>161</v>
      </c>
      <c r="X121" s="52">
        <v>19.25</v>
      </c>
      <c r="Y121" s="52">
        <v>19.18</v>
      </c>
      <c r="Z121" s="52"/>
      <c r="AA121" s="57">
        <f t="shared" si="90"/>
        <v>19.215</v>
      </c>
      <c r="AB121" s="58">
        <f t="shared" si="91"/>
        <v>3.7232304803546588</v>
      </c>
      <c r="AC121" s="59">
        <f t="shared" si="92"/>
        <v>436064783.98201001</v>
      </c>
      <c r="AD121" s="57">
        <f t="shared" ref="AD121:AD130" si="99">AC121*100/AC$130</f>
        <v>45.697228743140727</v>
      </c>
      <c r="AE121" s="52">
        <v>24.63</v>
      </c>
      <c r="AF121" s="52">
        <v>24.38</v>
      </c>
      <c r="AG121" s="52"/>
      <c r="AH121" s="57">
        <f>AVERAGE(AE121:AG121)</f>
        <v>24.504999999999999</v>
      </c>
      <c r="AI121" s="52">
        <f t="shared" si="93"/>
        <v>199.01723532477618</v>
      </c>
      <c r="AJ121" s="60">
        <f t="shared" si="87"/>
        <v>39.803447064955236</v>
      </c>
      <c r="AK121" s="52">
        <v>26.96</v>
      </c>
      <c r="AL121" s="52">
        <v>26.63</v>
      </c>
      <c r="AM121" s="52"/>
      <c r="AN121" s="57">
        <f t="shared" si="94"/>
        <v>26.795000000000002</v>
      </c>
      <c r="AO121" s="60">
        <f t="shared" si="95"/>
        <v>6.7046458023283927E-4</v>
      </c>
      <c r="AP121" s="52">
        <f t="shared" si="96"/>
        <v>39712.764887058162</v>
      </c>
      <c r="AQ121" s="60">
        <f t="shared" si="88"/>
        <v>7942.5529774116321</v>
      </c>
      <c r="AR121" s="60">
        <f t="shared" si="97"/>
        <v>199.54435012751989</v>
      </c>
      <c r="AS121" s="60">
        <f t="shared" si="98"/>
        <v>44279689470697.172</v>
      </c>
      <c r="AT121" s="52"/>
      <c r="AU121" s="83"/>
    </row>
    <row r="122" spans="2:49" s="61" customFormat="1" ht="14.25" x14ac:dyDescent="0.45">
      <c r="B122" s="52" t="s">
        <v>54</v>
      </c>
      <c r="C122" s="52" t="s">
        <v>162</v>
      </c>
      <c r="D122" s="52" t="s">
        <v>159</v>
      </c>
      <c r="E122" s="52" t="s">
        <v>58</v>
      </c>
      <c r="F122" s="52" t="s">
        <v>59</v>
      </c>
      <c r="G122" s="52">
        <v>-20</v>
      </c>
      <c r="H122" s="52" t="s">
        <v>150</v>
      </c>
      <c r="I122" s="52" t="s">
        <v>61</v>
      </c>
      <c r="J122" s="52" t="s">
        <v>62</v>
      </c>
      <c r="K122" s="52" t="s">
        <v>123</v>
      </c>
      <c r="L122" s="52" t="s">
        <v>150</v>
      </c>
      <c r="M122" s="52" t="s">
        <v>91</v>
      </c>
      <c r="N122" s="52" t="s">
        <v>126</v>
      </c>
      <c r="O122" s="52" t="s">
        <v>65</v>
      </c>
      <c r="P122" s="52">
        <v>7.57</v>
      </c>
      <c r="Q122" s="52">
        <v>4.49</v>
      </c>
      <c r="R122" s="52">
        <v>230</v>
      </c>
      <c r="S122" s="52">
        <v>215040</v>
      </c>
      <c r="T122" s="55">
        <f t="shared" si="89"/>
        <v>215040000000</v>
      </c>
      <c r="U122" s="52" t="s">
        <v>160</v>
      </c>
      <c r="V122" s="52" t="s">
        <v>66</v>
      </c>
      <c r="W122" s="52" t="s">
        <v>161</v>
      </c>
      <c r="X122" s="52">
        <v>19.36</v>
      </c>
      <c r="Y122" s="52">
        <v>19.25</v>
      </c>
      <c r="Z122" s="52"/>
      <c r="AA122" s="57">
        <f t="shared" si="90"/>
        <v>19.305</v>
      </c>
      <c r="AB122" s="58">
        <f t="shared" si="91"/>
        <v>3.5055616013380848</v>
      </c>
      <c r="AC122" s="59">
        <f t="shared" si="92"/>
        <v>410571403.11053437</v>
      </c>
      <c r="AD122" s="57">
        <f t="shared" si="99"/>
        <v>43.02566043514387</v>
      </c>
      <c r="AE122" s="52">
        <v>25.36</v>
      </c>
      <c r="AF122" s="52">
        <v>25.19</v>
      </c>
      <c r="AG122" s="52"/>
      <c r="AH122" s="57">
        <f>AVERAGE(AE122:AG122)</f>
        <v>25.274999999999999</v>
      </c>
      <c r="AI122" s="52">
        <f t="shared" si="93"/>
        <v>113.77294969349144</v>
      </c>
      <c r="AJ122" s="60">
        <f t="shared" si="87"/>
        <v>22.754589938698288</v>
      </c>
      <c r="AK122" s="58">
        <v>27</v>
      </c>
      <c r="AL122" s="52">
        <v>27.03</v>
      </c>
      <c r="AM122" s="52"/>
      <c r="AN122" s="57">
        <f t="shared" si="94"/>
        <v>27.015000000000001</v>
      </c>
      <c r="AO122" s="60">
        <f t="shared" si="95"/>
        <v>5.7967536418725239E-4</v>
      </c>
      <c r="AP122" s="52">
        <f t="shared" si="96"/>
        <v>34335.164194346544</v>
      </c>
      <c r="AQ122" s="60">
        <f t="shared" si="88"/>
        <v>6867.0328388693088</v>
      </c>
      <c r="AR122" s="60">
        <f t="shared" si="97"/>
        <v>301.78671017009538</v>
      </c>
      <c r="AS122" s="60">
        <f t="shared" si="98"/>
        <v>64896214154977.313</v>
      </c>
      <c r="AT122" s="52"/>
      <c r="AU122" s="84" t="s">
        <v>163</v>
      </c>
    </row>
    <row r="123" spans="2:49" s="61" customFormat="1" ht="14.25" x14ac:dyDescent="0.45">
      <c r="B123" s="52" t="s">
        <v>54</v>
      </c>
      <c r="C123" s="52" t="s">
        <v>164</v>
      </c>
      <c r="D123" s="52" t="s">
        <v>159</v>
      </c>
      <c r="E123" s="52" t="s">
        <v>58</v>
      </c>
      <c r="F123" s="52" t="s">
        <v>59</v>
      </c>
      <c r="G123" s="52">
        <v>-20</v>
      </c>
      <c r="H123" s="52" t="s">
        <v>150</v>
      </c>
      <c r="I123" s="52" t="s">
        <v>61</v>
      </c>
      <c r="J123" s="52" t="s">
        <v>62</v>
      </c>
      <c r="K123" s="52" t="s">
        <v>123</v>
      </c>
      <c r="L123" s="52" t="s">
        <v>150</v>
      </c>
      <c r="M123" s="52" t="s">
        <v>91</v>
      </c>
      <c r="N123" s="52" t="s">
        <v>126</v>
      </c>
      <c r="O123" s="52" t="s">
        <v>65</v>
      </c>
      <c r="P123" s="52">
        <v>8.39</v>
      </c>
      <c r="Q123" s="52">
        <v>4.34</v>
      </c>
      <c r="R123" s="52">
        <v>280</v>
      </c>
      <c r="S123" s="52">
        <v>208104</v>
      </c>
      <c r="T123" s="55">
        <f t="shared" si="89"/>
        <v>208104000000</v>
      </c>
      <c r="U123" s="52" t="s">
        <v>160</v>
      </c>
      <c r="V123" s="52" t="s">
        <v>66</v>
      </c>
      <c r="W123" s="52" t="s">
        <v>161</v>
      </c>
      <c r="X123" s="52">
        <v>19.73</v>
      </c>
      <c r="Y123" s="52">
        <v>19.52</v>
      </c>
      <c r="Z123" s="52"/>
      <c r="AA123" s="57">
        <f t="shared" si="90"/>
        <v>19.625</v>
      </c>
      <c r="AB123" s="58">
        <f t="shared" si="91"/>
        <v>2.829671543552017</v>
      </c>
      <c r="AC123" s="59">
        <f t="shared" si="92"/>
        <v>331411154.07432777</v>
      </c>
      <c r="AD123" s="57">
        <f t="shared" si="99"/>
        <v>34.73009486679301</v>
      </c>
      <c r="AE123" s="58">
        <v>25.4</v>
      </c>
      <c r="AF123" s="52">
        <v>25.24</v>
      </c>
      <c r="AG123" s="52"/>
      <c r="AH123" s="57">
        <f>AVERAGE(AE123:AG123)</f>
        <v>25.32</v>
      </c>
      <c r="AI123" s="52">
        <f t="shared" si="93"/>
        <v>110.11497580062114</v>
      </c>
      <c r="AJ123" s="60">
        <f t="shared" si="87"/>
        <v>22.022995160124228</v>
      </c>
      <c r="AK123" s="52">
        <v>27.01</v>
      </c>
      <c r="AL123" s="52">
        <v>26.93</v>
      </c>
      <c r="AM123" s="52"/>
      <c r="AN123" s="57">
        <f t="shared" si="94"/>
        <v>26.97</v>
      </c>
      <c r="AO123" s="60">
        <f t="shared" si="95"/>
        <v>5.9718690296165313E-4</v>
      </c>
      <c r="AP123" s="52">
        <f t="shared" si="96"/>
        <v>35372.402614781626</v>
      </c>
      <c r="AQ123" s="60">
        <f t="shared" si="88"/>
        <v>7074.4805229563253</v>
      </c>
      <c r="AR123" s="60">
        <f t="shared" si="97"/>
        <v>321.23153419956611</v>
      </c>
      <c r="AS123" s="60">
        <f t="shared" si="98"/>
        <v>66849567193066.508</v>
      </c>
      <c r="AT123" s="52"/>
      <c r="AU123" s="84" t="s">
        <v>163</v>
      </c>
    </row>
    <row r="124" spans="2:49" s="61" customFormat="1" ht="14.25" x14ac:dyDescent="0.45">
      <c r="B124" s="52" t="s">
        <v>54</v>
      </c>
      <c r="C124" s="83" t="s">
        <v>165</v>
      </c>
      <c r="D124" s="52" t="s">
        <v>159</v>
      </c>
      <c r="E124" s="52" t="s">
        <v>58</v>
      </c>
      <c r="F124" s="52" t="s">
        <v>59</v>
      </c>
      <c r="G124" s="52">
        <v>-20</v>
      </c>
      <c r="H124" s="52" t="s">
        <v>150</v>
      </c>
      <c r="I124" s="52" t="s">
        <v>61</v>
      </c>
      <c r="J124" s="52" t="s">
        <v>62</v>
      </c>
      <c r="K124" s="52" t="s">
        <v>123</v>
      </c>
      <c r="L124" s="52" t="s">
        <v>150</v>
      </c>
      <c r="M124" s="52" t="s">
        <v>91</v>
      </c>
      <c r="N124" s="52" t="s">
        <v>126</v>
      </c>
      <c r="O124" s="52" t="s">
        <v>65</v>
      </c>
      <c r="P124" s="86">
        <v>7.6</v>
      </c>
      <c r="Q124" s="83">
        <v>4.45</v>
      </c>
      <c r="R124" s="83">
        <v>240</v>
      </c>
      <c r="S124" s="83">
        <v>200712</v>
      </c>
      <c r="T124" s="55">
        <f t="shared" si="89"/>
        <v>200712000000</v>
      </c>
      <c r="U124" s="52" t="s">
        <v>160</v>
      </c>
      <c r="V124" s="52" t="s">
        <v>66</v>
      </c>
      <c r="W124" s="52" t="s">
        <v>161</v>
      </c>
      <c r="X124" s="83">
        <v>19.55</v>
      </c>
      <c r="Y124" s="83">
        <v>19.72</v>
      </c>
      <c r="Z124" s="83"/>
      <c r="AA124" s="57">
        <f t="shared" si="90"/>
        <v>19.634999999999998</v>
      </c>
      <c r="AB124" s="58">
        <f t="shared" si="91"/>
        <v>2.8107945521295723</v>
      </c>
      <c r="AC124" s="59">
        <f t="shared" si="92"/>
        <v>329200280.68620634</v>
      </c>
      <c r="AD124" s="57">
        <f t="shared" si="99"/>
        <v>34.498407304187005</v>
      </c>
      <c r="AE124" s="86">
        <v>25.2</v>
      </c>
      <c r="AF124" s="83">
        <v>25.15</v>
      </c>
      <c r="AG124" s="83"/>
      <c r="AH124" s="86">
        <v>18.7</v>
      </c>
      <c r="AI124" s="52">
        <f t="shared" si="93"/>
        <v>13481.554612536807</v>
      </c>
      <c r="AJ124" s="60">
        <f t="shared" si="87"/>
        <v>2696.3109225073613</v>
      </c>
      <c r="AK124" s="83">
        <v>30.79</v>
      </c>
      <c r="AL124" s="83">
        <v>30.33</v>
      </c>
      <c r="AM124" s="83"/>
      <c r="AN124" s="57">
        <f t="shared" si="94"/>
        <v>30.56</v>
      </c>
      <c r="AO124" s="60">
        <f t="shared" si="95"/>
        <v>5.5583784350425036E-5</v>
      </c>
      <c r="AP124" s="52">
        <f t="shared" si="96"/>
        <v>3292.3227035718883</v>
      </c>
      <c r="AQ124" s="60">
        <f t="shared" si="88"/>
        <v>658.46454071437768</v>
      </c>
      <c r="AR124" s="60">
        <f t="shared" si="97"/>
        <v>0.24420942526244577</v>
      </c>
      <c r="AS124" s="60">
        <f t="shared" si="98"/>
        <v>49015762163.276016</v>
      </c>
      <c r="AT124" s="85"/>
      <c r="AU124" s="84" t="s">
        <v>163</v>
      </c>
    </row>
    <row r="125" spans="2:49" s="122" customFormat="1" ht="14.25" x14ac:dyDescent="0.45">
      <c r="B125" s="123" t="s">
        <v>54</v>
      </c>
      <c r="C125" s="123" t="s">
        <v>158</v>
      </c>
      <c r="D125" s="123" t="s">
        <v>159</v>
      </c>
      <c r="E125" s="123" t="s">
        <v>58</v>
      </c>
      <c r="F125" s="123" t="s">
        <v>59</v>
      </c>
      <c r="G125" s="123">
        <v>-20</v>
      </c>
      <c r="H125" s="123" t="s">
        <v>150</v>
      </c>
      <c r="I125" s="123" t="s">
        <v>61</v>
      </c>
      <c r="J125" s="123" t="s">
        <v>62</v>
      </c>
      <c r="K125" s="123" t="s">
        <v>123</v>
      </c>
      <c r="L125" s="123" t="s">
        <v>150</v>
      </c>
      <c r="M125" s="123" t="s">
        <v>91</v>
      </c>
      <c r="N125" s="123" t="s">
        <v>126</v>
      </c>
      <c r="O125" s="123" t="s">
        <v>65</v>
      </c>
      <c r="P125" s="123">
        <v>7.72</v>
      </c>
      <c r="Q125" s="123">
        <v>4.34</v>
      </c>
      <c r="R125" s="123">
        <v>170</v>
      </c>
      <c r="S125" s="123">
        <v>215448</v>
      </c>
      <c r="T125" s="127">
        <f t="shared" si="89"/>
        <v>215448000000</v>
      </c>
      <c r="U125" s="123" t="s">
        <v>160</v>
      </c>
      <c r="V125" s="123" t="s">
        <v>66</v>
      </c>
      <c r="W125" s="123" t="s">
        <v>161</v>
      </c>
      <c r="X125" s="123">
        <v>19.510000000000002</v>
      </c>
      <c r="Y125" s="130">
        <v>19.399999999999999</v>
      </c>
      <c r="Z125" s="123"/>
      <c r="AA125" s="129">
        <f t="shared" si="90"/>
        <v>19.454999999999998</v>
      </c>
      <c r="AB125" s="130">
        <f t="shared" si="91"/>
        <v>3.1706896830392512</v>
      </c>
      <c r="AC125" s="131">
        <f t="shared" si="92"/>
        <v>371351201.33008689</v>
      </c>
      <c r="AD125" s="129">
        <f t="shared" si="99"/>
        <v>38.915595605448331</v>
      </c>
      <c r="AE125" s="123">
        <v>26.16</v>
      </c>
      <c r="AF125" s="123">
        <v>26.05</v>
      </c>
      <c r="AG125" s="123"/>
      <c r="AH125" s="129">
        <f t="shared" ref="AH125:AH130" si="100">AVERAGE(AE125:AG125)</f>
        <v>26.105</v>
      </c>
      <c r="AI125" s="123">
        <f t="shared" si="93"/>
        <v>62.267845605891765</v>
      </c>
      <c r="AJ125" s="132">
        <f t="shared" si="87"/>
        <v>12.453569121178353</v>
      </c>
      <c r="AK125" s="123">
        <v>30.08</v>
      </c>
      <c r="AL125" s="123">
        <v>29.36</v>
      </c>
      <c r="AM125" s="123"/>
      <c r="AN125" s="129">
        <f t="shared" si="94"/>
        <v>29.72</v>
      </c>
      <c r="AO125" s="132">
        <f t="shared" si="95"/>
        <v>9.6877477922457348E-5</v>
      </c>
      <c r="AP125" s="123">
        <f t="shared" si="96"/>
        <v>5738.2188664606765</v>
      </c>
      <c r="AQ125" s="132">
        <f t="shared" si="88"/>
        <v>1147.6437732921354</v>
      </c>
      <c r="AR125" s="132">
        <f t="shared" si="97"/>
        <v>92.153804433499275</v>
      </c>
      <c r="AS125" s="132">
        <f t="shared" si="98"/>
        <v>19854352857588.551</v>
      </c>
      <c r="AT125" s="123"/>
      <c r="AU125" s="145" t="s">
        <v>166</v>
      </c>
      <c r="AV125" s="146"/>
      <c r="AW125" s="146"/>
    </row>
    <row r="126" spans="2:49" s="122" customFormat="1" ht="14.25" x14ac:dyDescent="0.45">
      <c r="B126" s="123" t="s">
        <v>54</v>
      </c>
      <c r="C126" s="123" t="s">
        <v>90</v>
      </c>
      <c r="D126" s="123" t="s">
        <v>159</v>
      </c>
      <c r="E126" s="123" t="s">
        <v>58</v>
      </c>
      <c r="F126" s="123" t="s">
        <v>59</v>
      </c>
      <c r="G126" s="123">
        <v>-20</v>
      </c>
      <c r="H126" s="123" t="s">
        <v>150</v>
      </c>
      <c r="I126" s="123" t="s">
        <v>61</v>
      </c>
      <c r="J126" s="123" t="s">
        <v>62</v>
      </c>
      <c r="K126" s="123" t="s">
        <v>123</v>
      </c>
      <c r="L126" s="123" t="s">
        <v>150</v>
      </c>
      <c r="M126" s="123" t="s">
        <v>91</v>
      </c>
      <c r="N126" s="123" t="s">
        <v>126</v>
      </c>
      <c r="O126" s="123" t="s">
        <v>65</v>
      </c>
      <c r="P126" s="123">
        <v>7.99</v>
      </c>
      <c r="Q126" s="123">
        <v>3.96</v>
      </c>
      <c r="R126" s="123">
        <v>230</v>
      </c>
      <c r="S126" s="123">
        <v>202104</v>
      </c>
      <c r="T126" s="127">
        <f t="shared" si="89"/>
        <v>202104000000</v>
      </c>
      <c r="U126" s="123" t="s">
        <v>160</v>
      </c>
      <c r="V126" s="123" t="s">
        <v>66</v>
      </c>
      <c r="W126" s="123" t="s">
        <v>161</v>
      </c>
      <c r="X126" s="123">
        <v>19.38</v>
      </c>
      <c r="Y126" s="130">
        <v>19.2</v>
      </c>
      <c r="Z126" s="123"/>
      <c r="AA126" s="129">
        <f t="shared" si="90"/>
        <v>19.29</v>
      </c>
      <c r="AB126" s="130">
        <f t="shared" si="91"/>
        <v>3.5409352845361957</v>
      </c>
      <c r="AC126" s="131">
        <f t="shared" si="92"/>
        <v>414714369.17288864</v>
      </c>
      <c r="AD126" s="129">
        <f t="shared" si="99"/>
        <v>43.459820850707906</v>
      </c>
      <c r="AE126" s="123">
        <v>25.28</v>
      </c>
      <c r="AF126" s="123">
        <v>25.17</v>
      </c>
      <c r="AG126" s="123"/>
      <c r="AH126" s="129">
        <f t="shared" si="100"/>
        <v>25.225000000000001</v>
      </c>
      <c r="AI126" s="123">
        <f t="shared" si="93"/>
        <v>117.98005840930963</v>
      </c>
      <c r="AJ126" s="132">
        <f t="shared" si="87"/>
        <v>23.596011681861928</v>
      </c>
      <c r="AK126" s="123">
        <v>30.69</v>
      </c>
      <c r="AL126" s="123">
        <v>29.61</v>
      </c>
      <c r="AM126" s="123"/>
      <c r="AN126" s="129">
        <f t="shared" si="94"/>
        <v>30.15</v>
      </c>
      <c r="AO126" s="132">
        <f t="shared" si="95"/>
        <v>7.2897586502811653E-5</v>
      </c>
      <c r="AP126" s="123">
        <f t="shared" si="96"/>
        <v>4317.8488453704422</v>
      </c>
      <c r="AQ126" s="132">
        <f t="shared" si="88"/>
        <v>863.56976907408841</v>
      </c>
      <c r="AR126" s="132">
        <f t="shared" si="97"/>
        <v>36.598124323607955</v>
      </c>
      <c r="AS126" s="132">
        <f t="shared" si="98"/>
        <v>7396627318298.4619</v>
      </c>
      <c r="AT126" s="123"/>
      <c r="AU126" s="147" t="s">
        <v>163</v>
      </c>
      <c r="AV126" s="148"/>
      <c r="AW126" s="148"/>
    </row>
    <row r="127" spans="2:49" s="122" customFormat="1" ht="14.25" x14ac:dyDescent="0.45">
      <c r="B127" s="123" t="s">
        <v>54</v>
      </c>
      <c r="C127" s="149" t="s">
        <v>162</v>
      </c>
      <c r="D127" s="123" t="s">
        <v>159</v>
      </c>
      <c r="E127" s="123" t="s">
        <v>58</v>
      </c>
      <c r="F127" s="123" t="s">
        <v>59</v>
      </c>
      <c r="G127" s="123">
        <v>-20</v>
      </c>
      <c r="H127" s="123" t="s">
        <v>150</v>
      </c>
      <c r="I127" s="123" t="s">
        <v>61</v>
      </c>
      <c r="J127" s="123" t="s">
        <v>62</v>
      </c>
      <c r="K127" s="123" t="s">
        <v>123</v>
      </c>
      <c r="L127" s="123" t="s">
        <v>150</v>
      </c>
      <c r="M127" s="123" t="s">
        <v>91</v>
      </c>
      <c r="N127" s="123" t="s">
        <v>126</v>
      </c>
      <c r="O127" s="123" t="s">
        <v>65</v>
      </c>
      <c r="P127" s="123">
        <v>7.63</v>
      </c>
      <c r="Q127" s="123">
        <v>4.55</v>
      </c>
      <c r="R127" s="123">
        <v>200</v>
      </c>
      <c r="S127" s="123">
        <v>187512</v>
      </c>
      <c r="T127" s="127">
        <f t="shared" si="89"/>
        <v>187512000000</v>
      </c>
      <c r="U127" s="123" t="s">
        <v>160</v>
      </c>
      <c r="V127" s="123" t="s">
        <v>66</v>
      </c>
      <c r="W127" s="123" t="s">
        <v>161</v>
      </c>
      <c r="X127" s="130">
        <v>19.3</v>
      </c>
      <c r="Y127" s="123">
        <v>19.68</v>
      </c>
      <c r="Z127" s="123"/>
      <c r="AA127" s="129">
        <f t="shared" si="90"/>
        <v>19.490000000000002</v>
      </c>
      <c r="AB127" s="130">
        <f t="shared" si="91"/>
        <v>3.0972731283042396</v>
      </c>
      <c r="AC127" s="131">
        <f t="shared" si="92"/>
        <v>362752653.84554416</v>
      </c>
      <c r="AD127" s="129">
        <f t="shared" si="99"/>
        <v>38.014514376939587</v>
      </c>
      <c r="AE127" s="130">
        <v>26</v>
      </c>
      <c r="AF127" s="130">
        <v>26</v>
      </c>
      <c r="AG127" s="123"/>
      <c r="AH127" s="129">
        <f t="shared" si="100"/>
        <v>26</v>
      </c>
      <c r="AI127" s="123">
        <f t="shared" si="93"/>
        <v>67.201656261400174</v>
      </c>
      <c r="AJ127" s="132">
        <f t="shared" si="87"/>
        <v>13.440331252280036</v>
      </c>
      <c r="AK127" s="130">
        <v>28.9</v>
      </c>
      <c r="AL127" s="123">
        <v>29.85</v>
      </c>
      <c r="AM127" s="123"/>
      <c r="AN127" s="129">
        <f t="shared" si="94"/>
        <v>29.375</v>
      </c>
      <c r="AO127" s="132">
        <f t="shared" si="95"/>
        <v>1.2170762706625576E-4</v>
      </c>
      <c r="AP127" s="123">
        <f t="shared" si="96"/>
        <v>7208.9511081486889</v>
      </c>
      <c r="AQ127" s="132">
        <f t="shared" si="88"/>
        <v>1441.7902216297377</v>
      </c>
      <c r="AR127" s="132">
        <f t="shared" si="97"/>
        <v>107.27341421627168</v>
      </c>
      <c r="AS127" s="132">
        <f t="shared" si="98"/>
        <v>20115052446521.535</v>
      </c>
      <c r="AT127" s="123"/>
      <c r="AU127" s="147" t="s">
        <v>163</v>
      </c>
      <c r="AV127" s="148"/>
      <c r="AW127" s="148"/>
    </row>
    <row r="128" spans="2:49" s="122" customFormat="1" ht="14.25" x14ac:dyDescent="0.45">
      <c r="B128" s="123" t="s">
        <v>54</v>
      </c>
      <c r="C128" s="123" t="s">
        <v>164</v>
      </c>
      <c r="D128" s="123" t="s">
        <v>159</v>
      </c>
      <c r="E128" s="123" t="s">
        <v>58</v>
      </c>
      <c r="F128" s="123" t="s">
        <v>59</v>
      </c>
      <c r="G128" s="123">
        <v>-20</v>
      </c>
      <c r="H128" s="123" t="s">
        <v>150</v>
      </c>
      <c r="I128" s="123" t="s">
        <v>61</v>
      </c>
      <c r="J128" s="123" t="s">
        <v>62</v>
      </c>
      <c r="K128" s="123" t="s">
        <v>123</v>
      </c>
      <c r="L128" s="123" t="s">
        <v>150</v>
      </c>
      <c r="M128" s="123" t="s">
        <v>91</v>
      </c>
      <c r="N128" s="123" t="s">
        <v>126</v>
      </c>
      <c r="O128" s="123" t="s">
        <v>65</v>
      </c>
      <c r="P128" s="123">
        <v>7.64</v>
      </c>
      <c r="Q128" s="123">
        <v>4.25</v>
      </c>
      <c r="R128" s="123">
        <v>270</v>
      </c>
      <c r="S128" s="123">
        <v>178920</v>
      </c>
      <c r="T128" s="127">
        <f t="shared" si="89"/>
        <v>178920000000</v>
      </c>
      <c r="U128" s="123" t="s">
        <v>160</v>
      </c>
      <c r="V128" s="123" t="s">
        <v>66</v>
      </c>
      <c r="W128" s="123" t="s">
        <v>161</v>
      </c>
      <c r="X128" s="123">
        <v>19.940000000000001</v>
      </c>
      <c r="Y128" s="123">
        <v>19.73</v>
      </c>
      <c r="Z128" s="123"/>
      <c r="AA128" s="129">
        <f t="shared" si="90"/>
        <v>19.835000000000001</v>
      </c>
      <c r="AB128" s="130">
        <f t="shared" si="91"/>
        <v>2.4586155170681665</v>
      </c>
      <c r="AC128" s="131">
        <f t="shared" si="92"/>
        <v>287953069.25050277</v>
      </c>
      <c r="AD128" s="129">
        <f t="shared" si="99"/>
        <v>30.175922835751237</v>
      </c>
      <c r="AE128" s="123">
        <v>25.99</v>
      </c>
      <c r="AF128" s="123">
        <v>25.72</v>
      </c>
      <c r="AG128" s="123"/>
      <c r="AH128" s="129">
        <f t="shared" si="100"/>
        <v>25.854999999999997</v>
      </c>
      <c r="AI128" s="123">
        <f t="shared" si="93"/>
        <v>74.664091502292138</v>
      </c>
      <c r="AJ128" s="132">
        <f t="shared" si="87"/>
        <v>14.932818300458427</v>
      </c>
      <c r="AK128" s="123">
        <v>29.28</v>
      </c>
      <c r="AL128" s="123">
        <v>29.66</v>
      </c>
      <c r="AM128" s="123"/>
      <c r="AN128" s="129">
        <f t="shared" si="94"/>
        <v>29.47</v>
      </c>
      <c r="AO128" s="132">
        <f t="shared" si="95"/>
        <v>1.1429593218612785E-4</v>
      </c>
      <c r="AP128" s="123">
        <f t="shared" si="96"/>
        <v>6769.9437319694507</v>
      </c>
      <c r="AQ128" s="132">
        <f t="shared" si="88"/>
        <v>1353.9887463938901</v>
      </c>
      <c r="AR128" s="132">
        <f t="shared" si="97"/>
        <v>90.672016437267146</v>
      </c>
      <c r="AS128" s="132">
        <f t="shared" si="98"/>
        <v>16223037180955.838</v>
      </c>
      <c r="AT128" s="123"/>
      <c r="AU128" s="147" t="s">
        <v>163</v>
      </c>
      <c r="AV128" s="148"/>
      <c r="AW128" s="148"/>
    </row>
    <row r="129" spans="2:49" s="122" customFormat="1" ht="14.25" x14ac:dyDescent="0.45">
      <c r="B129" s="123" t="s">
        <v>54</v>
      </c>
      <c r="C129" s="123" t="s">
        <v>165</v>
      </c>
      <c r="D129" s="123" t="s">
        <v>159</v>
      </c>
      <c r="E129" s="123" t="s">
        <v>58</v>
      </c>
      <c r="F129" s="150" t="s">
        <v>167</v>
      </c>
      <c r="G129" s="123">
        <v>-80</v>
      </c>
      <c r="H129" s="123" t="s">
        <v>150</v>
      </c>
      <c r="I129" s="123" t="s">
        <v>61</v>
      </c>
      <c r="J129" s="123" t="s">
        <v>62</v>
      </c>
      <c r="K129" s="123" t="s">
        <v>123</v>
      </c>
      <c r="L129" s="123" t="s">
        <v>150</v>
      </c>
      <c r="M129" s="123" t="s">
        <v>91</v>
      </c>
      <c r="N129" s="123" t="s">
        <v>126</v>
      </c>
      <c r="O129" s="123" t="s">
        <v>65</v>
      </c>
      <c r="P129" s="123">
        <v>7.39</v>
      </c>
      <c r="Q129" s="123">
        <v>4.08</v>
      </c>
      <c r="R129" s="123">
        <v>180</v>
      </c>
      <c r="S129" s="123">
        <v>171240</v>
      </c>
      <c r="T129" s="127">
        <f t="shared" si="89"/>
        <v>171240000000</v>
      </c>
      <c r="U129" s="123" t="s">
        <v>160</v>
      </c>
      <c r="V129" s="123" t="s">
        <v>66</v>
      </c>
      <c r="W129" s="123" t="s">
        <v>161</v>
      </c>
      <c r="X129" s="130">
        <v>19.8</v>
      </c>
      <c r="Y129" s="123">
        <v>19.809999999999999</v>
      </c>
      <c r="Z129" s="123"/>
      <c r="AA129" s="129">
        <f t="shared" si="90"/>
        <v>19.805</v>
      </c>
      <c r="AB129" s="130">
        <f t="shared" si="91"/>
        <v>2.5084843217164581</v>
      </c>
      <c r="AC129" s="131">
        <f t="shared" si="92"/>
        <v>293793704.05437529</v>
      </c>
      <c r="AD129" s="129">
        <f t="shared" si="99"/>
        <v>30.787989745168812</v>
      </c>
      <c r="AE129" s="123">
        <v>26.21</v>
      </c>
      <c r="AF129" s="151">
        <v>26.06</v>
      </c>
      <c r="AG129" s="123"/>
      <c r="AH129" s="129">
        <f t="shared" si="100"/>
        <v>26.134999999999998</v>
      </c>
      <c r="AI129" s="123">
        <f t="shared" si="93"/>
        <v>60.925918681284678</v>
      </c>
      <c r="AJ129" s="132">
        <f t="shared" si="87"/>
        <v>12.185183736256935</v>
      </c>
      <c r="AK129" s="123">
        <v>30.58</v>
      </c>
      <c r="AL129" s="123">
        <v>29.94</v>
      </c>
      <c r="AM129" s="123"/>
      <c r="AN129" s="129">
        <f t="shared" si="94"/>
        <v>30.259999999999998</v>
      </c>
      <c r="AO129" s="132">
        <f t="shared" si="95"/>
        <v>6.7782510792508858E-5</v>
      </c>
      <c r="AP129" s="123">
        <f t="shared" si="96"/>
        <v>4014.8741543103833</v>
      </c>
      <c r="AQ129" s="132">
        <f t="shared" si="88"/>
        <v>802.97483086207671</v>
      </c>
      <c r="AR129" s="132">
        <f t="shared" si="97"/>
        <v>65.897638332102474</v>
      </c>
      <c r="AS129" s="132">
        <f t="shared" si="98"/>
        <v>11284311587989.229</v>
      </c>
      <c r="AT129" s="123"/>
      <c r="AU129" s="147" t="s">
        <v>163</v>
      </c>
      <c r="AV129" s="148"/>
      <c r="AW129" s="148"/>
    </row>
    <row r="130" spans="2:49" ht="14.25" x14ac:dyDescent="0.45">
      <c r="B130" s="8"/>
      <c r="C130" s="8"/>
      <c r="D130" s="8" t="s">
        <v>154</v>
      </c>
      <c r="E130" s="8"/>
      <c r="F130" s="8" t="s">
        <v>106</v>
      </c>
      <c r="G130" s="8"/>
      <c r="H130" s="8"/>
      <c r="I130" s="8"/>
      <c r="J130" s="8"/>
      <c r="K130" s="8"/>
      <c r="L130" s="8" t="s">
        <v>108</v>
      </c>
      <c r="M130" s="8" t="s">
        <v>107</v>
      </c>
      <c r="N130" s="8" t="s">
        <v>108</v>
      </c>
      <c r="O130" s="8" t="s">
        <v>108</v>
      </c>
      <c r="P130" s="8" t="s">
        <v>108</v>
      </c>
      <c r="Q130" s="8" t="s">
        <v>108</v>
      </c>
      <c r="R130" s="8" t="s">
        <v>108</v>
      </c>
      <c r="S130" s="8"/>
      <c r="T130" s="24"/>
      <c r="U130" s="8" t="s">
        <v>108</v>
      </c>
      <c r="V130" s="8" t="s">
        <v>108</v>
      </c>
      <c r="W130" s="11" t="s">
        <v>108</v>
      </c>
      <c r="X130" s="8">
        <v>17.940000000000001</v>
      </c>
      <c r="Y130" s="8">
        <v>18.149999999999999</v>
      </c>
      <c r="Z130" s="8"/>
      <c r="AA130" s="21">
        <f t="shared" si="90"/>
        <v>18.045000000000002</v>
      </c>
      <c r="AB130" s="18">
        <f t="shared" si="91"/>
        <v>8.1476067209294953</v>
      </c>
      <c r="AC130" s="51">
        <f t="shared" si="92"/>
        <v>954247765.07364142</v>
      </c>
      <c r="AD130" s="21">
        <f t="shared" si="99"/>
        <v>100</v>
      </c>
      <c r="AE130" s="18">
        <v>30.5</v>
      </c>
      <c r="AF130" s="8">
        <v>30.98</v>
      </c>
      <c r="AG130" s="8"/>
      <c r="AH130" s="21">
        <f t="shared" si="100"/>
        <v>30.740000000000002</v>
      </c>
      <c r="AI130" s="8">
        <f t="shared" si="93"/>
        <v>2.1499231531189897</v>
      </c>
      <c r="AJ130" s="60">
        <f t="shared" si="87"/>
        <v>0.42998463062379794</v>
      </c>
      <c r="AK130" s="8">
        <v>29.75</v>
      </c>
      <c r="AL130" s="8">
        <v>29.96</v>
      </c>
      <c r="AM130" s="8"/>
      <c r="AN130" s="21">
        <f t="shared" si="94"/>
        <v>29.855</v>
      </c>
      <c r="AO130" s="19">
        <f t="shared" si="95"/>
        <v>8.8602613207294122E-5</v>
      </c>
      <c r="AP130" s="8">
        <f t="shared" si="96"/>
        <v>5248.0844632512362</v>
      </c>
      <c r="AQ130" s="60">
        <f t="shared" si="88"/>
        <v>1049.6168926502473</v>
      </c>
      <c r="AR130" s="19">
        <f t="shared" si="97"/>
        <v>2441.0567678373091</v>
      </c>
      <c r="AS130" s="19" t="s">
        <v>108</v>
      </c>
      <c r="AT130" s="8"/>
      <c r="AU130" s="49"/>
      <c r="AV130" s="31"/>
      <c r="AW130" s="31"/>
    </row>
    <row r="131" spans="2:49" ht="14.25" x14ac:dyDescent="0.45">
      <c r="B131" s="8"/>
      <c r="C131" s="8"/>
      <c r="D131" s="4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24"/>
      <c r="U131" s="8"/>
      <c r="V131" s="8"/>
      <c r="W131" s="11"/>
      <c r="X131" s="8"/>
      <c r="Y131" s="8"/>
      <c r="Z131" s="8"/>
      <c r="AA131" s="21"/>
      <c r="AB131" s="18"/>
      <c r="AC131" s="8"/>
      <c r="AD131" s="8"/>
      <c r="AE131" s="18"/>
      <c r="AF131" s="8"/>
      <c r="AG131" s="8"/>
      <c r="AH131" s="21"/>
      <c r="AI131" s="8"/>
      <c r="AJ131" s="60">
        <f t="shared" si="87"/>
        <v>0</v>
      </c>
      <c r="AK131" s="8"/>
      <c r="AL131" s="8"/>
      <c r="AM131" s="8"/>
      <c r="AN131" s="21"/>
      <c r="AO131" s="8"/>
      <c r="AP131" s="8"/>
      <c r="AQ131" s="60">
        <f t="shared" si="88"/>
        <v>0</v>
      </c>
      <c r="AR131" s="8"/>
      <c r="AS131" s="8"/>
      <c r="AT131" s="8"/>
      <c r="AU131" s="50"/>
      <c r="AV131" s="31"/>
      <c r="AW131" s="31"/>
    </row>
    <row r="132" spans="2:49" s="122" customFormat="1" x14ac:dyDescent="0.35">
      <c r="B132" s="123" t="s">
        <v>54</v>
      </c>
      <c r="C132" s="152" t="s">
        <v>168</v>
      </c>
      <c r="D132" s="133" t="s">
        <v>57</v>
      </c>
      <c r="E132" s="153" t="s">
        <v>58</v>
      </c>
      <c r="F132" s="123" t="s">
        <v>59</v>
      </c>
      <c r="G132" s="123">
        <v>-20</v>
      </c>
      <c r="H132" s="123" t="s">
        <v>161</v>
      </c>
      <c r="I132" s="123" t="s">
        <v>61</v>
      </c>
      <c r="J132" s="123" t="s">
        <v>62</v>
      </c>
      <c r="K132" s="123" t="s">
        <v>123</v>
      </c>
      <c r="L132" s="123" t="s">
        <v>169</v>
      </c>
      <c r="M132" s="123" t="s">
        <v>91</v>
      </c>
      <c r="N132" s="123" t="s">
        <v>126</v>
      </c>
      <c r="O132" s="123" t="s">
        <v>65</v>
      </c>
      <c r="P132" s="123">
        <v>7.02</v>
      </c>
      <c r="Q132" s="130">
        <v>3.7</v>
      </c>
      <c r="R132" s="123"/>
      <c r="S132" s="123"/>
      <c r="T132" s="127"/>
      <c r="U132" s="123" t="s">
        <v>169</v>
      </c>
      <c r="V132" s="123" t="s">
        <v>66</v>
      </c>
      <c r="W132" s="152" t="s">
        <v>170</v>
      </c>
      <c r="X132" s="123">
        <v>18.47</v>
      </c>
      <c r="Y132" s="123">
        <v>17.59</v>
      </c>
      <c r="Z132" s="123"/>
      <c r="AA132" s="129">
        <f>AVERAGE(X132:Z132)</f>
        <v>18.03</v>
      </c>
      <c r="AB132" s="130">
        <f t="shared" si="91"/>
        <v>8.229822038115465</v>
      </c>
      <c r="AC132" s="131">
        <f t="shared" si="92"/>
        <v>963876823.68762696</v>
      </c>
      <c r="AD132" s="129">
        <f>AC132*100/AC$138</f>
        <v>20.060335017697195</v>
      </c>
      <c r="AE132" s="123">
        <v>21.09</v>
      </c>
      <c r="AF132" s="123">
        <v>20.69</v>
      </c>
      <c r="AG132" s="123"/>
      <c r="AH132" s="129">
        <f>AVERAGE(AE132:AG132)</f>
        <v>20.89</v>
      </c>
      <c r="AI132" s="123">
        <f t="shared" si="93"/>
        <v>2748.0964797383353</v>
      </c>
      <c r="AJ132" s="132">
        <f t="shared" si="87"/>
        <v>549.61929594766707</v>
      </c>
      <c r="AK132" s="123">
        <v>28.51</v>
      </c>
      <c r="AL132" s="123">
        <v>28.21</v>
      </c>
      <c r="AM132" s="123"/>
      <c r="AN132" s="129">
        <f>AVERAGE(AK132:AM132)</f>
        <v>28.36</v>
      </c>
      <c r="AO132" s="132">
        <f t="shared" si="95"/>
        <v>2.3815410529480792E-4</v>
      </c>
      <c r="AP132" s="123">
        <f t="shared" si="96"/>
        <v>14106.275363831905</v>
      </c>
      <c r="AQ132" s="132">
        <f t="shared" si="88"/>
        <v>2821.2550727663811</v>
      </c>
      <c r="AR132" s="132">
        <f t="shared" si="97"/>
        <v>5.13310775943902</v>
      </c>
      <c r="AS132" s="132"/>
      <c r="AT132" s="123"/>
      <c r="AU132" s="135"/>
      <c r="AV132" s="133"/>
      <c r="AW132" s="133"/>
    </row>
    <row r="133" spans="2:49" s="122" customFormat="1" x14ac:dyDescent="0.35">
      <c r="B133" s="123" t="s">
        <v>54</v>
      </c>
      <c r="C133" s="123" t="s">
        <v>171</v>
      </c>
      <c r="D133" s="133" t="s">
        <v>57</v>
      </c>
      <c r="E133" s="153" t="s">
        <v>58</v>
      </c>
      <c r="F133" s="123" t="s">
        <v>59</v>
      </c>
      <c r="G133" s="123">
        <v>-20</v>
      </c>
      <c r="H133" s="123" t="s">
        <v>161</v>
      </c>
      <c r="I133" s="123" t="s">
        <v>61</v>
      </c>
      <c r="J133" s="123" t="s">
        <v>62</v>
      </c>
      <c r="K133" s="123" t="s">
        <v>123</v>
      </c>
      <c r="L133" s="123" t="s">
        <v>169</v>
      </c>
      <c r="M133" s="123" t="s">
        <v>91</v>
      </c>
      <c r="N133" s="123" t="s">
        <v>126</v>
      </c>
      <c r="O133" s="123" t="s">
        <v>65</v>
      </c>
      <c r="P133" s="123">
        <v>7.08</v>
      </c>
      <c r="Q133" s="130">
        <v>3.8</v>
      </c>
      <c r="R133" s="123"/>
      <c r="S133" s="123"/>
      <c r="T133" s="127"/>
      <c r="U133" s="123" t="s">
        <v>169</v>
      </c>
      <c r="V133" s="123" t="s">
        <v>66</v>
      </c>
      <c r="W133" s="152" t="s">
        <v>170</v>
      </c>
      <c r="X133" s="123">
        <v>18.510000000000002</v>
      </c>
      <c r="Y133" s="123">
        <v>16.940000000000001</v>
      </c>
      <c r="Z133" s="123"/>
      <c r="AA133" s="129">
        <f t="shared" ref="AA133:AA156" si="101">AVERAGE(X133:Z133)</f>
        <v>17.725000000000001</v>
      </c>
      <c r="AB133" s="130">
        <f t="shared" si="91"/>
        <v>10.093728838874867</v>
      </c>
      <c r="AC133" s="131">
        <f t="shared" si="92"/>
        <v>1182177603.2725441</v>
      </c>
      <c r="AD133" s="129">
        <f t="shared" ref="AD133:AD138" si="102">AC133*100/AC$138</f>
        <v>24.603640412616738</v>
      </c>
      <c r="AE133" s="123">
        <v>20.55</v>
      </c>
      <c r="AF133" s="123">
        <v>20.420000000000002</v>
      </c>
      <c r="AG133" s="123"/>
      <c r="AH133" s="129">
        <f t="shared" ref="AH133:AH156" si="103">AVERAGE(AE133:AG133)</f>
        <v>20.484999999999999</v>
      </c>
      <c r="AI133" s="123">
        <f t="shared" si="93"/>
        <v>3687.7854538289812</v>
      </c>
      <c r="AJ133" s="132">
        <f t="shared" si="87"/>
        <v>737.55709076579626</v>
      </c>
      <c r="AK133" s="123">
        <v>26.64</v>
      </c>
      <c r="AL133" s="123">
        <v>27.56</v>
      </c>
      <c r="AM133" s="123"/>
      <c r="AN133" s="129">
        <f t="shared" ref="AN133:AN156" si="104">AVERAGE(AK133:AM133)</f>
        <v>27.1</v>
      </c>
      <c r="AO133" s="132">
        <f t="shared" si="95"/>
        <v>5.4798685460050363E-4</v>
      </c>
      <c r="AP133" s="123">
        <f t="shared" si="96"/>
        <v>32458.199522472587</v>
      </c>
      <c r="AQ133" s="132">
        <f t="shared" si="88"/>
        <v>6491.6399044945174</v>
      </c>
      <c r="AR133" s="132">
        <f t="shared" si="97"/>
        <v>8.8015422612971275</v>
      </c>
      <c r="AS133" s="123"/>
      <c r="AT133" s="123"/>
      <c r="AU133" s="123"/>
      <c r="AV133" s="133"/>
      <c r="AW133" s="133"/>
    </row>
    <row r="134" spans="2:49" s="93" customFormat="1" x14ac:dyDescent="0.35">
      <c r="B134" s="94" t="s">
        <v>54</v>
      </c>
      <c r="C134" s="94" t="s">
        <v>172</v>
      </c>
      <c r="D134" s="95" t="s">
        <v>57</v>
      </c>
      <c r="E134" s="96" t="s">
        <v>58</v>
      </c>
      <c r="F134" s="94" t="s">
        <v>59</v>
      </c>
      <c r="G134" s="94">
        <v>-20</v>
      </c>
      <c r="H134" s="94" t="s">
        <v>161</v>
      </c>
      <c r="I134" s="94" t="s">
        <v>61</v>
      </c>
      <c r="J134" s="94" t="s">
        <v>62</v>
      </c>
      <c r="K134" s="94" t="s">
        <v>123</v>
      </c>
      <c r="L134" s="94" t="s">
        <v>169</v>
      </c>
      <c r="M134" s="94" t="s">
        <v>91</v>
      </c>
      <c r="N134" s="94" t="s">
        <v>126</v>
      </c>
      <c r="O134" s="94" t="s">
        <v>65</v>
      </c>
      <c r="P134" s="94">
        <v>7.24</v>
      </c>
      <c r="Q134" s="94">
        <v>3.63</v>
      </c>
      <c r="R134" s="94"/>
      <c r="S134" s="94"/>
      <c r="T134" s="97"/>
      <c r="U134" s="94" t="s">
        <v>169</v>
      </c>
      <c r="V134" s="94" t="s">
        <v>66</v>
      </c>
      <c r="W134" s="98" t="s">
        <v>170</v>
      </c>
      <c r="X134" s="94">
        <v>19.12</v>
      </c>
      <c r="Y134" s="94">
        <v>18.62</v>
      </c>
      <c r="Z134" s="94"/>
      <c r="AA134" s="99">
        <f t="shared" si="101"/>
        <v>18.87</v>
      </c>
      <c r="AB134" s="100">
        <f t="shared" si="91"/>
        <v>4.6903884064952175</v>
      </c>
      <c r="AC134" s="101">
        <f t="shared" si="92"/>
        <v>549338328.11640322</v>
      </c>
      <c r="AD134" s="99">
        <f t="shared" si="102"/>
        <v>11.432903696051566</v>
      </c>
      <c r="AE134" s="94">
        <v>21.25</v>
      </c>
      <c r="AF134" s="94">
        <v>21.61</v>
      </c>
      <c r="AG134" s="94"/>
      <c r="AH134" s="99">
        <f t="shared" si="103"/>
        <v>21.43</v>
      </c>
      <c r="AI134" s="94">
        <f t="shared" si="93"/>
        <v>1856.6088413175066</v>
      </c>
      <c r="AJ134" s="102">
        <f t="shared" si="87"/>
        <v>371.32176826350133</v>
      </c>
      <c r="AK134" s="94">
        <v>26.82</v>
      </c>
      <c r="AL134" s="94">
        <v>27.32</v>
      </c>
      <c r="AM134" s="94"/>
      <c r="AN134" s="99">
        <f t="shared" si="104"/>
        <v>27.07</v>
      </c>
      <c r="AO134" s="102">
        <f t="shared" si="95"/>
        <v>5.5896819122871447E-4</v>
      </c>
      <c r="AP134" s="94">
        <f t="shared" si="96"/>
        <v>33108.642890428477</v>
      </c>
      <c r="AQ134" s="102">
        <f t="shared" si="88"/>
        <v>6621.7285780856955</v>
      </c>
      <c r="AR134" s="102">
        <f t="shared" si="97"/>
        <v>17.832858571832272</v>
      </c>
      <c r="AS134" s="94"/>
      <c r="AT134" s="94"/>
      <c r="AU134" s="94"/>
      <c r="AV134" s="95"/>
      <c r="AW134" s="95"/>
    </row>
    <row r="135" spans="2:49" s="61" customFormat="1" x14ac:dyDescent="0.35">
      <c r="B135" s="52" t="s">
        <v>54</v>
      </c>
      <c r="C135" s="52" t="s">
        <v>168</v>
      </c>
      <c r="D135" s="53" t="s">
        <v>57</v>
      </c>
      <c r="E135" s="54" t="s">
        <v>58</v>
      </c>
      <c r="F135" s="52" t="s">
        <v>59</v>
      </c>
      <c r="G135" s="52">
        <v>-20</v>
      </c>
      <c r="H135" s="52" t="s">
        <v>161</v>
      </c>
      <c r="I135" s="52" t="s">
        <v>61</v>
      </c>
      <c r="J135" s="52" t="s">
        <v>62</v>
      </c>
      <c r="K135" s="52" t="s">
        <v>123</v>
      </c>
      <c r="L135" s="52" t="s">
        <v>169</v>
      </c>
      <c r="M135" s="52" t="s">
        <v>91</v>
      </c>
      <c r="N135" s="52" t="s">
        <v>126</v>
      </c>
      <c r="O135" s="52" t="s">
        <v>65</v>
      </c>
      <c r="P135" s="52">
        <v>7.02</v>
      </c>
      <c r="Q135" s="52">
        <v>4.33</v>
      </c>
      <c r="R135" s="52"/>
      <c r="S135" s="52"/>
      <c r="T135" s="55"/>
      <c r="U135" s="52" t="s">
        <v>169</v>
      </c>
      <c r="V135" s="52" t="s">
        <v>66</v>
      </c>
      <c r="W135" s="56" t="s">
        <v>170</v>
      </c>
      <c r="X135" s="52">
        <v>18.829999999999998</v>
      </c>
      <c r="Y135" s="52">
        <v>19.079999999999998</v>
      </c>
      <c r="Z135" s="52"/>
      <c r="AA135" s="57">
        <f t="shared" si="101"/>
        <v>18.954999999999998</v>
      </c>
      <c r="AB135" s="58">
        <f t="shared" si="91"/>
        <v>4.4309816515080422</v>
      </c>
      <c r="AC135" s="59">
        <f t="shared" si="92"/>
        <v>518956606.87356967</v>
      </c>
      <c r="AD135" s="57">
        <f t="shared" si="102"/>
        <v>10.800595198152623</v>
      </c>
      <c r="AE135" s="52">
        <v>19.54</v>
      </c>
      <c r="AF135" s="52">
        <v>19.18</v>
      </c>
      <c r="AG135" s="52"/>
      <c r="AH135" s="57">
        <f t="shared" si="103"/>
        <v>19.36</v>
      </c>
      <c r="AI135" s="154">
        <f t="shared" si="93"/>
        <v>8347.980004185074</v>
      </c>
      <c r="AJ135" s="60">
        <f t="shared" si="87"/>
        <v>1669.5960008370148</v>
      </c>
      <c r="AK135" s="52">
        <v>26.87</v>
      </c>
      <c r="AL135" s="52">
        <v>28.14</v>
      </c>
      <c r="AM135" s="52"/>
      <c r="AN135" s="57">
        <f t="shared" si="104"/>
        <v>27.505000000000003</v>
      </c>
      <c r="AO135" s="60">
        <f t="shared" si="95"/>
        <v>4.192192932189241E-4</v>
      </c>
      <c r="AP135" s="52">
        <f t="shared" si="96"/>
        <v>24831.076418593475</v>
      </c>
      <c r="AQ135" s="60">
        <f t="shared" si="88"/>
        <v>4966.215283718695</v>
      </c>
      <c r="AR135" s="60">
        <f t="shared" si="97"/>
        <v>2.9745011854538426</v>
      </c>
      <c r="AS135" s="52"/>
      <c r="AT135" s="52"/>
      <c r="AU135" s="52"/>
      <c r="AV135" s="53"/>
      <c r="AW135" s="53"/>
    </row>
    <row r="136" spans="2:49" s="61" customFormat="1" x14ac:dyDescent="0.35">
      <c r="B136" s="52" t="s">
        <v>54</v>
      </c>
      <c r="C136" s="52" t="s">
        <v>171</v>
      </c>
      <c r="D136" s="53" t="s">
        <v>57</v>
      </c>
      <c r="E136" s="54" t="s">
        <v>58</v>
      </c>
      <c r="F136" s="52" t="s">
        <v>59</v>
      </c>
      <c r="G136" s="52">
        <v>-20</v>
      </c>
      <c r="H136" s="52" t="s">
        <v>161</v>
      </c>
      <c r="I136" s="52" t="s">
        <v>61</v>
      </c>
      <c r="J136" s="52" t="s">
        <v>62</v>
      </c>
      <c r="K136" s="52" t="s">
        <v>123</v>
      </c>
      <c r="L136" s="52" t="s">
        <v>169</v>
      </c>
      <c r="M136" s="52" t="s">
        <v>91</v>
      </c>
      <c r="N136" s="52" t="s">
        <v>126</v>
      </c>
      <c r="O136" s="52" t="s">
        <v>65</v>
      </c>
      <c r="P136" s="52">
        <v>7.13</v>
      </c>
      <c r="Q136" s="52">
        <v>4.54</v>
      </c>
      <c r="R136" s="52"/>
      <c r="S136" s="52"/>
      <c r="T136" s="55"/>
      <c r="U136" s="52" t="s">
        <v>169</v>
      </c>
      <c r="V136" s="52" t="s">
        <v>66</v>
      </c>
      <c r="W136" s="56" t="s">
        <v>170</v>
      </c>
      <c r="X136" s="52">
        <v>17.87</v>
      </c>
      <c r="Y136" s="52">
        <v>19.47</v>
      </c>
      <c r="Z136" s="52"/>
      <c r="AA136" s="57">
        <f t="shared" si="101"/>
        <v>18.670000000000002</v>
      </c>
      <c r="AB136" s="58">
        <f t="shared" si="91"/>
        <v>5.3622528975452255</v>
      </c>
      <c r="AC136" s="59">
        <f t="shared" si="92"/>
        <v>628027102.74391365</v>
      </c>
      <c r="AD136" s="57">
        <f t="shared" si="102"/>
        <v>13.070585132483219</v>
      </c>
      <c r="AE136" s="52">
        <v>21.05</v>
      </c>
      <c r="AF136" s="52">
        <v>20.92</v>
      </c>
      <c r="AG136" s="52"/>
      <c r="AH136" s="57">
        <f t="shared" si="103"/>
        <v>20.984999999999999</v>
      </c>
      <c r="AI136" s="52">
        <f t="shared" si="93"/>
        <v>2564.8959785587008</v>
      </c>
      <c r="AJ136" s="60">
        <f t="shared" si="87"/>
        <v>512.9791957117402</v>
      </c>
      <c r="AK136" s="52">
        <v>28.02</v>
      </c>
      <c r="AL136" s="52">
        <v>26.79</v>
      </c>
      <c r="AM136" s="52"/>
      <c r="AN136" s="57">
        <f t="shared" si="104"/>
        <v>27.405000000000001</v>
      </c>
      <c r="AO136" s="60">
        <f t="shared" si="95"/>
        <v>4.4788285864507342E-4</v>
      </c>
      <c r="AP136" s="52">
        <f t="shared" si="96"/>
        <v>26528.868469290868</v>
      </c>
      <c r="AQ136" s="60">
        <f t="shared" si="88"/>
        <v>5305.7736938581738</v>
      </c>
      <c r="AR136" s="60">
        <f t="shared" si="97"/>
        <v>10.343058233573398</v>
      </c>
      <c r="AS136" s="52"/>
      <c r="AT136" s="52"/>
      <c r="AU136" s="52"/>
      <c r="AV136" s="53"/>
      <c r="AW136" s="53"/>
    </row>
    <row r="137" spans="2:49" s="93" customFormat="1" x14ac:dyDescent="0.35">
      <c r="B137" s="94" t="s">
        <v>54</v>
      </c>
      <c r="C137" s="94" t="s">
        <v>172</v>
      </c>
      <c r="D137" s="95" t="s">
        <v>57</v>
      </c>
      <c r="E137" s="96" t="s">
        <v>58</v>
      </c>
      <c r="F137" s="94" t="s">
        <v>59</v>
      </c>
      <c r="G137" s="94">
        <v>-20</v>
      </c>
      <c r="H137" s="94" t="s">
        <v>161</v>
      </c>
      <c r="I137" s="94" t="s">
        <v>61</v>
      </c>
      <c r="J137" s="94" t="s">
        <v>62</v>
      </c>
      <c r="K137" s="94" t="s">
        <v>123</v>
      </c>
      <c r="L137" s="94" t="s">
        <v>169</v>
      </c>
      <c r="M137" s="94" t="s">
        <v>91</v>
      </c>
      <c r="N137" s="94" t="s">
        <v>126</v>
      </c>
      <c r="O137" s="94" t="s">
        <v>65</v>
      </c>
      <c r="P137" s="94">
        <v>7.27</v>
      </c>
      <c r="Q137" s="100">
        <v>4.3</v>
      </c>
      <c r="R137" s="94"/>
      <c r="S137" s="94"/>
      <c r="T137" s="97"/>
      <c r="U137" s="94" t="s">
        <v>169</v>
      </c>
      <c r="V137" s="94" t="s">
        <v>66</v>
      </c>
      <c r="W137" s="98" t="s">
        <v>170</v>
      </c>
      <c r="X137" s="94">
        <v>18.850000000000001</v>
      </c>
      <c r="Y137" s="94">
        <v>18.57</v>
      </c>
      <c r="Z137" s="94"/>
      <c r="AA137" s="99">
        <f t="shared" si="101"/>
        <v>18.71</v>
      </c>
      <c r="AB137" s="100">
        <f t="shared" si="91"/>
        <v>5.2205901014864207</v>
      </c>
      <c r="AC137" s="101">
        <f t="shared" si="92"/>
        <v>611435554.92338073</v>
      </c>
      <c r="AD137" s="99">
        <f t="shared" si="102"/>
        <v>12.725279591813949</v>
      </c>
      <c r="AE137" s="100">
        <v>18.899999999999999</v>
      </c>
      <c r="AF137" s="94">
        <v>19.13</v>
      </c>
      <c r="AG137" s="94"/>
      <c r="AH137" s="99">
        <f t="shared" si="103"/>
        <v>19.015000000000001</v>
      </c>
      <c r="AI137" s="94">
        <f t="shared" si="93"/>
        <v>10724.858338971682</v>
      </c>
      <c r="AJ137" s="102">
        <f t="shared" si="87"/>
        <v>2144.9716677943366</v>
      </c>
      <c r="AK137" s="94">
        <v>24.55</v>
      </c>
      <c r="AL137" s="94">
        <v>24.53</v>
      </c>
      <c r="AM137" s="94"/>
      <c r="AN137" s="99">
        <f t="shared" si="104"/>
        <v>24.54</v>
      </c>
      <c r="AO137" s="102">
        <f t="shared" si="95"/>
        <v>2.9790894878629578E-3</v>
      </c>
      <c r="AP137" s="94">
        <f t="shared" si="96"/>
        <v>176456.57040961381</v>
      </c>
      <c r="AQ137" s="102">
        <f t="shared" si="88"/>
        <v>35291.314081922763</v>
      </c>
      <c r="AR137" s="102">
        <f t="shared" si="97"/>
        <v>16.453044397650547</v>
      </c>
      <c r="AS137" s="94"/>
      <c r="AT137" s="94"/>
      <c r="AU137" s="94"/>
      <c r="AV137" s="95"/>
      <c r="AW137" s="95"/>
    </row>
    <row r="138" spans="2:49" x14ac:dyDescent="0.35">
      <c r="B138" s="8"/>
      <c r="C138" s="8"/>
      <c r="D138" s="8" t="s">
        <v>173</v>
      </c>
      <c r="E138" s="8"/>
      <c r="F138" s="8" t="s">
        <v>106</v>
      </c>
      <c r="G138" s="8">
        <v>-80</v>
      </c>
      <c r="H138" s="8"/>
      <c r="I138" s="8"/>
      <c r="J138" s="8"/>
      <c r="K138" s="8"/>
      <c r="L138" s="8"/>
      <c r="M138" s="8" t="s">
        <v>107</v>
      </c>
      <c r="N138" s="8" t="s">
        <v>108</v>
      </c>
      <c r="O138" s="8" t="s">
        <v>108</v>
      </c>
      <c r="P138" s="8" t="s">
        <v>108</v>
      </c>
      <c r="Q138" s="8" t="s">
        <v>108</v>
      </c>
      <c r="R138" s="8"/>
      <c r="S138" s="8"/>
      <c r="T138" s="24"/>
      <c r="U138" s="8" t="s">
        <v>108</v>
      </c>
      <c r="V138" s="8" t="s">
        <v>108</v>
      </c>
      <c r="W138" s="11" t="s">
        <v>170</v>
      </c>
      <c r="X138" s="8">
        <v>15.6</v>
      </c>
      <c r="Y138" s="8">
        <v>15.66</v>
      </c>
      <c r="Z138" s="8"/>
      <c r="AA138" s="21">
        <f t="shared" si="101"/>
        <v>15.629999999999999</v>
      </c>
      <c r="AB138" s="18">
        <f t="shared" si="91"/>
        <v>41.025346938897734</v>
      </c>
      <c r="AC138" s="51">
        <f t="shared" si="92"/>
        <v>4804888965.4001112</v>
      </c>
      <c r="AD138" s="21">
        <f t="shared" si="102"/>
        <v>100</v>
      </c>
      <c r="AE138" s="18">
        <v>24.1</v>
      </c>
      <c r="AF138" s="8">
        <v>24.66</v>
      </c>
      <c r="AG138" s="8"/>
      <c r="AH138" s="21">
        <f t="shared" si="103"/>
        <v>24.380000000000003</v>
      </c>
      <c r="AI138" s="8">
        <f t="shared" si="93"/>
        <v>217.92881705737256</v>
      </c>
      <c r="AJ138" s="60">
        <f t="shared" si="87"/>
        <v>43.58576341147451</v>
      </c>
      <c r="AK138" s="8">
        <v>26.97</v>
      </c>
      <c r="AL138" s="8">
        <v>28.35</v>
      </c>
      <c r="AM138" s="8"/>
      <c r="AN138" s="21">
        <f t="shared" si="104"/>
        <v>27.66</v>
      </c>
      <c r="AO138" s="19">
        <f t="shared" si="95"/>
        <v>3.7837316904506618E-4</v>
      </c>
      <c r="AP138" s="8">
        <f t="shared" si="96"/>
        <v>22411.690557373673</v>
      </c>
      <c r="AQ138" s="60">
        <f t="shared" si="88"/>
        <v>4482.3381114747344</v>
      </c>
      <c r="AR138" s="19">
        <f t="shared" si="97"/>
        <v>102.83949988804605</v>
      </c>
      <c r="AS138" s="8"/>
      <c r="AT138" s="8"/>
      <c r="AU138" s="8"/>
      <c r="AV138" s="9"/>
      <c r="AW138" s="9"/>
    </row>
    <row r="139" spans="2:49" x14ac:dyDescent="0.3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1"/>
      <c r="X139" s="8"/>
      <c r="Y139" s="8"/>
      <c r="Z139" s="8"/>
      <c r="AA139" s="8"/>
      <c r="AB139" s="18"/>
      <c r="AC139" s="8"/>
      <c r="AD139" s="8"/>
      <c r="AE139" s="8"/>
      <c r="AF139" s="8"/>
      <c r="AG139" s="8"/>
      <c r="AH139" s="8"/>
      <c r="AI139" s="8"/>
      <c r="AJ139" s="60">
        <f t="shared" si="87"/>
        <v>0</v>
      </c>
      <c r="AK139" s="8"/>
      <c r="AL139" s="8"/>
      <c r="AM139" s="8"/>
      <c r="AN139" s="8"/>
      <c r="AO139" s="8"/>
      <c r="AP139" s="8"/>
      <c r="AQ139" s="60">
        <f t="shared" si="88"/>
        <v>0</v>
      </c>
      <c r="AR139" s="19"/>
      <c r="AS139" s="8"/>
      <c r="AT139" s="8"/>
      <c r="AU139" s="8"/>
      <c r="AV139" s="9"/>
      <c r="AW139" s="9"/>
    </row>
    <row r="140" spans="2:49" s="122" customFormat="1" x14ac:dyDescent="0.35">
      <c r="B140" s="123" t="s">
        <v>54</v>
      </c>
      <c r="C140" s="123" t="s">
        <v>161</v>
      </c>
      <c r="D140" s="123" t="s">
        <v>57</v>
      </c>
      <c r="E140" s="153" t="s">
        <v>58</v>
      </c>
      <c r="F140" s="123" t="s">
        <v>59</v>
      </c>
      <c r="G140" s="123">
        <v>-20</v>
      </c>
      <c r="H140" s="123" t="s">
        <v>170</v>
      </c>
      <c r="I140" s="123" t="s">
        <v>61</v>
      </c>
      <c r="J140" s="123" t="s">
        <v>62</v>
      </c>
      <c r="K140" s="123" t="s">
        <v>123</v>
      </c>
      <c r="L140" s="123" t="s">
        <v>174</v>
      </c>
      <c r="M140" s="123" t="s">
        <v>91</v>
      </c>
      <c r="N140" s="123" t="s">
        <v>92</v>
      </c>
      <c r="O140" s="123" t="s">
        <v>65</v>
      </c>
      <c r="P140" s="130">
        <v>7.3</v>
      </c>
      <c r="Q140" s="123">
        <v>3.73</v>
      </c>
      <c r="R140" s="123"/>
      <c r="S140" s="123"/>
      <c r="T140" s="123"/>
      <c r="U140" s="123" t="s">
        <v>175</v>
      </c>
      <c r="V140" s="123" t="s">
        <v>66</v>
      </c>
      <c r="W140" s="152" t="s">
        <v>175</v>
      </c>
      <c r="X140" s="123">
        <v>18.07</v>
      </c>
      <c r="Y140" s="123">
        <v>18.43</v>
      </c>
      <c r="Z140" s="123"/>
      <c r="AA140" s="129">
        <f t="shared" si="101"/>
        <v>18.25</v>
      </c>
      <c r="AB140" s="130">
        <f t="shared" si="91"/>
        <v>7.1029394220165614</v>
      </c>
      <c r="AC140" s="131">
        <f t="shared" si="92"/>
        <v>831896322.57305634</v>
      </c>
      <c r="AD140" s="129">
        <f>AC140*100/AC$144</f>
        <v>39.046053397005849</v>
      </c>
      <c r="AE140" s="123">
        <v>18.670000000000002</v>
      </c>
      <c r="AF140" s="123">
        <v>18.93</v>
      </c>
      <c r="AG140" s="123"/>
      <c r="AH140" s="129">
        <f t="shared" si="103"/>
        <v>18.8</v>
      </c>
      <c r="AI140" s="123">
        <f t="shared" si="93"/>
        <v>12537.207022570268</v>
      </c>
      <c r="AJ140" s="132">
        <f t="shared" si="87"/>
        <v>2507.4414045140538</v>
      </c>
      <c r="AK140" s="123">
        <v>30.48</v>
      </c>
      <c r="AL140" s="123">
        <v>30.55</v>
      </c>
      <c r="AM140" s="123"/>
      <c r="AN140" s="129">
        <f t="shared" si="104"/>
        <v>30.515000000000001</v>
      </c>
      <c r="AO140" s="132">
        <f t="shared" si="95"/>
        <v>5.7262926944737332E-5</v>
      </c>
      <c r="AP140" s="123">
        <f t="shared" si="96"/>
        <v>3391.781194036233</v>
      </c>
      <c r="AQ140" s="132">
        <f t="shared" si="88"/>
        <v>678.35623880724665</v>
      </c>
      <c r="AR140" s="132">
        <f t="shared" si="97"/>
        <v>0.27053722475270092</v>
      </c>
      <c r="AS140" s="123"/>
      <c r="AT140" s="123"/>
      <c r="AU140" s="123"/>
      <c r="AV140" s="133"/>
      <c r="AW140" s="133"/>
    </row>
    <row r="141" spans="2:49" s="122" customFormat="1" x14ac:dyDescent="0.35">
      <c r="B141" s="123" t="s">
        <v>54</v>
      </c>
      <c r="C141" s="123" t="s">
        <v>169</v>
      </c>
      <c r="D141" s="123" t="s">
        <v>57</v>
      </c>
      <c r="E141" s="153" t="s">
        <v>58</v>
      </c>
      <c r="F141" s="123" t="s">
        <v>59</v>
      </c>
      <c r="G141" s="123">
        <v>-20</v>
      </c>
      <c r="H141" s="123" t="s">
        <v>170</v>
      </c>
      <c r="I141" s="123" t="s">
        <v>61</v>
      </c>
      <c r="J141" s="123" t="s">
        <v>62</v>
      </c>
      <c r="K141" s="123" t="s">
        <v>123</v>
      </c>
      <c r="L141" s="123" t="s">
        <v>174</v>
      </c>
      <c r="M141" s="123" t="s">
        <v>91</v>
      </c>
      <c r="N141" s="123" t="s">
        <v>92</v>
      </c>
      <c r="O141" s="123" t="s">
        <v>65</v>
      </c>
      <c r="P141" s="123">
        <v>7.31</v>
      </c>
      <c r="Q141" s="123">
        <v>3.74</v>
      </c>
      <c r="R141" s="123"/>
      <c r="S141" s="123"/>
      <c r="T141" s="123"/>
      <c r="U141" s="123" t="s">
        <v>175</v>
      </c>
      <c r="V141" s="123" t="s">
        <v>66</v>
      </c>
      <c r="W141" s="152" t="s">
        <v>175</v>
      </c>
      <c r="X141" s="123">
        <v>18.670000000000002</v>
      </c>
      <c r="Y141" s="123">
        <v>18.55</v>
      </c>
      <c r="Z141" s="123"/>
      <c r="AA141" s="129">
        <f t="shared" si="101"/>
        <v>18.61</v>
      </c>
      <c r="AB141" s="130">
        <f t="shared" si="91"/>
        <v>5.5819872224635017</v>
      </c>
      <c r="AC141" s="131">
        <f t="shared" si="92"/>
        <v>653762388.65610719</v>
      </c>
      <c r="AD141" s="129">
        <f t="shared" ref="AD141:AD144" si="105">AC141*100/AC$144</f>
        <v>30.685123186343581</v>
      </c>
      <c r="AE141" s="123">
        <v>19.25</v>
      </c>
      <c r="AF141" s="123">
        <v>18.84</v>
      </c>
      <c r="AG141" s="123"/>
      <c r="AH141" s="129">
        <f t="shared" si="103"/>
        <v>19.045000000000002</v>
      </c>
      <c r="AI141" s="123">
        <f t="shared" si="93"/>
        <v>10493.728194229652</v>
      </c>
      <c r="AJ141" s="132">
        <f t="shared" si="87"/>
        <v>2098.7456388459304</v>
      </c>
      <c r="AK141" s="123">
        <v>31.09</v>
      </c>
      <c r="AL141" s="123">
        <v>31.11</v>
      </c>
      <c r="AM141" s="123"/>
      <c r="AN141" s="129">
        <f t="shared" si="104"/>
        <v>31.1</v>
      </c>
      <c r="AO141" s="132">
        <f t="shared" si="95"/>
        <v>3.8890447433373855E-5</v>
      </c>
      <c r="AP141" s="123">
        <f t="shared" si="96"/>
        <v>2303.5477798658867</v>
      </c>
      <c r="AQ141" s="132">
        <f t="shared" si="88"/>
        <v>460.70955597317732</v>
      </c>
      <c r="AR141" s="132">
        <f t="shared" si="97"/>
        <v>0.21951662338010372</v>
      </c>
      <c r="AS141" s="123"/>
      <c r="AT141" s="123"/>
      <c r="AU141" s="123"/>
      <c r="AV141" s="133"/>
      <c r="AW141" s="133"/>
    </row>
    <row r="142" spans="2:49" s="61" customFormat="1" x14ac:dyDescent="0.35">
      <c r="B142" s="52" t="s">
        <v>54</v>
      </c>
      <c r="C142" s="52" t="s">
        <v>161</v>
      </c>
      <c r="D142" s="52" t="s">
        <v>57</v>
      </c>
      <c r="E142" s="54" t="s">
        <v>58</v>
      </c>
      <c r="F142" s="52" t="s">
        <v>59</v>
      </c>
      <c r="G142" s="52">
        <v>-20</v>
      </c>
      <c r="H142" s="52" t="s">
        <v>170</v>
      </c>
      <c r="I142" s="52" t="s">
        <v>61</v>
      </c>
      <c r="J142" s="52" t="s">
        <v>62</v>
      </c>
      <c r="K142" s="52" t="s">
        <v>123</v>
      </c>
      <c r="L142" s="52" t="s">
        <v>174</v>
      </c>
      <c r="M142" s="52" t="s">
        <v>91</v>
      </c>
      <c r="N142" s="52" t="s">
        <v>92</v>
      </c>
      <c r="O142" s="52" t="s">
        <v>65</v>
      </c>
      <c r="P142" s="52">
        <v>7.46</v>
      </c>
      <c r="Q142" s="52">
        <v>4.26</v>
      </c>
      <c r="R142" s="52"/>
      <c r="S142" s="52"/>
      <c r="T142" s="52"/>
      <c r="U142" s="52" t="s">
        <v>175</v>
      </c>
      <c r="V142" s="52" t="s">
        <v>66</v>
      </c>
      <c r="W142" s="56" t="s">
        <v>175</v>
      </c>
      <c r="X142" s="52">
        <v>19.22</v>
      </c>
      <c r="Y142" s="52">
        <v>19.25</v>
      </c>
      <c r="Z142" s="52"/>
      <c r="AA142" s="57">
        <f t="shared" si="101"/>
        <v>19.234999999999999</v>
      </c>
      <c r="AB142" s="58">
        <f t="shared" si="91"/>
        <v>3.673720171203922</v>
      </c>
      <c r="AC142" s="59">
        <f t="shared" si="92"/>
        <v>430266136.1737116</v>
      </c>
      <c r="AD142" s="57">
        <f t="shared" si="105"/>
        <v>20.195058052425463</v>
      </c>
      <c r="AE142" s="52">
        <v>20.04</v>
      </c>
      <c r="AF142" s="52">
        <v>19.510000000000002</v>
      </c>
      <c r="AG142" s="52"/>
      <c r="AH142" s="57">
        <f t="shared" si="103"/>
        <v>19.774999999999999</v>
      </c>
      <c r="AI142" s="52">
        <f t="shared" si="93"/>
        <v>6175.8083618401661</v>
      </c>
      <c r="AJ142" s="60">
        <f t="shared" si="87"/>
        <v>1235.1616723680331</v>
      </c>
      <c r="AK142" s="52">
        <v>31.36</v>
      </c>
      <c r="AL142" s="52">
        <v>31.15</v>
      </c>
      <c r="AM142" s="52"/>
      <c r="AN142" s="57">
        <f t="shared" si="104"/>
        <v>31.254999999999999</v>
      </c>
      <c r="AO142" s="60">
        <f t="shared" si="95"/>
        <v>3.510120378276991E-5</v>
      </c>
      <c r="AP142" s="52">
        <f t="shared" si="96"/>
        <v>2079.1043914560869</v>
      </c>
      <c r="AQ142" s="60">
        <f t="shared" si="88"/>
        <v>415.82087829121735</v>
      </c>
      <c r="AR142" s="60">
        <f t="shared" si="97"/>
        <v>0.33665299660247061</v>
      </c>
      <c r="AS142" s="52"/>
      <c r="AT142" s="52"/>
      <c r="AU142" s="52"/>
      <c r="AV142" s="53"/>
      <c r="AW142" s="53"/>
    </row>
    <row r="143" spans="2:49" s="61" customFormat="1" x14ac:dyDescent="0.35">
      <c r="B143" s="52" t="s">
        <v>54</v>
      </c>
      <c r="C143" s="52" t="s">
        <v>169</v>
      </c>
      <c r="D143" s="52" t="s">
        <v>57</v>
      </c>
      <c r="E143" s="54" t="s">
        <v>58</v>
      </c>
      <c r="F143" s="52" t="s">
        <v>59</v>
      </c>
      <c r="G143" s="52">
        <v>-20</v>
      </c>
      <c r="H143" s="52" t="s">
        <v>170</v>
      </c>
      <c r="I143" s="52" t="s">
        <v>61</v>
      </c>
      <c r="J143" s="52" t="s">
        <v>62</v>
      </c>
      <c r="K143" s="52" t="s">
        <v>123</v>
      </c>
      <c r="L143" s="52" t="s">
        <v>174</v>
      </c>
      <c r="M143" s="52" t="s">
        <v>91</v>
      </c>
      <c r="N143" s="52" t="s">
        <v>92</v>
      </c>
      <c r="O143" s="52" t="s">
        <v>65</v>
      </c>
      <c r="P143" s="52">
        <v>6.79</v>
      </c>
      <c r="Q143" s="52">
        <v>4.4800000000000004</v>
      </c>
      <c r="R143" s="52"/>
      <c r="S143" s="52"/>
      <c r="T143" s="52"/>
      <c r="U143" s="52" t="s">
        <v>175</v>
      </c>
      <c r="V143" s="52" t="s">
        <v>66</v>
      </c>
      <c r="W143" s="56" t="s">
        <v>175</v>
      </c>
      <c r="X143" s="58">
        <v>23.5</v>
      </c>
      <c r="Y143" s="52">
        <v>23.26</v>
      </c>
      <c r="Z143" s="52"/>
      <c r="AA143" s="57">
        <f t="shared" si="101"/>
        <v>23.380000000000003</v>
      </c>
      <c r="AB143" s="58">
        <f t="shared" si="91"/>
        <v>0.22918488610032423</v>
      </c>
      <c r="AC143" s="59">
        <f t="shared" si="92"/>
        <v>26842135.714294985</v>
      </c>
      <c r="AD143" s="57">
        <f t="shared" si="105"/>
        <v>1.2598678897249223</v>
      </c>
      <c r="AE143" s="52">
        <v>21.31</v>
      </c>
      <c r="AF143" s="52">
        <v>21.46</v>
      </c>
      <c r="AG143" s="52"/>
      <c r="AH143" s="57">
        <f t="shared" si="103"/>
        <v>21.384999999999998</v>
      </c>
      <c r="AI143" s="52">
        <f t="shared" si="93"/>
        <v>1918.2846181265438</v>
      </c>
      <c r="AJ143" s="60">
        <f t="shared" si="87"/>
        <v>383.65692362530876</v>
      </c>
      <c r="AK143" s="52">
        <v>32.26</v>
      </c>
      <c r="AL143" s="52">
        <v>32.11</v>
      </c>
      <c r="AM143" s="52"/>
      <c r="AN143" s="57">
        <f t="shared" si="104"/>
        <v>32.185000000000002</v>
      </c>
      <c r="AO143" s="60">
        <f t="shared" si="95"/>
        <v>1.8975640176599252E-5</v>
      </c>
      <c r="AP143" s="52">
        <f t="shared" si="96"/>
        <v>1123.9596529513894</v>
      </c>
      <c r="AQ143" s="60">
        <f t="shared" si="88"/>
        <v>224.7919305902779</v>
      </c>
      <c r="AR143" s="60">
        <f t="shared" si="97"/>
        <v>0.58591912916920708</v>
      </c>
      <c r="AS143" s="52"/>
      <c r="AT143" s="52"/>
      <c r="AU143" s="52"/>
      <c r="AV143" s="53"/>
      <c r="AW143" s="53"/>
    </row>
    <row r="144" spans="2:49" x14ac:dyDescent="0.35">
      <c r="B144" s="8"/>
      <c r="C144" s="8"/>
      <c r="D144" s="8" t="s">
        <v>173</v>
      </c>
      <c r="E144" s="8"/>
      <c r="F144" s="8" t="s">
        <v>106</v>
      </c>
      <c r="G144" s="8">
        <v>-80</v>
      </c>
      <c r="H144" s="8"/>
      <c r="I144" s="8"/>
      <c r="J144" s="8"/>
      <c r="K144" s="8"/>
      <c r="L144" s="8"/>
      <c r="M144" s="8" t="s">
        <v>107</v>
      </c>
      <c r="N144" s="8" t="s">
        <v>108</v>
      </c>
      <c r="O144" s="8" t="s">
        <v>108</v>
      </c>
      <c r="P144" s="8" t="s">
        <v>108</v>
      </c>
      <c r="Q144" s="8" t="s">
        <v>108</v>
      </c>
      <c r="R144" s="8"/>
      <c r="S144" s="8"/>
      <c r="T144" s="8"/>
      <c r="U144" s="8" t="s">
        <v>175</v>
      </c>
      <c r="V144" s="8" t="s">
        <v>66</v>
      </c>
      <c r="W144" s="11" t="s">
        <v>175</v>
      </c>
      <c r="X144" s="8">
        <v>16.91</v>
      </c>
      <c r="Y144" s="8">
        <v>16.78</v>
      </c>
      <c r="Z144" s="8"/>
      <c r="AA144" s="21">
        <f t="shared" si="101"/>
        <v>16.844999999999999</v>
      </c>
      <c r="AB144" s="18">
        <f t="shared" si="91"/>
        <v>18.19118400980631</v>
      </c>
      <c r="AC144" s="51">
        <f t="shared" si="92"/>
        <v>2130551618.4046614</v>
      </c>
      <c r="AD144" s="21">
        <f t="shared" si="105"/>
        <v>100</v>
      </c>
      <c r="AE144" s="8">
        <v>26.75</v>
      </c>
      <c r="AF144" s="8">
        <v>26.82</v>
      </c>
      <c r="AG144" s="8"/>
      <c r="AH144" s="21">
        <f t="shared" si="103"/>
        <v>26.785</v>
      </c>
      <c r="AI144" s="8">
        <f t="shared" si="93"/>
        <v>38.001210336019248</v>
      </c>
      <c r="AJ144" s="60">
        <f t="shared" si="87"/>
        <v>7.6002420672038493</v>
      </c>
      <c r="AK144" s="18">
        <v>31.9</v>
      </c>
      <c r="AL144" s="8">
        <v>32.32</v>
      </c>
      <c r="AM144" s="8"/>
      <c r="AN144" s="21">
        <f t="shared" si="104"/>
        <v>32.11</v>
      </c>
      <c r="AO144" s="19">
        <f t="shared" si="95"/>
        <v>1.994062753521889E-5</v>
      </c>
      <c r="AP144" s="8">
        <f t="shared" si="96"/>
        <v>1181.1175062097022</v>
      </c>
      <c r="AQ144" s="60">
        <f t="shared" si="88"/>
        <v>236.22350124194045</v>
      </c>
      <c r="AR144" s="19">
        <f t="shared" si="97"/>
        <v>31.081049676204294</v>
      </c>
      <c r="AS144" s="8"/>
      <c r="AT144" s="8"/>
      <c r="AU144" s="8"/>
      <c r="AV144" s="9"/>
      <c r="AW144" s="9"/>
    </row>
    <row r="145" spans="2:49" x14ac:dyDescent="0.3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1"/>
      <c r="X145" s="8"/>
      <c r="Y145" s="8"/>
      <c r="Z145" s="8"/>
      <c r="AA145" s="8"/>
      <c r="AB145" s="18"/>
      <c r="AC145" s="51"/>
      <c r="AD145" s="8"/>
      <c r="AE145" s="8"/>
      <c r="AF145" s="8"/>
      <c r="AG145" s="8"/>
      <c r="AH145" s="8"/>
      <c r="AI145" s="8"/>
      <c r="AJ145" s="60">
        <f t="shared" si="87"/>
        <v>0</v>
      </c>
      <c r="AK145" s="8"/>
      <c r="AL145" s="8"/>
      <c r="AM145" s="8"/>
      <c r="AN145" s="8"/>
      <c r="AO145" s="19"/>
      <c r="AP145" s="8"/>
      <c r="AQ145" s="60">
        <f t="shared" si="88"/>
        <v>0</v>
      </c>
      <c r="AR145" s="19"/>
      <c r="AS145" s="8"/>
      <c r="AT145" s="8"/>
      <c r="AU145" s="8"/>
      <c r="AV145" s="9"/>
      <c r="AW145" s="9"/>
    </row>
    <row r="146" spans="2:49" s="61" customFormat="1" x14ac:dyDescent="0.35">
      <c r="B146" s="52" t="s">
        <v>54</v>
      </c>
      <c r="C146" s="52" t="s">
        <v>170</v>
      </c>
      <c r="D146" s="52" t="s">
        <v>57</v>
      </c>
      <c r="E146" s="54" t="s">
        <v>58</v>
      </c>
      <c r="F146" s="52" t="s">
        <v>59</v>
      </c>
      <c r="G146" s="52">
        <v>-20</v>
      </c>
      <c r="H146" s="52" t="s">
        <v>176</v>
      </c>
      <c r="I146" s="52" t="s">
        <v>61</v>
      </c>
      <c r="J146" s="52" t="s">
        <v>62</v>
      </c>
      <c r="K146" s="52" t="s">
        <v>123</v>
      </c>
      <c r="L146" s="52" t="s">
        <v>176</v>
      </c>
      <c r="M146" s="52" t="s">
        <v>91</v>
      </c>
      <c r="N146" s="52" t="s">
        <v>92</v>
      </c>
      <c r="O146" s="52" t="s">
        <v>65</v>
      </c>
      <c r="P146" s="58">
        <v>7</v>
      </c>
      <c r="Q146" s="52">
        <v>4.4800000000000004</v>
      </c>
      <c r="R146" s="52"/>
      <c r="S146" s="52"/>
      <c r="T146" s="52"/>
      <c r="U146" s="52" t="s">
        <v>175</v>
      </c>
      <c r="V146" s="52" t="s">
        <v>66</v>
      </c>
      <c r="W146" s="56" t="s">
        <v>175</v>
      </c>
      <c r="X146" s="52">
        <v>20.16</v>
      </c>
      <c r="Y146" s="52">
        <v>20.03</v>
      </c>
      <c r="Z146" s="52"/>
      <c r="AA146" s="57">
        <f t="shared" si="101"/>
        <v>20.094999999999999</v>
      </c>
      <c r="AB146" s="58">
        <f t="shared" si="91"/>
        <v>2.0659061473445002</v>
      </c>
      <c r="AC146" s="59">
        <f t="shared" si="92"/>
        <v>241958944.69124383</v>
      </c>
      <c r="AD146" s="57">
        <f>AC146*100/AC$150</f>
        <v>10.909581111492347</v>
      </c>
      <c r="AE146" s="52">
        <v>19.829999999999998</v>
      </c>
      <c r="AF146" s="52">
        <v>20.47</v>
      </c>
      <c r="AG146" s="52"/>
      <c r="AH146" s="57">
        <f t="shared" si="103"/>
        <v>20.149999999999999</v>
      </c>
      <c r="AI146" s="52">
        <f t="shared" si="93"/>
        <v>4703.5080694834223</v>
      </c>
      <c r="AJ146" s="60">
        <f t="shared" si="87"/>
        <v>940.70161389668442</v>
      </c>
      <c r="AK146" s="52">
        <v>31.44</v>
      </c>
      <c r="AL146" s="52">
        <v>31.69</v>
      </c>
      <c r="AM146" s="52"/>
      <c r="AN146" s="57">
        <f t="shared" si="104"/>
        <v>31.565000000000001</v>
      </c>
      <c r="AO146" s="60">
        <f t="shared" si="95"/>
        <v>2.8594344990284266E-5</v>
      </c>
      <c r="AP146" s="52">
        <f t="shared" si="96"/>
        <v>1693.6920057793814</v>
      </c>
      <c r="AQ146" s="60">
        <f t="shared" si="88"/>
        <v>338.73840115587626</v>
      </c>
      <c r="AR146" s="60">
        <f t="shared" si="97"/>
        <v>0.36009122994135662</v>
      </c>
      <c r="AS146" s="52"/>
      <c r="AT146" s="52"/>
      <c r="AU146" s="52"/>
      <c r="AV146" s="53"/>
      <c r="AW146" s="53"/>
    </row>
    <row r="147" spans="2:49" s="61" customFormat="1" x14ac:dyDescent="0.35">
      <c r="B147" s="52" t="s">
        <v>54</v>
      </c>
      <c r="C147" s="52" t="s">
        <v>174</v>
      </c>
      <c r="D147" s="52" t="s">
        <v>57</v>
      </c>
      <c r="E147" s="54" t="s">
        <v>58</v>
      </c>
      <c r="F147" s="52" t="s">
        <v>59</v>
      </c>
      <c r="G147" s="52">
        <v>-20</v>
      </c>
      <c r="H147" s="52" t="s">
        <v>176</v>
      </c>
      <c r="I147" s="52" t="s">
        <v>61</v>
      </c>
      <c r="J147" s="52" t="s">
        <v>62</v>
      </c>
      <c r="K147" s="52" t="s">
        <v>123</v>
      </c>
      <c r="L147" s="52" t="s">
        <v>176</v>
      </c>
      <c r="M147" s="52" t="s">
        <v>91</v>
      </c>
      <c r="N147" s="52" t="s">
        <v>92</v>
      </c>
      <c r="O147" s="52" t="s">
        <v>65</v>
      </c>
      <c r="P147" s="58">
        <v>7</v>
      </c>
      <c r="Q147" s="52">
        <v>4.2699999999999996</v>
      </c>
      <c r="R147" s="52"/>
      <c r="S147" s="52"/>
      <c r="T147" s="52"/>
      <c r="U147" s="52" t="s">
        <v>175</v>
      </c>
      <c r="V147" s="52" t="s">
        <v>66</v>
      </c>
      <c r="W147" s="56" t="s">
        <v>175</v>
      </c>
      <c r="X147" s="52">
        <v>19.260000000000002</v>
      </c>
      <c r="Y147" s="52">
        <v>19.22</v>
      </c>
      <c r="Z147" s="52"/>
      <c r="AA147" s="57">
        <f t="shared" si="101"/>
        <v>19.240000000000002</v>
      </c>
      <c r="AB147" s="58">
        <f t="shared" si="91"/>
        <v>3.6614458085311248</v>
      </c>
      <c r="AC147" s="59">
        <f t="shared" si="92"/>
        <v>428828562.7181676</v>
      </c>
      <c r="AD147" s="57">
        <f t="shared" ref="AD147:AD150" si="106">AC147*100/AC$150</f>
        <v>19.335263649246009</v>
      </c>
      <c r="AE147" s="52">
        <v>19.68</v>
      </c>
      <c r="AF147" s="52">
        <v>19.28</v>
      </c>
      <c r="AG147" s="52"/>
      <c r="AH147" s="57">
        <f t="shared" si="103"/>
        <v>19.48</v>
      </c>
      <c r="AI147" s="52">
        <f t="shared" si="93"/>
        <v>7651.2851288664251</v>
      </c>
      <c r="AJ147" s="60">
        <f t="shared" si="87"/>
        <v>1530.257025773285</v>
      </c>
      <c r="AK147" s="58">
        <v>30.6</v>
      </c>
      <c r="AL147" s="52">
        <v>30.13</v>
      </c>
      <c r="AM147" s="52"/>
      <c r="AN147" s="57">
        <f t="shared" si="104"/>
        <v>30.365000000000002</v>
      </c>
      <c r="AO147" s="60">
        <f t="shared" si="95"/>
        <v>6.3235115023402302E-5</v>
      </c>
      <c r="AP147" s="52">
        <f t="shared" si="96"/>
        <v>3745.5241180053836</v>
      </c>
      <c r="AQ147" s="60">
        <f t="shared" si="88"/>
        <v>749.10482360107676</v>
      </c>
      <c r="AR147" s="60">
        <f t="shared" si="97"/>
        <v>0.4895287595379812</v>
      </c>
      <c r="AS147" s="52"/>
      <c r="AT147" s="52"/>
      <c r="AU147" s="52"/>
      <c r="AV147" s="53"/>
      <c r="AW147" s="53"/>
    </row>
    <row r="148" spans="2:49" s="122" customFormat="1" x14ac:dyDescent="0.35">
      <c r="B148" s="123" t="s">
        <v>54</v>
      </c>
      <c r="C148" s="123" t="s">
        <v>170</v>
      </c>
      <c r="D148" s="123" t="s">
        <v>57</v>
      </c>
      <c r="E148" s="153" t="s">
        <v>58</v>
      </c>
      <c r="F148" s="123" t="s">
        <v>59</v>
      </c>
      <c r="G148" s="123">
        <v>-20</v>
      </c>
      <c r="H148" s="123" t="s">
        <v>176</v>
      </c>
      <c r="I148" s="123" t="s">
        <v>61</v>
      </c>
      <c r="J148" s="123" t="s">
        <v>62</v>
      </c>
      <c r="K148" s="123" t="s">
        <v>123</v>
      </c>
      <c r="L148" s="123" t="s">
        <v>176</v>
      </c>
      <c r="M148" s="123" t="s">
        <v>91</v>
      </c>
      <c r="N148" s="123" t="s">
        <v>92</v>
      </c>
      <c r="O148" s="123" t="s">
        <v>65</v>
      </c>
      <c r="P148" s="130">
        <v>7</v>
      </c>
      <c r="Q148" s="123">
        <v>3.85</v>
      </c>
      <c r="R148" s="123"/>
      <c r="S148" s="123"/>
      <c r="T148" s="123"/>
      <c r="U148" s="123" t="s">
        <v>175</v>
      </c>
      <c r="V148" s="123" t="s">
        <v>66</v>
      </c>
      <c r="W148" s="152" t="s">
        <v>175</v>
      </c>
      <c r="X148" s="123" t="s">
        <v>95</v>
      </c>
      <c r="Y148" s="156">
        <v>18.84</v>
      </c>
      <c r="Z148" s="123"/>
      <c r="AA148" s="129">
        <f t="shared" si="101"/>
        <v>18.84</v>
      </c>
      <c r="AB148" s="130">
        <f t="shared" si="91"/>
        <v>4.7855249016260393</v>
      </c>
      <c r="AC148" s="131">
        <f t="shared" si="92"/>
        <v>560480715.19582891</v>
      </c>
      <c r="AD148" s="129">
        <f t="shared" si="106"/>
        <v>25.271270015079615</v>
      </c>
      <c r="AE148" s="123">
        <v>19.22</v>
      </c>
      <c r="AF148" s="123">
        <v>19.05</v>
      </c>
      <c r="AG148" s="123"/>
      <c r="AH148" s="129">
        <f t="shared" si="103"/>
        <v>19.134999999999998</v>
      </c>
      <c r="AI148" s="123">
        <f t="shared" si="93"/>
        <v>9829.7970379702401</v>
      </c>
      <c r="AJ148" s="132">
        <f t="shared" si="87"/>
        <v>1965.9594075940481</v>
      </c>
      <c r="AK148" s="123">
        <v>34.26</v>
      </c>
      <c r="AL148" s="123">
        <v>30.79</v>
      </c>
      <c r="AM148" s="123"/>
      <c r="AN148" s="129">
        <f t="shared" si="104"/>
        <v>32.524999999999999</v>
      </c>
      <c r="AO148" s="132">
        <f t="shared" si="95"/>
        <v>1.5154360854873317E-5</v>
      </c>
      <c r="AP148" s="123">
        <f t="shared" si="96"/>
        <v>897.61873689766117</v>
      </c>
      <c r="AQ148" s="132">
        <f t="shared" si="88"/>
        <v>179.52374737953224</v>
      </c>
      <c r="AR148" s="132">
        <f t="shared" si="97"/>
        <v>9.1316100773023781E-2</v>
      </c>
      <c r="AS148" s="123"/>
      <c r="AT148" s="123"/>
      <c r="AU148" s="123"/>
      <c r="AV148" s="133"/>
      <c r="AW148" s="133"/>
    </row>
    <row r="149" spans="2:49" s="122" customFormat="1" x14ac:dyDescent="0.35">
      <c r="B149" s="123" t="s">
        <v>54</v>
      </c>
      <c r="C149" s="123" t="s">
        <v>170</v>
      </c>
      <c r="D149" s="123" t="s">
        <v>57</v>
      </c>
      <c r="E149" s="153" t="s">
        <v>58</v>
      </c>
      <c r="F149" s="123" t="s">
        <v>59</v>
      </c>
      <c r="G149" s="123">
        <v>-20</v>
      </c>
      <c r="H149" s="123" t="s">
        <v>176</v>
      </c>
      <c r="I149" s="123" t="s">
        <v>61</v>
      </c>
      <c r="J149" s="123" t="s">
        <v>62</v>
      </c>
      <c r="K149" s="123" t="s">
        <v>123</v>
      </c>
      <c r="L149" s="123" t="s">
        <v>176</v>
      </c>
      <c r="M149" s="123" t="s">
        <v>91</v>
      </c>
      <c r="N149" s="123" t="s">
        <v>92</v>
      </c>
      <c r="O149" s="123" t="s">
        <v>65</v>
      </c>
      <c r="P149" s="130">
        <v>7</v>
      </c>
      <c r="Q149" s="123">
        <v>3.83</v>
      </c>
      <c r="R149" s="123"/>
      <c r="S149" s="123"/>
      <c r="T149" s="123"/>
      <c r="U149" s="123" t="s">
        <v>175</v>
      </c>
      <c r="V149" s="123" t="s">
        <v>66</v>
      </c>
      <c r="W149" s="152" t="s">
        <v>175</v>
      </c>
      <c r="X149" s="130">
        <v>18.600000000000001</v>
      </c>
      <c r="Y149" s="123">
        <v>18.46</v>
      </c>
      <c r="Z149" s="123"/>
      <c r="AA149" s="129">
        <f t="shared" si="101"/>
        <v>18.53</v>
      </c>
      <c r="AB149" s="130">
        <f t="shared" si="91"/>
        <v>5.889036308832571</v>
      </c>
      <c r="AC149" s="131">
        <f t="shared" si="92"/>
        <v>689723980.13583958</v>
      </c>
      <c r="AD149" s="129">
        <f t="shared" si="106"/>
        <v>31.098663103507835</v>
      </c>
      <c r="AE149" s="123">
        <v>18.11</v>
      </c>
      <c r="AF149" s="123">
        <v>18.260000000000002</v>
      </c>
      <c r="AG149" s="123"/>
      <c r="AH149" s="129">
        <f t="shared" si="103"/>
        <v>18.185000000000002</v>
      </c>
      <c r="AI149" s="123">
        <f t="shared" si="93"/>
        <v>19595.96893704301</v>
      </c>
      <c r="AJ149" s="132">
        <f t="shared" si="87"/>
        <v>3919.193787408602</v>
      </c>
      <c r="AK149" s="123">
        <v>32.17</v>
      </c>
      <c r="AL149" s="123">
        <v>31.54</v>
      </c>
      <c r="AM149" s="123"/>
      <c r="AN149" s="129">
        <f t="shared" si="104"/>
        <v>31.855</v>
      </c>
      <c r="AO149" s="132">
        <f t="shared" si="95"/>
        <v>2.3603854591990748E-5</v>
      </c>
      <c r="AP149" s="123">
        <f t="shared" si="96"/>
        <v>1398.0967160330902</v>
      </c>
      <c r="AQ149" s="132">
        <f t="shared" si="88"/>
        <v>279.61934320661805</v>
      </c>
      <c r="AR149" s="132">
        <f t="shared" si="97"/>
        <v>7.1346138612733492E-2</v>
      </c>
      <c r="AS149" s="123"/>
      <c r="AT149" s="123"/>
      <c r="AU149" s="123"/>
      <c r="AV149" s="133"/>
      <c r="AW149" s="133"/>
    </row>
    <row r="150" spans="2:49" x14ac:dyDescent="0.35">
      <c r="B150" s="8"/>
      <c r="C150" s="8"/>
      <c r="D150" s="8" t="s">
        <v>105</v>
      </c>
      <c r="E150" s="8" t="s">
        <v>108</v>
      </c>
      <c r="F150" s="8" t="s">
        <v>106</v>
      </c>
      <c r="G150" s="8">
        <v>-80</v>
      </c>
      <c r="H150" s="8"/>
      <c r="I150" s="8"/>
      <c r="J150" s="8"/>
      <c r="K150" s="8"/>
      <c r="L150" s="8"/>
      <c r="M150" s="8" t="s">
        <v>91</v>
      </c>
      <c r="N150" s="8"/>
      <c r="O150" s="8" t="s">
        <v>108</v>
      </c>
      <c r="P150" s="8" t="s">
        <v>108</v>
      </c>
      <c r="Q150" s="8" t="s">
        <v>108</v>
      </c>
      <c r="R150" s="8"/>
      <c r="S150" s="8"/>
      <c r="T150" s="8"/>
      <c r="U150" s="8" t="s">
        <v>175</v>
      </c>
      <c r="V150" s="8" t="s">
        <v>66</v>
      </c>
      <c r="W150" s="11" t="s">
        <v>175</v>
      </c>
      <c r="X150" s="8">
        <v>16.93</v>
      </c>
      <c r="Y150" s="8">
        <v>16.64</v>
      </c>
      <c r="Z150" s="8"/>
      <c r="AA150" s="21">
        <f t="shared" si="101"/>
        <v>16.785</v>
      </c>
      <c r="AB150" s="18">
        <f t="shared" si="91"/>
        <v>18.936622096042147</v>
      </c>
      <c r="AC150" s="51">
        <f t="shared" si="92"/>
        <v>2217857333.0955849</v>
      </c>
      <c r="AD150" s="21">
        <f t="shared" si="106"/>
        <v>100</v>
      </c>
      <c r="AE150" s="8">
        <v>28.18</v>
      </c>
      <c r="AF150" s="8">
        <v>28.35</v>
      </c>
      <c r="AG150" s="8"/>
      <c r="AH150" s="21">
        <f t="shared" si="103"/>
        <v>28.265000000000001</v>
      </c>
      <c r="AI150" s="8">
        <f t="shared" si="93"/>
        <v>12.97231822308871</v>
      </c>
      <c r="AJ150" s="60">
        <f t="shared" si="87"/>
        <v>2.594463644617742</v>
      </c>
      <c r="AK150" s="8">
        <v>32.03</v>
      </c>
      <c r="AL150" s="8">
        <v>32.03</v>
      </c>
      <c r="AM150" s="8"/>
      <c r="AN150" s="21">
        <f t="shared" si="104"/>
        <v>32.03</v>
      </c>
      <c r="AO150" s="19">
        <f t="shared" si="95"/>
        <v>2.1024097673963495E-5</v>
      </c>
      <c r="AP150" s="8">
        <f t="shared" si="96"/>
        <v>1245.293297371064</v>
      </c>
      <c r="AQ150" s="60">
        <f t="shared" si="88"/>
        <v>249.05865947421279</v>
      </c>
      <c r="AR150" s="19">
        <f t="shared" si="97"/>
        <v>95.996203296542276</v>
      </c>
      <c r="AS150" s="8"/>
      <c r="AT150" s="8"/>
      <c r="AU150" s="8"/>
      <c r="AV150" s="9"/>
      <c r="AW150" s="9"/>
    </row>
    <row r="151" spans="2:49" s="61" customFormat="1" x14ac:dyDescent="0.35">
      <c r="B151" s="52" t="s">
        <v>177</v>
      </c>
      <c r="C151" s="52" t="s">
        <v>172</v>
      </c>
      <c r="D151" s="52" t="s">
        <v>57</v>
      </c>
      <c r="E151" s="54" t="s">
        <v>58</v>
      </c>
      <c r="F151" s="52" t="s">
        <v>178</v>
      </c>
      <c r="G151" s="52">
        <v>-20</v>
      </c>
      <c r="H151" s="52" t="s">
        <v>161</v>
      </c>
      <c r="I151" s="52" t="s">
        <v>61</v>
      </c>
      <c r="J151" s="52" t="s">
        <v>62</v>
      </c>
      <c r="K151" s="52" t="s">
        <v>63</v>
      </c>
      <c r="L151" s="52" t="s">
        <v>170</v>
      </c>
      <c r="M151" s="52" t="s">
        <v>91</v>
      </c>
      <c r="N151" s="52" t="s">
        <v>92</v>
      </c>
      <c r="O151" s="52" t="s">
        <v>65</v>
      </c>
      <c r="P151" s="155">
        <v>7.27</v>
      </c>
      <c r="Q151" s="58">
        <v>4.3</v>
      </c>
      <c r="R151" s="52"/>
      <c r="S151" s="52"/>
      <c r="T151" s="52"/>
      <c r="U151" s="52" t="s">
        <v>175</v>
      </c>
      <c r="V151" s="52" t="s">
        <v>66</v>
      </c>
      <c r="W151" s="56" t="s">
        <v>175</v>
      </c>
      <c r="X151" s="52">
        <v>18.29</v>
      </c>
      <c r="Y151" s="52">
        <v>18.13</v>
      </c>
      <c r="Z151" s="52"/>
      <c r="AA151" s="57">
        <f t="shared" si="101"/>
        <v>18.21</v>
      </c>
      <c r="AB151" s="58">
        <f t="shared" si="91"/>
        <v>7.2956805181759181</v>
      </c>
      <c r="AC151" s="59">
        <f t="shared" si="92"/>
        <v>854470161.31461608</v>
      </c>
      <c r="AD151" s="57">
        <f>AC151*100/AC$155</f>
        <v>52.593887452499615</v>
      </c>
      <c r="AE151" s="52">
        <v>18.37</v>
      </c>
      <c r="AF151" s="52">
        <v>18.21</v>
      </c>
      <c r="AG151" s="52"/>
      <c r="AH151" s="57">
        <f t="shared" si="103"/>
        <v>18.29</v>
      </c>
      <c r="AI151" s="52">
        <f t="shared" si="93"/>
        <v>18157.272248221565</v>
      </c>
      <c r="AJ151" s="60">
        <f t="shared" si="87"/>
        <v>3631.4544496443132</v>
      </c>
      <c r="AK151" s="58">
        <v>29.3</v>
      </c>
      <c r="AL151" s="52">
        <v>29.51</v>
      </c>
      <c r="AM151" s="52"/>
      <c r="AN151" s="57">
        <f t="shared" si="104"/>
        <v>29.405000000000001</v>
      </c>
      <c r="AO151" s="60">
        <f t="shared" si="95"/>
        <v>1.1931659222025245E-4</v>
      </c>
      <c r="AP151" s="52">
        <f t="shared" si="96"/>
        <v>7067.3260208948359</v>
      </c>
      <c r="AQ151" s="60">
        <f t="shared" si="88"/>
        <v>1413.4652041789673</v>
      </c>
      <c r="AR151" s="60">
        <f t="shared" si="97"/>
        <v>0.3892283997441881</v>
      </c>
      <c r="AS151" s="52"/>
      <c r="AT151" s="52"/>
      <c r="AU151" s="52"/>
      <c r="AV151" s="53"/>
      <c r="AW151" s="53"/>
    </row>
    <row r="152" spans="2:49" s="61" customFormat="1" x14ac:dyDescent="0.35">
      <c r="B152" s="52" t="s">
        <v>177</v>
      </c>
      <c r="C152" s="52" t="s">
        <v>172</v>
      </c>
      <c r="D152" s="52" t="s">
        <v>57</v>
      </c>
      <c r="E152" s="54" t="s">
        <v>58</v>
      </c>
      <c r="F152" s="52" t="s">
        <v>146</v>
      </c>
      <c r="G152" s="52">
        <v>-20</v>
      </c>
      <c r="H152" s="52" t="s">
        <v>161</v>
      </c>
      <c r="I152" s="52" t="s">
        <v>61</v>
      </c>
      <c r="J152" s="52" t="s">
        <v>62</v>
      </c>
      <c r="K152" s="52" t="s">
        <v>63</v>
      </c>
      <c r="L152" s="52" t="s">
        <v>176</v>
      </c>
      <c r="M152" s="52" t="s">
        <v>91</v>
      </c>
      <c r="N152" s="52" t="s">
        <v>92</v>
      </c>
      <c r="O152" s="52" t="s">
        <v>65</v>
      </c>
      <c r="P152" s="61">
        <v>7.27</v>
      </c>
      <c r="Q152" s="58">
        <v>4.3</v>
      </c>
      <c r="R152" s="52"/>
      <c r="S152" s="52"/>
      <c r="T152" s="52"/>
      <c r="U152" s="52" t="s">
        <v>175</v>
      </c>
      <c r="V152" s="52" t="s">
        <v>66</v>
      </c>
      <c r="W152" s="56" t="s">
        <v>175</v>
      </c>
      <c r="X152" s="52">
        <v>18.82</v>
      </c>
      <c r="Y152" s="52">
        <v>19.05</v>
      </c>
      <c r="Z152" s="52"/>
      <c r="AA152" s="57">
        <f t="shared" si="101"/>
        <v>18.935000000000002</v>
      </c>
      <c r="AB152" s="58">
        <f t="shared" si="91"/>
        <v>4.4906974875499248</v>
      </c>
      <c r="AC152" s="59">
        <f t="shared" si="92"/>
        <v>525950526.07392716</v>
      </c>
      <c r="AD152" s="57">
        <f>AC152*100/AC$156</f>
        <v>23.714353408829467</v>
      </c>
      <c r="AE152" s="52">
        <v>19.05</v>
      </c>
      <c r="AF152" s="52">
        <v>18.84</v>
      </c>
      <c r="AG152" s="52"/>
      <c r="AH152" s="57">
        <f t="shared" si="103"/>
        <v>18.945</v>
      </c>
      <c r="AI152" s="52">
        <f t="shared" si="93"/>
        <v>11284.153598559706</v>
      </c>
      <c r="AJ152" s="60">
        <f t="shared" si="87"/>
        <v>2256.8307197119411</v>
      </c>
      <c r="AK152" s="52">
        <v>29.77</v>
      </c>
      <c r="AL152" s="52">
        <v>30.32</v>
      </c>
      <c r="AM152" s="52"/>
      <c r="AN152" s="57">
        <f t="shared" si="104"/>
        <v>30.045000000000002</v>
      </c>
      <c r="AO152" s="60">
        <f t="shared" si="95"/>
        <v>7.8139834837748145E-5</v>
      </c>
      <c r="AP152" s="52">
        <f t="shared" si="96"/>
        <v>4628.3561887003571</v>
      </c>
      <c r="AQ152" s="60">
        <f t="shared" si="88"/>
        <v>925.67123774007143</v>
      </c>
      <c r="AR152" s="60">
        <f t="shared" si="97"/>
        <v>0.41016423148397363</v>
      </c>
      <c r="AS152" s="52"/>
      <c r="AT152" s="52"/>
      <c r="AU152" s="52"/>
      <c r="AV152" s="53"/>
      <c r="AW152" s="53"/>
    </row>
    <row r="153" spans="2:49" s="122" customFormat="1" x14ac:dyDescent="0.35">
      <c r="B153" s="123" t="s">
        <v>177</v>
      </c>
      <c r="C153" s="123" t="s">
        <v>172</v>
      </c>
      <c r="D153" s="123" t="s">
        <v>57</v>
      </c>
      <c r="E153" s="123" t="s">
        <v>58</v>
      </c>
      <c r="F153" s="123" t="s">
        <v>178</v>
      </c>
      <c r="G153" s="123">
        <v>-20</v>
      </c>
      <c r="H153" s="123" t="s">
        <v>161</v>
      </c>
      <c r="I153" s="123" t="s">
        <v>61</v>
      </c>
      <c r="J153" s="123" t="s">
        <v>62</v>
      </c>
      <c r="K153" s="123" t="s">
        <v>63</v>
      </c>
      <c r="L153" s="123" t="s">
        <v>170</v>
      </c>
      <c r="M153" s="123" t="s">
        <v>91</v>
      </c>
      <c r="N153" s="123" t="s">
        <v>92</v>
      </c>
      <c r="O153" s="123" t="s">
        <v>65</v>
      </c>
      <c r="P153" s="123">
        <v>7.24</v>
      </c>
      <c r="Q153" s="123">
        <v>3.63</v>
      </c>
      <c r="R153" s="123"/>
      <c r="S153" s="123"/>
      <c r="T153" s="123"/>
      <c r="U153" s="123" t="s">
        <v>175</v>
      </c>
      <c r="V153" s="123" t="s">
        <v>66</v>
      </c>
      <c r="W153" s="152" t="s">
        <v>175</v>
      </c>
      <c r="X153" s="123">
        <v>18.23</v>
      </c>
      <c r="Y153" s="123">
        <v>18.05</v>
      </c>
      <c r="Z153" s="123"/>
      <c r="AA153" s="129">
        <f t="shared" si="101"/>
        <v>18.14</v>
      </c>
      <c r="AB153" s="130">
        <f t="shared" si="91"/>
        <v>7.6456476109425173</v>
      </c>
      <c r="AC153" s="131">
        <f t="shared" si="92"/>
        <v>895458310.05085611</v>
      </c>
      <c r="AD153" s="129">
        <f>AC153*100/AC$155</f>
        <v>55.116767921729227</v>
      </c>
      <c r="AE153" s="123">
        <v>18.66</v>
      </c>
      <c r="AF153" s="123">
        <v>19.059999999999999</v>
      </c>
      <c r="AG153" s="123"/>
      <c r="AH153" s="129">
        <f t="shared" si="103"/>
        <v>18.86</v>
      </c>
      <c r="AI153" s="123">
        <f t="shared" si="93"/>
        <v>12002.654098116029</v>
      </c>
      <c r="AJ153" s="132">
        <f t="shared" si="87"/>
        <v>2400.5308196232058</v>
      </c>
      <c r="AK153" s="123">
        <v>29.91</v>
      </c>
      <c r="AL153" s="123">
        <v>29.47</v>
      </c>
      <c r="AM153" s="123"/>
      <c r="AN153" s="129">
        <f t="shared" si="104"/>
        <v>29.689999999999998</v>
      </c>
      <c r="AO153" s="132">
        <f t="shared" si="95"/>
        <v>9.8818846018840123E-5</v>
      </c>
      <c r="AP153" s="123">
        <f t="shared" si="96"/>
        <v>5853.2094223288341</v>
      </c>
      <c r="AQ153" s="132">
        <f t="shared" si="88"/>
        <v>1170.6418844657669</v>
      </c>
      <c r="AR153" s="132">
        <f t="shared" si="97"/>
        <v>0.48765959382663299</v>
      </c>
      <c r="AS153" s="123"/>
      <c r="AT153" s="123"/>
      <c r="AU153" s="123"/>
      <c r="AV153" s="133"/>
      <c r="AW153" s="133"/>
    </row>
    <row r="154" spans="2:49" s="122" customFormat="1" x14ac:dyDescent="0.35">
      <c r="B154" s="123" t="s">
        <v>177</v>
      </c>
      <c r="C154" s="123" t="s">
        <v>172</v>
      </c>
      <c r="D154" s="123" t="s">
        <v>57</v>
      </c>
      <c r="E154" s="153" t="s">
        <v>58</v>
      </c>
      <c r="F154" s="123" t="s">
        <v>146</v>
      </c>
      <c r="G154" s="123">
        <v>-20</v>
      </c>
      <c r="H154" s="123" t="s">
        <v>161</v>
      </c>
      <c r="I154" s="123" t="s">
        <v>61</v>
      </c>
      <c r="J154" s="123" t="s">
        <v>62</v>
      </c>
      <c r="K154" s="123" t="s">
        <v>63</v>
      </c>
      <c r="L154" s="123" t="s">
        <v>176</v>
      </c>
      <c r="M154" s="123" t="s">
        <v>91</v>
      </c>
      <c r="N154" s="123" t="s">
        <v>92</v>
      </c>
      <c r="O154" s="123" t="s">
        <v>65</v>
      </c>
      <c r="P154" s="123">
        <v>7.24</v>
      </c>
      <c r="Q154" s="123">
        <v>3.63</v>
      </c>
      <c r="R154" s="123"/>
      <c r="S154" s="123"/>
      <c r="T154" s="123"/>
      <c r="U154" s="123" t="s">
        <v>175</v>
      </c>
      <c r="V154" s="123" t="s">
        <v>66</v>
      </c>
      <c r="W154" s="152" t="s">
        <v>175</v>
      </c>
      <c r="X154" s="123">
        <v>19.57</v>
      </c>
      <c r="Y154" s="123">
        <v>19.84</v>
      </c>
      <c r="Z154" s="123"/>
      <c r="AA154" s="129">
        <f t="shared" si="101"/>
        <v>19.704999999999998</v>
      </c>
      <c r="AB154" s="130">
        <f t="shared" si="91"/>
        <v>2.6821349999465598</v>
      </c>
      <c r="AC154" s="131">
        <f t="shared" si="92"/>
        <v>314131672.89360923</v>
      </c>
      <c r="AD154" s="129">
        <f>AC154*100/AC$156</f>
        <v>14.163745711053402</v>
      </c>
      <c r="AE154" s="123">
        <v>19.850000000000001</v>
      </c>
      <c r="AF154" s="123">
        <v>19.760000000000002</v>
      </c>
      <c r="AG154" s="123"/>
      <c r="AH154" s="129">
        <f t="shared" si="103"/>
        <v>19.805</v>
      </c>
      <c r="AI154" s="123">
        <f t="shared" si="93"/>
        <v>6042.7142513674662</v>
      </c>
      <c r="AJ154" s="132">
        <f t="shared" si="87"/>
        <v>1208.5428502734933</v>
      </c>
      <c r="AK154" s="123">
        <v>30.55</v>
      </c>
      <c r="AL154" s="123">
        <v>30.88</v>
      </c>
      <c r="AM154" s="123"/>
      <c r="AN154" s="129">
        <f t="shared" si="104"/>
        <v>30.715</v>
      </c>
      <c r="AO154" s="132">
        <f t="shared" si="95"/>
        <v>5.016804563239604E-5</v>
      </c>
      <c r="AP154" s="123">
        <f t="shared" si="96"/>
        <v>2971.5392278450536</v>
      </c>
      <c r="AQ154" s="132">
        <f t="shared" si="88"/>
        <v>594.30784556901074</v>
      </c>
      <c r="AR154" s="132">
        <f t="shared" si="97"/>
        <v>0.49175570848358324</v>
      </c>
      <c r="AS154" s="123"/>
      <c r="AT154" s="123"/>
      <c r="AU154" s="123"/>
      <c r="AV154" s="133"/>
      <c r="AW154" s="133"/>
    </row>
    <row r="155" spans="2:49" x14ac:dyDescent="0.35">
      <c r="B155" s="8"/>
      <c r="C155" s="8"/>
      <c r="D155" s="8" t="s">
        <v>179</v>
      </c>
      <c r="E155" s="8" t="s">
        <v>108</v>
      </c>
      <c r="F155" s="8" t="s">
        <v>106</v>
      </c>
      <c r="G155" s="8">
        <v>-80</v>
      </c>
      <c r="H155" s="8" t="s">
        <v>108</v>
      </c>
      <c r="I155" s="8" t="s">
        <v>61</v>
      </c>
      <c r="J155" s="8" t="s">
        <v>62</v>
      </c>
      <c r="K155" s="8" t="s">
        <v>63</v>
      </c>
      <c r="L155" s="8" t="s">
        <v>170</v>
      </c>
      <c r="M155" s="8" t="s">
        <v>107</v>
      </c>
      <c r="N155" s="8" t="s">
        <v>92</v>
      </c>
      <c r="O155" s="8" t="s">
        <v>108</v>
      </c>
      <c r="P155" s="8" t="s">
        <v>108</v>
      </c>
      <c r="Q155" s="8" t="s">
        <v>108</v>
      </c>
      <c r="R155" s="8"/>
      <c r="S155" s="8"/>
      <c r="T155" s="8"/>
      <c r="U155" s="8" t="s">
        <v>175</v>
      </c>
      <c r="V155" s="8" t="s">
        <v>66</v>
      </c>
      <c r="W155" s="11" t="s">
        <v>175</v>
      </c>
      <c r="X155" s="8">
        <v>17.25</v>
      </c>
      <c r="Y155" s="8">
        <v>17.25</v>
      </c>
      <c r="Z155" s="8"/>
      <c r="AA155" s="21">
        <f t="shared" si="101"/>
        <v>17.25</v>
      </c>
      <c r="AB155" s="18">
        <f t="shared" si="91"/>
        <v>13.87172706099172</v>
      </c>
      <c r="AC155" s="51">
        <f t="shared" si="92"/>
        <v>1624656785.6128421</v>
      </c>
      <c r="AD155" s="21">
        <f>AC156*100/AC$156</f>
        <v>100</v>
      </c>
      <c r="AE155" s="8">
        <v>26.92</v>
      </c>
      <c r="AF155" s="8">
        <v>26.59</v>
      </c>
      <c r="AG155" s="8"/>
      <c r="AH155" s="21">
        <f t="shared" si="103"/>
        <v>26.755000000000003</v>
      </c>
      <c r="AI155" s="8">
        <f t="shared" si="93"/>
        <v>38.838207929511839</v>
      </c>
      <c r="AJ155" s="60">
        <f t="shared" si="87"/>
        <v>7.7676415859023678</v>
      </c>
      <c r="AK155" s="8">
        <v>31.42</v>
      </c>
      <c r="AL155" s="8">
        <v>31.43</v>
      </c>
      <c r="AM155" s="8"/>
      <c r="AN155" s="21">
        <f t="shared" si="104"/>
        <v>31.425000000000001</v>
      </c>
      <c r="AO155" s="19">
        <f t="shared" si="95"/>
        <v>3.1368417142757939E-5</v>
      </c>
      <c r="AP155" s="8">
        <f t="shared" si="96"/>
        <v>1858.0050484350631</v>
      </c>
      <c r="AQ155" s="60">
        <f t="shared" si="88"/>
        <v>371.60100968701261</v>
      </c>
      <c r="AR155" s="19">
        <f t="shared" si="97"/>
        <v>47.839618444990812</v>
      </c>
      <c r="AS155" s="8"/>
      <c r="AT155" s="8"/>
      <c r="AU155" s="8"/>
      <c r="AV155" s="9"/>
      <c r="AW155" s="9"/>
    </row>
    <row r="156" spans="2:49" x14ac:dyDescent="0.35">
      <c r="B156" s="8"/>
      <c r="C156" s="8"/>
      <c r="D156" s="8" t="s">
        <v>180</v>
      </c>
      <c r="E156" s="39"/>
      <c r="F156" s="8" t="s">
        <v>106</v>
      </c>
      <c r="G156" s="8">
        <v>-80</v>
      </c>
      <c r="H156" s="8" t="s">
        <v>108</v>
      </c>
      <c r="I156" s="8" t="s">
        <v>61</v>
      </c>
      <c r="J156" s="8" t="s">
        <v>62</v>
      </c>
      <c r="K156" s="8" t="s">
        <v>63</v>
      </c>
      <c r="L156" s="8" t="s">
        <v>176</v>
      </c>
      <c r="M156" s="8" t="s">
        <v>107</v>
      </c>
      <c r="N156" s="8" t="s">
        <v>92</v>
      </c>
      <c r="O156" s="8" t="s">
        <v>108</v>
      </c>
      <c r="P156" s="2" t="s">
        <v>108</v>
      </c>
      <c r="Q156" s="18" t="s">
        <v>108</v>
      </c>
      <c r="R156" s="8"/>
      <c r="S156" s="8"/>
      <c r="T156" s="8"/>
      <c r="U156" s="8" t="s">
        <v>175</v>
      </c>
      <c r="V156" s="8" t="s">
        <v>66</v>
      </c>
      <c r="W156" s="11" t="s">
        <v>181</v>
      </c>
      <c r="X156" s="8">
        <v>16.93</v>
      </c>
      <c r="Y156" s="8">
        <v>16.64</v>
      </c>
      <c r="Z156" s="8"/>
      <c r="AA156" s="21">
        <f t="shared" si="101"/>
        <v>16.785</v>
      </c>
      <c r="AB156" s="18">
        <f t="shared" si="91"/>
        <v>18.936622096042147</v>
      </c>
      <c r="AC156" s="51">
        <f t="shared" si="92"/>
        <v>2217857333.0955849</v>
      </c>
      <c r="AD156" s="21">
        <f t="shared" ref="AD156" si="107">AC156*100/AC$156</f>
        <v>100</v>
      </c>
      <c r="AE156" s="8">
        <v>28.18</v>
      </c>
      <c r="AF156" s="8">
        <v>28.35</v>
      </c>
      <c r="AG156" s="8"/>
      <c r="AH156" s="21">
        <f t="shared" si="103"/>
        <v>28.265000000000001</v>
      </c>
      <c r="AI156" s="8">
        <f t="shared" si="93"/>
        <v>12.97231822308871</v>
      </c>
      <c r="AJ156" s="60">
        <f t="shared" si="87"/>
        <v>2.594463644617742</v>
      </c>
      <c r="AK156" s="8">
        <v>32.03</v>
      </c>
      <c r="AL156" s="8">
        <v>32.03</v>
      </c>
      <c r="AM156" s="8"/>
      <c r="AN156" s="21">
        <f t="shared" si="104"/>
        <v>32.03</v>
      </c>
      <c r="AO156" s="19">
        <f t="shared" si="95"/>
        <v>2.1024097673963495E-5</v>
      </c>
      <c r="AP156" s="8">
        <f t="shared" si="96"/>
        <v>1245.293297371064</v>
      </c>
      <c r="AQ156" s="60">
        <f t="shared" si="88"/>
        <v>249.05865947421279</v>
      </c>
      <c r="AR156" s="19">
        <f t="shared" si="97"/>
        <v>95.996203296542276</v>
      </c>
      <c r="AS156" s="8"/>
      <c r="AT156" s="8"/>
      <c r="AU156" s="8"/>
      <c r="AV156" s="9"/>
      <c r="AW156" s="9"/>
    </row>
    <row r="157" spans="2:49" x14ac:dyDescent="0.3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11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60">
        <f t="shared" si="88"/>
        <v>0</v>
      </c>
      <c r="AR157" s="8"/>
      <c r="AS157" s="8"/>
      <c r="AT157" s="8"/>
      <c r="AU157" s="8"/>
      <c r="AV157" s="9"/>
      <c r="AW157" s="9"/>
    </row>
    <row r="158" spans="2:49" x14ac:dyDescent="0.3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11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9"/>
      <c r="AW158" s="9"/>
    </row>
    <row r="159" spans="2:49" x14ac:dyDescent="0.3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1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9"/>
      <c r="AW159" s="9"/>
    </row>
    <row r="160" spans="2:49" x14ac:dyDescent="0.3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11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9"/>
      <c r="AW160" s="9"/>
    </row>
    <row r="161" spans="2:49" x14ac:dyDescent="0.3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1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9"/>
      <c r="AW161" s="9"/>
    </row>
    <row r="162" spans="2:49" x14ac:dyDescent="0.3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1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9"/>
      <c r="AW162" s="9"/>
    </row>
    <row r="163" spans="2:49" x14ac:dyDescent="0.3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11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9"/>
      <c r="AW163" s="9"/>
    </row>
    <row r="164" spans="2:49" x14ac:dyDescent="0.3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1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9"/>
      <c r="AW164" s="9"/>
    </row>
    <row r="165" spans="2:49" x14ac:dyDescent="0.3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11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9"/>
      <c r="AW165" s="9"/>
    </row>
    <row r="166" spans="2:49" x14ac:dyDescent="0.3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1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9"/>
      <c r="AW166" s="9"/>
    </row>
    <row r="167" spans="2:49" x14ac:dyDescent="0.3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11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9"/>
      <c r="AW167" s="9"/>
    </row>
    <row r="168" spans="2:49" x14ac:dyDescent="0.3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2:49" x14ac:dyDescent="0.3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2:49" x14ac:dyDescent="0.3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2:49" x14ac:dyDescent="0.3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2:49" x14ac:dyDescent="0.3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2:49" x14ac:dyDescent="0.3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2:49" x14ac:dyDescent="0.3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2:49" x14ac:dyDescent="0.3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2:49" x14ac:dyDescent="0.3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2:23" x14ac:dyDescent="0.3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</sheetData>
  <autoFilter ref="B18:BA18"/>
  <mergeCells count="52">
    <mergeCell ref="AD17:AD18"/>
    <mergeCell ref="AR17:AR18"/>
    <mergeCell ref="AS17:AS18"/>
    <mergeCell ref="AI17:AI18"/>
    <mergeCell ref="AJ17:AJ18"/>
    <mergeCell ref="AK17:AN17"/>
    <mergeCell ref="AO17:AO18"/>
    <mergeCell ref="AP17:AP18"/>
    <mergeCell ref="AQ17:AQ18"/>
    <mergeCell ref="AE16:AJ16"/>
    <mergeCell ref="AK16:AS16"/>
    <mergeCell ref="AT16:AU18"/>
    <mergeCell ref="B17:B18"/>
    <mergeCell ref="C17:C18"/>
    <mergeCell ref="D17:D18"/>
    <mergeCell ref="E17:E18"/>
    <mergeCell ref="F17:F18"/>
    <mergeCell ref="G17:G18"/>
    <mergeCell ref="B16:G16"/>
    <mergeCell ref="H16:O16"/>
    <mergeCell ref="P16:T16"/>
    <mergeCell ref="U16:U18"/>
    <mergeCell ref="V16:V18"/>
    <mergeCell ref="W16:W18"/>
    <mergeCell ref="AE17:AH17"/>
    <mergeCell ref="H17:H18"/>
    <mergeCell ref="I17:I18"/>
    <mergeCell ref="J17:J18"/>
    <mergeCell ref="K17:K18"/>
    <mergeCell ref="AB3:AB4"/>
    <mergeCell ref="X16:AD16"/>
    <mergeCell ref="L17:L18"/>
    <mergeCell ref="M17:M18"/>
    <mergeCell ref="N17:N18"/>
    <mergeCell ref="O17:O18"/>
    <mergeCell ref="P17:Q17"/>
    <mergeCell ref="R17:R18"/>
    <mergeCell ref="S17:T17"/>
    <mergeCell ref="X17:AA17"/>
    <mergeCell ref="AB17:AB18"/>
    <mergeCell ref="AC17:AC18"/>
    <mergeCell ref="AC3:AC4"/>
    <mergeCell ref="B15:G15"/>
    <mergeCell ref="H15:T15"/>
    <mergeCell ref="U15:AS15"/>
    <mergeCell ref="AT15:AU15"/>
    <mergeCell ref="F2:N2"/>
    <mergeCell ref="W2:AA2"/>
    <mergeCell ref="F3:N3"/>
    <mergeCell ref="O3:O4"/>
    <mergeCell ref="P3:P4"/>
    <mergeCell ref="W3:AA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"/>
  <sheetViews>
    <sheetView zoomScaleNormal="100" workbookViewId="0">
      <selection activeCell="A14" sqref="A14"/>
    </sheetView>
  </sheetViews>
  <sheetFormatPr defaultRowHeight="14.25" x14ac:dyDescent="0.45"/>
  <cols>
    <col min="2" max="2" width="10.3984375" bestFit="1" customWidth="1"/>
    <col min="3" max="3" width="25.73046875" customWidth="1"/>
    <col min="4" max="4" width="11.59765625" customWidth="1"/>
    <col min="5" max="5" width="32.3984375" bestFit="1" customWidth="1"/>
    <col min="6" max="6" width="23.1328125" customWidth="1"/>
    <col min="7" max="7" width="17.1328125" customWidth="1"/>
    <col min="10" max="10" width="13" customWidth="1"/>
    <col min="12" max="12" width="8.73046875" style="204"/>
    <col min="16" max="16" width="17.3984375" customWidth="1"/>
    <col min="17" max="17" width="13.3984375" customWidth="1"/>
    <col min="18" max="24" width="6.59765625" customWidth="1"/>
    <col min="25" max="25" width="12" customWidth="1"/>
    <col min="32" max="32" width="8.73046875" style="204"/>
  </cols>
  <sheetData>
    <row r="1" spans="1:25" x14ac:dyDescent="0.45">
      <c r="R1" s="463" t="s">
        <v>211</v>
      </c>
      <c r="S1" s="464"/>
      <c r="T1" s="464"/>
      <c r="U1" s="464"/>
      <c r="V1" s="464"/>
      <c r="W1" s="464"/>
      <c r="X1" s="464"/>
      <c r="Y1" s="465"/>
    </row>
    <row r="2" spans="1:25" x14ac:dyDescent="0.45">
      <c r="N2" s="478" t="s">
        <v>212</v>
      </c>
      <c r="O2" s="480" t="s">
        <v>213</v>
      </c>
      <c r="P2" s="481" t="s">
        <v>193</v>
      </c>
      <c r="Q2" s="482" t="s">
        <v>214</v>
      </c>
      <c r="R2" s="475">
        <v>44441</v>
      </c>
      <c r="S2" s="476"/>
      <c r="T2" s="476"/>
      <c r="U2" s="483"/>
      <c r="V2" s="475" t="s">
        <v>215</v>
      </c>
      <c r="W2" s="476"/>
      <c r="X2" s="476"/>
      <c r="Y2" s="477"/>
    </row>
    <row r="3" spans="1:25" ht="15.75" x14ac:dyDescent="0.45">
      <c r="B3" s="206" t="s">
        <v>216</v>
      </c>
      <c r="C3" s="206" t="s">
        <v>217</v>
      </c>
      <c r="D3" s="206" t="s">
        <v>218</v>
      </c>
      <c r="E3" s="206" t="s">
        <v>219</v>
      </c>
      <c r="F3" s="207" t="s">
        <v>220</v>
      </c>
      <c r="G3" s="206" t="s">
        <v>221</v>
      </c>
      <c r="H3" s="206" t="s">
        <v>222</v>
      </c>
      <c r="I3" s="206" t="s">
        <v>3</v>
      </c>
      <c r="J3" s="206" t="s">
        <v>223</v>
      </c>
      <c r="N3" s="479"/>
      <c r="O3" s="469"/>
      <c r="P3" s="471"/>
      <c r="Q3" s="473"/>
      <c r="R3" s="365" t="s">
        <v>224</v>
      </c>
      <c r="S3" s="366" t="s">
        <v>225</v>
      </c>
      <c r="T3" s="208" t="s">
        <v>226</v>
      </c>
      <c r="U3" s="367" t="s">
        <v>227</v>
      </c>
      <c r="V3" s="365" t="s">
        <v>224</v>
      </c>
      <c r="W3" s="366" t="s">
        <v>225</v>
      </c>
      <c r="X3" s="208" t="s">
        <v>226</v>
      </c>
      <c r="Y3" s="257" t="s">
        <v>227</v>
      </c>
    </row>
    <row r="4" spans="1:25" x14ac:dyDescent="0.45">
      <c r="B4" s="206"/>
      <c r="C4" s="209" t="s">
        <v>228</v>
      </c>
      <c r="D4" s="206"/>
      <c r="E4" s="206"/>
      <c r="F4" s="207"/>
      <c r="G4" s="206"/>
      <c r="H4" s="206"/>
      <c r="I4" s="210">
        <v>-3.3220000000000001</v>
      </c>
      <c r="J4" s="211">
        <f>10^(-1/I4)*100/2</f>
        <v>99.998499685364024</v>
      </c>
      <c r="N4" s="258">
        <v>1</v>
      </c>
      <c r="O4" s="215">
        <v>10</v>
      </c>
      <c r="P4" s="216">
        <f t="shared" ref="P4:P11" si="0">(O4*(6.0221*10^23))/(29903*340*10^9)</f>
        <v>592317119.47060192</v>
      </c>
      <c r="Q4" s="217">
        <f>LOG10(P4)</f>
        <v>8.7725542850369767</v>
      </c>
      <c r="R4" s="214">
        <v>10.381406680918801</v>
      </c>
      <c r="S4" s="215">
        <v>10.3139587323159</v>
      </c>
      <c r="T4" s="218">
        <v>10.3538053879951</v>
      </c>
      <c r="U4" s="219">
        <f>AVERAGE(R4:T4)</f>
        <v>10.349723600409932</v>
      </c>
      <c r="V4" s="214">
        <v>12.057260056363001</v>
      </c>
      <c r="W4" s="220">
        <v>12.1013605568829</v>
      </c>
      <c r="X4" s="215">
        <v>12.035847621659499</v>
      </c>
      <c r="Y4" s="259">
        <f>AVERAGE(V4:X4)</f>
        <v>12.064822744968467</v>
      </c>
    </row>
    <row r="5" spans="1:25" x14ac:dyDescent="0.45">
      <c r="A5" s="212"/>
      <c r="B5" s="270">
        <v>44441</v>
      </c>
      <c r="C5" s="209" t="s">
        <v>229</v>
      </c>
      <c r="D5" s="209" t="s">
        <v>230</v>
      </c>
      <c r="E5" s="209" t="s">
        <v>231</v>
      </c>
      <c r="F5" s="368">
        <v>500</v>
      </c>
      <c r="G5" s="221">
        <v>39.970999999999997</v>
      </c>
      <c r="H5" s="210">
        <v>0.99750000000000005</v>
      </c>
      <c r="I5" s="210">
        <v>-3.3469000000000002</v>
      </c>
      <c r="J5" s="211">
        <f t="shared" ref="J5" si="1">10^(-1/I5)*100/2</f>
        <v>99.484163746674724</v>
      </c>
      <c r="N5" s="260">
        <v>2</v>
      </c>
      <c r="O5" s="368">
        <v>1</v>
      </c>
      <c r="P5" s="222">
        <f t="shared" si="0"/>
        <v>59231711.94706019</v>
      </c>
      <c r="Q5" s="217">
        <f t="shared" ref="Q5:Q11" si="2">LOG10(P5)</f>
        <v>7.7725542850369775</v>
      </c>
      <c r="R5" s="213">
        <v>13.890435230222501</v>
      </c>
      <c r="S5" s="368">
        <v>13.921286086157799</v>
      </c>
      <c r="T5" s="223">
        <v>14.002871337518901</v>
      </c>
      <c r="U5" s="219">
        <f t="shared" ref="U5:U11" si="3">AVERAGE(R5:T5)</f>
        <v>13.938197551299732</v>
      </c>
      <c r="V5" s="213">
        <v>15.5152607336461</v>
      </c>
      <c r="W5" s="224">
        <v>15.5517069268912</v>
      </c>
      <c r="X5" s="368">
        <v>15.5247140527587</v>
      </c>
      <c r="Y5" s="259">
        <f t="shared" ref="Y5:Y11" si="4">AVERAGE(V5:X5)</f>
        <v>15.530560571098667</v>
      </c>
    </row>
    <row r="6" spans="1:25" x14ac:dyDescent="0.45">
      <c r="A6" s="212"/>
      <c r="B6" s="270">
        <v>44289</v>
      </c>
      <c r="C6" s="209" t="s">
        <v>22</v>
      </c>
      <c r="D6" s="209" t="s">
        <v>232</v>
      </c>
      <c r="E6" s="209" t="s">
        <v>231</v>
      </c>
      <c r="F6" s="368">
        <v>500</v>
      </c>
      <c r="G6" s="221">
        <v>40.673000000000002</v>
      </c>
      <c r="H6" s="210">
        <v>0.99850000000000005</v>
      </c>
      <c r="I6" s="210">
        <v>-3.5034999999999998</v>
      </c>
      <c r="J6" s="211">
        <f>10^(-1/I6)*100/2</f>
        <v>96.471462221914067</v>
      </c>
      <c r="N6" s="260">
        <v>3</v>
      </c>
      <c r="O6" s="368">
        <v>0.1</v>
      </c>
      <c r="P6" s="222">
        <f t="shared" si="0"/>
        <v>5923171.1947060199</v>
      </c>
      <c r="Q6" s="217">
        <f t="shared" si="2"/>
        <v>6.7725542850369775</v>
      </c>
      <c r="R6" s="213">
        <v>17.155532435871901</v>
      </c>
      <c r="S6" s="368">
        <v>17.248150188369301</v>
      </c>
      <c r="T6" s="223">
        <v>17.1815637734082</v>
      </c>
      <c r="U6" s="219">
        <f t="shared" si="3"/>
        <v>17.1950821325498</v>
      </c>
      <c r="V6" s="213">
        <v>18.866883753370299</v>
      </c>
      <c r="W6" s="224">
        <v>18.816019479765298</v>
      </c>
      <c r="X6" s="368">
        <v>18.774991939246199</v>
      </c>
      <c r="Y6" s="259">
        <f t="shared" si="4"/>
        <v>18.819298390793932</v>
      </c>
    </row>
    <row r="7" spans="1:25" x14ac:dyDescent="0.45">
      <c r="B7" s="270">
        <v>44502</v>
      </c>
      <c r="C7" s="209" t="s">
        <v>233</v>
      </c>
      <c r="D7" s="209" t="s">
        <v>234</v>
      </c>
      <c r="E7" s="209" t="s">
        <v>231</v>
      </c>
      <c r="F7" s="368">
        <v>250</v>
      </c>
      <c r="G7" s="221">
        <v>45.225999999999999</v>
      </c>
      <c r="H7" s="210">
        <v>0.99619999999999997</v>
      </c>
      <c r="I7" s="210">
        <v>-3.0943000000000001</v>
      </c>
      <c r="J7" s="211">
        <f t="shared" ref="J7:J9" si="5">10^(-1/I7)*100/2</f>
        <v>105.23128513852231</v>
      </c>
      <c r="N7" s="260">
        <v>4</v>
      </c>
      <c r="O7" s="368">
        <v>0.01</v>
      </c>
      <c r="P7" s="222">
        <f t="shared" si="0"/>
        <v>592317.11947060202</v>
      </c>
      <c r="Q7" s="217">
        <f t="shared" si="2"/>
        <v>5.7725542850369775</v>
      </c>
      <c r="R7" s="213">
        <v>20.588998646133099</v>
      </c>
      <c r="S7" s="368">
        <v>20.8694886257334</v>
      </c>
      <c r="T7" s="223">
        <v>20.8460791008733</v>
      </c>
      <c r="U7" s="219">
        <f t="shared" si="3"/>
        <v>20.768188790913268</v>
      </c>
      <c r="V7" s="213">
        <v>22.455602126837501</v>
      </c>
      <c r="W7" s="224">
        <v>22.406743409691799</v>
      </c>
      <c r="X7" s="368">
        <v>22.437013252033299</v>
      </c>
      <c r="Y7" s="259">
        <f t="shared" si="4"/>
        <v>22.433119596187534</v>
      </c>
    </row>
    <row r="8" spans="1:25" x14ac:dyDescent="0.45">
      <c r="B8" s="271" t="s">
        <v>215</v>
      </c>
      <c r="C8" s="209" t="s">
        <v>229</v>
      </c>
      <c r="D8" s="209" t="s">
        <v>230</v>
      </c>
      <c r="E8" s="209" t="s">
        <v>231</v>
      </c>
      <c r="F8" s="368">
        <v>500</v>
      </c>
      <c r="G8" s="221">
        <v>42.390999999999998</v>
      </c>
      <c r="H8" s="210">
        <v>0.99990000000000001</v>
      </c>
      <c r="I8" s="209">
        <v>-3.4617</v>
      </c>
      <c r="J8" s="211">
        <f t="shared" si="5"/>
        <v>97.240103488471149</v>
      </c>
      <c r="N8" s="260">
        <v>5</v>
      </c>
      <c r="O8" s="368">
        <v>1E-3</v>
      </c>
      <c r="P8" s="222">
        <f t="shared" si="0"/>
        <v>59231.711947060197</v>
      </c>
      <c r="Q8" s="217">
        <f t="shared" si="2"/>
        <v>4.7725542850369775</v>
      </c>
      <c r="R8" s="213">
        <v>24.154624154283599</v>
      </c>
      <c r="S8" s="368">
        <v>24.1195507951781</v>
      </c>
      <c r="T8" s="223">
        <v>24.2756871156102</v>
      </c>
      <c r="U8" s="219">
        <f t="shared" si="3"/>
        <v>24.183287355023964</v>
      </c>
      <c r="V8" s="213">
        <v>25.854292251372598</v>
      </c>
      <c r="W8" s="224">
        <v>25.745255632262399</v>
      </c>
      <c r="X8" s="368">
        <v>25.8042600829516</v>
      </c>
      <c r="Y8" s="259">
        <f t="shared" si="4"/>
        <v>25.801269322195534</v>
      </c>
    </row>
    <row r="9" spans="1:25" x14ac:dyDescent="0.45">
      <c r="B9" s="271" t="s">
        <v>215</v>
      </c>
      <c r="C9" s="209" t="s">
        <v>233</v>
      </c>
      <c r="D9" s="209" t="s">
        <v>234</v>
      </c>
      <c r="E9" s="209" t="s">
        <v>231</v>
      </c>
      <c r="F9" s="368">
        <v>250</v>
      </c>
      <c r="G9" s="221">
        <v>48.944000000000003</v>
      </c>
      <c r="H9" s="210">
        <v>0.996</v>
      </c>
      <c r="I9" s="209">
        <v>-3.4411</v>
      </c>
      <c r="J9" s="211">
        <f t="shared" si="5"/>
        <v>97.628081003341705</v>
      </c>
      <c r="N9" s="260">
        <v>6</v>
      </c>
      <c r="O9" s="368">
        <v>1E-4</v>
      </c>
      <c r="P9" s="222">
        <f t="shared" si="0"/>
        <v>5923.1711947060194</v>
      </c>
      <c r="Q9" s="217">
        <f t="shared" si="2"/>
        <v>3.7725542850369775</v>
      </c>
      <c r="R9" s="213">
        <v>28.5497214752912</v>
      </c>
      <c r="S9" s="368">
        <v>27.690522125814201</v>
      </c>
      <c r="T9" s="223">
        <v>27.618385054433201</v>
      </c>
      <c r="U9" s="219">
        <f t="shared" si="3"/>
        <v>27.95287621851287</v>
      </c>
      <c r="V9" s="213">
        <v>29.3108151748736</v>
      </c>
      <c r="W9" s="224">
        <v>29.3312925543852</v>
      </c>
      <c r="X9" s="368">
        <v>29.573004989163501</v>
      </c>
      <c r="Y9" s="259">
        <f t="shared" si="4"/>
        <v>29.40503757280743</v>
      </c>
    </row>
    <row r="10" spans="1:25" x14ac:dyDescent="0.45">
      <c r="B10" s="209"/>
      <c r="C10" s="209"/>
      <c r="D10" s="209"/>
      <c r="E10" s="209"/>
      <c r="F10" s="368"/>
      <c r="G10" s="221"/>
      <c r="H10" s="210"/>
      <c r="I10" s="210"/>
      <c r="J10" s="211"/>
      <c r="N10" s="260">
        <v>7</v>
      </c>
      <c r="O10" s="368">
        <v>1.0000000000000001E-5</v>
      </c>
      <c r="P10" s="222">
        <f t="shared" si="0"/>
        <v>592.31711947060205</v>
      </c>
      <c r="Q10" s="217">
        <f t="shared" si="2"/>
        <v>2.7725542850369775</v>
      </c>
      <c r="R10" s="213">
        <v>30.925112912053699</v>
      </c>
      <c r="S10" s="368">
        <v>31.1036411334678</v>
      </c>
      <c r="T10" s="223">
        <v>30.809373247162402</v>
      </c>
      <c r="U10" s="219">
        <f t="shared" si="3"/>
        <v>30.946042430894632</v>
      </c>
      <c r="V10" s="213">
        <v>33.133327108436497</v>
      </c>
      <c r="W10" s="224">
        <v>32.704975486847601</v>
      </c>
      <c r="X10" s="368">
        <v>32.620320476066397</v>
      </c>
      <c r="Y10" s="259">
        <f t="shared" si="4"/>
        <v>32.819541023783493</v>
      </c>
    </row>
    <row r="11" spans="1:25" x14ac:dyDescent="0.45">
      <c r="B11" s="209"/>
      <c r="C11" s="209"/>
      <c r="D11" s="209"/>
      <c r="E11" s="209"/>
      <c r="F11" s="368"/>
      <c r="G11" s="221"/>
      <c r="H11" s="210"/>
      <c r="I11" s="210"/>
      <c r="J11" s="211"/>
      <c r="N11" s="261">
        <v>8</v>
      </c>
      <c r="O11" s="262">
        <v>9.9999999999999995E-7</v>
      </c>
      <c r="P11" s="263">
        <f t="shared" si="0"/>
        <v>59.231711947060191</v>
      </c>
      <c r="Q11" s="264">
        <f t="shared" si="2"/>
        <v>1.7725542850369773</v>
      </c>
      <c r="R11" s="265">
        <v>33.6166803201384</v>
      </c>
      <c r="S11" s="262">
        <v>32.914195755469201</v>
      </c>
      <c r="T11" s="266"/>
      <c r="U11" s="267">
        <f t="shared" si="3"/>
        <v>33.265438037803804</v>
      </c>
      <c r="V11" s="265">
        <v>37.177793049106</v>
      </c>
      <c r="W11" s="268">
        <v>35.2988743781655</v>
      </c>
      <c r="X11" s="262"/>
      <c r="Y11" s="269">
        <f t="shared" si="4"/>
        <v>36.238333713635754</v>
      </c>
    </row>
    <row r="12" spans="1:25" x14ac:dyDescent="0.45">
      <c r="A12" t="s">
        <v>109</v>
      </c>
      <c r="B12" s="209"/>
      <c r="C12" s="209"/>
      <c r="D12" s="209"/>
      <c r="E12" s="209"/>
      <c r="F12" s="368"/>
      <c r="G12" s="221"/>
      <c r="H12" s="210"/>
      <c r="I12" s="210"/>
      <c r="J12" s="211"/>
      <c r="K12" t="s">
        <v>109</v>
      </c>
      <c r="N12" s="255"/>
      <c r="O12" s="255"/>
      <c r="P12" s="256"/>
      <c r="Q12" s="256"/>
      <c r="R12" s="255"/>
      <c r="S12" s="255"/>
      <c r="T12" s="255"/>
      <c r="U12" s="255"/>
      <c r="V12" s="255"/>
      <c r="W12" s="255"/>
      <c r="X12" s="255"/>
      <c r="Y12" s="255"/>
    </row>
    <row r="13" spans="1:25" x14ac:dyDescent="0.45">
      <c r="B13" s="209"/>
      <c r="C13" s="209"/>
      <c r="D13" s="209"/>
      <c r="E13" s="209"/>
      <c r="F13" s="368"/>
      <c r="G13" s="221"/>
      <c r="H13" s="210"/>
      <c r="I13" s="210"/>
      <c r="J13" s="211"/>
      <c r="R13" s="463" t="s">
        <v>235</v>
      </c>
      <c r="S13" s="464"/>
      <c r="T13" s="464"/>
      <c r="U13" s="464"/>
      <c r="V13" s="464"/>
      <c r="W13" s="464"/>
      <c r="X13" s="464"/>
      <c r="Y13" s="465"/>
    </row>
    <row r="14" spans="1:25" x14ac:dyDescent="0.45">
      <c r="B14" s="209"/>
      <c r="C14" s="209"/>
      <c r="D14" s="209"/>
      <c r="E14" s="209"/>
      <c r="F14" s="368"/>
      <c r="G14" s="221"/>
      <c r="H14" s="210"/>
      <c r="I14" s="210"/>
      <c r="J14" s="211"/>
      <c r="N14" s="466" t="s">
        <v>212</v>
      </c>
      <c r="O14" s="468" t="s">
        <v>213</v>
      </c>
      <c r="P14" s="470" t="s">
        <v>193</v>
      </c>
      <c r="Q14" s="472" t="s">
        <v>214</v>
      </c>
      <c r="R14" s="460">
        <v>44289</v>
      </c>
      <c r="S14" s="461"/>
      <c r="T14" s="461"/>
      <c r="U14" s="462"/>
      <c r="V14" s="474"/>
      <c r="W14" s="461"/>
      <c r="X14" s="461"/>
      <c r="Y14" s="462"/>
    </row>
    <row r="15" spans="1:25" x14ac:dyDescent="0.45">
      <c r="B15" s="209"/>
      <c r="C15" s="209"/>
      <c r="D15" s="209"/>
      <c r="E15" s="209"/>
      <c r="F15" s="368"/>
      <c r="G15" s="221"/>
      <c r="H15" s="210"/>
      <c r="I15" s="209"/>
      <c r="J15" s="211"/>
      <c r="N15" s="467"/>
      <c r="O15" s="469"/>
      <c r="P15" s="471"/>
      <c r="Q15" s="473"/>
      <c r="R15" s="365" t="s">
        <v>224</v>
      </c>
      <c r="S15" s="366" t="s">
        <v>225</v>
      </c>
      <c r="T15" s="208" t="s">
        <v>226</v>
      </c>
      <c r="U15" s="367" t="s">
        <v>227</v>
      </c>
      <c r="V15" s="365" t="s">
        <v>224</v>
      </c>
      <c r="W15" s="366" t="s">
        <v>225</v>
      </c>
      <c r="X15" s="208" t="s">
        <v>226</v>
      </c>
      <c r="Y15" s="367" t="s">
        <v>227</v>
      </c>
    </row>
    <row r="16" spans="1:25" x14ac:dyDescent="0.45">
      <c r="B16" s="209"/>
      <c r="C16" s="209"/>
      <c r="D16" s="209"/>
      <c r="E16" s="209"/>
      <c r="F16" s="368"/>
      <c r="G16" s="221"/>
      <c r="H16" s="210"/>
      <c r="I16" s="209"/>
      <c r="J16" s="211"/>
      <c r="N16" s="214">
        <v>1</v>
      </c>
      <c r="O16" s="215"/>
      <c r="P16" s="222">
        <f>10^10</f>
        <v>10000000000</v>
      </c>
      <c r="Q16" s="217">
        <f>LOG10(P16)</f>
        <v>10</v>
      </c>
      <c r="R16" s="245">
        <v>5.0599999999999996</v>
      </c>
      <c r="S16" s="247">
        <v>4.57</v>
      </c>
      <c r="T16" s="253"/>
      <c r="U16" s="248">
        <f>AVERAGE(R16:T16)</f>
        <v>4.8149999999999995</v>
      </c>
      <c r="V16" s="245"/>
      <c r="W16" s="246"/>
      <c r="X16" s="247"/>
      <c r="Y16" s="248" t="e">
        <f>AVERAGE(V16:X16)</f>
        <v>#DIV/0!</v>
      </c>
    </row>
    <row r="17" spans="2:25" x14ac:dyDescent="0.45">
      <c r="B17" s="209"/>
      <c r="C17" s="209"/>
      <c r="D17" s="209"/>
      <c r="E17" s="209"/>
      <c r="F17" s="368"/>
      <c r="G17" s="221"/>
      <c r="H17" s="210"/>
      <c r="I17" s="209"/>
      <c r="J17" s="211"/>
      <c r="N17" s="213">
        <v>2</v>
      </c>
      <c r="O17" s="368"/>
      <c r="P17" s="222">
        <f>10^9</f>
        <v>1000000000</v>
      </c>
      <c r="Q17" s="217">
        <f t="shared" ref="Q17:Q19" si="6">LOG10(P17)</f>
        <v>9</v>
      </c>
      <c r="R17" s="249">
        <v>9.18</v>
      </c>
      <c r="S17" s="251">
        <v>8.9600000000000009</v>
      </c>
      <c r="T17" s="254"/>
      <c r="U17" s="248">
        <f t="shared" ref="U17:U23" si="7">AVERAGE(R17:T17)</f>
        <v>9.07</v>
      </c>
      <c r="V17" s="249"/>
      <c r="W17" s="250"/>
      <c r="X17" s="251"/>
      <c r="Y17" s="248" t="e">
        <f t="shared" ref="Y17:Y23" si="8">AVERAGE(V17:X17)</f>
        <v>#DIV/0!</v>
      </c>
    </row>
    <row r="18" spans="2:25" x14ac:dyDescent="0.45">
      <c r="B18" s="209"/>
      <c r="C18" s="209"/>
      <c r="D18" s="209"/>
      <c r="E18" s="209"/>
      <c r="F18" s="368"/>
      <c r="G18" s="221"/>
      <c r="H18" s="210"/>
      <c r="I18" s="209"/>
      <c r="J18" s="211"/>
      <c r="N18" s="213">
        <v>3</v>
      </c>
      <c r="O18" s="368"/>
      <c r="P18" s="222">
        <f>10^8</f>
        <v>100000000</v>
      </c>
      <c r="Q18" s="217">
        <f t="shared" si="6"/>
        <v>8</v>
      </c>
      <c r="R18" s="249">
        <v>13.03</v>
      </c>
      <c r="S18" s="251">
        <v>12.91</v>
      </c>
      <c r="T18" s="254"/>
      <c r="U18" s="248">
        <f t="shared" si="7"/>
        <v>12.969999999999999</v>
      </c>
      <c r="V18" s="249"/>
      <c r="W18" s="250"/>
      <c r="X18" s="251"/>
      <c r="Y18" s="248" t="e">
        <f t="shared" si="8"/>
        <v>#DIV/0!</v>
      </c>
    </row>
    <row r="19" spans="2:25" x14ac:dyDescent="0.45">
      <c r="B19" s="209"/>
      <c r="C19" s="209"/>
      <c r="D19" s="209"/>
      <c r="E19" s="209"/>
      <c r="F19" s="368"/>
      <c r="G19" s="221"/>
      <c r="H19" s="210"/>
      <c r="I19" s="209"/>
      <c r="J19" s="211"/>
      <c r="N19" s="213">
        <v>4</v>
      </c>
      <c r="O19" s="368"/>
      <c r="P19" s="222">
        <f>10^7</f>
        <v>10000000</v>
      </c>
      <c r="Q19" s="217">
        <f t="shared" si="6"/>
        <v>7</v>
      </c>
      <c r="R19" s="249">
        <v>16.47</v>
      </c>
      <c r="S19" s="251">
        <v>16.489999999999998</v>
      </c>
      <c r="T19" s="254"/>
      <c r="U19" s="248">
        <f t="shared" si="7"/>
        <v>16.479999999999997</v>
      </c>
      <c r="V19" s="249"/>
      <c r="W19" s="250"/>
      <c r="X19" s="251"/>
      <c r="Y19" s="248" t="e">
        <f t="shared" si="8"/>
        <v>#DIV/0!</v>
      </c>
    </row>
    <row r="20" spans="2:25" x14ac:dyDescent="0.45">
      <c r="B20" s="209"/>
      <c r="C20" s="209"/>
      <c r="D20" s="209"/>
      <c r="E20" s="209"/>
      <c r="F20" s="368"/>
      <c r="G20" s="221"/>
      <c r="H20" s="210"/>
      <c r="I20" s="209"/>
      <c r="J20" s="211"/>
      <c r="N20" s="213">
        <v>5</v>
      </c>
      <c r="O20" s="368"/>
      <c r="P20" s="222">
        <f>10^6</f>
        <v>1000000</v>
      </c>
      <c r="Q20" s="217">
        <f t="shared" ref="Q20:Q25" si="9">LOG10(P20)</f>
        <v>6</v>
      </c>
      <c r="R20" s="249">
        <v>19.82</v>
      </c>
      <c r="S20" s="251">
        <v>20.13</v>
      </c>
      <c r="T20" s="254"/>
      <c r="U20" s="248">
        <f t="shared" si="7"/>
        <v>19.975000000000001</v>
      </c>
      <c r="V20" s="249"/>
      <c r="W20" s="250"/>
      <c r="X20" s="251"/>
      <c r="Y20" s="248" t="e">
        <f t="shared" si="8"/>
        <v>#DIV/0!</v>
      </c>
    </row>
    <row r="21" spans="2:25" x14ac:dyDescent="0.45">
      <c r="B21" s="209"/>
      <c r="C21" s="209"/>
      <c r="D21" s="209"/>
      <c r="E21" s="209"/>
      <c r="F21" s="209"/>
      <c r="G21" s="209"/>
      <c r="H21" s="209"/>
      <c r="I21" s="209"/>
      <c r="J21" s="209"/>
      <c r="N21" s="213">
        <v>6</v>
      </c>
      <c r="O21" s="368"/>
      <c r="P21" s="222">
        <f>10^5</f>
        <v>100000</v>
      </c>
      <c r="Q21" s="217">
        <f t="shared" si="9"/>
        <v>5</v>
      </c>
      <c r="R21" s="249">
        <v>23.52</v>
      </c>
      <c r="S21" s="251">
        <v>23.46</v>
      </c>
      <c r="T21" s="254"/>
      <c r="U21" s="248">
        <f t="shared" si="7"/>
        <v>23.490000000000002</v>
      </c>
      <c r="V21" s="249"/>
      <c r="W21" s="250"/>
      <c r="X21" s="251"/>
      <c r="Y21" s="252" t="e">
        <f t="shared" si="8"/>
        <v>#DIV/0!</v>
      </c>
    </row>
    <row r="22" spans="2:25" x14ac:dyDescent="0.45">
      <c r="B22" s="209"/>
      <c r="C22" s="209"/>
      <c r="D22" s="209"/>
      <c r="E22" s="209"/>
      <c r="F22" s="209"/>
      <c r="G22" s="209"/>
      <c r="H22" s="209"/>
      <c r="I22" s="209"/>
      <c r="J22" s="209"/>
      <c r="N22" s="213">
        <v>7</v>
      </c>
      <c r="O22" s="368"/>
      <c r="P22" s="222">
        <f>10^4</f>
        <v>10000</v>
      </c>
      <c r="Q22" s="217">
        <f t="shared" si="9"/>
        <v>4</v>
      </c>
      <c r="R22" s="249">
        <v>27.01</v>
      </c>
      <c r="S22" s="251">
        <v>27.06</v>
      </c>
      <c r="T22" s="254">
        <v>26.83</v>
      </c>
      <c r="U22" s="248">
        <f t="shared" si="7"/>
        <v>26.966666666666669</v>
      </c>
      <c r="V22" s="249"/>
      <c r="W22" s="250"/>
      <c r="X22" s="251"/>
      <c r="Y22" s="252" t="e">
        <f t="shared" si="8"/>
        <v>#DIV/0!</v>
      </c>
    </row>
    <row r="23" spans="2:25" x14ac:dyDescent="0.45">
      <c r="B23" s="209"/>
      <c r="C23" s="209"/>
      <c r="D23" s="209"/>
      <c r="E23" s="209"/>
      <c r="F23" s="209"/>
      <c r="G23" s="209"/>
      <c r="H23" s="209"/>
      <c r="I23" s="209"/>
      <c r="J23" s="209"/>
      <c r="N23" s="213">
        <v>8</v>
      </c>
      <c r="O23" s="368"/>
      <c r="P23" s="222">
        <f>10^3</f>
        <v>1000</v>
      </c>
      <c r="Q23" s="217">
        <f t="shared" si="9"/>
        <v>3</v>
      </c>
      <c r="R23" s="249">
        <v>30.17</v>
      </c>
      <c r="S23" s="251">
        <v>30.19</v>
      </c>
      <c r="T23" s="254">
        <v>30.07</v>
      </c>
      <c r="U23" s="248">
        <f t="shared" si="7"/>
        <v>30.143333333333334</v>
      </c>
      <c r="V23" s="249"/>
      <c r="W23" s="250"/>
      <c r="X23" s="251"/>
      <c r="Y23" s="252" t="e">
        <f t="shared" si="8"/>
        <v>#DIV/0!</v>
      </c>
    </row>
    <row r="24" spans="2:25" x14ac:dyDescent="0.45">
      <c r="B24" s="209"/>
      <c r="C24" s="209"/>
      <c r="D24" s="209"/>
      <c r="E24" s="209"/>
      <c r="F24" s="209"/>
      <c r="G24" s="209"/>
      <c r="H24" s="209"/>
      <c r="I24" s="209"/>
      <c r="J24" s="209"/>
      <c r="N24" s="213">
        <v>9</v>
      </c>
      <c r="O24" s="368"/>
      <c r="P24" s="222">
        <f>10^2</f>
        <v>100</v>
      </c>
      <c r="Q24" s="217">
        <f t="shared" si="9"/>
        <v>2</v>
      </c>
      <c r="R24" s="249">
        <v>33.4</v>
      </c>
      <c r="S24" s="251">
        <v>33.69</v>
      </c>
      <c r="T24" s="254">
        <v>33.479999999999997</v>
      </c>
      <c r="U24" s="248">
        <f>AVERAGE(R24:T24)</f>
        <v>33.523333333333333</v>
      </c>
      <c r="V24" s="249"/>
      <c r="W24" s="250"/>
      <c r="X24" s="251"/>
      <c r="Y24" s="252"/>
    </row>
    <row r="25" spans="2:25" x14ac:dyDescent="0.45">
      <c r="B25" s="209"/>
      <c r="C25" s="209"/>
      <c r="D25" s="209"/>
      <c r="E25" s="209"/>
      <c r="F25" s="209"/>
      <c r="G25" s="209"/>
      <c r="H25" s="209"/>
      <c r="I25" s="209"/>
      <c r="J25" s="209"/>
      <c r="N25" s="213">
        <v>10</v>
      </c>
      <c r="O25" s="368"/>
      <c r="P25" s="222">
        <f>10^1</f>
        <v>10</v>
      </c>
      <c r="Q25" s="217">
        <f t="shared" si="9"/>
        <v>1</v>
      </c>
      <c r="R25" s="249">
        <v>36.369999999999997</v>
      </c>
      <c r="S25" s="251">
        <v>36.74</v>
      </c>
      <c r="T25" s="254">
        <v>36.69</v>
      </c>
      <c r="U25" s="248">
        <f>AVERAGE(R25:T25)</f>
        <v>36.6</v>
      </c>
      <c r="V25" s="249"/>
      <c r="W25" s="250"/>
      <c r="X25" s="251"/>
      <c r="Y25" s="252"/>
    </row>
    <row r="26" spans="2:25" x14ac:dyDescent="0.45">
      <c r="B26" s="209"/>
      <c r="C26" s="209"/>
      <c r="D26" s="209"/>
      <c r="E26" s="209"/>
      <c r="F26" s="209"/>
      <c r="G26" s="209"/>
      <c r="H26" s="209"/>
      <c r="I26" s="209"/>
      <c r="J26" s="209"/>
    </row>
    <row r="27" spans="2:25" x14ac:dyDescent="0.45">
      <c r="B27" s="209"/>
      <c r="C27" s="209"/>
      <c r="D27" s="209"/>
      <c r="E27" s="209"/>
      <c r="F27" s="209"/>
      <c r="G27" s="209"/>
      <c r="H27" s="209"/>
      <c r="I27" s="209"/>
      <c r="J27" s="209"/>
      <c r="R27" s="463" t="s">
        <v>236</v>
      </c>
      <c r="S27" s="464"/>
      <c r="T27" s="464"/>
      <c r="U27" s="464"/>
      <c r="V27" s="464"/>
      <c r="W27" s="464"/>
      <c r="X27" s="464"/>
      <c r="Y27" s="465"/>
    </row>
    <row r="28" spans="2:25" x14ac:dyDescent="0.45">
      <c r="B28" s="209"/>
      <c r="C28" s="209"/>
      <c r="D28" s="209"/>
      <c r="E28" s="209"/>
      <c r="F28" s="209"/>
      <c r="G28" s="209"/>
      <c r="H28" s="209"/>
      <c r="I28" s="209"/>
      <c r="J28" s="209"/>
      <c r="N28" s="466" t="s">
        <v>212</v>
      </c>
      <c r="O28" s="468" t="s">
        <v>213</v>
      </c>
      <c r="P28" s="470" t="s">
        <v>193</v>
      </c>
      <c r="Q28" s="472" t="s">
        <v>214</v>
      </c>
      <c r="R28" s="460">
        <v>44502</v>
      </c>
      <c r="S28" s="461"/>
      <c r="T28" s="461"/>
      <c r="U28" s="462"/>
      <c r="V28" s="460" t="s">
        <v>215</v>
      </c>
      <c r="W28" s="461"/>
      <c r="X28" s="461"/>
      <c r="Y28" s="462"/>
    </row>
    <row r="29" spans="2:25" x14ac:dyDescent="0.45">
      <c r="B29" s="209"/>
      <c r="C29" s="209"/>
      <c r="D29" s="209"/>
      <c r="E29" s="209"/>
      <c r="F29" s="209"/>
      <c r="G29" s="209"/>
      <c r="H29" s="209"/>
      <c r="I29" s="209"/>
      <c r="J29" s="209"/>
      <c r="N29" s="467"/>
      <c r="O29" s="469"/>
      <c r="P29" s="471"/>
      <c r="Q29" s="473"/>
      <c r="R29" s="365" t="s">
        <v>224</v>
      </c>
      <c r="S29" s="366" t="s">
        <v>225</v>
      </c>
      <c r="T29" s="208" t="s">
        <v>226</v>
      </c>
      <c r="U29" s="367" t="s">
        <v>227</v>
      </c>
      <c r="V29" s="365" t="s">
        <v>224</v>
      </c>
      <c r="W29" s="366" t="s">
        <v>225</v>
      </c>
      <c r="X29" s="208" t="s">
        <v>226</v>
      </c>
      <c r="Y29" s="367" t="s">
        <v>227</v>
      </c>
    </row>
    <row r="30" spans="2:25" x14ac:dyDescent="0.45">
      <c r="B30" s="209"/>
      <c r="C30" s="209"/>
      <c r="D30" s="209"/>
      <c r="E30" s="209"/>
      <c r="F30" s="209"/>
      <c r="G30" s="209"/>
      <c r="H30" s="209"/>
      <c r="I30" s="209"/>
      <c r="J30" s="209"/>
      <c r="N30" s="214">
        <v>1</v>
      </c>
      <c r="O30" s="215">
        <v>100</v>
      </c>
      <c r="P30" s="222">
        <f>(O30*(6.0221*10^23))/(15123*340*10^9)</f>
        <v>11712000809.052048</v>
      </c>
      <c r="Q30" s="217">
        <f>LOG10(P30)</f>
        <v>10.068631093714899</v>
      </c>
      <c r="R30" s="214">
        <v>14.14</v>
      </c>
      <c r="S30" s="215">
        <v>13.82</v>
      </c>
      <c r="T30" s="218">
        <v>13.94</v>
      </c>
      <c r="U30" s="219">
        <f>AVERAGE(R30:T30)</f>
        <v>13.966666666666667</v>
      </c>
      <c r="V30" s="231"/>
      <c r="W30" s="232"/>
      <c r="X30" s="233"/>
      <c r="Y30" s="234"/>
    </row>
    <row r="31" spans="2:25" x14ac:dyDescent="0.45">
      <c r="N31" s="213">
        <v>2</v>
      </c>
      <c r="O31" s="368">
        <v>10</v>
      </c>
      <c r="P31" s="222">
        <f>(O31*(6.0221*10^23))/(15123*340*10^9)</f>
        <v>1171200080.9052045</v>
      </c>
      <c r="Q31" s="217">
        <f t="shared" ref="Q31:Q41" si="10">LOG10(P31)</f>
        <v>9.0686310937148988</v>
      </c>
      <c r="R31" s="213">
        <v>17.399999999999999</v>
      </c>
      <c r="S31" s="368">
        <v>16.72</v>
      </c>
      <c r="T31" s="223">
        <v>17.16</v>
      </c>
      <c r="U31" s="219">
        <f t="shared" ref="U31:U34" si="11">AVERAGE(R31:T31)</f>
        <v>17.093333333333334</v>
      </c>
      <c r="V31" s="235"/>
      <c r="W31" s="236"/>
      <c r="X31" s="237"/>
      <c r="Y31" s="234"/>
    </row>
    <row r="32" spans="2:25" x14ac:dyDescent="0.45">
      <c r="N32" s="213">
        <v>3</v>
      </c>
      <c r="O32" s="368">
        <v>1</v>
      </c>
      <c r="P32" s="222">
        <f t="shared" ref="P32:P41" si="12">(O32*(6.0221*10^23))/(15123*340*10^9)</f>
        <v>117120008.09052046</v>
      </c>
      <c r="Q32" s="217">
        <f t="shared" si="10"/>
        <v>8.0686310937148988</v>
      </c>
      <c r="R32" s="213">
        <v>20.91</v>
      </c>
      <c r="S32" s="368">
        <v>20.74</v>
      </c>
      <c r="T32" s="223">
        <v>20.58</v>
      </c>
      <c r="U32" s="219">
        <f t="shared" si="11"/>
        <v>20.743333333333332</v>
      </c>
      <c r="V32" s="235"/>
      <c r="W32" s="236"/>
      <c r="X32" s="237"/>
      <c r="Y32" s="234"/>
    </row>
    <row r="33" spans="1:65" x14ac:dyDescent="0.45">
      <c r="N33" s="213">
        <v>4</v>
      </c>
      <c r="O33" s="368">
        <v>0.1</v>
      </c>
      <c r="P33" s="222">
        <f t="shared" si="12"/>
        <v>11712000.809052046</v>
      </c>
      <c r="Q33" s="217">
        <f t="shared" si="10"/>
        <v>7.0686310937148997</v>
      </c>
      <c r="R33" s="213">
        <v>22.68</v>
      </c>
      <c r="S33" s="368">
        <v>23.85</v>
      </c>
      <c r="T33" s="223">
        <v>22.52</v>
      </c>
      <c r="U33" s="219">
        <f t="shared" si="11"/>
        <v>23.016666666666666</v>
      </c>
      <c r="V33" s="235"/>
      <c r="W33" s="236"/>
      <c r="X33" s="237"/>
      <c r="Y33" s="234"/>
    </row>
    <row r="34" spans="1:65" s="230" customFormat="1" x14ac:dyDescent="0.45">
      <c r="A34"/>
      <c r="B34"/>
      <c r="C34"/>
      <c r="D34"/>
      <c r="E34"/>
      <c r="F34"/>
      <c r="G34"/>
      <c r="H34"/>
      <c r="I34"/>
      <c r="J34"/>
      <c r="K34"/>
      <c r="L34" s="204"/>
      <c r="M34"/>
      <c r="N34" s="213">
        <v>5</v>
      </c>
      <c r="O34" s="368">
        <v>0.01</v>
      </c>
      <c r="P34" s="222">
        <f t="shared" si="12"/>
        <v>1171200.0809052046</v>
      </c>
      <c r="Q34" s="217">
        <f t="shared" si="10"/>
        <v>6.0686310937148997</v>
      </c>
      <c r="R34" s="213">
        <v>26.22</v>
      </c>
      <c r="S34" s="368">
        <v>25.93</v>
      </c>
      <c r="T34" s="223">
        <v>27.28</v>
      </c>
      <c r="U34" s="219">
        <f t="shared" si="11"/>
        <v>26.47666666666667</v>
      </c>
      <c r="V34" s="235"/>
      <c r="W34" s="236"/>
      <c r="X34" s="237"/>
      <c r="Y34" s="234"/>
      <c r="Z34"/>
      <c r="AA34"/>
      <c r="AB34"/>
      <c r="AC34"/>
      <c r="AD34"/>
      <c r="AE34"/>
      <c r="AF34" s="20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1:65" s="230" customFormat="1" x14ac:dyDescent="0.45">
      <c r="A35"/>
      <c r="B35"/>
      <c r="C35"/>
      <c r="D35"/>
      <c r="E35"/>
      <c r="F35"/>
      <c r="G35"/>
      <c r="H35"/>
      <c r="I35"/>
      <c r="J35"/>
      <c r="K35"/>
      <c r="L35" s="204"/>
      <c r="M35"/>
      <c r="N35" s="213">
        <v>6</v>
      </c>
      <c r="O35" s="368">
        <v>50</v>
      </c>
      <c r="P35" s="222">
        <f t="shared" si="12"/>
        <v>5856000404.5260239</v>
      </c>
      <c r="Q35" s="217">
        <f t="shared" si="10"/>
        <v>9.7676010980509176</v>
      </c>
      <c r="R35" s="235"/>
      <c r="S35" s="237"/>
      <c r="T35" s="238"/>
      <c r="U35" s="234"/>
      <c r="V35" s="213">
        <v>15.15</v>
      </c>
      <c r="W35" s="224">
        <v>15.4</v>
      </c>
      <c r="X35" s="368"/>
      <c r="Y35" s="239">
        <f t="shared" ref="Y35:Y41" si="13">AVERAGE(V35:X35)</f>
        <v>15.275</v>
      </c>
      <c r="Z35"/>
      <c r="AA35"/>
      <c r="AB35"/>
      <c r="AC35"/>
      <c r="AD35"/>
      <c r="AE35"/>
      <c r="AF35" s="204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</row>
    <row r="36" spans="1:65" s="230" customFormat="1" x14ac:dyDescent="0.45">
      <c r="A36"/>
      <c r="B36"/>
      <c r="C36"/>
      <c r="D36"/>
      <c r="E36"/>
      <c r="F36"/>
      <c r="G36"/>
      <c r="H36"/>
      <c r="I36"/>
      <c r="J36"/>
      <c r="K36"/>
      <c r="L36" s="204"/>
      <c r="M36"/>
      <c r="N36" s="213">
        <v>7</v>
      </c>
      <c r="O36" s="368">
        <v>5</v>
      </c>
      <c r="P36" s="222">
        <f t="shared" si="12"/>
        <v>585600040.45260227</v>
      </c>
      <c r="Q36" s="217">
        <f t="shared" si="10"/>
        <v>8.7676010980509176</v>
      </c>
      <c r="R36" s="235"/>
      <c r="S36" s="237"/>
      <c r="T36" s="238"/>
      <c r="U36" s="234"/>
      <c r="V36" s="213">
        <v>19.149999999999999</v>
      </c>
      <c r="W36" s="224">
        <v>18.75</v>
      </c>
      <c r="X36" s="368"/>
      <c r="Y36" s="239">
        <f t="shared" si="13"/>
        <v>18.95</v>
      </c>
      <c r="Z36"/>
      <c r="AA36"/>
      <c r="AB36"/>
      <c r="AC36"/>
      <c r="AD36"/>
      <c r="AE36"/>
      <c r="AF36" s="204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1:65" s="230" customFormat="1" x14ac:dyDescent="0.45">
      <c r="A37"/>
      <c r="B37"/>
      <c r="C37"/>
      <c r="D37"/>
      <c r="E37"/>
      <c r="F37"/>
      <c r="G37"/>
      <c r="H37"/>
      <c r="I37"/>
      <c r="J37"/>
      <c r="K37"/>
      <c r="L37" s="204"/>
      <c r="M37"/>
      <c r="N37" s="213">
        <v>8</v>
      </c>
      <c r="O37" s="368">
        <v>0.5</v>
      </c>
      <c r="P37" s="222">
        <f t="shared" si="12"/>
        <v>58560004.045260228</v>
      </c>
      <c r="Q37" s="217">
        <f t="shared" si="10"/>
        <v>7.7676010980509185</v>
      </c>
      <c r="R37" s="235"/>
      <c r="S37" s="237"/>
      <c r="T37" s="238"/>
      <c r="U37" s="234"/>
      <c r="V37" s="213">
        <v>22.43</v>
      </c>
      <c r="W37" s="224">
        <v>22.01</v>
      </c>
      <c r="X37" s="368"/>
      <c r="Y37" s="239">
        <f t="shared" si="13"/>
        <v>22.22</v>
      </c>
      <c r="Z37"/>
      <c r="AA37"/>
      <c r="AB37"/>
      <c r="AC37"/>
      <c r="AD37"/>
      <c r="AE37"/>
      <c r="AF37" s="204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1:65" s="230" customFormat="1" x14ac:dyDescent="0.45">
      <c r="A38"/>
      <c r="B38"/>
      <c r="C38"/>
      <c r="D38"/>
      <c r="E38"/>
      <c r="F38"/>
      <c r="G38"/>
      <c r="H38"/>
      <c r="I38"/>
      <c r="J38"/>
      <c r="K38"/>
      <c r="L38" s="204"/>
      <c r="M38"/>
      <c r="N38" s="213">
        <v>9</v>
      </c>
      <c r="O38" s="368">
        <v>0.05</v>
      </c>
      <c r="P38" s="222">
        <f t="shared" si="12"/>
        <v>5856000.4045260232</v>
      </c>
      <c r="Q38" s="217">
        <f t="shared" si="10"/>
        <v>6.7676010980509185</v>
      </c>
      <c r="R38" s="235"/>
      <c r="S38" s="237"/>
      <c r="T38" s="238"/>
      <c r="U38" s="234"/>
      <c r="V38" s="213">
        <v>25.74</v>
      </c>
      <c r="W38" s="224">
        <v>25.91</v>
      </c>
      <c r="X38" s="368"/>
      <c r="Y38" s="239">
        <f t="shared" si="13"/>
        <v>25.824999999999999</v>
      </c>
      <c r="Z38"/>
      <c r="AA38"/>
      <c r="AB38"/>
      <c r="AC38"/>
      <c r="AD38"/>
      <c r="AE38"/>
      <c r="AF38" s="204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</row>
    <row r="39" spans="1:65" s="230" customFormat="1" x14ac:dyDescent="0.45">
      <c r="A39"/>
      <c r="B39"/>
      <c r="C39"/>
      <c r="D39"/>
      <c r="E39"/>
      <c r="F39"/>
      <c r="G39"/>
      <c r="H39"/>
      <c r="I39"/>
      <c r="J39"/>
      <c r="K39"/>
      <c r="L39" s="204"/>
      <c r="M39"/>
      <c r="N39" s="213">
        <v>10</v>
      </c>
      <c r="O39" s="368">
        <v>5.0000000000000001E-3</v>
      </c>
      <c r="P39" s="222">
        <f t="shared" si="12"/>
        <v>585600.04045260232</v>
      </c>
      <c r="Q39" s="217">
        <f t="shared" si="10"/>
        <v>5.7676010980509185</v>
      </c>
      <c r="R39" s="235"/>
      <c r="S39" s="237"/>
      <c r="T39" s="238"/>
      <c r="U39" s="234"/>
      <c r="V39" s="213">
        <v>29.37</v>
      </c>
      <c r="W39" s="224">
        <v>28.64</v>
      </c>
      <c r="X39" s="368"/>
      <c r="Y39" s="239">
        <f t="shared" si="13"/>
        <v>29.005000000000003</v>
      </c>
      <c r="Z39"/>
      <c r="AA39"/>
      <c r="AB39"/>
      <c r="AC39"/>
      <c r="AD39"/>
      <c r="AE39"/>
      <c r="AF39" s="204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</row>
    <row r="40" spans="1:65" x14ac:dyDescent="0.45">
      <c r="N40" s="213">
        <v>11</v>
      </c>
      <c r="O40" s="368">
        <v>5.0000000000000001E-4</v>
      </c>
      <c r="P40" s="222">
        <f t="shared" si="12"/>
        <v>58560.004045260233</v>
      </c>
      <c r="Q40" s="217">
        <f t="shared" si="10"/>
        <v>4.7676010980509185</v>
      </c>
      <c r="R40" s="235"/>
      <c r="S40" s="237"/>
      <c r="T40" s="238"/>
      <c r="U40" s="234"/>
      <c r="V40" s="213">
        <v>32.35</v>
      </c>
      <c r="W40" s="224">
        <v>30.96</v>
      </c>
      <c r="X40" s="368"/>
      <c r="Y40" s="239">
        <f t="shared" si="13"/>
        <v>31.655000000000001</v>
      </c>
    </row>
    <row r="41" spans="1:65" x14ac:dyDescent="0.45">
      <c r="N41" s="225">
        <v>12</v>
      </c>
      <c r="O41" s="226">
        <v>5.0000000000000002E-5</v>
      </c>
      <c r="P41" s="227">
        <f t="shared" si="12"/>
        <v>5856.000404526023</v>
      </c>
      <c r="Q41" s="228">
        <f t="shared" si="10"/>
        <v>3.7676010980509185</v>
      </c>
      <c r="R41" s="240"/>
      <c r="S41" s="241"/>
      <c r="T41" s="242"/>
      <c r="U41" s="243"/>
      <c r="V41" s="225">
        <v>36.85</v>
      </c>
      <c r="W41" s="229">
        <v>36.47</v>
      </c>
      <c r="X41" s="226"/>
      <c r="Y41" s="244">
        <f t="shared" si="13"/>
        <v>36.659999999999997</v>
      </c>
    </row>
    <row r="88" spans="1:65" s="205" customFormat="1" x14ac:dyDescent="0.45">
      <c r="A88"/>
      <c r="B88"/>
      <c r="C88"/>
      <c r="D88"/>
      <c r="E88"/>
      <c r="F88"/>
      <c r="G88"/>
      <c r="H88"/>
      <c r="I88"/>
      <c r="J88"/>
      <c r="K88"/>
      <c r="L88" s="204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204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</row>
    <row r="89" spans="1:65" s="205" customFormat="1" x14ac:dyDescent="0.45">
      <c r="A89"/>
      <c r="B89"/>
      <c r="C89"/>
      <c r="D89"/>
      <c r="E89"/>
      <c r="F89"/>
      <c r="G89"/>
      <c r="H89"/>
      <c r="I89"/>
      <c r="J89"/>
      <c r="K89"/>
      <c r="L89" s="204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 s="204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</row>
    <row r="90" spans="1:65" s="205" customFormat="1" x14ac:dyDescent="0.45">
      <c r="A90"/>
      <c r="B90"/>
      <c r="C90"/>
      <c r="D90"/>
      <c r="E90"/>
      <c r="F90"/>
      <c r="G90"/>
      <c r="H90"/>
      <c r="I90"/>
      <c r="J90"/>
      <c r="K90"/>
      <c r="L90" s="204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 s="204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</row>
  </sheetData>
  <mergeCells count="21">
    <mergeCell ref="R1:Y1"/>
    <mergeCell ref="V2:Y2"/>
    <mergeCell ref="R27:Y27"/>
    <mergeCell ref="N2:N3"/>
    <mergeCell ref="O2:O3"/>
    <mergeCell ref="P2:P3"/>
    <mergeCell ref="Q2:Q3"/>
    <mergeCell ref="R2:U2"/>
    <mergeCell ref="R28:U28"/>
    <mergeCell ref="V28:Y28"/>
    <mergeCell ref="R13:Y13"/>
    <mergeCell ref="N14:N15"/>
    <mergeCell ref="O14:O15"/>
    <mergeCell ref="P14:P15"/>
    <mergeCell ref="Q14:Q15"/>
    <mergeCell ref="R14:U14"/>
    <mergeCell ref="V14:Y14"/>
    <mergeCell ref="N28:N29"/>
    <mergeCell ref="O28:O29"/>
    <mergeCell ref="P28:P29"/>
    <mergeCell ref="Q28:Q29"/>
  </mergeCells>
  <conditionalFormatting sqref="B15:B20 B21:J30 E15:I20 B10:I12 B6">
    <cfRule type="containsBlanks" dxfId="26" priority="24">
      <formula>LEN(TRIM(B6))=0</formula>
    </cfRule>
  </conditionalFormatting>
  <conditionalFormatting sqref="C15:D19 C20">
    <cfRule type="containsBlanks" dxfId="25" priority="23">
      <formula>LEN(TRIM(C15))=0</formula>
    </cfRule>
  </conditionalFormatting>
  <conditionalFormatting sqref="I4:J4 J6 J10:J12 J15:J20">
    <cfRule type="containsBlanks" dxfId="24" priority="22">
      <formula>LEN(TRIM(I4))=0</formula>
    </cfRule>
  </conditionalFormatting>
  <conditionalFormatting sqref="D20">
    <cfRule type="containsBlanks" dxfId="23" priority="21">
      <formula>LEN(TRIM(D20))=0</formula>
    </cfRule>
  </conditionalFormatting>
  <conditionalFormatting sqref="J9">
    <cfRule type="containsBlanks" dxfId="22" priority="6">
      <formula>LEN(TRIM(J9))=0</formula>
    </cfRule>
  </conditionalFormatting>
  <conditionalFormatting sqref="B5:F5">
    <cfRule type="containsBlanks" dxfId="21" priority="20">
      <formula>LEN(TRIM(B5))=0</formula>
    </cfRule>
  </conditionalFormatting>
  <conditionalFormatting sqref="G5:I5">
    <cfRule type="containsBlanks" dxfId="20" priority="19">
      <formula>LEN(TRIM(G5))=0</formula>
    </cfRule>
  </conditionalFormatting>
  <conditionalFormatting sqref="J5">
    <cfRule type="containsBlanks" dxfId="19" priority="18">
      <formula>LEN(TRIM(J5))=0</formula>
    </cfRule>
  </conditionalFormatting>
  <conditionalFormatting sqref="B7:F7">
    <cfRule type="containsBlanks" dxfId="18" priority="17">
      <formula>LEN(TRIM(B7))=0</formula>
    </cfRule>
  </conditionalFormatting>
  <conditionalFormatting sqref="G7:I7">
    <cfRule type="containsBlanks" dxfId="17" priority="16">
      <formula>LEN(TRIM(G7))=0</formula>
    </cfRule>
  </conditionalFormatting>
  <conditionalFormatting sqref="J7">
    <cfRule type="containsBlanks" dxfId="16" priority="15">
      <formula>LEN(TRIM(J7))=0</formula>
    </cfRule>
  </conditionalFormatting>
  <conditionalFormatting sqref="B8 E8:F8">
    <cfRule type="containsBlanks" dxfId="15" priority="14">
      <formula>LEN(TRIM(B8))=0</formula>
    </cfRule>
  </conditionalFormatting>
  <conditionalFormatting sqref="C8:D8">
    <cfRule type="containsBlanks" dxfId="14" priority="13">
      <formula>LEN(TRIM(C8))=0</formula>
    </cfRule>
  </conditionalFormatting>
  <conditionalFormatting sqref="G8:I8">
    <cfRule type="containsBlanks" dxfId="13" priority="12">
      <formula>LEN(TRIM(G8))=0</formula>
    </cfRule>
  </conditionalFormatting>
  <conditionalFormatting sqref="J8">
    <cfRule type="containsBlanks" dxfId="12" priority="11">
      <formula>LEN(TRIM(J8))=0</formula>
    </cfRule>
  </conditionalFormatting>
  <conditionalFormatting sqref="E9:F9">
    <cfRule type="containsBlanks" dxfId="11" priority="10">
      <formula>LEN(TRIM(E9))=0</formula>
    </cfRule>
  </conditionalFormatting>
  <conditionalFormatting sqref="C9">
    <cfRule type="containsBlanks" dxfId="10" priority="9">
      <formula>LEN(TRIM(C9))=0</formula>
    </cfRule>
  </conditionalFormatting>
  <conditionalFormatting sqref="D9">
    <cfRule type="containsBlanks" dxfId="9" priority="8">
      <formula>LEN(TRIM(D9))=0</formula>
    </cfRule>
  </conditionalFormatting>
  <conditionalFormatting sqref="G9:I9">
    <cfRule type="containsBlanks" dxfId="8" priority="7">
      <formula>LEN(TRIM(G9))=0</formula>
    </cfRule>
  </conditionalFormatting>
  <conditionalFormatting sqref="B9">
    <cfRule type="containsBlanks" dxfId="7" priority="5">
      <formula>LEN(TRIM(B9))=0</formula>
    </cfRule>
  </conditionalFormatting>
  <conditionalFormatting sqref="B13:I13">
    <cfRule type="containsBlanks" dxfId="6" priority="4">
      <formula>LEN(TRIM(B13))=0</formula>
    </cfRule>
  </conditionalFormatting>
  <conditionalFormatting sqref="J13">
    <cfRule type="containsBlanks" dxfId="5" priority="3">
      <formula>LEN(TRIM(J13))=0</formula>
    </cfRule>
  </conditionalFormatting>
  <conditionalFormatting sqref="B14:I14">
    <cfRule type="containsBlanks" dxfId="4" priority="2">
      <formula>LEN(TRIM(B14))=0</formula>
    </cfRule>
  </conditionalFormatting>
  <conditionalFormatting sqref="J14">
    <cfRule type="containsBlanks" dxfId="3" priority="1">
      <formula>LEN(TRIM(J14))=0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showGridLines="0" zoomScale="70" zoomScaleNormal="70" workbookViewId="0">
      <selection activeCell="G25" sqref="G25"/>
    </sheetView>
  </sheetViews>
  <sheetFormatPr defaultRowHeight="14.25" x14ac:dyDescent="0.45"/>
  <cols>
    <col min="1" max="1" width="2.3984375" customWidth="1"/>
    <col min="2" max="2" width="15.3984375" customWidth="1"/>
    <col min="3" max="3" width="17.1328125" customWidth="1"/>
    <col min="4" max="4" width="11.3984375" style="335" customWidth="1"/>
    <col min="5" max="5" width="13.1328125" style="335" customWidth="1"/>
    <col min="7" max="7" width="11.1328125" bestFit="1" customWidth="1"/>
  </cols>
  <sheetData>
    <row r="2" spans="2:5" x14ac:dyDescent="0.45">
      <c r="B2" s="484" t="s">
        <v>216</v>
      </c>
      <c r="C2" s="485" t="s">
        <v>237</v>
      </c>
      <c r="D2" s="484" t="s">
        <v>195</v>
      </c>
      <c r="E2" s="484"/>
    </row>
    <row r="3" spans="2:5" x14ac:dyDescent="0.45">
      <c r="B3" s="484"/>
      <c r="C3" s="485"/>
      <c r="D3" s="484" t="s">
        <v>238</v>
      </c>
      <c r="E3" s="484"/>
    </row>
    <row r="4" spans="2:5" x14ac:dyDescent="0.45">
      <c r="B4" s="484"/>
      <c r="C4" s="485"/>
      <c r="D4" s="368" t="s">
        <v>196</v>
      </c>
      <c r="E4" s="368" t="s">
        <v>57</v>
      </c>
    </row>
    <row r="5" spans="2:5" x14ac:dyDescent="0.45">
      <c r="B5" s="347">
        <v>44242</v>
      </c>
      <c r="C5" s="209">
        <v>317</v>
      </c>
      <c r="D5" s="368"/>
      <c r="E5" s="368"/>
    </row>
    <row r="6" spans="2:5" x14ac:dyDescent="0.45">
      <c r="B6" s="347">
        <v>44243</v>
      </c>
      <c r="C6" s="209">
        <v>412</v>
      </c>
      <c r="D6" s="348"/>
      <c r="E6" s="368"/>
    </row>
    <row r="7" spans="2:5" x14ac:dyDescent="0.45">
      <c r="B7" s="347">
        <v>44244</v>
      </c>
      <c r="C7" s="209">
        <v>331</v>
      </c>
      <c r="D7" s="348"/>
      <c r="E7" s="368"/>
    </row>
    <row r="8" spans="2:5" x14ac:dyDescent="0.45">
      <c r="B8" s="347">
        <v>44245</v>
      </c>
      <c r="C8" s="209">
        <v>375</v>
      </c>
      <c r="D8" s="348"/>
      <c r="E8" s="368"/>
    </row>
    <row r="9" spans="2:5" x14ac:dyDescent="0.45">
      <c r="B9" s="347">
        <v>44246</v>
      </c>
      <c r="C9" s="209">
        <v>394</v>
      </c>
      <c r="D9" s="348"/>
      <c r="E9" s="368"/>
    </row>
    <row r="10" spans="2:5" x14ac:dyDescent="0.45">
      <c r="B10" s="347">
        <v>44247</v>
      </c>
      <c r="C10" s="209">
        <v>392</v>
      </c>
      <c r="D10" s="348"/>
      <c r="E10" s="368"/>
    </row>
    <row r="11" spans="2:5" x14ac:dyDescent="0.45">
      <c r="B11" s="347">
        <v>44248</v>
      </c>
      <c r="C11" s="209">
        <v>404</v>
      </c>
      <c r="D11" s="348"/>
      <c r="E11" s="368"/>
    </row>
    <row r="12" spans="2:5" x14ac:dyDescent="0.45">
      <c r="B12" s="347">
        <v>44249</v>
      </c>
      <c r="C12" s="209">
        <v>259</v>
      </c>
      <c r="D12" s="348"/>
      <c r="E12" s="368"/>
    </row>
    <row r="13" spans="2:5" x14ac:dyDescent="0.45">
      <c r="B13" s="347">
        <v>44250</v>
      </c>
      <c r="C13" s="209">
        <v>417</v>
      </c>
      <c r="D13" s="348"/>
      <c r="E13" s="368"/>
    </row>
    <row r="14" spans="2:5" x14ac:dyDescent="0.45">
      <c r="B14" s="347">
        <v>44251</v>
      </c>
      <c r="C14" s="209">
        <v>410</v>
      </c>
      <c r="D14" s="348"/>
      <c r="E14" s="368"/>
    </row>
    <row r="15" spans="2:5" x14ac:dyDescent="0.45">
      <c r="B15" s="347">
        <v>44252</v>
      </c>
      <c r="C15" s="209">
        <v>389</v>
      </c>
      <c r="D15" s="349"/>
      <c r="E15" s="349"/>
    </row>
    <row r="16" spans="2:5" x14ac:dyDescent="0.45">
      <c r="B16" s="347">
        <v>44253</v>
      </c>
      <c r="C16" s="209">
        <v>399</v>
      </c>
      <c r="D16" s="349">
        <v>3.0892588037332804</v>
      </c>
      <c r="E16" s="349">
        <v>5.5517519075425774</v>
      </c>
    </row>
    <row r="17" spans="2:6" x14ac:dyDescent="0.45">
      <c r="B17" s="347">
        <v>44254</v>
      </c>
      <c r="C17" s="209">
        <v>324</v>
      </c>
      <c r="D17" s="368"/>
      <c r="E17" s="368"/>
      <c r="F17" t="s">
        <v>239</v>
      </c>
    </row>
    <row r="18" spans="2:6" x14ac:dyDescent="0.45">
      <c r="B18" s="347">
        <v>44255</v>
      </c>
      <c r="C18" s="209">
        <v>248</v>
      </c>
      <c r="D18" s="368"/>
      <c r="E18" s="368"/>
      <c r="F18" t="s">
        <v>239</v>
      </c>
    </row>
    <row r="19" spans="2:6" x14ac:dyDescent="0.45">
      <c r="B19" s="347">
        <v>44256</v>
      </c>
      <c r="C19" s="209">
        <v>259</v>
      </c>
      <c r="D19" s="349">
        <v>8.93229218911892</v>
      </c>
      <c r="E19" s="349">
        <v>9.8646937649361526</v>
      </c>
    </row>
    <row r="20" spans="2:6" x14ac:dyDescent="0.45">
      <c r="B20" s="347">
        <v>44257</v>
      </c>
      <c r="C20" s="209">
        <v>391</v>
      </c>
      <c r="D20" s="368"/>
      <c r="E20" s="368"/>
    </row>
    <row r="21" spans="2:6" x14ac:dyDescent="0.45">
      <c r="B21" s="347">
        <v>44258</v>
      </c>
      <c r="C21" s="209">
        <v>306</v>
      </c>
      <c r="D21" s="349">
        <v>8.89439958459241</v>
      </c>
      <c r="E21" s="349">
        <v>12.23296718573455</v>
      </c>
    </row>
    <row r="22" spans="2:6" x14ac:dyDescent="0.45">
      <c r="B22" s="347">
        <v>44259</v>
      </c>
      <c r="C22" s="209">
        <v>371</v>
      </c>
      <c r="D22" s="349">
        <v>3.7857172553192249</v>
      </c>
      <c r="E22" s="349">
        <v>19.229459984012177</v>
      </c>
    </row>
    <row r="23" spans="2:6" x14ac:dyDescent="0.45">
      <c r="B23" s="347">
        <v>44260</v>
      </c>
      <c r="C23" s="209">
        <v>281</v>
      </c>
      <c r="D23" s="348"/>
      <c r="E23" s="350"/>
    </row>
    <row r="24" spans="2:6" x14ac:dyDescent="0.45">
      <c r="B24" s="347">
        <v>44261</v>
      </c>
      <c r="C24" s="209">
        <v>393</v>
      </c>
      <c r="D24" s="368"/>
      <c r="E24" s="368"/>
    </row>
    <row r="25" spans="2:6" x14ac:dyDescent="0.45">
      <c r="B25" s="347">
        <v>44262</v>
      </c>
      <c r="C25" s="209">
        <v>277</v>
      </c>
      <c r="D25" s="348"/>
      <c r="E25" s="368"/>
    </row>
    <row r="26" spans="2:6" x14ac:dyDescent="0.45">
      <c r="B26" s="347">
        <v>44263</v>
      </c>
      <c r="C26" s="209">
        <v>158</v>
      </c>
      <c r="D26" s="348"/>
      <c r="E26" s="368"/>
    </row>
  </sheetData>
  <mergeCells count="4">
    <mergeCell ref="D2:E2"/>
    <mergeCell ref="D3:E3"/>
    <mergeCell ref="B2:B4"/>
    <mergeCell ref="C2:C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showGridLines="0" topLeftCell="K1" zoomScale="70" zoomScaleNormal="70" workbookViewId="0">
      <selection activeCell="Q31" sqref="Q31"/>
    </sheetView>
  </sheetViews>
  <sheetFormatPr defaultRowHeight="14.25" x14ac:dyDescent="0.45"/>
  <cols>
    <col min="1" max="1" width="2.3984375" customWidth="1"/>
    <col min="2" max="2" width="15.3984375" customWidth="1"/>
    <col min="3" max="3" width="17.1328125" customWidth="1"/>
    <col min="4" max="4" width="11.3984375" style="335" customWidth="1"/>
    <col min="5" max="5" width="13.1328125" style="335" customWidth="1"/>
    <col min="6" max="6" width="13.86328125" customWidth="1"/>
    <col min="8" max="8" width="11.1328125" bestFit="1" customWidth="1"/>
  </cols>
  <sheetData>
    <row r="2" spans="2:5" x14ac:dyDescent="0.45">
      <c r="D2" s="486" t="s">
        <v>199</v>
      </c>
      <c r="E2" s="486"/>
    </row>
    <row r="3" spans="2:5" x14ac:dyDescent="0.45">
      <c r="D3" s="486" t="s">
        <v>238</v>
      </c>
      <c r="E3" s="486"/>
    </row>
    <row r="4" spans="2:5" x14ac:dyDescent="0.45">
      <c r="B4" s="209" t="s">
        <v>216</v>
      </c>
      <c r="C4" s="209" t="s">
        <v>240</v>
      </c>
      <c r="D4" s="368" t="s">
        <v>196</v>
      </c>
      <c r="E4" s="368" t="s">
        <v>57</v>
      </c>
    </row>
    <row r="5" spans="2:5" x14ac:dyDescent="0.45">
      <c r="B5" s="347">
        <v>44242</v>
      </c>
      <c r="C5" s="209">
        <v>317</v>
      </c>
      <c r="D5" s="368"/>
      <c r="E5" s="368"/>
    </row>
    <row r="6" spans="2:5" x14ac:dyDescent="0.45">
      <c r="B6" s="347">
        <v>44243</v>
      </c>
      <c r="C6" s="209">
        <v>412</v>
      </c>
      <c r="D6" s="348"/>
      <c r="E6" s="368"/>
    </row>
    <row r="7" spans="2:5" x14ac:dyDescent="0.45">
      <c r="B7" s="347">
        <v>44244</v>
      </c>
      <c r="C7" s="209">
        <v>331</v>
      </c>
      <c r="D7" s="348"/>
      <c r="E7" s="368"/>
    </row>
    <row r="8" spans="2:5" x14ac:dyDescent="0.45">
      <c r="B8" s="347">
        <v>44245</v>
      </c>
      <c r="C8" s="209">
        <v>375</v>
      </c>
      <c r="D8" s="348"/>
      <c r="E8" s="368"/>
    </row>
    <row r="9" spans="2:5" x14ac:dyDescent="0.45">
      <c r="B9" s="347">
        <v>44246</v>
      </c>
      <c r="C9" s="209">
        <v>394</v>
      </c>
      <c r="D9" s="348"/>
      <c r="E9" s="368"/>
    </row>
    <row r="10" spans="2:5" x14ac:dyDescent="0.45">
      <c r="B10" s="347">
        <v>44247</v>
      </c>
      <c r="C10" s="209">
        <v>392</v>
      </c>
      <c r="D10" s="348"/>
      <c r="E10" s="368"/>
    </row>
    <row r="11" spans="2:5" x14ac:dyDescent="0.45">
      <c r="B11" s="347">
        <v>44248</v>
      </c>
      <c r="C11" s="209">
        <v>404</v>
      </c>
      <c r="D11" s="348"/>
      <c r="E11" s="368"/>
    </row>
    <row r="12" spans="2:5" x14ac:dyDescent="0.45">
      <c r="B12" s="347">
        <v>44249</v>
      </c>
      <c r="C12" s="209">
        <v>259</v>
      </c>
      <c r="D12" s="348"/>
      <c r="E12" s="368"/>
    </row>
    <row r="13" spans="2:5" x14ac:dyDescent="0.45">
      <c r="B13" s="347">
        <v>44250</v>
      </c>
      <c r="C13" s="209">
        <v>417</v>
      </c>
      <c r="D13" s="348"/>
      <c r="E13" s="368"/>
    </row>
    <row r="14" spans="2:5" x14ac:dyDescent="0.45">
      <c r="B14" s="347">
        <v>44251</v>
      </c>
      <c r="C14" s="209">
        <v>410</v>
      </c>
      <c r="D14" s="348"/>
      <c r="E14" s="368"/>
    </row>
    <row r="15" spans="2:5" x14ac:dyDescent="0.45">
      <c r="B15" s="347">
        <v>44252</v>
      </c>
      <c r="C15" s="209">
        <v>389</v>
      </c>
      <c r="D15" s="349"/>
      <c r="E15" s="349"/>
    </row>
    <row r="16" spans="2:5" x14ac:dyDescent="0.45">
      <c r="B16" s="347">
        <v>44253</v>
      </c>
      <c r="C16" s="209">
        <v>399</v>
      </c>
      <c r="D16" s="349">
        <v>22.073386816205506</v>
      </c>
      <c r="E16" s="349">
        <v>134.01440602747999</v>
      </c>
    </row>
    <row r="17" spans="2:5" x14ac:dyDescent="0.45">
      <c r="B17" s="347">
        <v>44254</v>
      </c>
      <c r="C17" s="209">
        <v>324</v>
      </c>
      <c r="D17" s="368"/>
      <c r="E17" s="368"/>
    </row>
    <row r="18" spans="2:5" x14ac:dyDescent="0.45">
      <c r="B18" s="347">
        <v>44255</v>
      </c>
      <c r="C18" s="209">
        <v>248</v>
      </c>
      <c r="D18" s="368"/>
      <c r="E18" s="368"/>
    </row>
    <row r="19" spans="2:5" x14ac:dyDescent="0.45">
      <c r="B19" s="347">
        <v>44256</v>
      </c>
      <c r="C19" s="209">
        <v>259</v>
      </c>
      <c r="D19" s="349">
        <v>25.446966052759468</v>
      </c>
      <c r="E19" s="349">
        <v>126.71498724750623</v>
      </c>
    </row>
    <row r="20" spans="2:5" x14ac:dyDescent="0.45">
      <c r="B20" s="347">
        <v>44257</v>
      </c>
      <c r="C20" s="209">
        <v>391</v>
      </c>
      <c r="D20" s="368"/>
      <c r="E20" s="368"/>
    </row>
    <row r="21" spans="2:5" x14ac:dyDescent="0.45">
      <c r="B21" s="347">
        <v>44258</v>
      </c>
      <c r="C21" s="209">
        <v>306</v>
      </c>
      <c r="D21" s="349">
        <v>39.792772684871878</v>
      </c>
      <c r="E21" s="349">
        <v>87.232271698595838</v>
      </c>
    </row>
    <row r="22" spans="2:5" x14ac:dyDescent="0.45">
      <c r="B22" s="347">
        <v>44259</v>
      </c>
      <c r="C22" s="209">
        <v>371</v>
      </c>
      <c r="D22" s="349">
        <v>74.461807091558327</v>
      </c>
      <c r="E22" s="349">
        <v>19.004684623124238</v>
      </c>
    </row>
    <row r="23" spans="2:5" x14ac:dyDescent="0.45">
      <c r="B23" s="347">
        <v>44260</v>
      </c>
      <c r="C23" s="209">
        <v>281</v>
      </c>
      <c r="D23" s="348"/>
      <c r="E23" s="350"/>
    </row>
    <row r="24" spans="2:5" x14ac:dyDescent="0.45">
      <c r="B24" s="347">
        <v>44261</v>
      </c>
      <c r="C24" s="209">
        <v>393</v>
      </c>
      <c r="D24" s="368"/>
      <c r="E24" s="368"/>
    </row>
    <row r="25" spans="2:5" x14ac:dyDescent="0.45">
      <c r="B25" s="347">
        <v>44262</v>
      </c>
      <c r="C25" s="209">
        <v>277</v>
      </c>
      <c r="D25" s="348"/>
      <c r="E25" s="368"/>
    </row>
    <row r="26" spans="2:5" x14ac:dyDescent="0.45">
      <c r="B26" s="347">
        <v>44263</v>
      </c>
      <c r="C26" s="209">
        <v>158</v>
      </c>
      <c r="D26" s="348"/>
      <c r="E26" s="368"/>
    </row>
  </sheetData>
  <mergeCells count="2">
    <mergeCell ref="D2:E2"/>
    <mergeCell ref="D3:E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opLeftCell="B24" workbookViewId="0">
      <selection activeCell="K5" sqref="K5"/>
    </sheetView>
  </sheetViews>
  <sheetFormatPr defaultRowHeight="14.25" x14ac:dyDescent="0.45"/>
  <cols>
    <col min="2" max="2" width="16.3984375" bestFit="1" customWidth="1"/>
    <col min="3" max="4" width="9.9296875" customWidth="1"/>
    <col min="5" max="11" width="10.59765625" customWidth="1"/>
  </cols>
  <sheetData>
    <row r="1" spans="2:12" x14ac:dyDescent="0.45">
      <c r="E1" s="487" t="s">
        <v>241</v>
      </c>
      <c r="F1" s="487"/>
      <c r="G1" s="487"/>
      <c r="H1" s="487"/>
      <c r="I1" s="487"/>
      <c r="J1" s="487"/>
      <c r="K1" s="487"/>
    </row>
    <row r="2" spans="2:12" x14ac:dyDescent="0.45">
      <c r="B2" s="369">
        <v>44197</v>
      </c>
      <c r="C2" s="369" t="s">
        <v>227</v>
      </c>
      <c r="D2" s="369" t="s">
        <v>249</v>
      </c>
      <c r="E2" s="334">
        <v>44253</v>
      </c>
      <c r="F2" s="334">
        <v>44256</v>
      </c>
      <c r="G2" s="334">
        <v>44257</v>
      </c>
      <c r="H2" s="334">
        <v>44258</v>
      </c>
      <c r="I2" s="334">
        <v>44259</v>
      </c>
      <c r="J2" s="334">
        <v>44260</v>
      </c>
      <c r="K2" s="334">
        <v>44263</v>
      </c>
    </row>
    <row r="3" spans="2:12" x14ac:dyDescent="0.45">
      <c r="E3" s="360">
        <f>E2-$B$2</f>
        <v>56</v>
      </c>
      <c r="F3" s="360">
        <f t="shared" ref="F3:K3" si="0">F2-$B$2</f>
        <v>59</v>
      </c>
      <c r="G3" s="360">
        <f t="shared" si="0"/>
        <v>60</v>
      </c>
      <c r="H3" s="360">
        <f t="shared" si="0"/>
        <v>61</v>
      </c>
      <c r="I3" s="360">
        <f t="shared" si="0"/>
        <v>62</v>
      </c>
      <c r="J3" s="360">
        <f t="shared" si="0"/>
        <v>63</v>
      </c>
      <c r="K3" s="360">
        <f t="shared" si="0"/>
        <v>66</v>
      </c>
    </row>
    <row r="4" spans="2:12" x14ac:dyDescent="0.45">
      <c r="B4" s="374" t="s">
        <v>250</v>
      </c>
      <c r="C4" s="372">
        <f>AVERAGE(E4:K4)</f>
        <v>7.3859525475376904</v>
      </c>
      <c r="D4" s="373">
        <f>STDEV(E4:K4)/C4</f>
        <v>0.51230410400790505</v>
      </c>
      <c r="E4" s="371">
        <v>3.0892588037332804</v>
      </c>
      <c r="F4" s="293">
        <v>8.93229218911892</v>
      </c>
      <c r="G4" s="293">
        <v>4</v>
      </c>
      <c r="H4" s="293">
        <v>8.89439958459241</v>
      </c>
      <c r="I4" s="293">
        <v>3.7857172553192249</v>
      </c>
      <c r="J4" s="293">
        <v>13</v>
      </c>
      <c r="K4" s="293">
        <v>10</v>
      </c>
    </row>
    <row r="5" spans="2:12" x14ac:dyDescent="0.45">
      <c r="B5" s="375" t="s">
        <v>251</v>
      </c>
      <c r="C5" s="372">
        <f t="shared" ref="C5:C7" si="1">AVERAGE(E5:K5)</f>
        <v>223.1107046636279</v>
      </c>
      <c r="D5" s="373">
        <f t="shared" ref="D5:D7" si="2">STDEV(E5:K5)/C5</f>
        <v>1.9360268694671996</v>
      </c>
      <c r="E5" s="371">
        <v>22.073386816205506</v>
      </c>
      <c r="F5" s="293">
        <v>25.446966052759468</v>
      </c>
      <c r="G5" s="293">
        <v>70</v>
      </c>
      <c r="H5" s="293">
        <v>39.792772684871878</v>
      </c>
      <c r="I5" s="293">
        <v>74.461807091558327</v>
      </c>
      <c r="J5" s="370">
        <v>1199</v>
      </c>
      <c r="K5" s="293">
        <v>131</v>
      </c>
      <c r="L5" s="370">
        <v>1199</v>
      </c>
    </row>
    <row r="6" spans="2:12" x14ac:dyDescent="0.45">
      <c r="B6" s="376" t="s">
        <v>252</v>
      </c>
      <c r="C6" s="372">
        <f t="shared" si="1"/>
        <v>173.98003658108169</v>
      </c>
      <c r="D6" s="373">
        <f t="shared" si="2"/>
        <v>1.141956834812808</v>
      </c>
      <c r="E6" s="371">
        <v>554.64569294868056</v>
      </c>
      <c r="F6" s="293">
        <v>265.53062727046427</v>
      </c>
      <c r="G6" s="293">
        <v>6</v>
      </c>
      <c r="H6" s="293">
        <v>153.53990916144545</v>
      </c>
      <c r="I6" s="293">
        <v>5.1440266869815519</v>
      </c>
      <c r="J6" s="293">
        <v>17</v>
      </c>
      <c r="K6" s="293">
        <v>216</v>
      </c>
    </row>
    <row r="7" spans="2:12" x14ac:dyDescent="0.45">
      <c r="B7" s="376" t="s">
        <v>253</v>
      </c>
      <c r="C7" s="372">
        <f t="shared" si="1"/>
        <v>11.847413260788651</v>
      </c>
      <c r="D7" s="373">
        <f t="shared" si="2"/>
        <v>0.6138489348468934</v>
      </c>
      <c r="E7" s="371">
        <v>3.4490450355944695</v>
      </c>
      <c r="F7" s="293">
        <v>9.543314059983528</v>
      </c>
      <c r="G7" s="293">
        <v>5</v>
      </c>
      <c r="H7" s="293">
        <v>24.869415561130392</v>
      </c>
      <c r="I7" s="293">
        <v>10.070118168812165</v>
      </c>
      <c r="J7" s="293">
        <v>16</v>
      </c>
      <c r="K7" s="293">
        <v>14</v>
      </c>
    </row>
  </sheetData>
  <mergeCells count="1">
    <mergeCell ref="E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E9" sqref="E9:K12"/>
    </sheetView>
  </sheetViews>
  <sheetFormatPr defaultRowHeight="14.25" x14ac:dyDescent="0.45"/>
  <cols>
    <col min="2" max="2" width="16.3984375" bestFit="1" customWidth="1"/>
    <col min="3" max="4" width="9.9296875" customWidth="1"/>
    <col min="5" max="11" width="10.59765625" customWidth="1"/>
  </cols>
  <sheetData>
    <row r="1" spans="2:11" x14ac:dyDescent="0.45">
      <c r="E1" s="487" t="s">
        <v>242</v>
      </c>
      <c r="F1" s="487"/>
      <c r="G1" s="487"/>
      <c r="H1" s="487"/>
      <c r="I1" s="487"/>
      <c r="J1" s="487"/>
      <c r="K1" s="487"/>
    </row>
    <row r="2" spans="2:11" x14ac:dyDescent="0.45">
      <c r="B2" s="369">
        <v>44197</v>
      </c>
      <c r="C2" s="369" t="s">
        <v>227</v>
      </c>
      <c r="D2" s="369" t="s">
        <v>249</v>
      </c>
      <c r="E2" s="334">
        <v>44253</v>
      </c>
      <c r="F2" s="334">
        <v>44256</v>
      </c>
      <c r="G2" s="334">
        <v>44257</v>
      </c>
      <c r="H2" s="334">
        <v>44258</v>
      </c>
      <c r="I2" s="334">
        <v>44259</v>
      </c>
      <c r="J2" s="334">
        <v>44260</v>
      </c>
      <c r="K2" s="334">
        <v>44263</v>
      </c>
    </row>
    <row r="3" spans="2:11" x14ac:dyDescent="0.45">
      <c r="E3" s="360">
        <f>E2-$B$2</f>
        <v>56</v>
      </c>
      <c r="F3" s="360">
        <f t="shared" ref="F3:K3" si="0">F2-$B$2</f>
        <v>59</v>
      </c>
      <c r="G3" s="360">
        <f t="shared" si="0"/>
        <v>60</v>
      </c>
      <c r="H3" s="360">
        <f t="shared" si="0"/>
        <v>61</v>
      </c>
      <c r="I3" s="360">
        <f t="shared" si="0"/>
        <v>62</v>
      </c>
      <c r="J3" s="360">
        <f t="shared" si="0"/>
        <v>63</v>
      </c>
      <c r="K3" s="360">
        <f t="shared" si="0"/>
        <v>66</v>
      </c>
    </row>
    <row r="4" spans="2:11" x14ac:dyDescent="0.45">
      <c r="B4" s="374" t="s">
        <v>250</v>
      </c>
      <c r="C4" s="372">
        <f>AVERAGE(E4:K4)</f>
        <v>11.411267548889352</v>
      </c>
      <c r="D4" s="373">
        <f>STDEV(E4:K4)/C4</f>
        <v>0.48664757757436594</v>
      </c>
      <c r="E4" s="293">
        <v>5.5517519075425774</v>
      </c>
      <c r="F4" s="293">
        <v>9.8646937649361526</v>
      </c>
      <c r="G4" s="293">
        <v>4</v>
      </c>
      <c r="H4" s="293">
        <v>12.23296718573455</v>
      </c>
      <c r="I4" s="293">
        <v>19.229459984012177</v>
      </c>
      <c r="J4" s="293">
        <v>12</v>
      </c>
      <c r="K4" s="293">
        <v>17</v>
      </c>
    </row>
    <row r="5" spans="2:11" x14ac:dyDescent="0.45">
      <c r="B5" s="375" t="s">
        <v>251</v>
      </c>
      <c r="C5" s="372">
        <f t="shared" ref="C5:C7" si="1">AVERAGE(E5:K5)</f>
        <v>135.42376422810091</v>
      </c>
      <c r="D5" s="373">
        <f t="shared" ref="D5:D7" si="2">STDEV(E5:K5)/C5</f>
        <v>0.76762256172055088</v>
      </c>
      <c r="E5" s="293">
        <v>134.01440602747999</v>
      </c>
      <c r="F5" s="293">
        <v>126.71498724750623</v>
      </c>
      <c r="G5" s="293">
        <v>91</v>
      </c>
      <c r="H5" s="293">
        <v>87.232271698595838</v>
      </c>
      <c r="I5" s="293">
        <v>19.004684623124238</v>
      </c>
      <c r="J5" s="293">
        <v>138</v>
      </c>
      <c r="K5" s="293">
        <v>352</v>
      </c>
    </row>
    <row r="6" spans="2:11" x14ac:dyDescent="0.45">
      <c r="B6" s="376" t="s">
        <v>252</v>
      </c>
      <c r="C6" s="372">
        <f t="shared" si="1"/>
        <v>254.88618832126727</v>
      </c>
      <c r="D6" s="373">
        <f t="shared" si="2"/>
        <v>0.47752688016925421</v>
      </c>
      <c r="E6" s="293">
        <v>289.33765321190293</v>
      </c>
      <c r="F6" s="293">
        <v>459.11967589195694</v>
      </c>
      <c r="G6" s="293">
        <v>342</v>
      </c>
      <c r="H6" s="293">
        <v>265.49847565508526</v>
      </c>
      <c r="I6" s="293">
        <v>124.24751348992568</v>
      </c>
      <c r="J6" s="293">
        <v>157</v>
      </c>
      <c r="K6" s="293">
        <v>147</v>
      </c>
    </row>
    <row r="7" spans="2:11" x14ac:dyDescent="0.45">
      <c r="B7" s="376" t="s">
        <v>253</v>
      </c>
      <c r="C7" s="372">
        <f t="shared" si="1"/>
        <v>15.342600498482867</v>
      </c>
      <c r="D7" s="373">
        <f t="shared" si="2"/>
        <v>0.50726101786644184</v>
      </c>
      <c r="E7" s="293">
        <v>11.669042977161551</v>
      </c>
      <c r="F7" s="293">
        <v>11.253759573560549</v>
      </c>
      <c r="G7" s="293">
        <v>4</v>
      </c>
      <c r="H7" s="293">
        <v>26.054746850952096</v>
      </c>
      <c r="I7" s="293">
        <v>23.420654087705866</v>
      </c>
      <c r="J7" s="293">
        <v>12</v>
      </c>
      <c r="K7" s="293">
        <v>19</v>
      </c>
    </row>
    <row r="9" spans="2:11" x14ac:dyDescent="0.45">
      <c r="E9" s="383">
        <f>ABS(E4-AVERAGE($E4:$K4))/STDEV($E4:$K4)</f>
        <v>1.055147718051878</v>
      </c>
      <c r="F9" s="383">
        <f t="shared" ref="F9:K9" si="3">ABS(F4-AVERAGE($E4:$K4))/STDEV($E4:$K4)</f>
        <v>0.27849807028793977</v>
      </c>
      <c r="G9" s="383">
        <f t="shared" si="3"/>
        <v>1.3345782349145088</v>
      </c>
      <c r="H9" s="383">
        <f t="shared" si="3"/>
        <v>0.14796692249156432</v>
      </c>
      <c r="I9" s="383">
        <f t="shared" si="3"/>
        <v>1.4078549170515124</v>
      </c>
      <c r="J9" s="383">
        <f t="shared" si="3"/>
        <v>0.10601553786273531</v>
      </c>
      <c r="K9" s="383">
        <f t="shared" si="3"/>
        <v>1.0063866458485129</v>
      </c>
    </row>
    <row r="10" spans="2:11" x14ac:dyDescent="0.45">
      <c r="E10" s="383">
        <f t="shared" ref="E10:K12" si="4">ABS(E5-AVERAGE($E5:$K5))/STDEV($E5:$K5)</f>
        <v>1.3557473827515929E-2</v>
      </c>
      <c r="F10" s="383">
        <f t="shared" si="4"/>
        <v>8.37750232212566E-2</v>
      </c>
      <c r="G10" s="383">
        <f t="shared" si="4"/>
        <v>0.42733921055475838</v>
      </c>
      <c r="H10" s="383">
        <f t="shared" si="4"/>
        <v>0.46358328095004431</v>
      </c>
      <c r="I10" s="383">
        <f t="shared" si="4"/>
        <v>1.1199059430545042</v>
      </c>
      <c r="J10" s="383">
        <f t="shared" si="4"/>
        <v>2.4782378983316308E-2</v>
      </c>
      <c r="K10" s="383">
        <f t="shared" si="4"/>
        <v>2.0833785526247626</v>
      </c>
    </row>
    <row r="11" spans="2:11" x14ac:dyDescent="0.45">
      <c r="E11" s="383">
        <f t="shared" si="4"/>
        <v>0.28305026582883119</v>
      </c>
      <c r="F11" s="383">
        <f t="shared" si="4"/>
        <v>1.6779647289757491</v>
      </c>
      <c r="G11" s="383">
        <f t="shared" si="4"/>
        <v>0.71571956755111099</v>
      </c>
      <c r="H11" s="383">
        <f t="shared" si="4"/>
        <v>8.7189637956602339E-2</v>
      </c>
      <c r="I11" s="383">
        <f t="shared" si="4"/>
        <v>1.0733160913743429</v>
      </c>
      <c r="J11" s="383">
        <f t="shared" si="4"/>
        <v>0.80422448546844694</v>
      </c>
      <c r="K11" s="383">
        <f t="shared" si="4"/>
        <v>0.88638362346950417</v>
      </c>
    </row>
    <row r="12" spans="2:11" x14ac:dyDescent="0.45">
      <c r="E12" s="383">
        <f t="shared" si="4"/>
        <v>0.47201562909517975</v>
      </c>
      <c r="F12" s="383">
        <f t="shared" si="4"/>
        <v>0.5253754188536941</v>
      </c>
      <c r="G12" s="383">
        <f t="shared" si="4"/>
        <v>1.4574114271500476</v>
      </c>
      <c r="H12" s="383">
        <f t="shared" si="4"/>
        <v>1.3764043356266091</v>
      </c>
      <c r="I12" s="383">
        <f t="shared" si="4"/>
        <v>1.0379495964473724</v>
      </c>
      <c r="J12" s="383">
        <f t="shared" si="4"/>
        <v>0.42949094112394859</v>
      </c>
      <c r="K12" s="383">
        <f t="shared" si="4"/>
        <v>0.46993948414888798</v>
      </c>
    </row>
  </sheetData>
  <mergeCells count="1">
    <mergeCell ref="E1:K1"/>
  </mergeCells>
  <conditionalFormatting sqref="E9:K12">
    <cfRule type="cellIs" dxfId="2" priority="1" operator="greaterThan">
      <formula>1.5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opLeftCell="N1" workbookViewId="0">
      <selection activeCell="I68" sqref="I68"/>
    </sheetView>
  </sheetViews>
  <sheetFormatPr defaultRowHeight="14.25" x14ac:dyDescent="0.45"/>
  <cols>
    <col min="5" max="11" width="10.59765625" customWidth="1"/>
  </cols>
  <sheetData>
    <row r="1" spans="2:12" x14ac:dyDescent="0.45">
      <c r="E1" s="487" t="s">
        <v>243</v>
      </c>
      <c r="F1" s="487"/>
      <c r="G1" s="487"/>
      <c r="H1" s="487"/>
      <c r="I1" s="487"/>
      <c r="J1" s="487"/>
      <c r="K1" s="487"/>
    </row>
    <row r="2" spans="2:12" x14ac:dyDescent="0.45">
      <c r="B2" s="369">
        <v>44197</v>
      </c>
      <c r="C2" s="369" t="s">
        <v>227</v>
      </c>
      <c r="D2" s="369" t="s">
        <v>249</v>
      </c>
      <c r="E2" s="334">
        <v>44253</v>
      </c>
      <c r="F2" s="334">
        <v>44256</v>
      </c>
      <c r="G2" s="334">
        <v>44257</v>
      </c>
      <c r="H2" s="334">
        <v>44258</v>
      </c>
      <c r="I2" s="334">
        <v>44259</v>
      </c>
      <c r="J2" s="334">
        <v>44260</v>
      </c>
      <c r="K2" s="334">
        <v>44263</v>
      </c>
    </row>
    <row r="3" spans="2:12" x14ac:dyDescent="0.45">
      <c r="E3" s="360">
        <f>E2-$B$2</f>
        <v>56</v>
      </c>
      <c r="F3" s="360">
        <f t="shared" ref="F3:K3" si="0">F2-$B$2</f>
        <v>59</v>
      </c>
      <c r="G3" s="360">
        <f t="shared" si="0"/>
        <v>60</v>
      </c>
      <c r="H3" s="360">
        <f t="shared" si="0"/>
        <v>61</v>
      </c>
      <c r="I3" s="360">
        <f t="shared" si="0"/>
        <v>62</v>
      </c>
      <c r="J3" s="360">
        <f t="shared" si="0"/>
        <v>63</v>
      </c>
      <c r="K3" s="360">
        <f t="shared" si="0"/>
        <v>66</v>
      </c>
    </row>
    <row r="4" spans="2:12" x14ac:dyDescent="0.45">
      <c r="B4" s="374" t="s">
        <v>250</v>
      </c>
      <c r="C4" s="372">
        <f>AVERAGE(E4:K4)</f>
        <v>3594.4643602464389</v>
      </c>
      <c r="D4" s="373">
        <f>STDEV(E4:K4)/C4</f>
        <v>0.60648218460049774</v>
      </c>
      <c r="E4" s="349">
        <v>6077.8089487460693</v>
      </c>
      <c r="F4" s="349">
        <v>1807.1215983103211</v>
      </c>
      <c r="G4" s="359">
        <v>5572.0317640090307</v>
      </c>
      <c r="H4" s="349">
        <v>1883.8918603599755</v>
      </c>
      <c r="I4" s="349">
        <v>5440.8923845420059</v>
      </c>
      <c r="J4" s="359">
        <v>3764.5034450129979</v>
      </c>
      <c r="K4" s="359">
        <v>615.00052074467465</v>
      </c>
      <c r="L4" s="383">
        <f>(MAX(E4:K4)-MIN(E4:K4))/2/C4</f>
        <v>0.75989186155498012</v>
      </c>
    </row>
    <row r="5" spans="2:12" x14ac:dyDescent="0.45">
      <c r="B5" s="375" t="s">
        <v>251</v>
      </c>
      <c r="C5" s="372">
        <f t="shared" ref="C5:C7" si="1">AVERAGE(E5:K5)</f>
        <v>2716.8386245803363</v>
      </c>
      <c r="D5" s="373">
        <f t="shared" ref="D5:D7" si="2">STDEV(E5:K5)/C5</f>
        <v>0.83326665932969679</v>
      </c>
      <c r="E5" s="349">
        <v>1433.7031941619205</v>
      </c>
      <c r="F5" s="349">
        <v>3022.3747097128007</v>
      </c>
      <c r="G5" s="359">
        <v>1722.0563527702343</v>
      </c>
      <c r="H5" s="349">
        <v>5963.5916599368993</v>
      </c>
      <c r="I5" s="349">
        <v>432.21736795983753</v>
      </c>
      <c r="J5" s="359">
        <v>5645.7567266438537</v>
      </c>
      <c r="K5" s="359">
        <v>798.17036087680651</v>
      </c>
      <c r="L5" s="383">
        <f t="shared" ref="L5:L7" si="3">(MAX(E5:K5)-MIN(E5:K5))/2/C5</f>
        <v>1.0179799127435256</v>
      </c>
    </row>
    <row r="6" spans="2:12" x14ac:dyDescent="0.45">
      <c r="B6" s="376" t="s">
        <v>252</v>
      </c>
      <c r="C6" s="372">
        <f t="shared" si="1"/>
        <v>1172.1499790030841</v>
      </c>
      <c r="D6" s="373">
        <f t="shared" si="2"/>
        <v>1.2436198337583246</v>
      </c>
      <c r="E6" s="349">
        <v>979.7629854108643</v>
      </c>
      <c r="F6" s="349">
        <v>1641.7784246494207</v>
      </c>
      <c r="G6" s="359">
        <v>699.85782921290092</v>
      </c>
      <c r="H6" s="349">
        <v>398.55883247233544</v>
      </c>
      <c r="I6" s="377">
        <v>93.050417917239798</v>
      </c>
      <c r="J6" s="392">
        <v>145.49057405933274</v>
      </c>
      <c r="K6" s="359">
        <v>4246.5507892994947</v>
      </c>
      <c r="L6" s="383">
        <f t="shared" si="3"/>
        <v>1.7717444208440014</v>
      </c>
    </row>
    <row r="7" spans="2:12" x14ac:dyDescent="0.45">
      <c r="B7" s="376" t="s">
        <v>253</v>
      </c>
      <c r="C7" s="372">
        <f t="shared" si="1"/>
        <v>3816.8698944509715</v>
      </c>
      <c r="D7" s="373">
        <f t="shared" si="2"/>
        <v>1.927167600260637</v>
      </c>
      <c r="E7" s="349">
        <v>549.0961450194643</v>
      </c>
      <c r="F7" s="349">
        <v>2950.3775312867674</v>
      </c>
      <c r="G7" s="349">
        <v>967.87973017797708</v>
      </c>
      <c r="H7" s="377">
        <v>20382.613109403024</v>
      </c>
      <c r="I7" s="349">
        <v>417.58366329693808</v>
      </c>
      <c r="J7" s="359">
        <v>750.68125275972739</v>
      </c>
      <c r="K7" s="359">
        <v>699.85782921290092</v>
      </c>
      <c r="L7" s="383">
        <f t="shared" si="3"/>
        <v>2.615366779351266</v>
      </c>
    </row>
    <row r="8" spans="2:12" x14ac:dyDescent="0.45">
      <c r="J8" s="358"/>
      <c r="K8" s="358"/>
    </row>
    <row r="9" spans="2:12" x14ac:dyDescent="0.45">
      <c r="E9" s="383">
        <f>ABS(E4-AVERAGE($E4:$K4))/STDEV($E4:$K4)</f>
        <v>1.1391600776048254</v>
      </c>
      <c r="F9" s="383">
        <f t="shared" ref="F9:K9" si="4">ABS(F4-AVERAGE($E4:$K4))/STDEV($E4:$K4)</f>
        <v>0.81989005022605776</v>
      </c>
      <c r="G9" s="383">
        <f t="shared" si="4"/>
        <v>0.9071499169191124</v>
      </c>
      <c r="H9" s="383">
        <f t="shared" si="4"/>
        <v>0.78467398795293442</v>
      </c>
      <c r="I9" s="383">
        <f t="shared" si="4"/>
        <v>0.84699364767539809</v>
      </c>
      <c r="J9" s="383">
        <f t="shared" si="4"/>
        <v>7.8000345942951133E-2</v>
      </c>
      <c r="K9" s="383">
        <f t="shared" si="4"/>
        <v>1.3667399499632935</v>
      </c>
    </row>
    <row r="10" spans="2:12" x14ac:dyDescent="0.45">
      <c r="E10" s="383">
        <f t="shared" ref="E10:K10" si="5">ABS(E5-AVERAGE($E5:$K5))/STDEV($E5:$K5)</f>
        <v>0.56679322319166059</v>
      </c>
      <c r="F10" s="383">
        <f t="shared" si="5"/>
        <v>0.1349629808266774</v>
      </c>
      <c r="G10" s="383">
        <f t="shared" si="5"/>
        <v>0.43942037359946473</v>
      </c>
      <c r="H10" s="383">
        <f t="shared" si="5"/>
        <v>1.4341725543475745</v>
      </c>
      <c r="I10" s="383">
        <f t="shared" si="5"/>
        <v>1.0091747255313959</v>
      </c>
      <c r="J10" s="383">
        <f t="shared" si="5"/>
        <v>1.2937768626587183</v>
      </c>
      <c r="K10" s="383">
        <f t="shared" si="5"/>
        <v>0.84752407551044939</v>
      </c>
    </row>
    <row r="11" spans="2:12" x14ac:dyDescent="0.45">
      <c r="E11" s="383">
        <f t="shared" ref="E11:K11" si="6">ABS(E6-AVERAGE($E6:$K6))/STDEV($E6:$K6)</f>
        <v>0.13197901543022278</v>
      </c>
      <c r="F11" s="383">
        <f t="shared" si="6"/>
        <v>0.32216886764083164</v>
      </c>
      <c r="G11" s="383">
        <f t="shared" si="6"/>
        <v>0.3239961899755599</v>
      </c>
      <c r="H11" s="383">
        <f t="shared" si="6"/>
        <v>0.5306897101426209</v>
      </c>
      <c r="I11" s="383">
        <f t="shared" si="6"/>
        <v>0.74027092457800481</v>
      </c>
      <c r="J11" s="383">
        <f t="shared" si="6"/>
        <v>0.70429655828944893</v>
      </c>
      <c r="K11" s="383">
        <f t="shared" si="6"/>
        <v>2.1090635307750256</v>
      </c>
    </row>
    <row r="12" spans="2:12" x14ac:dyDescent="0.45">
      <c r="E12" s="383">
        <f t="shared" ref="E12:K12" si="7">ABS(E7-AVERAGE($E7:$K7))/STDEV($E7:$K7)</f>
        <v>0.44424764845865516</v>
      </c>
      <c r="F12" s="383">
        <f t="shared" si="7"/>
        <v>0.1177979946775838</v>
      </c>
      <c r="G12" s="383">
        <f t="shared" si="7"/>
        <v>0.3873148136955018</v>
      </c>
      <c r="H12" s="383">
        <f t="shared" si="7"/>
        <v>2.2520813962388506</v>
      </c>
      <c r="I12" s="383">
        <f t="shared" si="7"/>
        <v>0.46212652111878294</v>
      </c>
      <c r="J12" s="383">
        <f t="shared" si="7"/>
        <v>0.41684253508644686</v>
      </c>
      <c r="K12" s="383">
        <f t="shared" si="7"/>
        <v>0.4237518832018799</v>
      </c>
    </row>
  </sheetData>
  <mergeCells count="1">
    <mergeCell ref="E1:K1"/>
  </mergeCells>
  <conditionalFormatting sqref="E9:K12">
    <cfRule type="cellIs" dxfId="1" priority="1" operator="greaterThan">
      <formula>1.5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573754F895C24CA1E5512CFED99DB0" ma:contentTypeVersion="11" ma:contentTypeDescription="Create a new document." ma:contentTypeScope="" ma:versionID="5f4855c6dd736ff9aff3ebd96dd4df84">
  <xsd:schema xmlns:xsd="http://www.w3.org/2001/XMLSchema" xmlns:xs="http://www.w3.org/2001/XMLSchema" xmlns:p="http://schemas.microsoft.com/office/2006/metadata/properties" xmlns:ns2="49f006a8-6189-4577-95fd-d12e97e560aa" xmlns:ns3="f1a7acc2-f81a-433d-9c39-7b5f43052363" targetNamespace="http://schemas.microsoft.com/office/2006/metadata/properties" ma:root="true" ma:fieldsID="fe0d94444280dde9da62946e52046e10" ns2:_="" ns3:_="">
    <xsd:import namespace="49f006a8-6189-4577-95fd-d12e97e560aa"/>
    <xsd:import namespace="f1a7acc2-f81a-433d-9c39-7b5f430523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006a8-6189-4577-95fd-d12e97e560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7acc2-f81a-433d-9c39-7b5f4305236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3F7E42-5FF8-4C6B-920A-3D54A791B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006a8-6189-4577-95fd-d12e97e560aa"/>
    <ds:schemaRef ds:uri="f1a7acc2-f81a-433d-9c39-7b5f430523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EA5CCD-C080-4CC9-9A03-54C7E35833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02B35E-22AA-4EBD-AF9E-468ACB881D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Qc old data</vt:lpstr>
      <vt:lpstr>Mtl Data Daily Samples</vt:lpstr>
      <vt:lpstr>Qc Data Daily Samples</vt:lpstr>
      <vt:lpstr>Standard Curve Summaries</vt:lpstr>
      <vt:lpstr>Graphs Montreal VSTL-III</vt:lpstr>
      <vt:lpstr>Graphs Montreal CDN05</vt:lpstr>
      <vt:lpstr>Grab</vt:lpstr>
      <vt:lpstr>Composite</vt:lpstr>
      <vt:lpstr>Grab (PMMV)</vt:lpstr>
      <vt:lpstr>Composite (PMMV)</vt:lpstr>
      <vt:lpstr>Grab (normalization)</vt:lpstr>
      <vt:lpstr>Composite (normalization)</vt:lpstr>
      <vt:lpstr>Grab (BRSV recovery)</vt:lpstr>
      <vt:lpstr>Composite (BRSV recovery)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Sánchez Quete</dc:creator>
  <cp:keywords/>
  <dc:description/>
  <cp:lastModifiedBy>Dominic Frigon</cp:lastModifiedBy>
  <cp:revision/>
  <dcterms:created xsi:type="dcterms:W3CDTF">2020-12-16T15:29:32Z</dcterms:created>
  <dcterms:modified xsi:type="dcterms:W3CDTF">2021-03-15T14:17:39Z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0x0101008B573754F895C24CA1E5512CFED99DB0</vt:lpwstr>
  </property>
</Properties>
</file>