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andavidt/dev/jeandavidt/ODM Import/Data/Lab/McGill/"/>
    </mc:Choice>
  </mc:AlternateContent>
  <xr:revisionPtr revIDLastSave="0" documentId="13_ncr:1_{7A45A723-F9FB-5C4E-8C83-6309A9C7C95E}" xr6:coauthVersionLast="46" xr6:coauthVersionMax="46" xr10:uidLastSave="{00000000-0000-0000-0000-000000000000}"/>
  <bookViews>
    <workbookView xWindow="2020" yWindow="10840" windowWidth="34500" windowHeight="20500" activeTab="1" xr2:uid="{00000000-000D-0000-FFFF-FFFF00000000}"/>
  </bookViews>
  <sheets>
    <sheet name="Qc old data" sheetId="1" state="hidden" r:id="rId1"/>
    <sheet name="Mtl Data Daily Samples (McGill)" sheetId="2" r:id="rId2"/>
    <sheet name="Mtl_values" sheetId="16" r:id="rId3"/>
    <sheet name="STD_Curves (McGill)" sheetId="17" r:id="rId4"/>
    <sheet name="Graphs Montreal VSTL-III" sheetId="14" state="hidden" r:id="rId5"/>
    <sheet name="Graphs Montreal CDN05" sheetId="15" state="hidden" r:id="rId6"/>
  </sheets>
  <definedNames>
    <definedName name="_xlnm._FilterDatabase" localSheetId="1" hidden="1">'Mtl Data Daily Samples (McGill)'!$A$4:$BK$95</definedName>
    <definedName name="_xlnm._FilterDatabase" localSheetId="0" hidden="1">'Qc old data'!$B$18:$BB$18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38" i="2" l="1"/>
  <c r="BF219" i="2"/>
  <c r="BG219" i="2" s="1"/>
  <c r="BC221" i="2"/>
  <c r="BF221" i="2" s="1"/>
  <c r="BC220" i="2"/>
  <c r="BF220" i="2" s="1"/>
  <c r="BC219" i="2"/>
  <c r="BC218" i="2"/>
  <c r="BF218" i="2" s="1"/>
  <c r="BC217" i="2"/>
  <c r="BF217" i="2" s="1"/>
  <c r="BC216" i="2"/>
  <c r="BF216" i="2" s="1"/>
  <c r="BC215" i="2"/>
  <c r="BF215" i="2" s="1"/>
  <c r="BC214" i="2"/>
  <c r="BF214" i="2" s="1"/>
  <c r="BC213" i="2"/>
  <c r="BF213" i="2" s="1"/>
  <c r="BC212" i="2"/>
  <c r="BF212" i="2" s="1"/>
  <c r="BC211" i="2"/>
  <c r="BF211" i="2" s="1"/>
  <c r="BG211" i="2" s="1"/>
  <c r="BC210" i="2"/>
  <c r="BF210" i="2" s="1"/>
  <c r="BC209" i="2"/>
  <c r="BF209" i="2" s="1"/>
  <c r="BC208" i="2"/>
  <c r="BF208" i="2" s="1"/>
  <c r="BC207" i="2"/>
  <c r="BF207" i="2" s="1"/>
  <c r="BC206" i="2"/>
  <c r="BF206" i="2" s="1"/>
  <c r="BC205" i="2"/>
  <c r="BF205" i="2" s="1"/>
  <c r="BC204" i="2"/>
  <c r="BF204" i="2" s="1"/>
  <c r="AX218" i="2"/>
  <c r="AY218" i="2" s="1"/>
  <c r="AU221" i="2"/>
  <c r="AX221" i="2" s="1"/>
  <c r="AY221" i="2" s="1"/>
  <c r="AU220" i="2"/>
  <c r="AX220" i="2" s="1"/>
  <c r="AY220" i="2" s="1"/>
  <c r="AU219" i="2"/>
  <c r="AX219" i="2" s="1"/>
  <c r="AY219" i="2" s="1"/>
  <c r="AU218" i="2"/>
  <c r="AU217" i="2"/>
  <c r="AX217" i="2" s="1"/>
  <c r="AY217" i="2" s="1"/>
  <c r="AU216" i="2"/>
  <c r="AX216" i="2" s="1"/>
  <c r="AY216" i="2" s="1"/>
  <c r="AU215" i="2"/>
  <c r="AX215" i="2" s="1"/>
  <c r="AY215" i="2" s="1"/>
  <c r="AU214" i="2"/>
  <c r="AX214" i="2" s="1"/>
  <c r="AY214" i="2" s="1"/>
  <c r="AU213" i="2"/>
  <c r="AX213" i="2" s="1"/>
  <c r="AY213" i="2" s="1"/>
  <c r="AU212" i="2"/>
  <c r="AX212" i="2" s="1"/>
  <c r="AY212" i="2" s="1"/>
  <c r="AU211" i="2"/>
  <c r="AX211" i="2" s="1"/>
  <c r="AY211" i="2" s="1"/>
  <c r="AU210" i="2"/>
  <c r="AX210" i="2" s="1"/>
  <c r="AY210" i="2" s="1"/>
  <c r="AU209" i="2"/>
  <c r="AX209" i="2" s="1"/>
  <c r="AY209" i="2" s="1"/>
  <c r="AU208" i="2"/>
  <c r="AX208" i="2" s="1"/>
  <c r="AY208" i="2" s="1"/>
  <c r="AU207" i="2"/>
  <c r="AX207" i="2" s="1"/>
  <c r="AY207" i="2" s="1"/>
  <c r="AU206" i="2"/>
  <c r="AX206" i="2" s="1"/>
  <c r="AY206" i="2" s="1"/>
  <c r="AU205" i="2"/>
  <c r="AX205" i="2" s="1"/>
  <c r="AY205" i="2" s="1"/>
  <c r="AU204" i="2"/>
  <c r="AX204" i="2" s="1"/>
  <c r="AY204" i="2" s="1"/>
  <c r="AM221" i="2"/>
  <c r="AP221" i="2" s="1"/>
  <c r="AM220" i="2"/>
  <c r="AP220" i="2" s="1"/>
  <c r="AM219" i="2"/>
  <c r="AP219" i="2" s="1"/>
  <c r="AM218" i="2"/>
  <c r="AP218" i="2" s="1"/>
  <c r="AM217" i="2"/>
  <c r="AP217" i="2" s="1"/>
  <c r="AM216" i="2"/>
  <c r="AP216" i="2" s="1"/>
  <c r="AM215" i="2"/>
  <c r="AP215" i="2" s="1"/>
  <c r="AM214" i="2"/>
  <c r="AP214" i="2" s="1"/>
  <c r="AM213" i="2"/>
  <c r="AP213" i="2" s="1"/>
  <c r="AM212" i="2"/>
  <c r="AP212" i="2" s="1"/>
  <c r="AM211" i="2"/>
  <c r="AP211" i="2" s="1"/>
  <c r="AM210" i="2"/>
  <c r="AP210" i="2" s="1"/>
  <c r="AM209" i="2"/>
  <c r="AP209" i="2" s="1"/>
  <c r="AM208" i="2"/>
  <c r="AP208" i="2" s="1"/>
  <c r="AM207" i="2"/>
  <c r="AP207" i="2" s="1"/>
  <c r="AM206" i="2"/>
  <c r="AP206" i="2" s="1"/>
  <c r="AM205" i="2"/>
  <c r="AP205" i="2" s="1"/>
  <c r="AM204" i="2"/>
  <c r="AP204" i="2" s="1"/>
  <c r="BF190" i="2"/>
  <c r="BF196" i="2"/>
  <c r="BC202" i="2"/>
  <c r="BF202" i="2" s="1"/>
  <c r="BC201" i="2"/>
  <c r="BF201" i="2" s="1"/>
  <c r="BC200" i="2"/>
  <c r="BF200" i="2" s="1"/>
  <c r="BC199" i="2"/>
  <c r="BF199" i="2" s="1"/>
  <c r="BC198" i="2"/>
  <c r="BF198" i="2" s="1"/>
  <c r="BC197" i="2"/>
  <c r="BF197" i="2" s="1"/>
  <c r="BC196" i="2"/>
  <c r="BC195" i="2"/>
  <c r="BF195" i="2" s="1"/>
  <c r="BC194" i="2"/>
  <c r="BF194" i="2" s="1"/>
  <c r="BC193" i="2"/>
  <c r="BF193" i="2" s="1"/>
  <c r="BC192" i="2"/>
  <c r="BF192" i="2" s="1"/>
  <c r="BC191" i="2"/>
  <c r="BF191" i="2" s="1"/>
  <c r="BC190" i="2"/>
  <c r="BC189" i="2"/>
  <c r="BF189" i="2" s="1"/>
  <c r="AU202" i="2"/>
  <c r="AX202" i="2" s="1"/>
  <c r="AU201" i="2"/>
  <c r="AX201" i="2" s="1"/>
  <c r="AU200" i="2"/>
  <c r="AX200" i="2" s="1"/>
  <c r="AU199" i="2"/>
  <c r="AX199" i="2" s="1"/>
  <c r="AU198" i="2"/>
  <c r="AX198" i="2" s="1"/>
  <c r="AU197" i="2"/>
  <c r="AX197" i="2" s="1"/>
  <c r="AU196" i="2"/>
  <c r="AX196" i="2" s="1"/>
  <c r="AU195" i="2"/>
  <c r="AX195" i="2" s="1"/>
  <c r="AU194" i="2"/>
  <c r="AX194" i="2" s="1"/>
  <c r="AU193" i="2"/>
  <c r="AX193" i="2" s="1"/>
  <c r="AU192" i="2"/>
  <c r="AX192" i="2" s="1"/>
  <c r="AU191" i="2"/>
  <c r="AX191" i="2" s="1"/>
  <c r="AU190" i="2"/>
  <c r="AX190" i="2" s="1"/>
  <c r="AU189" i="2"/>
  <c r="AX189" i="2" s="1"/>
  <c r="AM202" i="2"/>
  <c r="AP202" i="2" s="1"/>
  <c r="AM201" i="2"/>
  <c r="AP201" i="2" s="1"/>
  <c r="AQ201" i="2" s="1"/>
  <c r="AM200" i="2"/>
  <c r="AP200" i="2" s="1"/>
  <c r="AM199" i="2"/>
  <c r="AP199" i="2" s="1"/>
  <c r="AM198" i="2"/>
  <c r="AP198" i="2" s="1"/>
  <c r="AQ198" i="2" s="1"/>
  <c r="AM197" i="2"/>
  <c r="AP197" i="2" s="1"/>
  <c r="AM196" i="2"/>
  <c r="AP196" i="2" s="1"/>
  <c r="AM195" i="2"/>
  <c r="AP195" i="2" s="1"/>
  <c r="AM194" i="2"/>
  <c r="AP194" i="2" s="1"/>
  <c r="AM193" i="2"/>
  <c r="AP193" i="2" s="1"/>
  <c r="AQ193" i="2" s="1"/>
  <c r="AM192" i="2"/>
  <c r="AP192" i="2" s="1"/>
  <c r="AM191" i="2"/>
  <c r="AP191" i="2" s="1"/>
  <c r="AM190" i="2"/>
  <c r="AP190" i="2" s="1"/>
  <c r="AM189" i="2"/>
  <c r="AP189" i="2" s="1"/>
  <c r="BC187" i="2"/>
  <c r="BF187" i="2" s="1"/>
  <c r="BC186" i="2"/>
  <c r="BF186" i="2" s="1"/>
  <c r="BC185" i="2"/>
  <c r="BF185" i="2" s="1"/>
  <c r="BC184" i="2"/>
  <c r="BF184" i="2" s="1"/>
  <c r="BC183" i="2"/>
  <c r="BF183" i="2" s="1"/>
  <c r="BC182" i="2"/>
  <c r="BF182" i="2" s="1"/>
  <c r="BC181" i="2"/>
  <c r="BF181" i="2" s="1"/>
  <c r="BG181" i="2" s="1"/>
  <c r="BC180" i="2"/>
  <c r="BF180" i="2" s="1"/>
  <c r="BC179" i="2"/>
  <c r="BF179" i="2" s="1"/>
  <c r="BC178" i="2"/>
  <c r="BF178" i="2" s="1"/>
  <c r="BC177" i="2"/>
  <c r="BF177" i="2" s="1"/>
  <c r="BC176" i="2"/>
  <c r="BF176" i="2" s="1"/>
  <c r="BC175" i="2"/>
  <c r="BF175" i="2" s="1"/>
  <c r="AU187" i="2"/>
  <c r="AX187" i="2" s="1"/>
  <c r="AY187" i="2" s="1"/>
  <c r="AU186" i="2"/>
  <c r="AX186" i="2" s="1"/>
  <c r="AY186" i="2" s="1"/>
  <c r="AU185" i="2"/>
  <c r="AX185" i="2" s="1"/>
  <c r="AY185" i="2" s="1"/>
  <c r="AU184" i="2"/>
  <c r="AX184" i="2" s="1"/>
  <c r="AY184" i="2" s="1"/>
  <c r="AU183" i="2"/>
  <c r="AX183" i="2" s="1"/>
  <c r="AY183" i="2" s="1"/>
  <c r="AU182" i="2"/>
  <c r="AX182" i="2" s="1"/>
  <c r="AY182" i="2" s="1"/>
  <c r="AU181" i="2"/>
  <c r="AX181" i="2" s="1"/>
  <c r="AY181" i="2" s="1"/>
  <c r="AU180" i="2"/>
  <c r="AX180" i="2" s="1"/>
  <c r="AY180" i="2" s="1"/>
  <c r="AU179" i="2"/>
  <c r="AX179" i="2" s="1"/>
  <c r="AY179" i="2" s="1"/>
  <c r="AU178" i="2"/>
  <c r="AX178" i="2" s="1"/>
  <c r="AY178" i="2" s="1"/>
  <c r="AU177" i="2"/>
  <c r="AX177" i="2" s="1"/>
  <c r="AY177" i="2" s="1"/>
  <c r="AU176" i="2"/>
  <c r="AX176" i="2" s="1"/>
  <c r="AY176" i="2" s="1"/>
  <c r="AU175" i="2"/>
  <c r="AX175" i="2" s="1"/>
  <c r="AY175" i="2" s="1"/>
  <c r="AM187" i="2"/>
  <c r="AP187" i="2" s="1"/>
  <c r="AM186" i="2"/>
  <c r="AP186" i="2" s="1"/>
  <c r="AM185" i="2"/>
  <c r="AP185" i="2" s="1"/>
  <c r="AM184" i="2"/>
  <c r="AP184" i="2" s="1"/>
  <c r="AM183" i="2"/>
  <c r="AP183" i="2" s="1"/>
  <c r="AM182" i="2"/>
  <c r="AP182" i="2" s="1"/>
  <c r="AQ182" i="2" s="1"/>
  <c r="AM181" i="2"/>
  <c r="AP181" i="2" s="1"/>
  <c r="AM180" i="2"/>
  <c r="AP180" i="2" s="1"/>
  <c r="AM179" i="2"/>
  <c r="AP179" i="2" s="1"/>
  <c r="AM178" i="2"/>
  <c r="AP178" i="2" s="1"/>
  <c r="AQ178" i="2" s="1"/>
  <c r="AM177" i="2"/>
  <c r="AP177" i="2" s="1"/>
  <c r="AM176" i="2"/>
  <c r="AP176" i="2" s="1"/>
  <c r="AM175" i="2"/>
  <c r="AP175" i="2" s="1"/>
  <c r="BC173" i="2"/>
  <c r="BF173" i="2" s="1"/>
  <c r="BG173" i="2" s="1"/>
  <c r="BC172" i="2"/>
  <c r="BF172" i="2" s="1"/>
  <c r="BC171" i="2"/>
  <c r="BF171" i="2" s="1"/>
  <c r="BC170" i="2"/>
  <c r="BF170" i="2" s="1"/>
  <c r="BC169" i="2"/>
  <c r="BF169" i="2" s="1"/>
  <c r="BC168" i="2"/>
  <c r="BF168" i="2" s="1"/>
  <c r="BC167" i="2"/>
  <c r="BF167" i="2" s="1"/>
  <c r="AU173" i="2"/>
  <c r="AX173" i="2" s="1"/>
  <c r="AY173" i="2" s="1"/>
  <c r="AU172" i="2"/>
  <c r="AX172" i="2" s="1"/>
  <c r="AY172" i="2" s="1"/>
  <c r="AU171" i="2"/>
  <c r="AX171" i="2" s="1"/>
  <c r="AY171" i="2" s="1"/>
  <c r="AU170" i="2"/>
  <c r="AX170" i="2" s="1"/>
  <c r="AY170" i="2" s="1"/>
  <c r="AU169" i="2"/>
  <c r="AX169" i="2" s="1"/>
  <c r="AY169" i="2" s="1"/>
  <c r="AU168" i="2"/>
  <c r="AX168" i="2" s="1"/>
  <c r="AY168" i="2" s="1"/>
  <c r="AU167" i="2"/>
  <c r="AX167" i="2" s="1"/>
  <c r="AY167" i="2" s="1"/>
  <c r="AM173" i="2"/>
  <c r="AP173" i="2" s="1"/>
  <c r="AM172" i="2"/>
  <c r="AP172" i="2" s="1"/>
  <c r="AQ172" i="2" s="1"/>
  <c r="AM171" i="2"/>
  <c r="AP171" i="2" s="1"/>
  <c r="AM170" i="2"/>
  <c r="AP170" i="2" s="1"/>
  <c r="AM169" i="2"/>
  <c r="AP169" i="2" s="1"/>
  <c r="AM168" i="2"/>
  <c r="AP168" i="2" s="1"/>
  <c r="AM167" i="2"/>
  <c r="AP167" i="2" s="1"/>
  <c r="BC165" i="2"/>
  <c r="BF165" i="2" s="1"/>
  <c r="BC164" i="2"/>
  <c r="BF164" i="2" s="1"/>
  <c r="BG164" i="2" s="1"/>
  <c r="BC163" i="2"/>
  <c r="BF163" i="2" s="1"/>
  <c r="BC162" i="2"/>
  <c r="BF162" i="2" s="1"/>
  <c r="BC161" i="2"/>
  <c r="BF161" i="2" s="1"/>
  <c r="BC160" i="2"/>
  <c r="BF160" i="2" s="1"/>
  <c r="AY162" i="2"/>
  <c r="AU165" i="2"/>
  <c r="AX165" i="2" s="1"/>
  <c r="AY165" i="2" s="1"/>
  <c r="AU164" i="2"/>
  <c r="AX164" i="2" s="1"/>
  <c r="AY164" i="2" s="1"/>
  <c r="AU163" i="2"/>
  <c r="AX163" i="2" s="1"/>
  <c r="AY163" i="2" s="1"/>
  <c r="AU162" i="2"/>
  <c r="AX162" i="2" s="1"/>
  <c r="AU161" i="2"/>
  <c r="AX161" i="2" s="1"/>
  <c r="AY161" i="2" s="1"/>
  <c r="AU160" i="2"/>
  <c r="AX160" i="2" s="1"/>
  <c r="AY160" i="2" s="1"/>
  <c r="AP165" i="2"/>
  <c r="AM165" i="2"/>
  <c r="AM164" i="2"/>
  <c r="AP164" i="2" s="1"/>
  <c r="AQ164" i="2" s="1"/>
  <c r="AM163" i="2"/>
  <c r="AP163" i="2" s="1"/>
  <c r="AM162" i="2"/>
  <c r="AP162" i="2" s="1"/>
  <c r="AM161" i="2"/>
  <c r="AP161" i="2" s="1"/>
  <c r="AM160" i="2"/>
  <c r="AP160" i="2" s="1"/>
  <c r="BC158" i="2"/>
  <c r="BF158" i="2" s="1"/>
  <c r="BC157" i="2"/>
  <c r="BF157" i="2" s="1"/>
  <c r="BC156" i="2"/>
  <c r="BF156" i="2" s="1"/>
  <c r="BC155" i="2"/>
  <c r="BF155" i="2" s="1"/>
  <c r="BC154" i="2"/>
  <c r="BF154" i="2" s="1"/>
  <c r="BC153" i="2"/>
  <c r="BF153" i="2" s="1"/>
  <c r="AU158" i="2"/>
  <c r="AX158" i="2" s="1"/>
  <c r="AY158" i="2" s="1"/>
  <c r="AU157" i="2"/>
  <c r="AX157" i="2" s="1"/>
  <c r="AY157" i="2" s="1"/>
  <c r="AU156" i="2"/>
  <c r="AX156" i="2" s="1"/>
  <c r="AY156" i="2" s="1"/>
  <c r="AU155" i="2"/>
  <c r="AX155" i="2" s="1"/>
  <c r="AY155" i="2" s="1"/>
  <c r="AU154" i="2"/>
  <c r="AX154" i="2" s="1"/>
  <c r="AY154" i="2" s="1"/>
  <c r="AU153" i="2"/>
  <c r="AX153" i="2" s="1"/>
  <c r="AY153" i="2" s="1"/>
  <c r="BC142" i="2"/>
  <c r="BF142" i="2" s="1"/>
  <c r="BC143" i="2"/>
  <c r="BC144" i="2"/>
  <c r="BF144" i="2" s="1"/>
  <c r="BC145" i="2"/>
  <c r="BF145" i="2" s="1"/>
  <c r="BC146" i="2"/>
  <c r="BF146" i="2" s="1"/>
  <c r="BG146" i="2" s="1"/>
  <c r="BC147" i="2"/>
  <c r="BF147" i="2" s="1"/>
  <c r="AP158" i="2"/>
  <c r="AM158" i="2"/>
  <c r="AM157" i="2"/>
  <c r="AP157" i="2" s="1"/>
  <c r="AM156" i="2"/>
  <c r="AP156" i="2" s="1"/>
  <c r="AM155" i="2"/>
  <c r="AP155" i="2" s="1"/>
  <c r="AM154" i="2"/>
  <c r="AP154" i="2" s="1"/>
  <c r="AM153" i="2"/>
  <c r="AP153" i="2" s="1"/>
  <c r="BF143" i="2"/>
  <c r="BG143" i="2" s="1"/>
  <c r="BC151" i="2"/>
  <c r="BF151" i="2" s="1"/>
  <c r="BC150" i="2"/>
  <c r="BF150" i="2" s="1"/>
  <c r="BC149" i="2"/>
  <c r="BF149" i="2" s="1"/>
  <c r="BC148" i="2"/>
  <c r="BF148" i="2" s="1"/>
  <c r="AU151" i="2"/>
  <c r="AX151" i="2" s="1"/>
  <c r="AU150" i="2"/>
  <c r="AX150" i="2" s="1"/>
  <c r="AU149" i="2"/>
  <c r="AX149" i="2" s="1"/>
  <c r="AY149" i="2" s="1"/>
  <c r="AU148" i="2"/>
  <c r="AX148" i="2" s="1"/>
  <c r="AY148" i="2" s="1"/>
  <c r="AU147" i="2"/>
  <c r="AX147" i="2" s="1"/>
  <c r="AY147" i="2" s="1"/>
  <c r="AU146" i="2"/>
  <c r="AX146" i="2" s="1"/>
  <c r="AY146" i="2" s="1"/>
  <c r="AU145" i="2"/>
  <c r="AX145" i="2" s="1"/>
  <c r="AY145" i="2" s="1"/>
  <c r="AU144" i="2"/>
  <c r="AX144" i="2" s="1"/>
  <c r="AY144" i="2" s="1"/>
  <c r="AU143" i="2"/>
  <c r="AX143" i="2" s="1"/>
  <c r="AY143" i="2" s="1"/>
  <c r="AU142" i="2"/>
  <c r="AX142" i="2" s="1"/>
  <c r="AY142" i="2" s="1"/>
  <c r="AP151" i="2"/>
  <c r="AM151" i="2"/>
  <c r="AM150" i="2"/>
  <c r="AP150" i="2" s="1"/>
  <c r="AM149" i="2"/>
  <c r="AP149" i="2" s="1"/>
  <c r="AM148" i="2"/>
  <c r="AP148" i="2" s="1"/>
  <c r="AM147" i="2"/>
  <c r="AP147" i="2" s="1"/>
  <c r="AM146" i="2"/>
  <c r="AP146" i="2" s="1"/>
  <c r="AM145" i="2"/>
  <c r="AP145" i="2" s="1"/>
  <c r="AM144" i="2"/>
  <c r="AP144" i="2" s="1"/>
  <c r="AM143" i="2"/>
  <c r="AP143" i="2" s="1"/>
  <c r="AM142" i="2"/>
  <c r="AP142" i="2" s="1"/>
  <c r="AQ142" i="2" s="1"/>
  <c r="BC140" i="2"/>
  <c r="BF140" i="2" s="1"/>
  <c r="BC139" i="2"/>
  <c r="BF139" i="2" s="1"/>
  <c r="BC138" i="2"/>
  <c r="BF138" i="2" s="1"/>
  <c r="BC137" i="2"/>
  <c r="BF137" i="2" s="1"/>
  <c r="BC136" i="2"/>
  <c r="BF136" i="2" s="1"/>
  <c r="BC135" i="2"/>
  <c r="BF135" i="2" s="1"/>
  <c r="BG135" i="2" s="1"/>
  <c r="BC134" i="2"/>
  <c r="BF134" i="2" s="1"/>
  <c r="BC133" i="2"/>
  <c r="BF133" i="2" s="1"/>
  <c r="BC132" i="2"/>
  <c r="BF132" i="2" s="1"/>
  <c r="BG132" i="2" s="1"/>
  <c r="BC131" i="2"/>
  <c r="BF131" i="2" s="1"/>
  <c r="AU140" i="2"/>
  <c r="AX140" i="2" s="1"/>
  <c r="AU139" i="2"/>
  <c r="AX139" i="2" s="1"/>
  <c r="AU138" i="2"/>
  <c r="AX138" i="2" s="1"/>
  <c r="AY138" i="2" s="1"/>
  <c r="AU137" i="2"/>
  <c r="AX137" i="2" s="1"/>
  <c r="AY137" i="2" s="1"/>
  <c r="AU136" i="2"/>
  <c r="AX136" i="2" s="1"/>
  <c r="AY136" i="2" s="1"/>
  <c r="AU135" i="2"/>
  <c r="AX135" i="2" s="1"/>
  <c r="AY135" i="2" s="1"/>
  <c r="AU134" i="2"/>
  <c r="AX134" i="2" s="1"/>
  <c r="AY134" i="2" s="1"/>
  <c r="AU133" i="2"/>
  <c r="AX133" i="2" s="1"/>
  <c r="AY133" i="2" s="1"/>
  <c r="AU132" i="2"/>
  <c r="AX132" i="2" s="1"/>
  <c r="AU131" i="2"/>
  <c r="AX131" i="2" s="1"/>
  <c r="AY131" i="2" s="1"/>
  <c r="AP140" i="2"/>
  <c r="AM140" i="2"/>
  <c r="AM139" i="2"/>
  <c r="AP139" i="2" s="1"/>
  <c r="AQ139" i="2" s="1"/>
  <c r="AM138" i="2"/>
  <c r="AP138" i="2" s="1"/>
  <c r="AM137" i="2"/>
  <c r="AP137" i="2" s="1"/>
  <c r="AM136" i="2"/>
  <c r="AP136" i="2" s="1"/>
  <c r="AM135" i="2"/>
  <c r="AP135" i="2" s="1"/>
  <c r="AM134" i="2"/>
  <c r="AP134" i="2" s="1"/>
  <c r="AM133" i="2"/>
  <c r="AP133" i="2" s="1"/>
  <c r="AM132" i="2"/>
  <c r="AP132" i="2" s="1"/>
  <c r="AM131" i="2"/>
  <c r="AP131" i="2" s="1"/>
  <c r="AQ131" i="2" s="1"/>
  <c r="BC129" i="2"/>
  <c r="BF129" i="2" s="1"/>
  <c r="BC128" i="2"/>
  <c r="BF128" i="2" s="1"/>
  <c r="BC127" i="2"/>
  <c r="BF127" i="2" s="1"/>
  <c r="BC126" i="2"/>
  <c r="BF126" i="2" s="1"/>
  <c r="BC125" i="2"/>
  <c r="BF125" i="2" s="1"/>
  <c r="BC124" i="2"/>
  <c r="BF124" i="2" s="1"/>
  <c r="BC123" i="2"/>
  <c r="BF123" i="2" s="1"/>
  <c r="BC122" i="2"/>
  <c r="BF122" i="2" s="1"/>
  <c r="BC121" i="2"/>
  <c r="BF121" i="2" s="1"/>
  <c r="BC120" i="2"/>
  <c r="BF120" i="2" s="1"/>
  <c r="BC119" i="2"/>
  <c r="BF119" i="2" s="1"/>
  <c r="BC118" i="2"/>
  <c r="BF118" i="2" s="1"/>
  <c r="BG118" i="2" s="1"/>
  <c r="AU129" i="2"/>
  <c r="AX129" i="2" s="1"/>
  <c r="AU128" i="2"/>
  <c r="AX128" i="2" s="1"/>
  <c r="AU127" i="2"/>
  <c r="AX127" i="2" s="1"/>
  <c r="AY127" i="2" s="1"/>
  <c r="AU126" i="2"/>
  <c r="AX126" i="2" s="1"/>
  <c r="AY126" i="2" s="1"/>
  <c r="AU125" i="2"/>
  <c r="AX125" i="2" s="1"/>
  <c r="AY125" i="2" s="1"/>
  <c r="AU124" i="2"/>
  <c r="AX124" i="2" s="1"/>
  <c r="AY124" i="2" s="1"/>
  <c r="AU123" i="2"/>
  <c r="AX123" i="2" s="1"/>
  <c r="AY123" i="2" s="1"/>
  <c r="AU122" i="2"/>
  <c r="AX122" i="2" s="1"/>
  <c r="AY122" i="2" s="1"/>
  <c r="AU121" i="2"/>
  <c r="AX121" i="2" s="1"/>
  <c r="AY121" i="2" s="1"/>
  <c r="AU120" i="2"/>
  <c r="AX120" i="2" s="1"/>
  <c r="AY120" i="2" s="1"/>
  <c r="AU119" i="2"/>
  <c r="AX119" i="2" s="1"/>
  <c r="AY119" i="2" s="1"/>
  <c r="AU118" i="2"/>
  <c r="AX118" i="2" s="1"/>
  <c r="AM129" i="2"/>
  <c r="AP129" i="2" s="1"/>
  <c r="AM128" i="2"/>
  <c r="AP128" i="2" s="1"/>
  <c r="AQ128" i="2" s="1"/>
  <c r="AM127" i="2"/>
  <c r="AP127" i="2" s="1"/>
  <c r="AM126" i="2"/>
  <c r="AP126" i="2" s="1"/>
  <c r="AM125" i="2"/>
  <c r="AP125" i="2" s="1"/>
  <c r="AM124" i="2"/>
  <c r="AP124" i="2" s="1"/>
  <c r="AM123" i="2"/>
  <c r="AP123" i="2" s="1"/>
  <c r="AM122" i="2"/>
  <c r="AP122" i="2" s="1"/>
  <c r="AM121" i="2"/>
  <c r="AP121" i="2" s="1"/>
  <c r="AM120" i="2"/>
  <c r="AP120" i="2" s="1"/>
  <c r="AQ120" i="2" s="1"/>
  <c r="AM119" i="2"/>
  <c r="AP119" i="2" s="1"/>
  <c r="AM118" i="2"/>
  <c r="AP118" i="2" s="1"/>
  <c r="BC116" i="2"/>
  <c r="BF116" i="2" s="1"/>
  <c r="BC115" i="2"/>
  <c r="BF115" i="2" s="1"/>
  <c r="BC114" i="2"/>
  <c r="BF114" i="2" s="1"/>
  <c r="BC113" i="2"/>
  <c r="BF113" i="2" s="1"/>
  <c r="BC112" i="2"/>
  <c r="BF112" i="2" s="1"/>
  <c r="BC111" i="2"/>
  <c r="BF111" i="2" s="1"/>
  <c r="BG111" i="2" s="1"/>
  <c r="BC110" i="2"/>
  <c r="BF110" i="2" s="1"/>
  <c r="BG110" i="2" s="1"/>
  <c r="BC109" i="2"/>
  <c r="BF109" i="2" s="1"/>
  <c r="BC108" i="2"/>
  <c r="BF108" i="2" s="1"/>
  <c r="BC107" i="2"/>
  <c r="BF107" i="2" s="1"/>
  <c r="AU116" i="2"/>
  <c r="AX116" i="2" s="1"/>
  <c r="AU115" i="2"/>
  <c r="AX115" i="2" s="1"/>
  <c r="AU114" i="2"/>
  <c r="AX114" i="2" s="1"/>
  <c r="AY114" i="2" s="1"/>
  <c r="AU113" i="2"/>
  <c r="AX113" i="2" s="1"/>
  <c r="AY113" i="2" s="1"/>
  <c r="AU112" i="2"/>
  <c r="AX112" i="2" s="1"/>
  <c r="AY112" i="2" s="1"/>
  <c r="AU111" i="2"/>
  <c r="AX111" i="2" s="1"/>
  <c r="AY111" i="2" s="1"/>
  <c r="AU110" i="2"/>
  <c r="AX110" i="2" s="1"/>
  <c r="AY110" i="2" s="1"/>
  <c r="AU109" i="2"/>
  <c r="AX109" i="2" s="1"/>
  <c r="AY109" i="2" s="1"/>
  <c r="AU108" i="2"/>
  <c r="AX108" i="2" s="1"/>
  <c r="AY108" i="2" s="1"/>
  <c r="AU107" i="2"/>
  <c r="AX107" i="2" s="1"/>
  <c r="AY107" i="2" s="1"/>
  <c r="AM116" i="2"/>
  <c r="AP116" i="2" s="1"/>
  <c r="AM115" i="2"/>
  <c r="AP115" i="2" s="1"/>
  <c r="AQ115" i="2" s="1"/>
  <c r="AM114" i="2"/>
  <c r="AP114" i="2" s="1"/>
  <c r="AM113" i="2"/>
  <c r="AP113" i="2" s="1"/>
  <c r="AM112" i="2"/>
  <c r="AP112" i="2" s="1"/>
  <c r="AM111" i="2"/>
  <c r="AP111" i="2" s="1"/>
  <c r="AM110" i="2"/>
  <c r="AP110" i="2" s="1"/>
  <c r="AM109" i="2"/>
  <c r="AP109" i="2" s="1"/>
  <c r="AM108" i="2"/>
  <c r="AP108" i="2" s="1"/>
  <c r="AM107" i="2"/>
  <c r="AP107" i="2" s="1"/>
  <c r="AQ107" i="2" s="1"/>
  <c r="BC105" i="2"/>
  <c r="BF105" i="2" s="1"/>
  <c r="BC104" i="2"/>
  <c r="BF104" i="2" s="1"/>
  <c r="BC103" i="2"/>
  <c r="BF103" i="2" s="1"/>
  <c r="BC102" i="2"/>
  <c r="BF102" i="2" s="1"/>
  <c r="BC101" i="2"/>
  <c r="BF101" i="2" s="1"/>
  <c r="BC100" i="2"/>
  <c r="BF100" i="2" s="1"/>
  <c r="BC99" i="2"/>
  <c r="BF99" i="2" s="1"/>
  <c r="BC98" i="2"/>
  <c r="BF98" i="2" s="1"/>
  <c r="BG98" i="2" s="1"/>
  <c r="BC97" i="2"/>
  <c r="BF97" i="2" s="1"/>
  <c r="BC96" i="2"/>
  <c r="BF96" i="2" s="1"/>
  <c r="AU105" i="2"/>
  <c r="AX105" i="2" s="1"/>
  <c r="AU104" i="2"/>
  <c r="AX104" i="2" s="1"/>
  <c r="AU103" i="2"/>
  <c r="AX103" i="2" s="1"/>
  <c r="AY103" i="2" s="1"/>
  <c r="AU102" i="2"/>
  <c r="AX102" i="2" s="1"/>
  <c r="AY102" i="2" s="1"/>
  <c r="AU101" i="2"/>
  <c r="AX101" i="2" s="1"/>
  <c r="AY101" i="2" s="1"/>
  <c r="AU100" i="2"/>
  <c r="AX100" i="2" s="1"/>
  <c r="AY100" i="2" s="1"/>
  <c r="AU99" i="2"/>
  <c r="AX99" i="2" s="1"/>
  <c r="AY99" i="2" s="1"/>
  <c r="AU98" i="2"/>
  <c r="AX98" i="2" s="1"/>
  <c r="AY98" i="2" s="1"/>
  <c r="AU97" i="2"/>
  <c r="AX97" i="2" s="1"/>
  <c r="AY97" i="2" s="1"/>
  <c r="AU96" i="2"/>
  <c r="AX96" i="2" s="1"/>
  <c r="AY96" i="2" s="1"/>
  <c r="AM105" i="2"/>
  <c r="AP105" i="2" s="1"/>
  <c r="AM104" i="2"/>
  <c r="AP104" i="2" s="1"/>
  <c r="AQ104" i="2" s="1"/>
  <c r="AM103" i="2"/>
  <c r="AP103" i="2" s="1"/>
  <c r="AM102" i="2"/>
  <c r="AP102" i="2" s="1"/>
  <c r="AM101" i="2"/>
  <c r="AP101" i="2" s="1"/>
  <c r="AM100" i="2"/>
  <c r="AP100" i="2" s="1"/>
  <c r="AM99" i="2"/>
  <c r="AP99" i="2" s="1"/>
  <c r="AM98" i="2"/>
  <c r="AP98" i="2" s="1"/>
  <c r="AM97" i="2"/>
  <c r="AP97" i="2" s="1"/>
  <c r="AM96" i="2"/>
  <c r="AP96" i="2" s="1"/>
  <c r="AQ96" i="2" s="1"/>
  <c r="BC94" i="2"/>
  <c r="BF94" i="2" s="1"/>
  <c r="BC93" i="2"/>
  <c r="BF93" i="2" s="1"/>
  <c r="BC92" i="2"/>
  <c r="BF92" i="2" s="1"/>
  <c r="BC91" i="2"/>
  <c r="BF91" i="2" s="1"/>
  <c r="BC90" i="2"/>
  <c r="BF90" i="2" s="1"/>
  <c r="BG90" i="2" s="1"/>
  <c r="BC89" i="2"/>
  <c r="BF89" i="2" s="1"/>
  <c r="BG89" i="2" s="1"/>
  <c r="BC88" i="2"/>
  <c r="BF88" i="2" s="1"/>
  <c r="BC87" i="2"/>
  <c r="BF87" i="2" s="1"/>
  <c r="BC86" i="2"/>
  <c r="BF86" i="2" s="1"/>
  <c r="BG86" i="2" s="1"/>
  <c r="BC85" i="2"/>
  <c r="BF85" i="2" s="1"/>
  <c r="AU94" i="2"/>
  <c r="AX94" i="2" s="1"/>
  <c r="AU93" i="2"/>
  <c r="AX93" i="2" s="1"/>
  <c r="AU92" i="2"/>
  <c r="AX92" i="2" s="1"/>
  <c r="AY92" i="2" s="1"/>
  <c r="AU91" i="2"/>
  <c r="AX91" i="2" s="1"/>
  <c r="AY91" i="2" s="1"/>
  <c r="AU90" i="2"/>
  <c r="AX90" i="2" s="1"/>
  <c r="AY90" i="2" s="1"/>
  <c r="AU89" i="2"/>
  <c r="AX89" i="2" s="1"/>
  <c r="AY89" i="2" s="1"/>
  <c r="AU88" i="2"/>
  <c r="AX88" i="2" s="1"/>
  <c r="AY88" i="2" s="1"/>
  <c r="AU87" i="2"/>
  <c r="AX87" i="2" s="1"/>
  <c r="AY87" i="2" s="1"/>
  <c r="AU86" i="2"/>
  <c r="AX86" i="2" s="1"/>
  <c r="AY86" i="2" s="1"/>
  <c r="AU85" i="2"/>
  <c r="AX85" i="2" s="1"/>
  <c r="AY85" i="2" s="1"/>
  <c r="AM94" i="2"/>
  <c r="AP94" i="2" s="1"/>
  <c r="AM93" i="2"/>
  <c r="AP93" i="2" s="1"/>
  <c r="AQ93" i="2" s="1"/>
  <c r="AM92" i="2"/>
  <c r="AP92" i="2" s="1"/>
  <c r="AM91" i="2"/>
  <c r="AP91" i="2" s="1"/>
  <c r="AM90" i="2"/>
  <c r="AP90" i="2" s="1"/>
  <c r="AM89" i="2"/>
  <c r="AP89" i="2" s="1"/>
  <c r="AM88" i="2"/>
  <c r="AP88" i="2" s="1"/>
  <c r="AM87" i="2"/>
  <c r="AP87" i="2" s="1"/>
  <c r="AM86" i="2"/>
  <c r="AP86" i="2" s="1"/>
  <c r="AM85" i="2"/>
  <c r="AP85" i="2" s="1"/>
  <c r="AQ85" i="2" s="1"/>
  <c r="AM74" i="2"/>
  <c r="AP74" i="2" s="1"/>
  <c r="AM75" i="2"/>
  <c r="AP75" i="2" s="1"/>
  <c r="AM76" i="2"/>
  <c r="AP76" i="2" s="1"/>
  <c r="AM77" i="2"/>
  <c r="AP77" i="2" s="1"/>
  <c r="AM78" i="2"/>
  <c r="AP78" i="2" s="1"/>
  <c r="AM79" i="2"/>
  <c r="AP79" i="2" s="1"/>
  <c r="AM80" i="2"/>
  <c r="AP80" i="2" s="1"/>
  <c r="AM81" i="2"/>
  <c r="AP81" i="2" s="1"/>
  <c r="AM82" i="2"/>
  <c r="AP82" i="2" s="1"/>
  <c r="AQ82" i="2" s="1"/>
  <c r="AM83" i="2"/>
  <c r="AP83" i="2" s="1"/>
  <c r="BF75" i="2"/>
  <c r="BG75" i="2" s="1"/>
  <c r="BC83" i="2"/>
  <c r="BF83" i="2" s="1"/>
  <c r="BC82" i="2"/>
  <c r="BF82" i="2" s="1"/>
  <c r="BC81" i="2"/>
  <c r="BF81" i="2" s="1"/>
  <c r="BC80" i="2"/>
  <c r="BF80" i="2" s="1"/>
  <c r="BC79" i="2"/>
  <c r="BF79" i="2" s="1"/>
  <c r="BC78" i="2"/>
  <c r="BF78" i="2" s="1"/>
  <c r="BC77" i="2"/>
  <c r="BF77" i="2" s="1"/>
  <c r="BC76" i="2"/>
  <c r="BF76" i="2" s="1"/>
  <c r="BC75" i="2"/>
  <c r="BC74" i="2"/>
  <c r="BF74" i="2" s="1"/>
  <c r="AU83" i="2"/>
  <c r="AX83" i="2" s="1"/>
  <c r="AU82" i="2"/>
  <c r="AX82" i="2" s="1"/>
  <c r="AU81" i="2"/>
  <c r="AX81" i="2" s="1"/>
  <c r="AY81" i="2" s="1"/>
  <c r="AU80" i="2"/>
  <c r="AX80" i="2" s="1"/>
  <c r="AY80" i="2" s="1"/>
  <c r="AU79" i="2"/>
  <c r="AX79" i="2" s="1"/>
  <c r="AY79" i="2" s="1"/>
  <c r="AU78" i="2"/>
  <c r="AX78" i="2" s="1"/>
  <c r="AY78" i="2" s="1"/>
  <c r="AU77" i="2"/>
  <c r="AX77" i="2" s="1"/>
  <c r="AY77" i="2" s="1"/>
  <c r="AU76" i="2"/>
  <c r="AX76" i="2" s="1"/>
  <c r="AY76" i="2" s="1"/>
  <c r="AU75" i="2"/>
  <c r="AX75" i="2" s="1"/>
  <c r="AY75" i="2" s="1"/>
  <c r="AU74" i="2"/>
  <c r="AX74" i="2" s="1"/>
  <c r="AY74" i="2" s="1"/>
  <c r="BF72" i="2"/>
  <c r="BC71" i="2"/>
  <c r="BF71" i="2" s="1"/>
  <c r="BC70" i="2"/>
  <c r="BF70" i="2" s="1"/>
  <c r="BC69" i="2"/>
  <c r="BF69" i="2" s="1"/>
  <c r="BC68" i="2"/>
  <c r="BF68" i="2" s="1"/>
  <c r="BC67" i="2"/>
  <c r="BF67" i="2" s="1"/>
  <c r="BC66" i="2"/>
  <c r="BF66" i="2" s="1"/>
  <c r="BC65" i="2"/>
  <c r="BF65" i="2" s="1"/>
  <c r="BC64" i="2"/>
  <c r="BF64" i="2" s="1"/>
  <c r="BC63" i="2"/>
  <c r="BF63" i="2" s="1"/>
  <c r="AU71" i="2"/>
  <c r="AX71" i="2" s="1"/>
  <c r="AU70" i="2"/>
  <c r="AX70" i="2" s="1"/>
  <c r="AY70" i="2" s="1"/>
  <c r="AU69" i="2"/>
  <c r="AX69" i="2" s="1"/>
  <c r="AY69" i="2" s="1"/>
  <c r="AU68" i="2"/>
  <c r="AX68" i="2" s="1"/>
  <c r="AY68" i="2" s="1"/>
  <c r="AU67" i="2"/>
  <c r="AX67" i="2" s="1"/>
  <c r="AY67" i="2" s="1"/>
  <c r="AU66" i="2"/>
  <c r="AX66" i="2" s="1"/>
  <c r="AY66" i="2" s="1"/>
  <c r="AU65" i="2"/>
  <c r="AX65" i="2" s="1"/>
  <c r="AY65" i="2" s="1"/>
  <c r="AU64" i="2"/>
  <c r="AX64" i="2" s="1"/>
  <c r="AY64" i="2" s="1"/>
  <c r="AU63" i="2"/>
  <c r="AX63" i="2" s="1"/>
  <c r="AY63" i="2" s="1"/>
  <c r="AM71" i="2"/>
  <c r="AP71" i="2" s="1"/>
  <c r="AM70" i="2"/>
  <c r="AP70" i="2" s="1"/>
  <c r="AM69" i="2"/>
  <c r="AP69" i="2" s="1"/>
  <c r="AM68" i="2"/>
  <c r="AP68" i="2" s="1"/>
  <c r="AM67" i="2"/>
  <c r="AP67" i="2" s="1"/>
  <c r="AM66" i="2"/>
  <c r="AP66" i="2" s="1"/>
  <c r="AM65" i="2"/>
  <c r="AP65" i="2" s="1"/>
  <c r="AM64" i="2"/>
  <c r="AP64" i="2" s="1"/>
  <c r="AM63" i="2"/>
  <c r="AP63" i="2" s="1"/>
  <c r="AQ63" i="2" s="1"/>
  <c r="BF6" i="2"/>
  <c r="BC61" i="2"/>
  <c r="BF61" i="2" s="1"/>
  <c r="BC60" i="2"/>
  <c r="BF60" i="2" s="1"/>
  <c r="BC59" i="2"/>
  <c r="BF59" i="2" s="1"/>
  <c r="BC58" i="2"/>
  <c r="BF58" i="2" s="1"/>
  <c r="BC57" i="2"/>
  <c r="BF57" i="2" s="1"/>
  <c r="BC56" i="2"/>
  <c r="BF56" i="2" s="1"/>
  <c r="BC55" i="2"/>
  <c r="BF55" i="2" s="1"/>
  <c r="BC54" i="2"/>
  <c r="BF54" i="2" s="1"/>
  <c r="BC53" i="2"/>
  <c r="BF53" i="2" s="1"/>
  <c r="BC52" i="2"/>
  <c r="BF52" i="2" s="1"/>
  <c r="BG52" i="2" s="1"/>
  <c r="BC50" i="2"/>
  <c r="BF50" i="2" s="1"/>
  <c r="BC49" i="2"/>
  <c r="BF49" i="2" s="1"/>
  <c r="BC48" i="2"/>
  <c r="BF48" i="2" s="1"/>
  <c r="BG48" i="2" s="1"/>
  <c r="BC47" i="2"/>
  <c r="BF47" i="2" s="1"/>
  <c r="BG47" i="2" s="1"/>
  <c r="BC46" i="2"/>
  <c r="BF46" i="2" s="1"/>
  <c r="BC45" i="2"/>
  <c r="BF45" i="2" s="1"/>
  <c r="BG45" i="2" s="1"/>
  <c r="BC44" i="2"/>
  <c r="BF44" i="2" s="1"/>
  <c r="BC43" i="2"/>
  <c r="BF43" i="2" s="1"/>
  <c r="BC42" i="2"/>
  <c r="BF42" i="2" s="1"/>
  <c r="BC41" i="2"/>
  <c r="BF41" i="2" s="1"/>
  <c r="BC39" i="2"/>
  <c r="BF39" i="2" s="1"/>
  <c r="BC38" i="2"/>
  <c r="BF38" i="2" s="1"/>
  <c r="BC37" i="2"/>
  <c r="BF37" i="2" s="1"/>
  <c r="BC36" i="2"/>
  <c r="BF36" i="2" s="1"/>
  <c r="BG36" i="2" s="1"/>
  <c r="BC35" i="2"/>
  <c r="BF35" i="2" s="1"/>
  <c r="BC34" i="2"/>
  <c r="BF34" i="2" s="1"/>
  <c r="BC33" i="2"/>
  <c r="BF33" i="2" s="1"/>
  <c r="BC32" i="2"/>
  <c r="BF32" i="2" s="1"/>
  <c r="BC31" i="2"/>
  <c r="BF31" i="2" s="1"/>
  <c r="BC30" i="2"/>
  <c r="BF30" i="2" s="1"/>
  <c r="BC28" i="2"/>
  <c r="BC27" i="2"/>
  <c r="BF27" i="2" s="1"/>
  <c r="BC26" i="2"/>
  <c r="BF26" i="2" s="1"/>
  <c r="BC25" i="2"/>
  <c r="BC24" i="2"/>
  <c r="BC23" i="2"/>
  <c r="BC22" i="2"/>
  <c r="BC21" i="2"/>
  <c r="BC20" i="2"/>
  <c r="BC19" i="2"/>
  <c r="BC18" i="2"/>
  <c r="BC17" i="2"/>
  <c r="BF17" i="2" s="1"/>
  <c r="BC15" i="2"/>
  <c r="BC14" i="2"/>
  <c r="BC13" i="2"/>
  <c r="BC12" i="2"/>
  <c r="BC11" i="2"/>
  <c r="BC10" i="2"/>
  <c r="BC9" i="2"/>
  <c r="BC8" i="2"/>
  <c r="BC7" i="2"/>
  <c r="BF7" i="2" s="1"/>
  <c r="BC6" i="2"/>
  <c r="AU61" i="2"/>
  <c r="AX61" i="2" s="1"/>
  <c r="AU60" i="2"/>
  <c r="AX60" i="2" s="1"/>
  <c r="AU59" i="2"/>
  <c r="AX59" i="2" s="1"/>
  <c r="AY59" i="2" s="1"/>
  <c r="AU58" i="2"/>
  <c r="AU57" i="2"/>
  <c r="AX57" i="2" s="1"/>
  <c r="AY57" i="2" s="1"/>
  <c r="AU56" i="2"/>
  <c r="AX56" i="2" s="1"/>
  <c r="AY56" i="2" s="1"/>
  <c r="AU55" i="2"/>
  <c r="AX55" i="2" s="1"/>
  <c r="AY55" i="2" s="1"/>
  <c r="AU54" i="2"/>
  <c r="AX54" i="2" s="1"/>
  <c r="AY54" i="2" s="1"/>
  <c r="AU53" i="2"/>
  <c r="AX53" i="2" s="1"/>
  <c r="AY53" i="2" s="1"/>
  <c r="AU52" i="2"/>
  <c r="AX52" i="2" s="1"/>
  <c r="AY52" i="2" s="1"/>
  <c r="AX58" i="2"/>
  <c r="AY58" i="2" s="1"/>
  <c r="AM61" i="2"/>
  <c r="AP61" i="2" s="1"/>
  <c r="AM60" i="2"/>
  <c r="AP60" i="2" s="1"/>
  <c r="AQ60" i="2" s="1"/>
  <c r="AM59" i="2"/>
  <c r="AP59" i="2" s="1"/>
  <c r="AM58" i="2"/>
  <c r="AP58" i="2" s="1"/>
  <c r="AM57" i="2"/>
  <c r="AP57" i="2" s="1"/>
  <c r="AM56" i="2"/>
  <c r="AP56" i="2" s="1"/>
  <c r="AM55" i="2"/>
  <c r="AP55" i="2" s="1"/>
  <c r="AM54" i="2"/>
  <c r="AP54" i="2" s="1"/>
  <c r="AM53" i="2"/>
  <c r="AP53" i="2" s="1"/>
  <c r="AM52" i="2"/>
  <c r="AP52" i="2" s="1"/>
  <c r="AQ52" i="2" s="1"/>
  <c r="AU50" i="2"/>
  <c r="AX50" i="2" s="1"/>
  <c r="AU49" i="2"/>
  <c r="AX49" i="2" s="1"/>
  <c r="AU48" i="2"/>
  <c r="AX48" i="2" s="1"/>
  <c r="AY48" i="2" s="1"/>
  <c r="AU47" i="2"/>
  <c r="AX47" i="2" s="1"/>
  <c r="AY47" i="2" s="1"/>
  <c r="AU46" i="2"/>
  <c r="AX46" i="2" s="1"/>
  <c r="AY46" i="2" s="1"/>
  <c r="AU45" i="2"/>
  <c r="AX45" i="2" s="1"/>
  <c r="AU44" i="2"/>
  <c r="AX44" i="2" s="1"/>
  <c r="AY44" i="2" s="1"/>
  <c r="AU43" i="2"/>
  <c r="AX43" i="2" s="1"/>
  <c r="AY43" i="2" s="1"/>
  <c r="AU42" i="2"/>
  <c r="AX42" i="2" s="1"/>
  <c r="AY42" i="2" s="1"/>
  <c r="AU41" i="2"/>
  <c r="AX41" i="2" s="1"/>
  <c r="AM50" i="2"/>
  <c r="AP50" i="2" s="1"/>
  <c r="AM49" i="2"/>
  <c r="AP49" i="2" s="1"/>
  <c r="AM48" i="2"/>
  <c r="AP48" i="2" s="1"/>
  <c r="AM47" i="2"/>
  <c r="AP47" i="2" s="1"/>
  <c r="AM46" i="2"/>
  <c r="AP46" i="2" s="1"/>
  <c r="AM45" i="2"/>
  <c r="AP45" i="2" s="1"/>
  <c r="AM44" i="2"/>
  <c r="AP44" i="2" s="1"/>
  <c r="AM43" i="2"/>
  <c r="AP43" i="2" s="1"/>
  <c r="AM42" i="2"/>
  <c r="AP42" i="2" s="1"/>
  <c r="AM41" i="2"/>
  <c r="AP41" i="2" s="1"/>
  <c r="AQ41" i="2" s="1"/>
  <c r="AU27" i="2"/>
  <c r="AX27" i="2" s="1"/>
  <c r="AM28" i="2"/>
  <c r="AM27" i="2"/>
  <c r="AP27" i="2" s="1"/>
  <c r="AQ27" i="2" s="1"/>
  <c r="AM26" i="2"/>
  <c r="AP26" i="2" s="1"/>
  <c r="AM25" i="2"/>
  <c r="AM24" i="2"/>
  <c r="AM23" i="2"/>
  <c r="AM22" i="2"/>
  <c r="AM21" i="2"/>
  <c r="AM20" i="2"/>
  <c r="AM19" i="2"/>
  <c r="AM18" i="2"/>
  <c r="AM17" i="2"/>
  <c r="AU26" i="2"/>
  <c r="AX26" i="2" s="1"/>
  <c r="AY26" i="2" s="1"/>
  <c r="AU15" i="2"/>
  <c r="AU14" i="2"/>
  <c r="AU13" i="2"/>
  <c r="AU12" i="2"/>
  <c r="AU11" i="2"/>
  <c r="AU10" i="2"/>
  <c r="AU9" i="2"/>
  <c r="AU8" i="2"/>
  <c r="AU7" i="2"/>
  <c r="AX7" i="2" s="1"/>
  <c r="AY7" i="2" s="1"/>
  <c r="AU6" i="2"/>
  <c r="AM15" i="2"/>
  <c r="AM14" i="2"/>
  <c r="AM13" i="2"/>
  <c r="AM12" i="2"/>
  <c r="AM11" i="2"/>
  <c r="AM10" i="2"/>
  <c r="AM9" i="2"/>
  <c r="AM8" i="2"/>
  <c r="AM7" i="2"/>
  <c r="AM6" i="2"/>
  <c r="AU39" i="2"/>
  <c r="AX39" i="2" s="1"/>
  <c r="AM39" i="2"/>
  <c r="AP39" i="2" s="1"/>
  <c r="AU38" i="2"/>
  <c r="AX38" i="2" s="1"/>
  <c r="AM38" i="2"/>
  <c r="AP38" i="2" s="1"/>
  <c r="AU37" i="2"/>
  <c r="AX37" i="2" s="1"/>
  <c r="AY37" i="2" s="1"/>
  <c r="AM37" i="2"/>
  <c r="AP37" i="2" s="1"/>
  <c r="AU36" i="2"/>
  <c r="AX36" i="2" s="1"/>
  <c r="AY36" i="2" s="1"/>
  <c r="AM36" i="2"/>
  <c r="AP36" i="2" s="1"/>
  <c r="AU35" i="2"/>
  <c r="AX35" i="2" s="1"/>
  <c r="AY35" i="2" s="1"/>
  <c r="AM35" i="2"/>
  <c r="AP35" i="2" s="1"/>
  <c r="AU34" i="2"/>
  <c r="AX34" i="2" s="1"/>
  <c r="AY34" i="2" s="1"/>
  <c r="AM34" i="2"/>
  <c r="AP34" i="2" s="1"/>
  <c r="AQ34" i="2" s="1"/>
  <c r="AU33" i="2"/>
  <c r="AX33" i="2" s="1"/>
  <c r="AY33" i="2" s="1"/>
  <c r="AM33" i="2"/>
  <c r="AP33" i="2" s="1"/>
  <c r="AU32" i="2"/>
  <c r="AX32" i="2" s="1"/>
  <c r="AY32" i="2" s="1"/>
  <c r="AM32" i="2"/>
  <c r="AP32" i="2" s="1"/>
  <c r="AU31" i="2"/>
  <c r="AX31" i="2" s="1"/>
  <c r="AY31" i="2" s="1"/>
  <c r="AM31" i="2"/>
  <c r="AP31" i="2" s="1"/>
  <c r="AU30" i="2"/>
  <c r="AX30" i="2" s="1"/>
  <c r="AM30" i="2"/>
  <c r="AP30" i="2" s="1"/>
  <c r="AQ197" i="2" l="1"/>
  <c r="AQ209" i="2"/>
  <c r="BH194" i="2"/>
  <c r="AQ205" i="2"/>
  <c r="AQ221" i="2"/>
  <c r="AQ213" i="2"/>
  <c r="BH205" i="2"/>
  <c r="BG205" i="2"/>
  <c r="BH213" i="2"/>
  <c r="BG213" i="2"/>
  <c r="BH221" i="2"/>
  <c r="BG221" i="2"/>
  <c r="AQ211" i="2"/>
  <c r="AQ206" i="2"/>
  <c r="AQ214" i="2"/>
  <c r="BH198" i="2"/>
  <c r="AQ207" i="2"/>
  <c r="AQ215" i="2"/>
  <c r="AQ196" i="2"/>
  <c r="AQ208" i="2"/>
  <c r="AQ216" i="2"/>
  <c r="AQ191" i="2"/>
  <c r="AQ199" i="2"/>
  <c r="AQ190" i="2"/>
  <c r="BH191" i="2"/>
  <c r="BH199" i="2"/>
  <c r="AQ212" i="2"/>
  <c r="AQ192" i="2"/>
  <c r="AQ200" i="2"/>
  <c r="AQ210" i="2"/>
  <c r="AQ218" i="2"/>
  <c r="AQ219" i="2"/>
  <c r="AQ194" i="2"/>
  <c r="AQ202" i="2"/>
  <c r="BH202" i="2"/>
  <c r="BH190" i="2"/>
  <c r="AQ195" i="2"/>
  <c r="AQ189" i="2"/>
  <c r="BH195" i="2"/>
  <c r="BH189" i="2"/>
  <c r="BH200" i="2"/>
  <c r="BH216" i="2"/>
  <c r="BH209" i="2"/>
  <c r="BG209" i="2"/>
  <c r="BH217" i="2"/>
  <c r="BG217" i="2"/>
  <c r="BH197" i="2"/>
  <c r="BH210" i="2"/>
  <c r="BG210" i="2"/>
  <c r="BH218" i="2"/>
  <c r="BG218" i="2"/>
  <c r="BH196" i="2"/>
  <c r="BH208" i="2"/>
  <c r="BH193" i="2"/>
  <c r="BH201" i="2"/>
  <c r="BH192" i="2"/>
  <c r="BH204" i="2"/>
  <c r="BG204" i="2"/>
  <c r="BG212" i="2"/>
  <c r="BH212" i="2"/>
  <c r="BG220" i="2"/>
  <c r="BH220" i="2"/>
  <c r="BH206" i="2"/>
  <c r="BG206" i="2"/>
  <c r="BH214" i="2"/>
  <c r="BG214" i="2"/>
  <c r="BH207" i="2"/>
  <c r="BG207" i="2"/>
  <c r="BH215" i="2"/>
  <c r="BG215" i="2"/>
  <c r="AQ204" i="2"/>
  <c r="BH219" i="2"/>
  <c r="BH211" i="2"/>
  <c r="BH167" i="2"/>
  <c r="AQ220" i="2"/>
  <c r="BG216" i="2"/>
  <c r="BG208" i="2"/>
  <c r="AQ176" i="2"/>
  <c r="BH163" i="2"/>
  <c r="AQ177" i="2"/>
  <c r="AQ185" i="2"/>
  <c r="AQ217" i="2"/>
  <c r="BG182" i="2"/>
  <c r="BH182" i="2"/>
  <c r="AQ184" i="2"/>
  <c r="BG183" i="2"/>
  <c r="BH183" i="2"/>
  <c r="AQ175" i="2"/>
  <c r="AQ186" i="2"/>
  <c r="AQ187" i="2"/>
  <c r="BG177" i="2"/>
  <c r="BH177" i="2"/>
  <c r="BG185" i="2"/>
  <c r="BH185" i="2"/>
  <c r="BH165" i="2"/>
  <c r="BG165" i="2"/>
  <c r="AQ179" i="2"/>
  <c r="BG178" i="2"/>
  <c r="BH178" i="2"/>
  <c r="BG186" i="2"/>
  <c r="BH186" i="2"/>
  <c r="AQ180" i="2"/>
  <c r="BH179" i="2"/>
  <c r="BG179" i="2"/>
  <c r="BH187" i="2"/>
  <c r="BG187" i="2"/>
  <c r="BG184" i="2"/>
  <c r="BH184" i="2"/>
  <c r="AQ181" i="2"/>
  <c r="BG180" i="2"/>
  <c r="BH180" i="2"/>
  <c r="BH175" i="2"/>
  <c r="BG176" i="2"/>
  <c r="BH176" i="2"/>
  <c r="AQ183" i="2"/>
  <c r="AQ161" i="2"/>
  <c r="AQ163" i="2"/>
  <c r="AQ170" i="2"/>
  <c r="BH170" i="2"/>
  <c r="AQ160" i="2"/>
  <c r="BH181" i="2"/>
  <c r="AQ169" i="2"/>
  <c r="AQ118" i="2"/>
  <c r="AQ173" i="2"/>
  <c r="AQ167" i="2"/>
  <c r="BG175" i="2"/>
  <c r="AQ156" i="2"/>
  <c r="AQ168" i="2"/>
  <c r="BH172" i="2"/>
  <c r="BG172" i="2"/>
  <c r="BG160" i="2"/>
  <c r="BH160" i="2"/>
  <c r="BH168" i="2"/>
  <c r="BG168" i="2"/>
  <c r="BH171" i="2"/>
  <c r="BG162" i="2"/>
  <c r="BH162" i="2"/>
  <c r="BG161" i="2"/>
  <c r="BH161" i="2"/>
  <c r="BG169" i="2"/>
  <c r="BH169" i="2"/>
  <c r="BG163" i="2"/>
  <c r="BG170" i="2"/>
  <c r="AQ143" i="2"/>
  <c r="AQ162" i="2"/>
  <c r="BG167" i="2"/>
  <c r="BG171" i="2"/>
  <c r="AQ165" i="2"/>
  <c r="BH164" i="2"/>
  <c r="AQ171" i="2"/>
  <c r="BH173" i="2"/>
  <c r="BH156" i="2"/>
  <c r="BG156" i="2"/>
  <c r="AQ153" i="2"/>
  <c r="AQ155" i="2"/>
  <c r="BG153" i="2"/>
  <c r="BH153" i="2"/>
  <c r="AQ154" i="2"/>
  <c r="AQ158" i="2"/>
  <c r="AQ157" i="2"/>
  <c r="BH154" i="2"/>
  <c r="BH128" i="2"/>
  <c r="BG154" i="2"/>
  <c r="AQ122" i="2"/>
  <c r="BH155" i="2"/>
  <c r="BH158" i="2"/>
  <c r="BH70" i="2"/>
  <c r="BH140" i="2"/>
  <c r="AQ125" i="2"/>
  <c r="AQ132" i="2"/>
  <c r="BH157" i="2"/>
  <c r="BG155" i="2"/>
  <c r="AQ126" i="2"/>
  <c r="AQ138" i="2"/>
  <c r="AQ119" i="2"/>
  <c r="AQ127" i="2"/>
  <c r="BH131" i="2"/>
  <c r="BH139" i="2"/>
  <c r="BH60" i="2"/>
  <c r="AQ121" i="2"/>
  <c r="AQ129" i="2"/>
  <c r="BH133" i="2"/>
  <c r="AQ144" i="2"/>
  <c r="AQ151" i="2"/>
  <c r="AQ150" i="2"/>
  <c r="AQ35" i="2"/>
  <c r="AQ58" i="2"/>
  <c r="BH129" i="2"/>
  <c r="AQ31" i="2"/>
  <c r="AQ59" i="2"/>
  <c r="AQ77" i="2"/>
  <c r="AQ124" i="2"/>
  <c r="AQ123" i="2"/>
  <c r="AQ134" i="2"/>
  <c r="AQ146" i="2"/>
  <c r="BH76" i="2"/>
  <c r="BH92" i="2"/>
  <c r="BH121" i="2"/>
  <c r="AQ135" i="2"/>
  <c r="AQ133" i="2"/>
  <c r="BH134" i="2"/>
  <c r="AQ147" i="2"/>
  <c r="AQ145" i="2"/>
  <c r="BH151" i="2"/>
  <c r="AQ37" i="2"/>
  <c r="AQ136" i="2"/>
  <c r="AQ148" i="2"/>
  <c r="BH124" i="2"/>
  <c r="AQ137" i="2"/>
  <c r="AQ149" i="2"/>
  <c r="AQ140" i="2"/>
  <c r="AQ39" i="2"/>
  <c r="BG120" i="2"/>
  <c r="BH120" i="2"/>
  <c r="BH144" i="2"/>
  <c r="BG144" i="2"/>
  <c r="BH142" i="2"/>
  <c r="BG145" i="2"/>
  <c r="BH145" i="2"/>
  <c r="BH122" i="2"/>
  <c r="BG122" i="2"/>
  <c r="BH136" i="2"/>
  <c r="BH123" i="2"/>
  <c r="AY118" i="2"/>
  <c r="BH118" i="2"/>
  <c r="BH125" i="2"/>
  <c r="BG125" i="2"/>
  <c r="BG137" i="2"/>
  <c r="BH137" i="2"/>
  <c r="BG147" i="2"/>
  <c r="BH147" i="2"/>
  <c r="BH126" i="2"/>
  <c r="AY132" i="2"/>
  <c r="BH132" i="2"/>
  <c r="BH148" i="2"/>
  <c r="BG148" i="2"/>
  <c r="BH150" i="2"/>
  <c r="BH119" i="2"/>
  <c r="BG119" i="2"/>
  <c r="BH127" i="2"/>
  <c r="BG127" i="2"/>
  <c r="AQ92" i="2"/>
  <c r="BG124" i="2"/>
  <c r="AQ89" i="2"/>
  <c r="BG126" i="2"/>
  <c r="BG134" i="2"/>
  <c r="BH108" i="2"/>
  <c r="AQ86" i="2"/>
  <c r="AQ75" i="2"/>
  <c r="AQ88" i="2"/>
  <c r="BH143" i="2"/>
  <c r="AQ69" i="2"/>
  <c r="BH64" i="2"/>
  <c r="AQ76" i="2"/>
  <c r="AQ90" i="2"/>
  <c r="BG121" i="2"/>
  <c r="AQ80" i="2"/>
  <c r="AQ94" i="2"/>
  <c r="AQ91" i="2"/>
  <c r="BH91" i="2"/>
  <c r="BH115" i="2"/>
  <c r="BH149" i="2"/>
  <c r="BG123" i="2"/>
  <c r="BH138" i="2"/>
  <c r="BG142" i="2"/>
  <c r="AQ74" i="2"/>
  <c r="AQ79" i="2"/>
  <c r="AQ87" i="2"/>
  <c r="BG133" i="2"/>
  <c r="BH146" i="2"/>
  <c r="BG149" i="2"/>
  <c r="BH135" i="2"/>
  <c r="BG138" i="2"/>
  <c r="BG136" i="2"/>
  <c r="BG131" i="2"/>
  <c r="AQ116" i="2"/>
  <c r="AQ109" i="2"/>
  <c r="BH113" i="2"/>
  <c r="BG113" i="2"/>
  <c r="AQ110" i="2"/>
  <c r="AQ113" i="2"/>
  <c r="BH114" i="2"/>
  <c r="AQ108" i="2"/>
  <c r="AQ111" i="2"/>
  <c r="AQ114" i="2"/>
  <c r="AQ112" i="2"/>
  <c r="BH109" i="2"/>
  <c r="BG109" i="2"/>
  <c r="BH97" i="2"/>
  <c r="BH107" i="2"/>
  <c r="BH112" i="2"/>
  <c r="BG112" i="2"/>
  <c r="BH63" i="2"/>
  <c r="AQ78" i="2"/>
  <c r="AQ44" i="2"/>
  <c r="AQ57" i="2"/>
  <c r="BH87" i="2"/>
  <c r="AQ47" i="2"/>
  <c r="BH82" i="2"/>
  <c r="BH103" i="2"/>
  <c r="BH110" i="2"/>
  <c r="AQ68" i="2"/>
  <c r="BH68" i="2"/>
  <c r="BH96" i="2"/>
  <c r="BH104" i="2"/>
  <c r="BG108" i="2"/>
  <c r="BH111" i="2"/>
  <c r="BG114" i="2"/>
  <c r="BG107" i="2"/>
  <c r="AQ97" i="2"/>
  <c r="AQ98" i="2"/>
  <c r="BG77" i="2"/>
  <c r="BH77" i="2"/>
  <c r="BH85" i="2"/>
  <c r="BH93" i="2"/>
  <c r="AQ99" i="2"/>
  <c r="AQ103" i="2"/>
  <c r="BH80" i="2"/>
  <c r="BG80" i="2"/>
  <c r="BH74" i="2"/>
  <c r="BG74" i="2"/>
  <c r="BH78" i="2"/>
  <c r="BG78" i="2"/>
  <c r="AQ100" i="2"/>
  <c r="BG99" i="2"/>
  <c r="BH99" i="2"/>
  <c r="BG88" i="2"/>
  <c r="BH88" i="2"/>
  <c r="BH81" i="2"/>
  <c r="BG81" i="2"/>
  <c r="AQ105" i="2"/>
  <c r="BG69" i="2"/>
  <c r="BH69" i="2"/>
  <c r="AQ102" i="2"/>
  <c r="BH79" i="2"/>
  <c r="BG79" i="2"/>
  <c r="AQ101" i="2"/>
  <c r="BH102" i="2"/>
  <c r="BH100" i="2"/>
  <c r="BH101" i="2"/>
  <c r="BG76" i="2"/>
  <c r="BG91" i="2"/>
  <c r="BH66" i="2"/>
  <c r="BH75" i="2"/>
  <c r="BG102" i="2"/>
  <c r="AQ64" i="2"/>
  <c r="BH67" i="2"/>
  <c r="BH26" i="2"/>
  <c r="BH53" i="2"/>
  <c r="BH61" i="2"/>
  <c r="BG64" i="2"/>
  <c r="BH65" i="2"/>
  <c r="AQ43" i="2"/>
  <c r="AQ67" i="2"/>
  <c r="AQ81" i="2"/>
  <c r="BG97" i="2"/>
  <c r="BG100" i="2"/>
  <c r="BH98" i="2"/>
  <c r="BG101" i="2"/>
  <c r="BG96" i="2"/>
  <c r="BG103" i="2"/>
  <c r="BH86" i="2"/>
  <c r="BH89" i="2"/>
  <c r="BG85" i="2"/>
  <c r="BH90" i="2"/>
  <c r="BG92" i="2"/>
  <c r="BG87" i="2"/>
  <c r="AQ83" i="2"/>
  <c r="BH72" i="2"/>
  <c r="BH71" i="2"/>
  <c r="BG70" i="2"/>
  <c r="BG65" i="2"/>
  <c r="BG63" i="2"/>
  <c r="BG67" i="2"/>
  <c r="BG68" i="2"/>
  <c r="BG66" i="2"/>
  <c r="AQ53" i="2"/>
  <c r="AQ54" i="2"/>
  <c r="AQ55" i="2"/>
  <c r="AQ56" i="2"/>
  <c r="AQ70" i="2"/>
  <c r="AQ61" i="2"/>
  <c r="AQ66" i="2"/>
  <c r="AQ71" i="2"/>
  <c r="AQ65" i="2"/>
  <c r="AQ45" i="2"/>
  <c r="AQ32" i="2"/>
  <c r="AQ46" i="2"/>
  <c r="AQ36" i="2"/>
  <c r="AQ30" i="2"/>
  <c r="AQ33" i="2"/>
  <c r="AQ48" i="2"/>
  <c r="BH56" i="2"/>
  <c r="BG56" i="2"/>
  <c r="BH57" i="2"/>
  <c r="BG57" i="2"/>
  <c r="BG59" i="2"/>
  <c r="BH59" i="2"/>
  <c r="BH54" i="2"/>
  <c r="BG54" i="2"/>
  <c r="BH55" i="2"/>
  <c r="BG55" i="2"/>
  <c r="BG58" i="2"/>
  <c r="BH58" i="2"/>
  <c r="BH52" i="2"/>
  <c r="BG53" i="2"/>
  <c r="AY41" i="2"/>
  <c r="BH49" i="2"/>
  <c r="BG41" i="2"/>
  <c r="BH41" i="2"/>
  <c r="BG42" i="2"/>
  <c r="BH42" i="2"/>
  <c r="BH50" i="2"/>
  <c r="BH45" i="2"/>
  <c r="AY45" i="2"/>
  <c r="BG43" i="2"/>
  <c r="BH43" i="2"/>
  <c r="AQ49" i="2"/>
  <c r="AQ50" i="2"/>
  <c r="AQ42" i="2"/>
  <c r="BG44" i="2"/>
  <c r="BH44" i="2"/>
  <c r="BG46" i="2"/>
  <c r="BH46" i="2"/>
  <c r="BH47" i="2"/>
  <c r="BH48" i="2"/>
  <c r="AY30" i="2"/>
  <c r="BH27" i="2"/>
  <c r="AQ26" i="2"/>
  <c r="BG26" i="2"/>
  <c r="BH32" i="2"/>
  <c r="BG32" i="2"/>
  <c r="BH36" i="2"/>
  <c r="BH38" i="2"/>
  <c r="BH33" i="2"/>
  <c r="BG33" i="2"/>
  <c r="BH31" i="2"/>
  <c r="BG31" i="2"/>
  <c r="BH35" i="2"/>
  <c r="BG35" i="2"/>
  <c r="BH37" i="2"/>
  <c r="BG37" i="2"/>
  <c r="BH30" i="2"/>
  <c r="BG30" i="2"/>
  <c r="BH34" i="2"/>
  <c r="BG34" i="2"/>
  <c r="BH39" i="2"/>
  <c r="BF15" i="2" l="1"/>
  <c r="BF14" i="2"/>
  <c r="BG14" i="2" s="1"/>
  <c r="BF13" i="2"/>
  <c r="BG13" i="2" s="1"/>
  <c r="BF12" i="2"/>
  <c r="BF11" i="2"/>
  <c r="BF10" i="2"/>
  <c r="BF9" i="2"/>
  <c r="BF8" i="2"/>
  <c r="BF18" i="2"/>
  <c r="BF19" i="2"/>
  <c r="BF20" i="2"/>
  <c r="BF21" i="2"/>
  <c r="BF22" i="2"/>
  <c r="BF23" i="2"/>
  <c r="BF24" i="2"/>
  <c r="BF25" i="2"/>
  <c r="BF28" i="2"/>
  <c r="AP7" i="2"/>
  <c r="AP8" i="2"/>
  <c r="AP9" i="2"/>
  <c r="AP10" i="2"/>
  <c r="AP11" i="2"/>
  <c r="AP12" i="2"/>
  <c r="AP13" i="2"/>
  <c r="AP14" i="2"/>
  <c r="AP15" i="2"/>
  <c r="AP6" i="2"/>
  <c r="AQ6" i="2" l="1"/>
  <c r="AX6" i="2" l="1"/>
  <c r="AX13" i="2"/>
  <c r="BH13" i="2" s="1"/>
  <c r="AX14" i="2"/>
  <c r="AQ14" i="2"/>
  <c r="BQ9" i="17"/>
  <c r="BP9" i="17"/>
  <c r="BO9" i="17"/>
  <c r="BN9" i="17"/>
  <c r="BL9" i="17"/>
  <c r="BG9" i="17"/>
  <c r="BF9" i="17"/>
  <c r="BE9" i="17"/>
  <c r="BD9" i="17"/>
  <c r="BC9" i="17"/>
  <c r="BM9" i="17" s="1"/>
  <c r="BB9" i="17"/>
  <c r="BA9" i="17"/>
  <c r="BK9" i="17" s="1"/>
  <c r="AM9" i="17"/>
  <c r="AL9" i="17"/>
  <c r="AK9" i="17"/>
  <c r="AJ9" i="17"/>
  <c r="AI9" i="17"/>
  <c r="AH9" i="17"/>
  <c r="AG9" i="17"/>
  <c r="BQ8" i="17"/>
  <c r="BP8" i="17"/>
  <c r="BO8" i="17"/>
  <c r="BK8" i="17"/>
  <c r="BE8" i="17"/>
  <c r="BD8" i="17"/>
  <c r="BN8" i="17" s="1"/>
  <c r="BC8" i="17"/>
  <c r="BM8" i="17" s="1"/>
  <c r="BB8" i="17"/>
  <c r="BL8" i="17" s="1"/>
  <c r="BA8" i="17"/>
  <c r="AK8" i="17"/>
  <c r="AJ8" i="17"/>
  <c r="AI8" i="17"/>
  <c r="AH8" i="17"/>
  <c r="AG8" i="17"/>
  <c r="BP7" i="17"/>
  <c r="BO7" i="17"/>
  <c r="BJ7" i="17"/>
  <c r="BT7" i="17" s="1"/>
  <c r="BI7" i="17"/>
  <c r="BS7" i="17" s="1"/>
  <c r="BH7" i="17"/>
  <c r="BR7" i="17" s="1"/>
  <c r="BG7" i="17"/>
  <c r="BQ7" i="17" s="1"/>
  <c r="BF7" i="17"/>
  <c r="BE7" i="17"/>
  <c r="BD7" i="17"/>
  <c r="BN7" i="17" s="1"/>
  <c r="BC7" i="17"/>
  <c r="BM7" i="17" s="1"/>
  <c r="BB7" i="17"/>
  <c r="BL7" i="17" s="1"/>
  <c r="BA7" i="17"/>
  <c r="BK7" i="17" s="1"/>
  <c r="AP7" i="17"/>
  <c r="AO7" i="17"/>
  <c r="AN7" i="17"/>
  <c r="AM7" i="17"/>
  <c r="AL7" i="17"/>
  <c r="AK7" i="17"/>
  <c r="AJ7" i="17"/>
  <c r="AI7" i="17"/>
  <c r="AH7" i="17"/>
  <c r="AG7" i="17"/>
  <c r="BV7" i="17" s="1"/>
  <c r="BX7" i="17" s="1"/>
  <c r="BP6" i="17"/>
  <c r="BN6" i="17"/>
  <c r="BI6" i="17"/>
  <c r="BS6" i="17" s="1"/>
  <c r="BH6" i="17"/>
  <c r="BR6" i="17" s="1"/>
  <c r="BG6" i="17"/>
  <c r="BQ6" i="17" s="1"/>
  <c r="BF6" i="17"/>
  <c r="BE6" i="17"/>
  <c r="BO6" i="17" s="1"/>
  <c r="BD6" i="17"/>
  <c r="BC6" i="17"/>
  <c r="BM6" i="17" s="1"/>
  <c r="BB6" i="17"/>
  <c r="BL6" i="17" s="1"/>
  <c r="BA6" i="17"/>
  <c r="BK6" i="17" s="1"/>
  <c r="AO6" i="17"/>
  <c r="AN6" i="17"/>
  <c r="AM6" i="17"/>
  <c r="AL6" i="17"/>
  <c r="AK6" i="17"/>
  <c r="AJ6" i="17"/>
  <c r="AI6" i="17"/>
  <c r="AH6" i="17"/>
  <c r="BN5" i="17"/>
  <c r="BL5" i="17"/>
  <c r="BI5" i="17"/>
  <c r="BS5" i="17" s="1"/>
  <c r="BH5" i="17"/>
  <c r="BR5" i="17" s="1"/>
  <c r="BG5" i="17"/>
  <c r="BQ5" i="17" s="1"/>
  <c r="BF5" i="17"/>
  <c r="BP5" i="17" s="1"/>
  <c r="BE5" i="17"/>
  <c r="BO5" i="17" s="1"/>
  <c r="BD5" i="17"/>
  <c r="BC5" i="17"/>
  <c r="BM5" i="17" s="1"/>
  <c r="BB5" i="17"/>
  <c r="BA5" i="17"/>
  <c r="BK5" i="17" s="1"/>
  <c r="AO5" i="17"/>
  <c r="AN5" i="17"/>
  <c r="AM5" i="17"/>
  <c r="AL5" i="17"/>
  <c r="AK5" i="17"/>
  <c r="AJ5" i="17"/>
  <c r="AI5" i="17"/>
  <c r="AH5" i="17"/>
  <c r="BR4" i="17"/>
  <c r="BL4" i="17"/>
  <c r="BI4" i="17"/>
  <c r="BS4" i="17" s="1"/>
  <c r="BH4" i="17"/>
  <c r="BG4" i="17"/>
  <c r="BQ4" i="17" s="1"/>
  <c r="BF4" i="17"/>
  <c r="BP4" i="17" s="1"/>
  <c r="BE4" i="17"/>
  <c r="BO4" i="17" s="1"/>
  <c r="BD4" i="17"/>
  <c r="BN4" i="17" s="1"/>
  <c r="BC4" i="17"/>
  <c r="BM4" i="17" s="1"/>
  <c r="BB4" i="17"/>
  <c r="BA4" i="17"/>
  <c r="BK4" i="17" s="1"/>
  <c r="AO4" i="17"/>
  <c r="AN4" i="17"/>
  <c r="AM4" i="17"/>
  <c r="AL4" i="17"/>
  <c r="AK4" i="17"/>
  <c r="AJ4" i="17"/>
  <c r="AI4" i="17"/>
  <c r="AH4" i="17"/>
  <c r="AG4" i="17"/>
  <c r="BS3" i="17"/>
  <c r="BQ3" i="17"/>
  <c r="BK3" i="17"/>
  <c r="BI3" i="17"/>
  <c r="BH3" i="17"/>
  <c r="BR3" i="17" s="1"/>
  <c r="BG3" i="17"/>
  <c r="BF3" i="17"/>
  <c r="BP3" i="17" s="1"/>
  <c r="BE3" i="17"/>
  <c r="BO3" i="17" s="1"/>
  <c r="BD3" i="17"/>
  <c r="BN3" i="17" s="1"/>
  <c r="BC3" i="17"/>
  <c r="BM3" i="17" s="1"/>
  <c r="BB3" i="17"/>
  <c r="BL3" i="17" s="1"/>
  <c r="BA3" i="17"/>
  <c r="AO3" i="17"/>
  <c r="AN3" i="17"/>
  <c r="AM3" i="17"/>
  <c r="AL3" i="17"/>
  <c r="AK3" i="17"/>
  <c r="AJ3" i="17"/>
  <c r="AI3" i="17"/>
  <c r="AH3" i="17"/>
  <c r="AG3" i="17"/>
  <c r="AY6" i="2" l="1"/>
  <c r="BH6" i="2"/>
  <c r="BH14" i="2"/>
  <c r="AY14" i="2"/>
  <c r="AY13" i="2"/>
  <c r="AQ13" i="2"/>
  <c r="BW4" i="17"/>
  <c r="BU4" i="17"/>
  <c r="BV4" i="17"/>
  <c r="BX4" i="17" s="1"/>
  <c r="BU3" i="17"/>
  <c r="BU7" i="17"/>
  <c r="BW7" i="17"/>
  <c r="BW9" i="17"/>
  <c r="BW6" i="17"/>
  <c r="BV6" i="17"/>
  <c r="BX6" i="17" s="1"/>
  <c r="BU6" i="17"/>
  <c r="BV5" i="17"/>
  <c r="BX5" i="17" s="1"/>
  <c r="BU5" i="17"/>
  <c r="BW5" i="17"/>
  <c r="BW8" i="17"/>
  <c r="BW3" i="17"/>
  <c r="BV8" i="17"/>
  <c r="BX8" i="17" s="1"/>
  <c r="BU9" i="17"/>
  <c r="BV3" i="17"/>
  <c r="BX3" i="17" s="1"/>
  <c r="BU8" i="17"/>
  <c r="BV9" i="17"/>
  <c r="BX9" i="17" s="1"/>
  <c r="AU17" i="2" l="1"/>
  <c r="AX17" i="2" s="1"/>
  <c r="AY17" i="2" s="1"/>
  <c r="AP17" i="2"/>
  <c r="AQ17" i="2" s="1"/>
  <c r="AP18" i="2"/>
  <c r="AQ18" i="2" s="1"/>
  <c r="AU18" i="2"/>
  <c r="AX18" i="2" s="1"/>
  <c r="AP19" i="2"/>
  <c r="AQ19" i="2" s="1"/>
  <c r="AU19" i="2"/>
  <c r="AX19" i="2" s="1"/>
  <c r="AP20" i="2"/>
  <c r="AQ20" i="2" s="1"/>
  <c r="AU20" i="2"/>
  <c r="AX20" i="2" s="1"/>
  <c r="BG20" i="2"/>
  <c r="AP21" i="2"/>
  <c r="AQ21" i="2" s="1"/>
  <c r="AU21" i="2"/>
  <c r="AX21" i="2" s="1"/>
  <c r="BG21" i="2"/>
  <c r="AP22" i="2"/>
  <c r="AQ22" i="2" s="1"/>
  <c r="AU22" i="2"/>
  <c r="AX22" i="2" s="1"/>
  <c r="AP23" i="2"/>
  <c r="AQ23" i="2" s="1"/>
  <c r="AU23" i="2"/>
  <c r="AX23" i="2" s="1"/>
  <c r="AP24" i="2"/>
  <c r="AQ24" i="2" s="1"/>
  <c r="AU24" i="2"/>
  <c r="AX24" i="2" s="1"/>
  <c r="AP25" i="2"/>
  <c r="AQ25" i="2" s="1"/>
  <c r="AU25" i="2"/>
  <c r="AX25" i="2" s="1"/>
  <c r="BG25" i="2"/>
  <c r="AP28" i="2"/>
  <c r="AQ28" i="2" s="1"/>
  <c r="AU28" i="2"/>
  <c r="AX28" i="2" s="1"/>
  <c r="AY24" i="2" l="1"/>
  <c r="BH24" i="2"/>
  <c r="AY23" i="2"/>
  <c r="BH23" i="2"/>
  <c r="AY20" i="2"/>
  <c r="BH20" i="2"/>
  <c r="BH28" i="2"/>
  <c r="AY22" i="2"/>
  <c r="BH22" i="2"/>
  <c r="AY19" i="2"/>
  <c r="BH19" i="2"/>
  <c r="AY21" i="2"/>
  <c r="BH21" i="2"/>
  <c r="AY25" i="2"/>
  <c r="BH25" i="2"/>
  <c r="AY18" i="2"/>
  <c r="BH18" i="2"/>
  <c r="BG17" i="2"/>
  <c r="BH17" i="2"/>
  <c r="BG24" i="2"/>
  <c r="BG22" i="2"/>
  <c r="BG19" i="2"/>
  <c r="BG23" i="2"/>
  <c r="BG18" i="2"/>
  <c r="BG8" i="2" l="1"/>
  <c r="BG9" i="2"/>
  <c r="BG10" i="2"/>
  <c r="BG11" i="2"/>
  <c r="BG12" i="2"/>
  <c r="BG15" i="2"/>
  <c r="BG6" i="2"/>
  <c r="AX10" i="2"/>
  <c r="AX11" i="2"/>
  <c r="AX12" i="2"/>
  <c r="AX15" i="2"/>
  <c r="AY15" i="2" s="1"/>
  <c r="AQ7" i="2"/>
  <c r="AQ8" i="2"/>
  <c r="AQ9" i="2"/>
  <c r="AQ10" i="2"/>
  <c r="AQ11" i="2"/>
  <c r="AQ12" i="2"/>
  <c r="AQ15" i="2"/>
  <c r="BG7" i="2" l="1"/>
  <c r="AX9" i="2"/>
  <c r="AY9" i="2" s="1"/>
  <c r="AX8" i="2"/>
  <c r="AY8" i="2" s="1"/>
  <c r="AY12" i="2"/>
  <c r="BH10" i="2"/>
  <c r="AY11" i="2"/>
  <c r="BH15" i="2"/>
  <c r="BH11" i="2"/>
  <c r="BH9" i="2" l="1"/>
  <c r="BH7" i="2"/>
  <c r="BH8" i="2"/>
  <c r="AY10" i="2"/>
  <c r="BH12" i="2"/>
  <c r="AO20" i="1"/>
  <c r="AP20" i="1" s="1"/>
  <c r="AQ20" i="1" s="1"/>
  <c r="AR20" i="1" s="1"/>
  <c r="AO21" i="1"/>
  <c r="AP21" i="1" s="1"/>
  <c r="AQ21" i="1" s="1"/>
  <c r="AR21" i="1" s="1"/>
  <c r="AO22" i="1"/>
  <c r="AP22" i="1" s="1"/>
  <c r="AQ22" i="1" s="1"/>
  <c r="AR22" i="1" s="1"/>
  <c r="AO23" i="1"/>
  <c r="AP23" i="1" s="1"/>
  <c r="AQ23" i="1" s="1"/>
  <c r="AR23" i="1" s="1"/>
  <c r="AO24" i="1"/>
  <c r="AP24" i="1" s="1"/>
  <c r="AQ24" i="1" s="1"/>
  <c r="AR24" i="1" s="1"/>
  <c r="AO25" i="1"/>
  <c r="AP25" i="1"/>
  <c r="AQ25" i="1" s="1"/>
  <c r="AR25" i="1" s="1"/>
  <c r="AO26" i="1"/>
  <c r="AP26" i="1" s="1"/>
  <c r="AQ26" i="1" s="1"/>
  <c r="AR26" i="1" s="1"/>
  <c r="AS26" i="1" s="1"/>
  <c r="AO27" i="1"/>
  <c r="AP27" i="1" s="1"/>
  <c r="AQ27" i="1" s="1"/>
  <c r="AR27" i="1" s="1"/>
  <c r="AO19" i="1"/>
  <c r="AP19" i="1" s="1"/>
  <c r="AQ19" i="1" s="1"/>
  <c r="AR19" i="1" s="1"/>
  <c r="AI19" i="1"/>
  <c r="AJ19" i="1" s="1"/>
  <c r="AK19" i="1" s="1"/>
  <c r="AI20" i="1"/>
  <c r="AJ20" i="1" s="1"/>
  <c r="AK20" i="1" s="1"/>
  <c r="AI21" i="1"/>
  <c r="AJ21" i="1" s="1"/>
  <c r="AK21" i="1" s="1"/>
  <c r="AI22" i="1"/>
  <c r="AJ22" i="1" s="1"/>
  <c r="AK22" i="1" s="1"/>
  <c r="AI23" i="1"/>
  <c r="AJ23" i="1" s="1"/>
  <c r="AK23" i="1" s="1"/>
  <c r="AI24" i="1"/>
  <c r="AJ24" i="1" s="1"/>
  <c r="AK24" i="1" s="1"/>
  <c r="AI25" i="1"/>
  <c r="AJ25" i="1" s="1"/>
  <c r="AK25" i="1" s="1"/>
  <c r="AI26" i="1"/>
  <c r="AJ26" i="1" s="1"/>
  <c r="AK26" i="1" s="1"/>
  <c r="AI27" i="1"/>
  <c r="AJ27" i="1"/>
  <c r="AK27" i="1" s="1"/>
  <c r="AB28" i="1"/>
  <c r="AC28" i="1" s="1"/>
  <c r="AD28" i="1" s="1"/>
  <c r="AR40" i="1"/>
  <c r="AK40" i="1"/>
  <c r="AB40" i="1"/>
  <c r="AC40" i="1" s="1"/>
  <c r="AD40" i="1" s="1"/>
  <c r="U40" i="1"/>
  <c r="AO39" i="1"/>
  <c r="AP39" i="1" s="1"/>
  <c r="AQ39" i="1" s="1"/>
  <c r="AR39" i="1" s="1"/>
  <c r="AI39" i="1"/>
  <c r="AJ39" i="1" s="1"/>
  <c r="AK39" i="1" s="1"/>
  <c r="AB39" i="1"/>
  <c r="AC39" i="1" s="1"/>
  <c r="AD39" i="1" s="1"/>
  <c r="U39" i="1"/>
  <c r="AO38" i="1"/>
  <c r="AP38" i="1" s="1"/>
  <c r="AQ38" i="1" s="1"/>
  <c r="AR38" i="1" s="1"/>
  <c r="AI38" i="1"/>
  <c r="AJ38" i="1" s="1"/>
  <c r="AK38" i="1" s="1"/>
  <c r="AB38" i="1"/>
  <c r="AC38" i="1" s="1"/>
  <c r="AD38" i="1" s="1"/>
  <c r="U38" i="1"/>
  <c r="AO37" i="1"/>
  <c r="AP37" i="1" s="1"/>
  <c r="AQ37" i="1" s="1"/>
  <c r="AR37" i="1" s="1"/>
  <c r="AI37" i="1"/>
  <c r="AJ37" i="1" s="1"/>
  <c r="AK37" i="1" s="1"/>
  <c r="AB37" i="1"/>
  <c r="AC37" i="1" s="1"/>
  <c r="AD37" i="1" s="1"/>
  <c r="U37" i="1"/>
  <c r="AO36" i="1"/>
  <c r="AP36" i="1" s="1"/>
  <c r="AQ36" i="1" s="1"/>
  <c r="AR36" i="1" s="1"/>
  <c r="AI36" i="1"/>
  <c r="AJ36" i="1" s="1"/>
  <c r="AK36" i="1" s="1"/>
  <c r="AB36" i="1"/>
  <c r="AC36" i="1" s="1"/>
  <c r="AD36" i="1" s="1"/>
  <c r="U36" i="1"/>
  <c r="AO35" i="1"/>
  <c r="AP35" i="1" s="1"/>
  <c r="AQ35" i="1" s="1"/>
  <c r="AR35" i="1" s="1"/>
  <c r="AI35" i="1"/>
  <c r="AJ35" i="1" s="1"/>
  <c r="AK35" i="1" s="1"/>
  <c r="AB35" i="1"/>
  <c r="AC35" i="1" s="1"/>
  <c r="AD35" i="1" s="1"/>
  <c r="U35" i="1"/>
  <c r="AO34" i="1"/>
  <c r="AP34" i="1" s="1"/>
  <c r="AQ34" i="1" s="1"/>
  <c r="AR34" i="1" s="1"/>
  <c r="AI34" i="1"/>
  <c r="AJ34" i="1" s="1"/>
  <c r="AK34" i="1" s="1"/>
  <c r="AB34" i="1"/>
  <c r="AC34" i="1" s="1"/>
  <c r="AD34" i="1" s="1"/>
  <c r="U34" i="1"/>
  <c r="AO33" i="1"/>
  <c r="AP33" i="1" s="1"/>
  <c r="AQ33" i="1" s="1"/>
  <c r="AR33" i="1" s="1"/>
  <c r="AI33" i="1"/>
  <c r="AJ33" i="1" s="1"/>
  <c r="AK33" i="1" s="1"/>
  <c r="AB33" i="1"/>
  <c r="AC33" i="1" s="1"/>
  <c r="AD33" i="1" s="1"/>
  <c r="U33" i="1"/>
  <c r="AO32" i="1"/>
  <c r="AP32" i="1" s="1"/>
  <c r="AQ32" i="1" s="1"/>
  <c r="AR32" i="1" s="1"/>
  <c r="AI32" i="1"/>
  <c r="AJ32" i="1" s="1"/>
  <c r="AK32" i="1" s="1"/>
  <c r="AB32" i="1"/>
  <c r="AC32" i="1" s="1"/>
  <c r="AD32" i="1" s="1"/>
  <c r="U32" i="1"/>
  <c r="AO31" i="1"/>
  <c r="AP31" i="1" s="1"/>
  <c r="AQ31" i="1" s="1"/>
  <c r="AR31" i="1" s="1"/>
  <c r="AI31" i="1"/>
  <c r="AJ31" i="1" s="1"/>
  <c r="AK31" i="1" s="1"/>
  <c r="AB31" i="1"/>
  <c r="AC31" i="1" s="1"/>
  <c r="AD31" i="1" s="1"/>
  <c r="U31" i="1"/>
  <c r="AO30" i="1"/>
  <c r="AP30" i="1" s="1"/>
  <c r="AQ30" i="1" s="1"/>
  <c r="AR30" i="1" s="1"/>
  <c r="AI30" i="1"/>
  <c r="AJ30" i="1" s="1"/>
  <c r="AK30" i="1" s="1"/>
  <c r="AB30" i="1"/>
  <c r="AC30" i="1" s="1"/>
  <c r="AD30" i="1" s="1"/>
  <c r="U30" i="1"/>
  <c r="AR50" i="1"/>
  <c r="AR51" i="1"/>
  <c r="AR62" i="1"/>
  <c r="AR63" i="1"/>
  <c r="AR87" i="1"/>
  <c r="AR99" i="1"/>
  <c r="AR113" i="1"/>
  <c r="AR114" i="1"/>
  <c r="AR115" i="1"/>
  <c r="AR116" i="1"/>
  <c r="AR117" i="1"/>
  <c r="AR118" i="1"/>
  <c r="AR119" i="1"/>
  <c r="AR131" i="1"/>
  <c r="AR139" i="1"/>
  <c r="AR145" i="1"/>
  <c r="AR157" i="1"/>
  <c r="AK50" i="1"/>
  <c r="AK51" i="1"/>
  <c r="AK62" i="1"/>
  <c r="AK63" i="1"/>
  <c r="AK75" i="1"/>
  <c r="AK87" i="1"/>
  <c r="AK99" i="1"/>
  <c r="AK112" i="1"/>
  <c r="AK113" i="1"/>
  <c r="AK114" i="1"/>
  <c r="AK115" i="1"/>
  <c r="AK116" i="1"/>
  <c r="AK117" i="1"/>
  <c r="AK118" i="1"/>
  <c r="AK119" i="1"/>
  <c r="AK131" i="1"/>
  <c r="AK139" i="1"/>
  <c r="AK145" i="1"/>
  <c r="AB50" i="1"/>
  <c r="AC50" i="1" s="1"/>
  <c r="AD50" i="1" s="1"/>
  <c r="AE50" i="1" s="1"/>
  <c r="AO49" i="1"/>
  <c r="AP49" i="1" s="1"/>
  <c r="AQ49" i="1" s="1"/>
  <c r="AR49" i="1" s="1"/>
  <c r="AI49" i="1"/>
  <c r="AJ49" i="1" s="1"/>
  <c r="AK49" i="1" s="1"/>
  <c r="AB49" i="1"/>
  <c r="AC49" i="1" s="1"/>
  <c r="AD49" i="1" s="1"/>
  <c r="U49" i="1"/>
  <c r="AO48" i="1"/>
  <c r="AP48" i="1" s="1"/>
  <c r="AQ48" i="1" s="1"/>
  <c r="AR48" i="1" s="1"/>
  <c r="AI48" i="1"/>
  <c r="AJ48" i="1" s="1"/>
  <c r="AK48" i="1" s="1"/>
  <c r="AB48" i="1"/>
  <c r="AC48" i="1" s="1"/>
  <c r="AD48" i="1" s="1"/>
  <c r="U48" i="1"/>
  <c r="AO47" i="1"/>
  <c r="AP47" i="1" s="1"/>
  <c r="AQ47" i="1" s="1"/>
  <c r="AR47" i="1" s="1"/>
  <c r="AI47" i="1"/>
  <c r="AJ47" i="1" s="1"/>
  <c r="AK47" i="1" s="1"/>
  <c r="AB47" i="1"/>
  <c r="AC47" i="1" s="1"/>
  <c r="AD47" i="1" s="1"/>
  <c r="U47" i="1"/>
  <c r="AO46" i="1"/>
  <c r="AP46" i="1" s="1"/>
  <c r="AQ46" i="1" s="1"/>
  <c r="AR46" i="1" s="1"/>
  <c r="AI46" i="1"/>
  <c r="AJ46" i="1" s="1"/>
  <c r="AK46" i="1" s="1"/>
  <c r="AB46" i="1"/>
  <c r="AC46" i="1" s="1"/>
  <c r="AD46" i="1" s="1"/>
  <c r="U46" i="1"/>
  <c r="AO45" i="1"/>
  <c r="AP45" i="1" s="1"/>
  <c r="AQ45" i="1" s="1"/>
  <c r="AR45" i="1" s="1"/>
  <c r="AI45" i="1"/>
  <c r="AJ45" i="1" s="1"/>
  <c r="AK45" i="1" s="1"/>
  <c r="AB45" i="1"/>
  <c r="AC45" i="1" s="1"/>
  <c r="AD45" i="1" s="1"/>
  <c r="U45" i="1"/>
  <c r="AO44" i="1"/>
  <c r="AP44" i="1" s="1"/>
  <c r="AQ44" i="1" s="1"/>
  <c r="AR44" i="1" s="1"/>
  <c r="AI44" i="1"/>
  <c r="AJ44" i="1" s="1"/>
  <c r="AK44" i="1" s="1"/>
  <c r="AB44" i="1"/>
  <c r="AC44" i="1" s="1"/>
  <c r="AD44" i="1" s="1"/>
  <c r="U44" i="1"/>
  <c r="AO43" i="1"/>
  <c r="AP43" i="1" s="1"/>
  <c r="AQ43" i="1" s="1"/>
  <c r="AR43" i="1" s="1"/>
  <c r="AI43" i="1"/>
  <c r="AJ43" i="1" s="1"/>
  <c r="AK43" i="1" s="1"/>
  <c r="AB43" i="1"/>
  <c r="AC43" i="1" s="1"/>
  <c r="AD43" i="1" s="1"/>
  <c r="U43" i="1"/>
  <c r="AO42" i="1"/>
  <c r="AP42" i="1" s="1"/>
  <c r="AQ42" i="1" s="1"/>
  <c r="AR42" i="1" s="1"/>
  <c r="AI42" i="1"/>
  <c r="AJ42" i="1" s="1"/>
  <c r="AK42" i="1" s="1"/>
  <c r="AB42" i="1"/>
  <c r="AC42" i="1" s="1"/>
  <c r="AD42" i="1" s="1"/>
  <c r="U42" i="1"/>
  <c r="AO53" i="1"/>
  <c r="AP53" i="1" s="1"/>
  <c r="AQ53" i="1" s="1"/>
  <c r="AR53" i="1" s="1"/>
  <c r="AO54" i="1"/>
  <c r="AP54" i="1" s="1"/>
  <c r="AQ54" i="1" s="1"/>
  <c r="AR54" i="1" s="1"/>
  <c r="AO55" i="1"/>
  <c r="AP55" i="1" s="1"/>
  <c r="AQ55" i="1" s="1"/>
  <c r="AR55" i="1" s="1"/>
  <c r="AO56" i="1"/>
  <c r="AP56" i="1" s="1"/>
  <c r="AQ56" i="1" s="1"/>
  <c r="AR56" i="1" s="1"/>
  <c r="AO57" i="1"/>
  <c r="AP57" i="1" s="1"/>
  <c r="AQ57" i="1" s="1"/>
  <c r="AR57" i="1" s="1"/>
  <c r="AO58" i="1"/>
  <c r="AP58" i="1" s="1"/>
  <c r="AQ58" i="1" s="1"/>
  <c r="AR58" i="1" s="1"/>
  <c r="AO59" i="1"/>
  <c r="AP59" i="1" s="1"/>
  <c r="AQ59" i="1" s="1"/>
  <c r="AR59" i="1" s="1"/>
  <c r="AO60" i="1"/>
  <c r="AP60" i="1" s="1"/>
  <c r="AQ60" i="1" s="1"/>
  <c r="AR60" i="1" s="1"/>
  <c r="AO61" i="1"/>
  <c r="AP61" i="1" s="1"/>
  <c r="AQ61" i="1" s="1"/>
  <c r="AR61" i="1" s="1"/>
  <c r="U52" i="1"/>
  <c r="AO52" i="1"/>
  <c r="AP52" i="1" s="1"/>
  <c r="AQ52" i="1" s="1"/>
  <c r="AR52" i="1" s="1"/>
  <c r="AI53" i="1"/>
  <c r="AJ53" i="1" s="1"/>
  <c r="AK53" i="1" s="1"/>
  <c r="AI54" i="1"/>
  <c r="AJ54" i="1" s="1"/>
  <c r="AK54" i="1" s="1"/>
  <c r="AI55" i="1"/>
  <c r="AJ55" i="1" s="1"/>
  <c r="AK55" i="1" s="1"/>
  <c r="AI56" i="1"/>
  <c r="AJ56" i="1" s="1"/>
  <c r="AK56" i="1" s="1"/>
  <c r="AI57" i="1"/>
  <c r="AJ57" i="1" s="1"/>
  <c r="AK57" i="1" s="1"/>
  <c r="AI58" i="1"/>
  <c r="AJ58" i="1" s="1"/>
  <c r="AK58" i="1" s="1"/>
  <c r="AI59" i="1"/>
  <c r="AJ59" i="1" s="1"/>
  <c r="AK59" i="1" s="1"/>
  <c r="AI60" i="1"/>
  <c r="AJ60" i="1" s="1"/>
  <c r="AK60" i="1" s="1"/>
  <c r="AI61" i="1"/>
  <c r="AJ61" i="1" s="1"/>
  <c r="AK61" i="1" s="1"/>
  <c r="AI52" i="1"/>
  <c r="AJ52" i="1" s="1"/>
  <c r="AK52" i="1" s="1"/>
  <c r="AB62" i="1"/>
  <c r="AC62" i="1" s="1"/>
  <c r="AD62" i="1" s="1"/>
  <c r="AB61" i="1"/>
  <c r="AC61" i="1" s="1"/>
  <c r="AD61" i="1" s="1"/>
  <c r="U61" i="1"/>
  <c r="AB60" i="1"/>
  <c r="AC60" i="1" s="1"/>
  <c r="AD60" i="1" s="1"/>
  <c r="U60" i="1"/>
  <c r="U62" i="1"/>
  <c r="AB59" i="1"/>
  <c r="AC59" i="1" s="1"/>
  <c r="AD59" i="1" s="1"/>
  <c r="U59" i="1"/>
  <c r="AB58" i="1"/>
  <c r="AC58" i="1" s="1"/>
  <c r="AD58" i="1" s="1"/>
  <c r="AE58" i="1" s="1"/>
  <c r="U58" i="1"/>
  <c r="AB57" i="1"/>
  <c r="AC57" i="1" s="1"/>
  <c r="AD57" i="1" s="1"/>
  <c r="U57" i="1"/>
  <c r="AB56" i="1"/>
  <c r="AC56" i="1" s="1"/>
  <c r="AD56" i="1" s="1"/>
  <c r="U56" i="1"/>
  <c r="AB55" i="1"/>
  <c r="AC55" i="1" s="1"/>
  <c r="AD55" i="1" s="1"/>
  <c r="U55" i="1"/>
  <c r="AB54" i="1"/>
  <c r="AC54" i="1" s="1"/>
  <c r="AD54" i="1" s="1"/>
  <c r="U54" i="1"/>
  <c r="AB53" i="1"/>
  <c r="AC53" i="1" s="1"/>
  <c r="AD53" i="1" s="1"/>
  <c r="U53" i="1"/>
  <c r="AB52" i="1"/>
  <c r="AC52" i="1" s="1"/>
  <c r="AD52" i="1" s="1"/>
  <c r="AO155" i="1"/>
  <c r="AP155" i="1" s="1"/>
  <c r="AQ155" i="1" s="1"/>
  <c r="AR155" i="1" s="1"/>
  <c r="AO156" i="1"/>
  <c r="AP156" i="1" s="1"/>
  <c r="AQ156" i="1" s="1"/>
  <c r="AR156" i="1" s="1"/>
  <c r="AI155" i="1"/>
  <c r="AJ155" i="1" s="1"/>
  <c r="AK155" i="1" s="1"/>
  <c r="AI156" i="1"/>
  <c r="AJ156" i="1" s="1"/>
  <c r="AK156" i="1" s="1"/>
  <c r="AB156" i="1"/>
  <c r="AC156" i="1" s="1"/>
  <c r="AD156" i="1" s="1"/>
  <c r="AB155" i="1"/>
  <c r="AC155" i="1" s="1"/>
  <c r="AD155" i="1" s="1"/>
  <c r="AO153" i="1"/>
  <c r="AP153" i="1" s="1"/>
  <c r="AQ153" i="1" s="1"/>
  <c r="AR153" i="1" s="1"/>
  <c r="AO154" i="1"/>
  <c r="AP154" i="1" s="1"/>
  <c r="AQ154" i="1" s="1"/>
  <c r="AR154" i="1" s="1"/>
  <c r="AI153" i="1"/>
  <c r="AJ153" i="1" s="1"/>
  <c r="AK153" i="1" s="1"/>
  <c r="AI154" i="1"/>
  <c r="AJ154" i="1" s="1"/>
  <c r="AK154" i="1" s="1"/>
  <c r="AB153" i="1"/>
  <c r="AC153" i="1" s="1"/>
  <c r="AD153" i="1" s="1"/>
  <c r="AB154" i="1"/>
  <c r="AC154" i="1" s="1"/>
  <c r="AD154" i="1" s="1"/>
  <c r="AO147" i="1"/>
  <c r="AP147" i="1" s="1"/>
  <c r="AQ147" i="1" s="1"/>
  <c r="AR147" i="1" s="1"/>
  <c r="AO148" i="1"/>
  <c r="AP148" i="1" s="1"/>
  <c r="AQ148" i="1" s="1"/>
  <c r="AR148" i="1" s="1"/>
  <c r="AO149" i="1"/>
  <c r="AP149" i="1" s="1"/>
  <c r="AQ149" i="1" s="1"/>
  <c r="AR149" i="1" s="1"/>
  <c r="AO150" i="1"/>
  <c r="AP150" i="1" s="1"/>
  <c r="AQ150" i="1" s="1"/>
  <c r="AR150" i="1" s="1"/>
  <c r="AO151" i="1"/>
  <c r="AP151" i="1" s="1"/>
  <c r="AQ151" i="1" s="1"/>
  <c r="AR151" i="1" s="1"/>
  <c r="AO152" i="1"/>
  <c r="AP152" i="1" s="1"/>
  <c r="AQ152" i="1" s="1"/>
  <c r="AR152" i="1" s="1"/>
  <c r="AO146" i="1"/>
  <c r="AP146" i="1" s="1"/>
  <c r="AQ146" i="1" s="1"/>
  <c r="AR146" i="1" s="1"/>
  <c r="AO144" i="1"/>
  <c r="AP144" i="1" s="1"/>
  <c r="AQ144" i="1" s="1"/>
  <c r="AR144" i="1" s="1"/>
  <c r="AI151" i="1"/>
  <c r="AJ151" i="1" s="1"/>
  <c r="AK151" i="1" s="1"/>
  <c r="AI152" i="1"/>
  <c r="AJ152" i="1" s="1"/>
  <c r="AK152" i="1" s="1"/>
  <c r="AB152" i="1"/>
  <c r="AC152" i="1" s="1"/>
  <c r="AD152" i="1" s="1"/>
  <c r="AB151" i="1"/>
  <c r="AC151" i="1" s="1"/>
  <c r="AD151" i="1" s="1"/>
  <c r="AI147" i="1"/>
  <c r="AJ147" i="1" s="1"/>
  <c r="AK147" i="1" s="1"/>
  <c r="AI148" i="1"/>
  <c r="AJ148" i="1" s="1"/>
  <c r="AK148" i="1" s="1"/>
  <c r="AI149" i="1"/>
  <c r="AJ149" i="1" s="1"/>
  <c r="AK149" i="1" s="1"/>
  <c r="AI150" i="1"/>
  <c r="AJ150" i="1" s="1"/>
  <c r="AK150" i="1" s="1"/>
  <c r="AI146" i="1"/>
  <c r="AJ146" i="1" s="1"/>
  <c r="AK146" i="1" s="1"/>
  <c r="AB147" i="1"/>
  <c r="AC147" i="1" s="1"/>
  <c r="AD147" i="1" s="1"/>
  <c r="AB148" i="1"/>
  <c r="AC148" i="1" s="1"/>
  <c r="AD148" i="1" s="1"/>
  <c r="AB149" i="1"/>
  <c r="AC149" i="1" s="1"/>
  <c r="AD149" i="1" s="1"/>
  <c r="AB150" i="1"/>
  <c r="AC150" i="1" s="1"/>
  <c r="AD150" i="1" s="1"/>
  <c r="AE150" i="1" s="1"/>
  <c r="AB146" i="1"/>
  <c r="AC146" i="1" s="1"/>
  <c r="AD146" i="1" s="1"/>
  <c r="AO141" i="1"/>
  <c r="AP141" i="1" s="1"/>
  <c r="AQ141" i="1" s="1"/>
  <c r="AR141" i="1" s="1"/>
  <c r="AO142" i="1"/>
  <c r="AP142" i="1" s="1"/>
  <c r="AQ142" i="1" s="1"/>
  <c r="AR142" i="1" s="1"/>
  <c r="AO143" i="1"/>
  <c r="AP143" i="1" s="1"/>
  <c r="AQ143" i="1" s="1"/>
  <c r="AR143" i="1" s="1"/>
  <c r="AO140" i="1"/>
  <c r="AP140" i="1" s="1"/>
  <c r="AQ140" i="1" s="1"/>
  <c r="AR140" i="1" s="1"/>
  <c r="AI141" i="1"/>
  <c r="AJ141" i="1" s="1"/>
  <c r="AK141" i="1" s="1"/>
  <c r="AI142" i="1"/>
  <c r="AJ142" i="1" s="1"/>
  <c r="AK142" i="1" s="1"/>
  <c r="AI143" i="1"/>
  <c r="AJ143" i="1" s="1"/>
  <c r="AK143" i="1" s="1"/>
  <c r="AI144" i="1"/>
  <c r="AJ144" i="1" s="1"/>
  <c r="AK144" i="1" s="1"/>
  <c r="AI140" i="1"/>
  <c r="AJ140" i="1" s="1"/>
  <c r="AK140" i="1" s="1"/>
  <c r="AB141" i="1"/>
  <c r="AC141" i="1" s="1"/>
  <c r="AD141" i="1" s="1"/>
  <c r="AB142" i="1"/>
  <c r="AC142" i="1" s="1"/>
  <c r="AD142" i="1" s="1"/>
  <c r="AB143" i="1"/>
  <c r="AC143" i="1" s="1"/>
  <c r="AD143" i="1" s="1"/>
  <c r="AB144" i="1"/>
  <c r="AC144" i="1" s="1"/>
  <c r="AD144" i="1" s="1"/>
  <c r="AE144" i="1" s="1"/>
  <c r="AB140" i="1"/>
  <c r="AC140" i="1" s="1"/>
  <c r="AD140" i="1" s="1"/>
  <c r="AO133" i="1"/>
  <c r="AP133" i="1" s="1"/>
  <c r="AQ133" i="1" s="1"/>
  <c r="AR133" i="1" s="1"/>
  <c r="AO134" i="1"/>
  <c r="AP134" i="1" s="1"/>
  <c r="AQ134" i="1" s="1"/>
  <c r="AR134" i="1" s="1"/>
  <c r="AO135" i="1"/>
  <c r="AP135" i="1" s="1"/>
  <c r="AQ135" i="1" s="1"/>
  <c r="AR135" i="1" s="1"/>
  <c r="AO136" i="1"/>
  <c r="AP136" i="1" s="1"/>
  <c r="AQ136" i="1" s="1"/>
  <c r="AR136" i="1" s="1"/>
  <c r="AO137" i="1"/>
  <c r="AP137" i="1" s="1"/>
  <c r="AQ137" i="1" s="1"/>
  <c r="AR137" i="1" s="1"/>
  <c r="AO138" i="1"/>
  <c r="AP138" i="1" s="1"/>
  <c r="AQ138" i="1" s="1"/>
  <c r="AR138" i="1" s="1"/>
  <c r="AO132" i="1"/>
  <c r="AP132" i="1" s="1"/>
  <c r="AQ132" i="1" s="1"/>
  <c r="AR132" i="1" s="1"/>
  <c r="AB133" i="1"/>
  <c r="AC133" i="1" s="1"/>
  <c r="AD133" i="1" s="1"/>
  <c r="AB134" i="1"/>
  <c r="AC134" i="1" s="1"/>
  <c r="AD134" i="1" s="1"/>
  <c r="AB135" i="1"/>
  <c r="AC135" i="1" s="1"/>
  <c r="AD135" i="1" s="1"/>
  <c r="AB136" i="1"/>
  <c r="AC136" i="1" s="1"/>
  <c r="AD136" i="1" s="1"/>
  <c r="AB137" i="1"/>
  <c r="AC137" i="1" s="1"/>
  <c r="AD137" i="1" s="1"/>
  <c r="AB138" i="1"/>
  <c r="AC138" i="1" s="1"/>
  <c r="AD138" i="1" s="1"/>
  <c r="AE138" i="1" s="1"/>
  <c r="AB132" i="1"/>
  <c r="AC132" i="1" s="1"/>
  <c r="AD132" i="1" s="1"/>
  <c r="AI133" i="1"/>
  <c r="AJ133" i="1" s="1"/>
  <c r="AK133" i="1" s="1"/>
  <c r="AI134" i="1"/>
  <c r="AJ134" i="1" s="1"/>
  <c r="AK134" i="1" s="1"/>
  <c r="AI135" i="1"/>
  <c r="AJ135" i="1" s="1"/>
  <c r="AK135" i="1" s="1"/>
  <c r="AI136" i="1"/>
  <c r="AJ136" i="1" s="1"/>
  <c r="AK136" i="1" s="1"/>
  <c r="AI137" i="1"/>
  <c r="AJ137" i="1" s="1"/>
  <c r="AK137" i="1" s="1"/>
  <c r="AI138" i="1"/>
  <c r="AJ138" i="1" s="1"/>
  <c r="AK138" i="1" s="1"/>
  <c r="AI132" i="1"/>
  <c r="AJ132" i="1" s="1"/>
  <c r="AK132" i="1" s="1"/>
  <c r="AJ124" i="1"/>
  <c r="AK124" i="1" s="1"/>
  <c r="AO83" i="1"/>
  <c r="AP83" i="1" s="1"/>
  <c r="AQ83" i="1" s="1"/>
  <c r="AR83" i="1" s="1"/>
  <c r="AO84" i="1"/>
  <c r="AP84" i="1" s="1"/>
  <c r="AQ84" i="1" s="1"/>
  <c r="AR84" i="1" s="1"/>
  <c r="AO85" i="1"/>
  <c r="AP85" i="1" s="1"/>
  <c r="AQ85" i="1" s="1"/>
  <c r="AR85" i="1" s="1"/>
  <c r="AO86" i="1"/>
  <c r="AP86" i="1" s="1"/>
  <c r="AQ86" i="1" s="1"/>
  <c r="AR86" i="1" s="1"/>
  <c r="AO64" i="1"/>
  <c r="AP64" i="1" s="1"/>
  <c r="AQ64" i="1" s="1"/>
  <c r="AR64" i="1" s="1"/>
  <c r="U19" i="1"/>
  <c r="U20" i="1"/>
  <c r="U21" i="1"/>
  <c r="U22" i="1"/>
  <c r="U23" i="1"/>
  <c r="U24" i="1"/>
  <c r="U25" i="1"/>
  <c r="U26" i="1"/>
  <c r="U27" i="1"/>
  <c r="U29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20" i="1"/>
  <c r="U121" i="1"/>
  <c r="U122" i="1"/>
  <c r="U123" i="1"/>
  <c r="U124" i="1"/>
  <c r="U125" i="1"/>
  <c r="U126" i="1"/>
  <c r="U127" i="1"/>
  <c r="U128" i="1"/>
  <c r="U129" i="1"/>
  <c r="AO72" i="1"/>
  <c r="AP72" i="1" s="1"/>
  <c r="AQ72" i="1" s="1"/>
  <c r="AR72" i="1" s="1"/>
  <c r="AO73" i="1"/>
  <c r="AP73" i="1" s="1"/>
  <c r="AQ73" i="1" s="1"/>
  <c r="AR73" i="1" s="1"/>
  <c r="AO74" i="1"/>
  <c r="AP74" i="1" s="1"/>
  <c r="AQ74" i="1" s="1"/>
  <c r="AR74" i="1" s="1"/>
  <c r="AO67" i="1"/>
  <c r="AP67" i="1" s="1"/>
  <c r="AQ67" i="1" s="1"/>
  <c r="AR67" i="1" s="1"/>
  <c r="AO68" i="1"/>
  <c r="AP68" i="1" s="1"/>
  <c r="AQ68" i="1" s="1"/>
  <c r="AR68" i="1" s="1"/>
  <c r="AI65" i="1"/>
  <c r="AJ65" i="1" s="1"/>
  <c r="AK65" i="1" s="1"/>
  <c r="AI66" i="1"/>
  <c r="AJ66" i="1" s="1"/>
  <c r="AK66" i="1" s="1"/>
  <c r="AI67" i="1"/>
  <c r="AJ67" i="1" s="1"/>
  <c r="AK67" i="1" s="1"/>
  <c r="AI68" i="1"/>
  <c r="AJ68" i="1" s="1"/>
  <c r="AK68" i="1" s="1"/>
  <c r="AI69" i="1"/>
  <c r="AJ69" i="1" s="1"/>
  <c r="AK69" i="1" s="1"/>
  <c r="AI70" i="1"/>
  <c r="AJ70" i="1" s="1"/>
  <c r="AK70" i="1" s="1"/>
  <c r="AI71" i="1"/>
  <c r="AJ71" i="1" s="1"/>
  <c r="AK71" i="1" s="1"/>
  <c r="AI72" i="1"/>
  <c r="AJ72" i="1" s="1"/>
  <c r="AK72" i="1" s="1"/>
  <c r="AI73" i="1"/>
  <c r="AJ73" i="1" s="1"/>
  <c r="AK73" i="1" s="1"/>
  <c r="AI74" i="1"/>
  <c r="AJ74" i="1" s="1"/>
  <c r="AK74" i="1" s="1"/>
  <c r="AI64" i="1"/>
  <c r="AJ64" i="1" s="1"/>
  <c r="AK64" i="1" s="1"/>
  <c r="AB74" i="1"/>
  <c r="AC74" i="1" s="1"/>
  <c r="AD74" i="1" s="1"/>
  <c r="AE74" i="1" s="1"/>
  <c r="AB64" i="1"/>
  <c r="AC64" i="1" s="1"/>
  <c r="AD64" i="1" s="1"/>
  <c r="AB130" i="1"/>
  <c r="AC130" i="1" s="1"/>
  <c r="AD130" i="1" s="1"/>
  <c r="AE130" i="1" s="1"/>
  <c r="AB129" i="1"/>
  <c r="AC129" i="1" s="1"/>
  <c r="AD129" i="1" s="1"/>
  <c r="AB128" i="1"/>
  <c r="AC128" i="1" s="1"/>
  <c r="AD128" i="1" s="1"/>
  <c r="AB127" i="1"/>
  <c r="AC127" i="1" s="1"/>
  <c r="AD127" i="1" s="1"/>
  <c r="AB126" i="1"/>
  <c r="AC126" i="1" s="1"/>
  <c r="AD126" i="1" s="1"/>
  <c r="AB125" i="1"/>
  <c r="AC125" i="1" s="1"/>
  <c r="AD125" i="1" s="1"/>
  <c r="AB124" i="1"/>
  <c r="AC124" i="1" s="1"/>
  <c r="AD124" i="1" s="1"/>
  <c r="AB123" i="1"/>
  <c r="AC123" i="1" s="1"/>
  <c r="AD123" i="1" s="1"/>
  <c r="AB122" i="1"/>
  <c r="AC122" i="1" s="1"/>
  <c r="AD122" i="1" s="1"/>
  <c r="AB121" i="1"/>
  <c r="AC121" i="1" s="1"/>
  <c r="AD121" i="1" s="1"/>
  <c r="AB120" i="1"/>
  <c r="AC120" i="1" s="1"/>
  <c r="AD120" i="1" s="1"/>
  <c r="AI130" i="1"/>
  <c r="AJ130" i="1" s="1"/>
  <c r="AK130" i="1" s="1"/>
  <c r="AI129" i="1"/>
  <c r="AJ129" i="1" s="1"/>
  <c r="AK129" i="1" s="1"/>
  <c r="AI128" i="1"/>
  <c r="AJ128" i="1" s="1"/>
  <c r="AK128" i="1" s="1"/>
  <c r="AI127" i="1"/>
  <c r="AJ127" i="1" s="1"/>
  <c r="AK127" i="1" s="1"/>
  <c r="AI126" i="1"/>
  <c r="AJ126" i="1" s="1"/>
  <c r="AK126" i="1" s="1"/>
  <c r="AI125" i="1"/>
  <c r="AJ125" i="1" s="1"/>
  <c r="AK125" i="1" s="1"/>
  <c r="AI123" i="1"/>
  <c r="AJ123" i="1" s="1"/>
  <c r="AK123" i="1" s="1"/>
  <c r="AI122" i="1"/>
  <c r="AJ122" i="1" s="1"/>
  <c r="AK122" i="1" s="1"/>
  <c r="AI121" i="1"/>
  <c r="AJ121" i="1" s="1"/>
  <c r="AK121" i="1" s="1"/>
  <c r="AI120" i="1"/>
  <c r="AJ120" i="1" s="1"/>
  <c r="AK120" i="1" s="1"/>
  <c r="AO130" i="1"/>
  <c r="AP130" i="1" s="1"/>
  <c r="AQ130" i="1" s="1"/>
  <c r="AR130" i="1" s="1"/>
  <c r="AO129" i="1"/>
  <c r="AP129" i="1" s="1"/>
  <c r="AQ129" i="1" s="1"/>
  <c r="AR129" i="1" s="1"/>
  <c r="AO128" i="1"/>
  <c r="AP128" i="1" s="1"/>
  <c r="AQ128" i="1" s="1"/>
  <c r="AR128" i="1" s="1"/>
  <c r="AO127" i="1"/>
  <c r="AP127" i="1" s="1"/>
  <c r="AQ127" i="1" s="1"/>
  <c r="AR127" i="1" s="1"/>
  <c r="AO126" i="1"/>
  <c r="AP126" i="1" s="1"/>
  <c r="AQ126" i="1" s="1"/>
  <c r="AR126" i="1" s="1"/>
  <c r="AO125" i="1"/>
  <c r="AP125" i="1" s="1"/>
  <c r="AQ125" i="1" s="1"/>
  <c r="AR125" i="1" s="1"/>
  <c r="AO124" i="1"/>
  <c r="AP124" i="1" s="1"/>
  <c r="AQ124" i="1" s="1"/>
  <c r="AR124" i="1" s="1"/>
  <c r="AO123" i="1"/>
  <c r="AP123" i="1" s="1"/>
  <c r="AQ123" i="1" s="1"/>
  <c r="AR123" i="1" s="1"/>
  <c r="AO122" i="1"/>
  <c r="AP122" i="1" s="1"/>
  <c r="AQ122" i="1" s="1"/>
  <c r="AR122" i="1" s="1"/>
  <c r="AO121" i="1"/>
  <c r="AP121" i="1" s="1"/>
  <c r="AQ121" i="1" s="1"/>
  <c r="AR121" i="1" s="1"/>
  <c r="AO120" i="1"/>
  <c r="AP120" i="1" s="1"/>
  <c r="AQ120" i="1" s="1"/>
  <c r="AR120" i="1" s="1"/>
  <c r="AO70" i="1"/>
  <c r="AP70" i="1" s="1"/>
  <c r="AQ70" i="1" s="1"/>
  <c r="AR70" i="1" s="1"/>
  <c r="AO112" i="1"/>
  <c r="AP112" i="1" s="1"/>
  <c r="AQ112" i="1" s="1"/>
  <c r="AR112" i="1" s="1"/>
  <c r="AO111" i="1"/>
  <c r="AP111" i="1" s="1"/>
  <c r="AQ111" i="1" s="1"/>
  <c r="AR111" i="1" s="1"/>
  <c r="AO110" i="1"/>
  <c r="AP110" i="1" s="1"/>
  <c r="AQ110" i="1" s="1"/>
  <c r="AR110" i="1" s="1"/>
  <c r="AO109" i="1"/>
  <c r="AP109" i="1" s="1"/>
  <c r="AQ109" i="1" s="1"/>
  <c r="AR109" i="1" s="1"/>
  <c r="AO108" i="1"/>
  <c r="AP108" i="1" s="1"/>
  <c r="AQ108" i="1" s="1"/>
  <c r="AR108" i="1" s="1"/>
  <c r="AO107" i="1"/>
  <c r="AP107" i="1" s="1"/>
  <c r="AQ107" i="1" s="1"/>
  <c r="AR107" i="1" s="1"/>
  <c r="AO106" i="1"/>
  <c r="AP106" i="1" s="1"/>
  <c r="AQ106" i="1" s="1"/>
  <c r="AR106" i="1" s="1"/>
  <c r="AO105" i="1"/>
  <c r="AP105" i="1" s="1"/>
  <c r="AQ105" i="1" s="1"/>
  <c r="AR105" i="1" s="1"/>
  <c r="AO104" i="1"/>
  <c r="AP104" i="1" s="1"/>
  <c r="AQ104" i="1" s="1"/>
  <c r="AR104" i="1" s="1"/>
  <c r="AO103" i="1"/>
  <c r="AP103" i="1" s="1"/>
  <c r="AQ103" i="1" s="1"/>
  <c r="AR103" i="1" s="1"/>
  <c r="AO102" i="1"/>
  <c r="AP102" i="1" s="1"/>
  <c r="AQ102" i="1" s="1"/>
  <c r="AR102" i="1" s="1"/>
  <c r="AO101" i="1"/>
  <c r="AP101" i="1" s="1"/>
  <c r="AQ101" i="1" s="1"/>
  <c r="AR101" i="1" s="1"/>
  <c r="AO100" i="1"/>
  <c r="AP100" i="1" s="1"/>
  <c r="AQ100" i="1" s="1"/>
  <c r="AR100" i="1" s="1"/>
  <c r="AI111" i="1"/>
  <c r="AJ111" i="1" s="1"/>
  <c r="AK111" i="1" s="1"/>
  <c r="AI110" i="1"/>
  <c r="AJ110" i="1" s="1"/>
  <c r="AK110" i="1" s="1"/>
  <c r="AI109" i="1"/>
  <c r="AJ109" i="1" s="1"/>
  <c r="AK109" i="1" s="1"/>
  <c r="AI108" i="1"/>
  <c r="AJ108" i="1" s="1"/>
  <c r="AK108" i="1" s="1"/>
  <c r="AI107" i="1"/>
  <c r="AJ107" i="1" s="1"/>
  <c r="AK107" i="1" s="1"/>
  <c r="AI106" i="1"/>
  <c r="AJ106" i="1" s="1"/>
  <c r="AK106" i="1" s="1"/>
  <c r="AI105" i="1"/>
  <c r="AJ105" i="1" s="1"/>
  <c r="AK105" i="1" s="1"/>
  <c r="AI104" i="1"/>
  <c r="AJ104" i="1" s="1"/>
  <c r="AK104" i="1" s="1"/>
  <c r="AI103" i="1"/>
  <c r="AJ103" i="1" s="1"/>
  <c r="AK103" i="1" s="1"/>
  <c r="AI102" i="1"/>
  <c r="AJ102" i="1" s="1"/>
  <c r="AK102" i="1" s="1"/>
  <c r="AI101" i="1"/>
  <c r="AJ101" i="1" s="1"/>
  <c r="AK101" i="1" s="1"/>
  <c r="AI100" i="1"/>
  <c r="AJ100" i="1" s="1"/>
  <c r="AK100" i="1" s="1"/>
  <c r="AB112" i="1"/>
  <c r="AC112" i="1" s="1"/>
  <c r="AD112" i="1" s="1"/>
  <c r="AE112" i="1" s="1"/>
  <c r="AB111" i="1"/>
  <c r="AC111" i="1" s="1"/>
  <c r="AD111" i="1" s="1"/>
  <c r="AB110" i="1"/>
  <c r="AC110" i="1" s="1"/>
  <c r="AD110" i="1" s="1"/>
  <c r="AB109" i="1"/>
  <c r="AC109" i="1" s="1"/>
  <c r="AD109" i="1" s="1"/>
  <c r="AB108" i="1"/>
  <c r="AC108" i="1" s="1"/>
  <c r="AD108" i="1" s="1"/>
  <c r="AB107" i="1"/>
  <c r="AC107" i="1" s="1"/>
  <c r="AD107" i="1" s="1"/>
  <c r="AB106" i="1"/>
  <c r="AC106" i="1" s="1"/>
  <c r="AD106" i="1" s="1"/>
  <c r="AB105" i="1"/>
  <c r="AC105" i="1" s="1"/>
  <c r="AD105" i="1" s="1"/>
  <c r="AB104" i="1"/>
  <c r="AC104" i="1" s="1"/>
  <c r="AD104" i="1" s="1"/>
  <c r="AE104" i="1" s="1"/>
  <c r="AB103" i="1"/>
  <c r="AC103" i="1" s="1"/>
  <c r="AD103" i="1" s="1"/>
  <c r="AB102" i="1"/>
  <c r="AC102" i="1" s="1"/>
  <c r="AD102" i="1" s="1"/>
  <c r="AB101" i="1"/>
  <c r="AC101" i="1" s="1"/>
  <c r="AD101" i="1" s="1"/>
  <c r="AB100" i="1"/>
  <c r="AC100" i="1" s="1"/>
  <c r="AD100" i="1" s="1"/>
  <c r="AO98" i="1"/>
  <c r="AP98" i="1" s="1"/>
  <c r="AQ98" i="1" s="1"/>
  <c r="AR98" i="1" s="1"/>
  <c r="AO97" i="1"/>
  <c r="AP97" i="1" s="1"/>
  <c r="AQ97" i="1" s="1"/>
  <c r="AR97" i="1" s="1"/>
  <c r="AO96" i="1"/>
  <c r="AP96" i="1" s="1"/>
  <c r="AQ96" i="1" s="1"/>
  <c r="AR96" i="1" s="1"/>
  <c r="AO95" i="1"/>
  <c r="AP95" i="1" s="1"/>
  <c r="AQ95" i="1" s="1"/>
  <c r="AR95" i="1" s="1"/>
  <c r="AO94" i="1"/>
  <c r="AP94" i="1" s="1"/>
  <c r="AQ94" i="1" s="1"/>
  <c r="AR94" i="1" s="1"/>
  <c r="AO93" i="1"/>
  <c r="AP93" i="1" s="1"/>
  <c r="AQ93" i="1" s="1"/>
  <c r="AR93" i="1" s="1"/>
  <c r="AO92" i="1"/>
  <c r="AP92" i="1" s="1"/>
  <c r="AQ92" i="1" s="1"/>
  <c r="AR92" i="1" s="1"/>
  <c r="AO91" i="1"/>
  <c r="AP91" i="1" s="1"/>
  <c r="AQ91" i="1" s="1"/>
  <c r="AR91" i="1" s="1"/>
  <c r="AO90" i="1"/>
  <c r="AP90" i="1" s="1"/>
  <c r="AQ90" i="1" s="1"/>
  <c r="AR90" i="1" s="1"/>
  <c r="AO89" i="1"/>
  <c r="AP89" i="1" s="1"/>
  <c r="AQ89" i="1" s="1"/>
  <c r="AR89" i="1" s="1"/>
  <c r="AO88" i="1"/>
  <c r="AP88" i="1" s="1"/>
  <c r="AQ88" i="1" s="1"/>
  <c r="AR88" i="1" s="1"/>
  <c r="AI98" i="1"/>
  <c r="AJ98" i="1" s="1"/>
  <c r="AK98" i="1" s="1"/>
  <c r="AI97" i="1"/>
  <c r="AJ97" i="1" s="1"/>
  <c r="AK97" i="1" s="1"/>
  <c r="AI96" i="1"/>
  <c r="AJ96" i="1" s="1"/>
  <c r="AK96" i="1" s="1"/>
  <c r="AI95" i="1"/>
  <c r="AJ95" i="1" s="1"/>
  <c r="AK95" i="1" s="1"/>
  <c r="AI94" i="1"/>
  <c r="AJ94" i="1" s="1"/>
  <c r="AK94" i="1" s="1"/>
  <c r="AI93" i="1"/>
  <c r="AJ93" i="1" s="1"/>
  <c r="AK93" i="1" s="1"/>
  <c r="AI92" i="1"/>
  <c r="AJ92" i="1" s="1"/>
  <c r="AK92" i="1" s="1"/>
  <c r="AI91" i="1"/>
  <c r="AJ91" i="1" s="1"/>
  <c r="AK91" i="1" s="1"/>
  <c r="AI90" i="1"/>
  <c r="AJ90" i="1" s="1"/>
  <c r="AK90" i="1" s="1"/>
  <c r="AI89" i="1"/>
  <c r="AJ89" i="1" s="1"/>
  <c r="AK89" i="1" s="1"/>
  <c r="AI88" i="1"/>
  <c r="AJ88" i="1" s="1"/>
  <c r="AK88" i="1" s="1"/>
  <c r="AB98" i="1"/>
  <c r="AC98" i="1" s="1"/>
  <c r="AD98" i="1" s="1"/>
  <c r="AE98" i="1" s="1"/>
  <c r="AB97" i="1"/>
  <c r="AC97" i="1" s="1"/>
  <c r="AD97" i="1" s="1"/>
  <c r="AB96" i="1"/>
  <c r="AC96" i="1" s="1"/>
  <c r="AD96" i="1" s="1"/>
  <c r="AB95" i="1"/>
  <c r="AC95" i="1" s="1"/>
  <c r="AD95" i="1" s="1"/>
  <c r="AB94" i="1"/>
  <c r="AC94" i="1" s="1"/>
  <c r="AD94" i="1" s="1"/>
  <c r="AB93" i="1"/>
  <c r="AC93" i="1" s="1"/>
  <c r="AD93" i="1" s="1"/>
  <c r="AB92" i="1"/>
  <c r="AC92" i="1" s="1"/>
  <c r="AD92" i="1" s="1"/>
  <c r="AB91" i="1"/>
  <c r="AC91" i="1" s="1"/>
  <c r="AD91" i="1" s="1"/>
  <c r="AB90" i="1"/>
  <c r="AC90" i="1" s="1"/>
  <c r="AD90" i="1" s="1"/>
  <c r="AB89" i="1"/>
  <c r="AC89" i="1" s="1"/>
  <c r="AD89" i="1" s="1"/>
  <c r="AB88" i="1"/>
  <c r="AC88" i="1" s="1"/>
  <c r="AD88" i="1" s="1"/>
  <c r="AO71" i="1"/>
  <c r="AP71" i="1" s="1"/>
  <c r="AQ71" i="1" s="1"/>
  <c r="AR71" i="1" s="1"/>
  <c r="AO69" i="1"/>
  <c r="AP69" i="1" s="1"/>
  <c r="AQ69" i="1" s="1"/>
  <c r="AR69" i="1" s="1"/>
  <c r="AO66" i="1"/>
  <c r="AP66" i="1" s="1"/>
  <c r="AQ66" i="1" s="1"/>
  <c r="AR66" i="1" s="1"/>
  <c r="AP65" i="1"/>
  <c r="AQ65" i="1" s="1"/>
  <c r="AR65" i="1" s="1"/>
  <c r="AB73" i="1"/>
  <c r="AC73" i="1" s="1"/>
  <c r="AD73" i="1" s="1"/>
  <c r="AB72" i="1"/>
  <c r="AC72" i="1" s="1"/>
  <c r="AD72" i="1" s="1"/>
  <c r="AB71" i="1"/>
  <c r="AC71" i="1" s="1"/>
  <c r="AD71" i="1" s="1"/>
  <c r="AB70" i="1"/>
  <c r="AC70" i="1" s="1"/>
  <c r="AD70" i="1" s="1"/>
  <c r="AB69" i="1"/>
  <c r="AC69" i="1" s="1"/>
  <c r="AD69" i="1" s="1"/>
  <c r="AB68" i="1"/>
  <c r="AC68" i="1" s="1"/>
  <c r="AD68" i="1" s="1"/>
  <c r="AB67" i="1"/>
  <c r="AC67" i="1" s="1"/>
  <c r="AD67" i="1" s="1"/>
  <c r="AB66" i="1"/>
  <c r="AC66" i="1" s="1"/>
  <c r="AD66" i="1" s="1"/>
  <c r="AB65" i="1"/>
  <c r="AC65" i="1" s="1"/>
  <c r="AD65" i="1" s="1"/>
  <c r="AI76" i="1"/>
  <c r="AJ76" i="1" s="1"/>
  <c r="AK76" i="1" s="1"/>
  <c r="AB6" i="1"/>
  <c r="AA6" i="1"/>
  <c r="Z6" i="1"/>
  <c r="Y6" i="1"/>
  <c r="X6" i="1"/>
  <c r="K12" i="1"/>
  <c r="J12" i="1"/>
  <c r="I12" i="1"/>
  <c r="H12" i="1"/>
  <c r="G12" i="1"/>
  <c r="H13" i="1"/>
  <c r="I13" i="1"/>
  <c r="J13" i="1"/>
  <c r="K13" i="1"/>
  <c r="L13" i="1"/>
  <c r="M13" i="1"/>
  <c r="N13" i="1"/>
  <c r="O13" i="1"/>
  <c r="K9" i="1"/>
  <c r="J9" i="1"/>
  <c r="I9" i="1"/>
  <c r="H9" i="1"/>
  <c r="G9" i="1"/>
  <c r="AO82" i="1"/>
  <c r="AP82" i="1" s="1"/>
  <c r="AQ82" i="1" s="1"/>
  <c r="AR82" i="1" s="1"/>
  <c r="AO77" i="1"/>
  <c r="AP77" i="1" s="1"/>
  <c r="AQ77" i="1" s="1"/>
  <c r="AR77" i="1" s="1"/>
  <c r="AO78" i="1"/>
  <c r="AP78" i="1" s="1"/>
  <c r="AQ78" i="1" s="1"/>
  <c r="AR78" i="1" s="1"/>
  <c r="AO79" i="1"/>
  <c r="AP79" i="1" s="1"/>
  <c r="AQ79" i="1" s="1"/>
  <c r="AR79" i="1" s="1"/>
  <c r="AO80" i="1"/>
  <c r="AP80" i="1" s="1"/>
  <c r="AQ80" i="1" s="1"/>
  <c r="AR80" i="1" s="1"/>
  <c r="AO81" i="1"/>
  <c r="AP81" i="1" s="1"/>
  <c r="AQ81" i="1" s="1"/>
  <c r="AR81" i="1" s="1"/>
  <c r="AO76" i="1"/>
  <c r="AP76" i="1" s="1"/>
  <c r="AQ76" i="1" s="1"/>
  <c r="AR76" i="1" s="1"/>
  <c r="G6" i="1"/>
  <c r="AI77" i="1"/>
  <c r="AJ77" i="1" s="1"/>
  <c r="AK77" i="1" s="1"/>
  <c r="AI78" i="1"/>
  <c r="AJ78" i="1" s="1"/>
  <c r="AK78" i="1" s="1"/>
  <c r="AI79" i="1"/>
  <c r="AJ79" i="1" s="1"/>
  <c r="AK79" i="1" s="1"/>
  <c r="AI80" i="1"/>
  <c r="AJ80" i="1" s="1"/>
  <c r="AK80" i="1" s="1"/>
  <c r="AI81" i="1"/>
  <c r="AJ81" i="1" s="1"/>
  <c r="AK81" i="1" s="1"/>
  <c r="AI82" i="1"/>
  <c r="AJ82" i="1" s="1"/>
  <c r="AK82" i="1" s="1"/>
  <c r="AI83" i="1"/>
  <c r="AJ83" i="1" s="1"/>
  <c r="AK83" i="1" s="1"/>
  <c r="AI84" i="1"/>
  <c r="AJ84" i="1" s="1"/>
  <c r="AK84" i="1" s="1"/>
  <c r="AI85" i="1"/>
  <c r="AJ85" i="1" s="1"/>
  <c r="AK85" i="1" s="1"/>
  <c r="AI86" i="1"/>
  <c r="AJ86" i="1" s="1"/>
  <c r="AK86" i="1" s="1"/>
  <c r="M6" i="1"/>
  <c r="L6" i="1"/>
  <c r="K6" i="1"/>
  <c r="J6" i="1"/>
  <c r="I6" i="1"/>
  <c r="H6" i="1"/>
  <c r="AB77" i="1"/>
  <c r="AC77" i="1" s="1"/>
  <c r="AD77" i="1" s="1"/>
  <c r="AB78" i="1"/>
  <c r="AC78" i="1" s="1"/>
  <c r="AD78" i="1" s="1"/>
  <c r="AB79" i="1"/>
  <c r="AC79" i="1" s="1"/>
  <c r="AD79" i="1" s="1"/>
  <c r="AB80" i="1"/>
  <c r="AC80" i="1" s="1"/>
  <c r="AD80" i="1" s="1"/>
  <c r="AB81" i="1"/>
  <c r="AC81" i="1" s="1"/>
  <c r="AD81" i="1" s="1"/>
  <c r="AB82" i="1"/>
  <c r="AC82" i="1" s="1"/>
  <c r="AD82" i="1" s="1"/>
  <c r="AB83" i="1"/>
  <c r="AC83" i="1" s="1"/>
  <c r="AD83" i="1" s="1"/>
  <c r="AB84" i="1"/>
  <c r="AC84" i="1" s="1"/>
  <c r="AD84" i="1" s="1"/>
  <c r="AB85" i="1"/>
  <c r="AC85" i="1" s="1"/>
  <c r="AD85" i="1" s="1"/>
  <c r="AB86" i="1"/>
  <c r="AC86" i="1" s="1"/>
  <c r="AD86" i="1" s="1"/>
  <c r="AE86" i="1" s="1"/>
  <c r="AB76" i="1"/>
  <c r="AC76" i="1" s="1"/>
  <c r="AD76" i="1" s="1"/>
  <c r="AB20" i="1"/>
  <c r="AC20" i="1" s="1"/>
  <c r="AD20" i="1" s="1"/>
  <c r="AB21" i="1"/>
  <c r="AC21" i="1" s="1"/>
  <c r="AD21" i="1" s="1"/>
  <c r="AB22" i="1"/>
  <c r="AC22" i="1" s="1"/>
  <c r="AD22" i="1" s="1"/>
  <c r="AB23" i="1"/>
  <c r="AC23" i="1" s="1"/>
  <c r="AD23" i="1" s="1"/>
  <c r="AB24" i="1"/>
  <c r="AC24" i="1" s="1"/>
  <c r="AD24" i="1" s="1"/>
  <c r="AB25" i="1"/>
  <c r="AC25" i="1" s="1"/>
  <c r="AD25" i="1" s="1"/>
  <c r="AB26" i="1"/>
  <c r="AC26" i="1" s="1"/>
  <c r="AD26" i="1" s="1"/>
  <c r="AB27" i="1"/>
  <c r="AC27" i="1" s="1"/>
  <c r="AD27" i="1" s="1"/>
  <c r="AB19" i="1"/>
  <c r="AC19" i="1" s="1"/>
  <c r="AD19" i="1" s="1"/>
  <c r="AE90" i="1" l="1"/>
  <c r="AS24" i="1"/>
  <c r="AT24" i="1" s="1"/>
  <c r="AS21" i="1"/>
  <c r="AT21" i="1" s="1"/>
  <c r="AT26" i="1"/>
  <c r="AS20" i="1"/>
  <c r="AT20" i="1" s="1"/>
  <c r="AS27" i="1"/>
  <c r="AT27" i="1" s="1"/>
  <c r="AS25" i="1"/>
  <c r="AT25" i="1" s="1"/>
  <c r="AS22" i="1"/>
  <c r="AT22" i="1" s="1"/>
  <c r="AS19" i="1"/>
  <c r="AT19" i="1" s="1"/>
  <c r="AS23" i="1"/>
  <c r="AT23" i="1" s="1"/>
  <c r="AE21" i="1"/>
  <c r="AE19" i="1"/>
  <c r="AE27" i="1"/>
  <c r="AE20" i="1"/>
  <c r="AE22" i="1"/>
  <c r="AE23" i="1"/>
  <c r="AE24" i="1"/>
  <c r="AE25" i="1"/>
  <c r="AE26" i="1"/>
  <c r="AE28" i="1"/>
  <c r="AE45" i="1"/>
  <c r="AE46" i="1"/>
  <c r="AE48" i="1"/>
  <c r="AE33" i="1"/>
  <c r="AE38" i="1"/>
  <c r="AE40" i="1"/>
  <c r="AE35" i="1"/>
  <c r="AE30" i="1"/>
  <c r="AE32" i="1"/>
  <c r="AE37" i="1"/>
  <c r="AE39" i="1"/>
  <c r="AE34" i="1"/>
  <c r="AE36" i="1"/>
  <c r="AS39" i="1"/>
  <c r="AT39" i="1" s="1"/>
  <c r="AE31" i="1"/>
  <c r="AS33" i="1"/>
  <c r="AT33" i="1" s="1"/>
  <c r="AS35" i="1"/>
  <c r="AT35" i="1" s="1"/>
  <c r="AS36" i="1"/>
  <c r="AT36" i="1" s="1"/>
  <c r="AS34" i="1"/>
  <c r="AT34" i="1" s="1"/>
  <c r="AS30" i="1"/>
  <c r="AT30" i="1" s="1"/>
  <c r="AS32" i="1"/>
  <c r="AT32" i="1" s="1"/>
  <c r="AS31" i="1"/>
  <c r="AT31" i="1" s="1"/>
  <c r="AS38" i="1"/>
  <c r="AT38" i="1" s="1"/>
  <c r="AS37" i="1"/>
  <c r="AT37" i="1" s="1"/>
  <c r="AE122" i="1"/>
  <c r="AE54" i="1"/>
  <c r="AE61" i="1"/>
  <c r="AE42" i="1"/>
  <c r="AE44" i="1"/>
  <c r="AE43" i="1"/>
  <c r="AE152" i="1"/>
  <c r="AE47" i="1"/>
  <c r="AE49" i="1"/>
  <c r="AE64" i="1"/>
  <c r="AE120" i="1"/>
  <c r="AE128" i="1"/>
  <c r="AS68" i="1"/>
  <c r="AT68" i="1" s="1"/>
  <c r="AS77" i="1"/>
  <c r="AT77" i="1" s="1"/>
  <c r="AS130" i="1"/>
  <c r="AS138" i="1"/>
  <c r="AS106" i="1"/>
  <c r="AT106" i="1" s="1"/>
  <c r="AS73" i="1"/>
  <c r="AT73" i="1" s="1"/>
  <c r="AS48" i="1"/>
  <c r="AT48" i="1" s="1"/>
  <c r="AS44" i="1"/>
  <c r="AT44" i="1" s="1"/>
  <c r="AS47" i="1"/>
  <c r="AT47" i="1" s="1"/>
  <c r="AS43" i="1"/>
  <c r="AT43" i="1" s="1"/>
  <c r="AS42" i="1"/>
  <c r="AT42" i="1" s="1"/>
  <c r="AS45" i="1"/>
  <c r="AT45" i="1" s="1"/>
  <c r="AS46" i="1"/>
  <c r="AT46" i="1" s="1"/>
  <c r="AS49" i="1"/>
  <c r="AT49" i="1" s="1"/>
  <c r="AS148" i="1"/>
  <c r="AE56" i="1"/>
  <c r="AE60" i="1"/>
  <c r="AS57" i="1"/>
  <c r="AT57" i="1" s="1"/>
  <c r="AS82" i="1"/>
  <c r="AT82" i="1" s="1"/>
  <c r="AS121" i="1"/>
  <c r="AE55" i="1"/>
  <c r="AE59" i="1"/>
  <c r="AE52" i="1"/>
  <c r="AS150" i="1"/>
  <c r="AE62" i="1"/>
  <c r="AS58" i="1"/>
  <c r="AT58" i="1" s="1"/>
  <c r="AE132" i="1"/>
  <c r="AS55" i="1"/>
  <c r="AT55" i="1" s="1"/>
  <c r="AE53" i="1"/>
  <c r="AS72" i="1"/>
  <c r="AT72" i="1" s="1"/>
  <c r="AS146" i="1"/>
  <c r="AE57" i="1"/>
  <c r="AS92" i="1"/>
  <c r="AT92" i="1" s="1"/>
  <c r="AS100" i="1"/>
  <c r="AT100" i="1" s="1"/>
  <c r="AS108" i="1"/>
  <c r="AT108" i="1" s="1"/>
  <c r="AS122" i="1"/>
  <c r="AT122" i="1" s="1"/>
  <c r="AE125" i="1"/>
  <c r="AS53" i="1"/>
  <c r="AT53" i="1" s="1"/>
  <c r="AS52" i="1"/>
  <c r="AT52" i="1" s="1"/>
  <c r="AS61" i="1"/>
  <c r="AT61" i="1" s="1"/>
  <c r="AS101" i="1"/>
  <c r="AT101" i="1" s="1"/>
  <c r="AS109" i="1"/>
  <c r="AT109" i="1" s="1"/>
  <c r="AE126" i="1"/>
  <c r="AS81" i="1"/>
  <c r="AT81" i="1" s="1"/>
  <c r="AS85" i="1"/>
  <c r="AT85" i="1" s="1"/>
  <c r="AS133" i="1"/>
  <c r="AS151" i="1"/>
  <c r="AS84" i="1"/>
  <c r="AT84" i="1" s="1"/>
  <c r="AE151" i="1"/>
  <c r="AS56" i="1"/>
  <c r="AT56" i="1" s="1"/>
  <c r="AS79" i="1"/>
  <c r="AT79" i="1" s="1"/>
  <c r="AS88" i="1"/>
  <c r="AT88" i="1" s="1"/>
  <c r="AS96" i="1"/>
  <c r="AT96" i="1" s="1"/>
  <c r="AE121" i="1"/>
  <c r="AE129" i="1"/>
  <c r="AS83" i="1"/>
  <c r="AT83" i="1" s="1"/>
  <c r="AS149" i="1"/>
  <c r="AS60" i="1"/>
  <c r="AT60" i="1" s="1"/>
  <c r="AS54" i="1"/>
  <c r="AT54" i="1" s="1"/>
  <c r="AS98" i="1"/>
  <c r="AT98" i="1" s="1"/>
  <c r="AE123" i="1"/>
  <c r="AS74" i="1"/>
  <c r="AT74" i="1" s="1"/>
  <c r="AS59" i="1"/>
  <c r="AT59" i="1" s="1"/>
  <c r="AS67" i="1"/>
  <c r="AT67" i="1" s="1"/>
  <c r="AS90" i="1"/>
  <c r="AT90" i="1" s="1"/>
  <c r="AE89" i="1"/>
  <c r="AE97" i="1"/>
  <c r="AS91" i="1"/>
  <c r="AT91" i="1" s="1"/>
  <c r="AE100" i="1"/>
  <c r="AE108" i="1"/>
  <c r="AS107" i="1"/>
  <c r="AT107" i="1" s="1"/>
  <c r="AE124" i="1"/>
  <c r="AS155" i="1"/>
  <c r="AS154" i="1"/>
  <c r="AS104" i="1"/>
  <c r="AT104" i="1" s="1"/>
  <c r="AS135" i="1"/>
  <c r="AS78" i="1"/>
  <c r="AT78" i="1" s="1"/>
  <c r="AS89" i="1"/>
  <c r="AT89" i="1" s="1"/>
  <c r="AS97" i="1"/>
  <c r="AT97" i="1" s="1"/>
  <c r="AS105" i="1"/>
  <c r="AT105" i="1" s="1"/>
  <c r="AS134" i="1"/>
  <c r="AE140" i="1"/>
  <c r="AS156" i="1"/>
  <c r="AS140" i="1"/>
  <c r="AS94" i="1"/>
  <c r="AT94" i="1" s="1"/>
  <c r="AS102" i="1"/>
  <c r="AT102" i="1" s="1"/>
  <c r="AS110" i="1"/>
  <c r="AT110" i="1" s="1"/>
  <c r="AS86" i="1"/>
  <c r="AT86" i="1" s="1"/>
  <c r="AS137" i="1"/>
  <c r="AS153" i="1"/>
  <c r="AE91" i="1"/>
  <c r="AS93" i="1"/>
  <c r="AT93" i="1" s="1"/>
  <c r="AS80" i="1"/>
  <c r="AT80" i="1" s="1"/>
  <c r="AS66" i="1"/>
  <c r="AT66" i="1" s="1"/>
  <c r="AE93" i="1"/>
  <c r="AS95" i="1"/>
  <c r="AT95" i="1" s="1"/>
  <c r="AS103" i="1"/>
  <c r="AT103" i="1" s="1"/>
  <c r="AS111" i="1"/>
  <c r="AT111" i="1" s="1"/>
  <c r="AS136" i="1"/>
  <c r="AS141" i="1"/>
  <c r="AE153" i="1"/>
  <c r="AE146" i="1"/>
  <c r="AS152" i="1"/>
  <c r="AE149" i="1"/>
  <c r="AE148" i="1"/>
  <c r="AE142" i="1"/>
  <c r="AS143" i="1"/>
  <c r="AE155" i="1"/>
  <c r="AE156" i="1"/>
  <c r="AS147" i="1"/>
  <c r="AE143" i="1"/>
  <c r="AE147" i="1"/>
  <c r="AE141" i="1"/>
  <c r="AS142" i="1"/>
  <c r="AS144" i="1"/>
  <c r="AE154" i="1"/>
  <c r="AE102" i="1"/>
  <c r="AE110" i="1"/>
  <c r="AE92" i="1"/>
  <c r="AE103" i="1"/>
  <c r="AE111" i="1"/>
  <c r="AE127" i="1"/>
  <c r="AS76" i="1"/>
  <c r="AT76" i="1" s="1"/>
  <c r="AS124" i="1"/>
  <c r="AT124" i="1" s="1"/>
  <c r="AS123" i="1"/>
  <c r="AT123" i="1" s="1"/>
  <c r="AE94" i="1"/>
  <c r="AE105" i="1"/>
  <c r="AE76" i="1"/>
  <c r="AE95" i="1"/>
  <c r="AE106" i="1"/>
  <c r="AS129" i="1"/>
  <c r="AT129" i="1" s="1"/>
  <c r="AT121" i="1"/>
  <c r="AE88" i="1"/>
  <c r="AE96" i="1"/>
  <c r="AE107" i="1"/>
  <c r="AS120" i="1"/>
  <c r="AT120" i="1" s="1"/>
  <c r="AS71" i="1"/>
  <c r="AT71" i="1" s="1"/>
  <c r="AS128" i="1"/>
  <c r="AT128" i="1" s="1"/>
  <c r="AS70" i="1"/>
  <c r="AT70" i="1" s="1"/>
  <c r="AS127" i="1"/>
  <c r="AT127" i="1" s="1"/>
  <c r="AS65" i="1"/>
  <c r="AT65" i="1" s="1"/>
  <c r="AE101" i="1"/>
  <c r="AE109" i="1"/>
  <c r="AS112" i="1"/>
  <c r="AT112" i="1" s="1"/>
  <c r="AS69" i="1"/>
  <c r="AT69" i="1" s="1"/>
  <c r="AS126" i="1"/>
  <c r="AT126" i="1" s="1"/>
  <c r="AS125" i="1"/>
  <c r="AT125" i="1" s="1"/>
  <c r="AE85" i="1"/>
  <c r="AE84" i="1"/>
  <c r="AE83" i="1"/>
  <c r="AE82" i="1"/>
  <c r="AE81" i="1"/>
  <c r="AE80" i="1"/>
  <c r="AE79" i="1"/>
  <c r="AE78" i="1"/>
  <c r="AE77" i="1"/>
  <c r="AS64" i="1"/>
  <c r="AT64" i="1" s="1"/>
  <c r="AE137" i="1"/>
  <c r="AE136" i="1"/>
  <c r="AE135" i="1"/>
  <c r="AE134" i="1"/>
  <c r="AE133" i="1"/>
  <c r="AS132" i="1"/>
  <c r="AE65" i="1"/>
  <c r="AE66" i="1"/>
  <c r="AE67" i="1"/>
  <c r="AE68" i="1"/>
  <c r="AE69" i="1"/>
  <c r="AE70" i="1"/>
  <c r="AE71" i="1"/>
  <c r="AE72" i="1"/>
  <c r="AE7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tc={7EBC2AB5-19AA-4021-BC18-B8355319B66D}</author>
    <author>tc={5900B887-FA18-4823-832E-B940EC37A829}</author>
    <author>tc={821AF568-5D37-465E-8115-CB3C74D428D1}</author>
    <author>tc={D6846407-A013-4429-B954-239E87FDBD3C}</author>
    <author>tc={16C3B1B4-3805-4E69-965D-0970A72E8812}</author>
    <author>tc={E9B93A0C-DB3B-4B86-AC2C-7EBC59BC5DDC}</author>
    <author>tc={8E7B6113-F78B-49F8-9E02-93CF9616B9FE}</author>
    <author>tc={1695338B-BAEA-487A-AAA6-648C8CDC65B8}</author>
    <author>tc={E05F4FB2-AE2C-4D7A-BC66-4863EBF89C72}</author>
    <author>tc={9E0EC5F3-3EE8-4345-9E63-AFFCD1E6C162}</author>
    <author>tc={B5BB6754-A247-4C39-8123-71ACC8ED0956}</author>
    <author>tc={6564652E-8245-4B67-8B6F-E95868B8BB42}</author>
  </authors>
  <commentList>
    <comment ref="Y64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duplicate Ct value too high</t>
      </text>
    </comment>
    <comment ref="AF65" authorId="1" shapeId="0" xr:uid="{00000000-0006-0000-00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duplicate had no Ct value</t>
      </text>
    </comment>
    <comment ref="AM67" authorId="2" shapeId="0" xr:uid="{00000000-0006-0000-00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Duplicate Ct lacking</t>
      </text>
    </comment>
    <comment ref="AM68" authorId="3" shapeId="0" xr:uid="{00000000-0006-0000-00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Duplicate Ct lacking</t>
      </text>
    </comment>
    <comment ref="AM72" authorId="4" shapeId="0" xr:uid="{00000000-0006-0000-00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duplicate no Ct value</t>
      </text>
    </comment>
    <comment ref="AL73" authorId="5" shapeId="0" xr:uid="{00000000-0006-0000-00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Duplicate No Ct value</t>
      </text>
    </comment>
    <comment ref="Z74" authorId="6" shapeId="0" xr:uid="{00000000-0006-0000-00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Duplicate Ct too high</t>
      </text>
    </comment>
    <comment ref="AG74" authorId="7" shapeId="0" xr:uid="{00000000-0006-0000-00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Duplicate Ct lacking</t>
      </text>
    </comment>
    <comment ref="L88" authorId="8" shapeId="0" xr:uid="{00000000-0006-0000-00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Qpcr done by Fernando</t>
      </text>
    </comment>
    <comment ref="L100" authorId="9" shapeId="0" xr:uid="{00000000-0006-0000-0000-00000A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RNA extraction done by Fernando</t>
      </text>
    </comment>
    <comment ref="C110" authorId="10" shapeId="0" xr:uid="{00000000-0006-0000-0000-00000B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100 ml of sample 1</t>
      </text>
    </comment>
    <comment ref="C111" authorId="11" shapeId="0" xr:uid="{00000000-0006-0000-0000-00000C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100 ml of sample 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atsit</author>
    <author>Dominic Frigon</author>
    <author>tc={B2430447-9EB0-43A1-8105-EFD006AAFCC1}</author>
    <author>tc={0975EA10-258C-4090-9E29-50DC4896C9DA}</author>
    <author>tc={82CC40FA-3840-4B26-91EF-C277AE6211DF}</author>
  </authors>
  <commentList>
    <comment ref="BK1" authorId="0" shapeId="0" xr:uid="{168387DC-BC76-46A5-8C48-DBF1AD1F46B2}">
      <text>
        <r>
          <rPr>
            <b/>
            <sz val="9"/>
            <color indexed="81"/>
            <rFont val="Tahoma"/>
            <family val="2"/>
          </rPr>
          <t>atsit:</t>
        </r>
        <r>
          <rPr>
            <sz val="9"/>
            <color indexed="81"/>
            <rFont val="Tahoma"/>
            <family val="2"/>
          </rPr>
          <t xml:space="preserve">
Record any departure from typical analyses and observations</t>
        </r>
      </text>
    </comment>
    <comment ref="AD2" authorId="1" shapeId="0" xr:uid="{00000000-0006-0000-0100-000001000000}">
      <text>
        <r>
          <rPr>
            <b/>
            <sz val="9"/>
            <color indexed="81"/>
            <rFont val="Tahoma"/>
            <family val="2"/>
          </rPr>
          <t>Dominic Frigon:</t>
        </r>
        <r>
          <rPr>
            <sz val="9"/>
            <color indexed="81"/>
            <rFont val="Tahoma"/>
            <family val="2"/>
          </rPr>
          <t xml:space="preserve">
Was there any problem with RNA extraction?
If not leave blank</t>
        </r>
      </text>
    </comment>
    <comment ref="AE2" authorId="0" shapeId="0" xr:uid="{CE0E0A53-6538-4179-8614-5745ACBC8D43}">
      <text>
        <r>
          <rPr>
            <b/>
            <sz val="9"/>
            <color indexed="81"/>
            <rFont val="Tahoma"/>
            <family val="2"/>
          </rPr>
          <t>atsit:</t>
        </r>
        <r>
          <rPr>
            <sz val="9"/>
            <color indexed="81"/>
            <rFont val="Tahoma"/>
            <family val="2"/>
          </rPr>
          <t xml:space="preserve">
List Qianken Kits_MOD</t>
        </r>
      </text>
    </comment>
    <comment ref="AF2" authorId="0" shapeId="0" xr:uid="{6CB8D751-20EC-4350-8A61-FB6D93A4851E}">
      <text>
        <r>
          <rPr>
            <b/>
            <sz val="9"/>
            <color indexed="81"/>
            <rFont val="Tahoma"/>
            <family val="2"/>
          </rPr>
          <t>atsit:</t>
        </r>
        <r>
          <rPr>
            <sz val="9"/>
            <color indexed="81"/>
            <rFont val="Tahoma"/>
            <family val="2"/>
          </rPr>
          <t xml:space="preserve">
Record any departure from typical analyses and observations
</t>
        </r>
      </text>
    </comment>
    <comment ref="B3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Dominic Frigon:</t>
        </r>
        <r>
          <rPr>
            <sz val="9"/>
            <color indexed="81"/>
            <rFont val="Tahoma"/>
            <family val="2"/>
          </rPr>
          <t xml:space="preserve">
Grab Sampling: Enter  date in </t>
        </r>
        <r>
          <rPr>
            <b/>
            <sz val="9"/>
            <color indexed="81"/>
            <rFont val="Tahoma"/>
            <family val="2"/>
          </rPr>
          <t xml:space="preserve">dateTimeEnd
</t>
        </r>
        <r>
          <rPr>
            <sz val="9"/>
            <color indexed="81"/>
            <rFont val="Tahoma"/>
            <family val="2"/>
          </rPr>
          <t xml:space="preserve">and leave </t>
        </r>
        <r>
          <rPr>
            <b/>
            <sz val="9"/>
            <color indexed="81"/>
            <rFont val="Tahoma"/>
            <family val="2"/>
          </rPr>
          <t>empty dateTimeStart</t>
        </r>
      </text>
    </comment>
    <comment ref="G3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Dominic Frigon:</t>
        </r>
        <r>
          <rPr>
            <sz val="9"/>
            <color indexed="81"/>
            <rFont val="Tahoma"/>
            <family val="2"/>
          </rPr>
          <t xml:space="preserve">
Amount of sample received.
</t>
        </r>
      </text>
    </comment>
    <comment ref="H3" authorId="1" shapeId="0" xr:uid="{00000000-0006-0000-0100-000004000000}">
      <text>
        <r>
          <rPr>
            <b/>
            <sz val="9"/>
            <color indexed="81"/>
            <rFont val="Tahoma"/>
            <family val="2"/>
          </rPr>
          <t>Dominic Frigon:</t>
        </r>
        <r>
          <rPr>
            <sz val="9"/>
            <color indexed="81"/>
            <rFont val="Tahoma"/>
            <family val="2"/>
          </rPr>
          <t xml:space="preserve">
If not available, leave blank
</t>
        </r>
      </text>
    </comment>
    <comment ref="J3" authorId="0" shapeId="0" xr:uid="{2F62011A-BA6C-493B-863F-5029D4BD7CF2}">
      <text>
        <r>
          <rPr>
            <b/>
            <sz val="9"/>
            <color rgb="FF000000"/>
            <rFont val="Tahoma"/>
            <family val="2"/>
          </rPr>
          <t>atsit: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If a pooled mark yes, if not leave blank.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pooled identiy parent/child in the label</t>
        </r>
      </text>
    </comment>
    <comment ref="K3" authorId="0" shapeId="0" xr:uid="{CDEFFF3F-EB8E-4982-9905-277AE50954F7}">
      <text>
        <r>
          <rPr>
            <b/>
            <sz val="9"/>
            <color indexed="81"/>
            <rFont val="Tahoma"/>
            <family val="2"/>
          </rPr>
          <t>atsit:</t>
        </r>
        <r>
          <rPr>
            <sz val="9"/>
            <color indexed="81"/>
            <rFont val="Tahoma"/>
            <family val="2"/>
          </rPr>
          <t xml:space="preserve">
Temperature samples were stored in the lab.</t>
        </r>
      </text>
    </comment>
    <comment ref="M3" authorId="0" shapeId="0" xr:uid="{6A32BEB7-6271-4CBB-AA41-17A4C587CF87}">
      <text>
        <r>
          <rPr>
            <b/>
            <sz val="9"/>
            <color rgb="FF000000"/>
            <rFont val="Tahoma"/>
            <family val="2"/>
          </rPr>
          <t>atsit: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Record any departure from typical analyses and observations</t>
        </r>
      </text>
    </comment>
    <comment ref="P3" authorId="0" shapeId="0" xr:uid="{23B90F23-438B-463F-8A91-1F189973658E}">
      <text>
        <r>
          <rPr>
            <b/>
            <sz val="9"/>
            <color indexed="81"/>
            <rFont val="Tahoma"/>
            <family val="2"/>
          </rPr>
          <t>atsit:</t>
        </r>
        <r>
          <rPr>
            <sz val="9"/>
            <color indexed="81"/>
            <rFont val="Tahoma"/>
            <family val="2"/>
          </rPr>
          <t xml:space="preserve">
Which fraction of the waste water sample was analyzed. (mixed, solids, liquid)</t>
        </r>
      </text>
    </comment>
    <comment ref="V3" authorId="2" shapeId="0" xr:uid="{B2430447-9EB0-43A1-8105-EFD006AAFCC1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Needs to be converted from megOHM</t>
      </text>
    </comment>
    <comment ref="X3" authorId="1" shapeId="0" xr:uid="{00000000-0006-0000-0100-000005000000}">
      <text>
        <r>
          <rPr>
            <b/>
            <sz val="9"/>
            <color indexed="81"/>
            <rFont val="Tahoma"/>
            <family val="2"/>
          </rPr>
          <t>Dominic Frigon:</t>
        </r>
        <r>
          <rPr>
            <sz val="9"/>
            <color indexed="81"/>
            <rFont val="Tahoma"/>
            <family val="2"/>
          </rPr>
          <t xml:space="preserve">
Was there any problem with concentration?
Leave blank if not problem.</t>
        </r>
      </text>
    </comment>
    <comment ref="Y3" authorId="1" shapeId="0" xr:uid="{00000000-0006-0000-0100-000006000000}">
      <text>
        <r>
          <rPr>
            <b/>
            <sz val="9"/>
            <color rgb="FF000000"/>
            <rFont val="Tahoma"/>
            <family val="2"/>
          </rPr>
          <t>Dominic Frigon: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Record any departure from typical analyses and observations.</t>
        </r>
      </text>
    </comment>
    <comment ref="Z3" authorId="0" shapeId="0" xr:uid="{0C81E374-6F91-4E78-A959-9B2BAD8CC39D}">
      <text>
        <r>
          <rPr>
            <b/>
            <sz val="9"/>
            <color rgb="FF000000"/>
            <rFont val="Tahoma"/>
            <family val="2"/>
          </rPr>
          <t>atsit: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Identify batches analyzed with the same spike</t>
        </r>
      </text>
    </comment>
    <comment ref="AQ3" authorId="0" shapeId="0" xr:uid="{7D40289B-C69D-45A2-99D8-EB1D6E1DA034}">
      <text>
        <r>
          <rPr>
            <b/>
            <sz val="9"/>
            <color indexed="81"/>
            <rFont val="Tahoma"/>
            <family val="2"/>
          </rPr>
          <t>atsit:</t>
        </r>
        <r>
          <rPr>
            <sz val="9"/>
            <color indexed="81"/>
            <rFont val="Tahoma"/>
            <family val="2"/>
          </rPr>
          <t xml:space="preserve">
Recovery calculated from the reference. </t>
        </r>
      </text>
    </comment>
    <comment ref="BI3" authorId="1" shapeId="0" xr:uid="{00000000-0006-0000-0100-000007000000}">
      <text>
        <r>
          <rPr>
            <b/>
            <sz val="9"/>
            <color indexed="81"/>
            <rFont val="Tahoma"/>
            <family val="2"/>
          </rPr>
          <t>Dominic Frigon:</t>
        </r>
        <r>
          <rPr>
            <sz val="9"/>
            <color indexed="81"/>
            <rFont val="Tahoma"/>
            <family val="2"/>
          </rPr>
          <t xml:space="preserve">
Was there any problem with the RT-qPCR?
</t>
        </r>
      </text>
    </comment>
    <comment ref="BJ3" authorId="0" shapeId="0" xr:uid="{6864A976-A9C5-4BEF-9C6E-A5CC124FAA4F}">
      <text>
        <r>
          <rPr>
            <b/>
            <sz val="9"/>
            <color indexed="81"/>
            <rFont val="Tahoma"/>
            <family val="2"/>
          </rPr>
          <t>atsit:</t>
        </r>
        <r>
          <rPr>
            <sz val="9"/>
            <color indexed="81"/>
            <rFont val="Tahoma"/>
            <family val="2"/>
          </rPr>
          <t xml:space="preserve">
To note targetting variants in the future</t>
        </r>
      </text>
    </comment>
    <comment ref="V175" authorId="3" shapeId="0" xr:uid="{0975EA10-258C-4090-9E29-50DC4896C9D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here on conductivity measured in microsim/cm</t>
      </text>
    </comment>
    <comment ref="V231" authorId="4" shapeId="0" xr:uid="{82CC40FA-3840-4B26-91EF-C277AE6211D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It wasn't possible to get a number for this sample
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Dominic Frigon</author>
  </authors>
  <commentList>
    <comment ref="AC2" authorId="0" shapeId="0" xr:uid="{821FFAF5-91A7-42BB-9FF5-96E39E2BBC86}">
      <text>
        <r>
          <rPr>
            <b/>
            <sz val="9"/>
            <color indexed="81"/>
            <rFont val="Tahoma"/>
            <family val="2"/>
          </rPr>
          <t>Dominic Frigon:</t>
        </r>
        <r>
          <rPr>
            <sz val="9"/>
            <color indexed="81"/>
            <rFont val="Tahoma"/>
            <family val="2"/>
          </rPr>
          <t xml:space="preserve">
Was there any problem with RNA extraction?
</t>
        </r>
      </text>
    </comment>
    <comment ref="B3" authorId="0" shapeId="0" xr:uid="{15E75B40-2720-41FE-9490-9E29CD6012EE}">
      <text>
        <r>
          <rPr>
            <b/>
            <sz val="9"/>
            <color indexed="81"/>
            <rFont val="Tahoma"/>
            <family val="2"/>
          </rPr>
          <t>Dominic Frigon:</t>
        </r>
        <r>
          <rPr>
            <sz val="9"/>
            <color indexed="81"/>
            <rFont val="Tahoma"/>
            <family val="2"/>
          </rPr>
          <t xml:space="preserve">
Grab Sampling: Enter  date in </t>
        </r>
        <r>
          <rPr>
            <b/>
            <sz val="9"/>
            <color indexed="81"/>
            <rFont val="Tahoma"/>
            <family val="2"/>
          </rPr>
          <t xml:space="preserve">dateTimeEnd
</t>
        </r>
        <r>
          <rPr>
            <sz val="9"/>
            <color indexed="81"/>
            <rFont val="Tahoma"/>
            <family val="2"/>
          </rPr>
          <t xml:space="preserve">and leave </t>
        </r>
        <r>
          <rPr>
            <b/>
            <sz val="9"/>
            <color indexed="81"/>
            <rFont val="Tahoma"/>
            <family val="2"/>
          </rPr>
          <t>empty dateTimeStart</t>
        </r>
      </text>
    </comment>
    <comment ref="G3" authorId="0" shapeId="0" xr:uid="{F917BF22-3D6C-482F-B880-A8CD3771334F}">
      <text>
        <r>
          <rPr>
            <b/>
            <sz val="9"/>
            <color indexed="81"/>
            <rFont val="Tahoma"/>
            <family val="2"/>
          </rPr>
          <t>Dominic Frigon:</t>
        </r>
        <r>
          <rPr>
            <sz val="9"/>
            <color indexed="81"/>
            <rFont val="Tahoma"/>
            <family val="2"/>
          </rPr>
          <t xml:space="preserve">
Amount of sample received.
</t>
        </r>
      </text>
    </comment>
    <comment ref="H3" authorId="0" shapeId="0" xr:uid="{E971D6E9-A3A7-4BED-9CCC-C6CCEED3FEF5}">
      <text>
        <r>
          <rPr>
            <b/>
            <sz val="9"/>
            <color indexed="81"/>
            <rFont val="Tahoma"/>
            <family val="2"/>
          </rPr>
          <t>Dominic Frigon:</t>
        </r>
        <r>
          <rPr>
            <sz val="9"/>
            <color indexed="81"/>
            <rFont val="Tahoma"/>
            <family val="2"/>
          </rPr>
          <t xml:space="preserve">
If not available, leave blank
</t>
        </r>
      </text>
    </comment>
    <comment ref="W3" authorId="0" shapeId="0" xr:uid="{C9863721-EE4E-4778-8042-7F577F57FEA1}">
      <text>
        <r>
          <rPr>
            <b/>
            <sz val="9"/>
            <color indexed="81"/>
            <rFont val="Tahoma"/>
            <family val="2"/>
          </rPr>
          <t>Dominic Frigon:</t>
        </r>
        <r>
          <rPr>
            <sz val="9"/>
            <color indexed="81"/>
            <rFont val="Tahoma"/>
            <family val="2"/>
          </rPr>
          <t xml:space="preserve">
Was there any problem with concentration?
Leave blank if not problem.</t>
        </r>
      </text>
    </comment>
    <comment ref="X3" authorId="0" shapeId="0" xr:uid="{97FB9EFC-DA2A-4D25-ADFD-62EFE150D155}">
      <text>
        <r>
          <rPr>
            <b/>
            <sz val="9"/>
            <color indexed="81"/>
            <rFont val="Tahoma"/>
            <family val="2"/>
          </rPr>
          <t>Dominic Frigon:</t>
        </r>
        <r>
          <rPr>
            <sz val="9"/>
            <color indexed="81"/>
            <rFont val="Tahoma"/>
            <family val="2"/>
          </rPr>
          <t xml:space="preserve">
Record any departure from typical analyses and observations.</t>
        </r>
      </text>
    </comment>
    <comment ref="BB3" authorId="0" shapeId="0" xr:uid="{D46D149D-4484-4652-B6A1-F8CE184E43BC}">
      <text>
        <r>
          <rPr>
            <b/>
            <sz val="9"/>
            <color indexed="81"/>
            <rFont val="Tahoma"/>
            <family val="2"/>
          </rPr>
          <t>Dominic Frigon:</t>
        </r>
        <r>
          <rPr>
            <sz val="9"/>
            <color indexed="81"/>
            <rFont val="Tahoma"/>
            <family val="2"/>
          </rPr>
          <t xml:space="preserve">
Was there any problem with the RT-qPCR?
</t>
        </r>
      </text>
    </comment>
  </commentList>
</comments>
</file>

<file path=xl/sharedStrings.xml><?xml version="1.0" encoding="utf-8"?>
<sst xmlns="http://schemas.openxmlformats.org/spreadsheetml/2006/main" count="4647" uniqueCount="497">
  <si>
    <t>PCR system: CFX96 Deep Well - Bio Rad</t>
  </si>
  <si>
    <t>PCR system: ABI 7500/7500 fast real - ABI</t>
  </si>
  <si>
    <t>Cocentration</t>
  </si>
  <si>
    <t>Slope</t>
  </si>
  <si>
    <t>Intercept</t>
  </si>
  <si>
    <t>STANDARD CURVES: Virus / template</t>
  </si>
  <si>
    <t>ng</t>
  </si>
  <si>
    <t>BRSV / 15 123 pb / Zoetis Vaccine</t>
  </si>
  <si>
    <t>Ct</t>
  </si>
  <si>
    <t>PMMV / Pool of RNA samples from WW</t>
  </si>
  <si>
    <t>gc</t>
  </si>
  <si>
    <t>SARS-CoV-2 / 29 903 pb / RNA whole viral genome</t>
  </si>
  <si>
    <t>SAMPLING</t>
  </si>
  <si>
    <t>CONCENTRATION</t>
  </si>
  <si>
    <t>MOLECULAR DETECTION</t>
  </si>
  <si>
    <t>OTHERS</t>
  </si>
  <si>
    <t>General</t>
  </si>
  <si>
    <t>Key parametres</t>
  </si>
  <si>
    <t>Date of RNA extraction (d/m/y)</t>
  </si>
  <si>
    <t>RNA kit used</t>
  </si>
  <si>
    <t>Date of PCR (d/m/y)</t>
  </si>
  <si>
    <t>External control (BRSV)</t>
  </si>
  <si>
    <t>PMMV</t>
  </si>
  <si>
    <t>SARS-CoV-2</t>
  </si>
  <si>
    <t>Comments</t>
  </si>
  <si>
    <t>City</t>
  </si>
  <si>
    <t>WWPT</t>
  </si>
  <si>
    <t>Date (d/m/y)</t>
  </si>
  <si>
    <t>Type sample</t>
  </si>
  <si>
    <t>Time / frequency</t>
  </si>
  <si>
    <t>Volume</t>
  </si>
  <si>
    <t>Stored temperature</t>
  </si>
  <si>
    <t>Date of sample reception (d/m/y)</t>
  </si>
  <si>
    <t>PI Laboratory</t>
  </si>
  <si>
    <t>Institution</t>
  </si>
  <si>
    <t>Manipulator</t>
  </si>
  <si>
    <t>Date of concentration (d/m/y)</t>
  </si>
  <si>
    <t>Concentrated Volume (ml)</t>
  </si>
  <si>
    <t>Sample details</t>
  </si>
  <si>
    <t>Concentration Method</t>
  </si>
  <si>
    <t>pH</t>
  </si>
  <si>
    <t>TSS (mg/l)</t>
  </si>
  <si>
    <t>Flow</t>
  </si>
  <si>
    <t>% recovery</t>
  </si>
  <si>
    <t>gc/rx</t>
  </si>
  <si>
    <t>gc/ml</t>
  </si>
  <si>
    <t>gc/normalized to PMMV</t>
  </si>
  <si>
    <t>gc/d normalized</t>
  </si>
  <si>
    <t>Initial</t>
  </si>
  <si>
    <t>Final</t>
  </si>
  <si>
    <t>m3/d</t>
  </si>
  <si>
    <t>ml/d</t>
  </si>
  <si>
    <t>Mean</t>
  </si>
  <si>
    <t>mean</t>
  </si>
  <si>
    <t>Quebec</t>
  </si>
  <si>
    <t>East</t>
  </si>
  <si>
    <t>19-08-2020</t>
  </si>
  <si>
    <t>Composite</t>
  </si>
  <si>
    <t>24 h / each 10 min</t>
  </si>
  <si>
    <t>500 ml</t>
  </si>
  <si>
    <t>ND</t>
  </si>
  <si>
    <t>Dominic Frigon</t>
  </si>
  <si>
    <t>McGill University</t>
  </si>
  <si>
    <t>Fernando</t>
  </si>
  <si>
    <t>Supernatant after settling</t>
  </si>
  <si>
    <t>Adsorption</t>
  </si>
  <si>
    <t>Allprep Powerviral RNA/DNA</t>
  </si>
  <si>
    <t>Data no plotted because different vol and subsample (setting after mixing)</t>
  </si>
  <si>
    <t>21-08-2020</t>
  </si>
  <si>
    <t>22-08-2020</t>
  </si>
  <si>
    <t>24-08-2020</t>
  </si>
  <si>
    <t>25-08-2020</t>
  </si>
  <si>
    <t>27-08-2020</t>
  </si>
  <si>
    <t>29-08-2020</t>
  </si>
  <si>
    <t>31-08-2020</t>
  </si>
  <si>
    <t>Reference</t>
  </si>
  <si>
    <t>7,45</t>
  </si>
  <si>
    <t>8,31</t>
  </si>
  <si>
    <t>8,48</t>
  </si>
  <si>
    <t>8,27</t>
  </si>
  <si>
    <t>8,88</t>
  </si>
  <si>
    <t>7,81</t>
  </si>
  <si>
    <t>West</t>
  </si>
  <si>
    <t>7,62</t>
  </si>
  <si>
    <t>No Cq</t>
  </si>
  <si>
    <t>7,92</t>
  </si>
  <si>
    <t>7,99</t>
  </si>
  <si>
    <t>NO BRSV</t>
  </si>
  <si>
    <t>17-09-2020</t>
  </si>
  <si>
    <t>Betty</t>
  </si>
  <si>
    <t>07-12-2020</t>
  </si>
  <si>
    <t>50 ml</t>
  </si>
  <si>
    <t>Completely mixed</t>
  </si>
  <si>
    <t>08/12/2020</t>
  </si>
  <si>
    <t>09/12/2020</t>
  </si>
  <si>
    <t>No Ct</t>
  </si>
  <si>
    <t>28-09-2020</t>
  </si>
  <si>
    <t>PMMV no recovery</t>
  </si>
  <si>
    <t>05-10-2020</t>
  </si>
  <si>
    <t>19-10-2020</t>
  </si>
  <si>
    <t xml:space="preserve">No Ct </t>
  </si>
  <si>
    <t>Forte pluie dosage de chimique au primaire pour 6,1 heures</t>
  </si>
  <si>
    <t>29-09-2020</t>
  </si>
  <si>
    <t>Training samples</t>
  </si>
  <si>
    <t>30-09-2020</t>
  </si>
  <si>
    <t>Spike reference</t>
  </si>
  <si>
    <t>15 ml</t>
  </si>
  <si>
    <t>200 µl</t>
  </si>
  <si>
    <t>NA</t>
  </si>
  <si>
    <t xml:space="preserve"> </t>
  </si>
  <si>
    <t>25-10-2020</t>
  </si>
  <si>
    <t>11-12-2020</t>
  </si>
  <si>
    <t>14-12-2020</t>
  </si>
  <si>
    <t>15/12/2020</t>
  </si>
  <si>
    <t>16/12/2020</t>
  </si>
  <si>
    <t>02-11-2020</t>
  </si>
  <si>
    <t>09-11-2020</t>
  </si>
  <si>
    <t>15-11-2020</t>
  </si>
  <si>
    <t>22-11-2020</t>
  </si>
  <si>
    <t>NO BRSV recovery</t>
  </si>
  <si>
    <t>16/12/2021</t>
  </si>
  <si>
    <t>12-11-2020</t>
  </si>
  <si>
    <t>18-12-2020</t>
  </si>
  <si>
    <t>Betty/Fernando</t>
  </si>
  <si>
    <t>21-12-2020</t>
  </si>
  <si>
    <t>50ml</t>
  </si>
  <si>
    <t>completely mixed</t>
  </si>
  <si>
    <t>22-12-2020</t>
  </si>
  <si>
    <t>18-11-2020</t>
  </si>
  <si>
    <t>25-11-2020</t>
  </si>
  <si>
    <t>29-11-2020</t>
  </si>
  <si>
    <t>03-12-2020</t>
  </si>
  <si>
    <t>fermeture dessableurs pour forcer le transfert de solides tournant en bouble dans le pré-traitement vers les décanteurs primaires.</t>
  </si>
  <si>
    <t>entretien d'un dessableur + Forte pluie dosage de chimique au primaire pour 8,9 heures</t>
  </si>
  <si>
    <t>15ml</t>
  </si>
  <si>
    <t>31-12-2020</t>
  </si>
  <si>
    <t xml:space="preserve">homogenized </t>
  </si>
  <si>
    <t>12-12-2020</t>
  </si>
  <si>
    <t>13-12-2020</t>
  </si>
  <si>
    <t>15-12-2020</t>
  </si>
  <si>
    <t xml:space="preserve">West </t>
  </si>
  <si>
    <t>100 ml</t>
  </si>
  <si>
    <t>Differente vol (100 ml)</t>
  </si>
  <si>
    <t>Montreal</t>
  </si>
  <si>
    <t>North</t>
  </si>
  <si>
    <t>Grab sample ?</t>
  </si>
  <si>
    <t>400 ml</t>
  </si>
  <si>
    <t>06-01-2021</t>
  </si>
  <si>
    <t>07-01-2021</t>
  </si>
  <si>
    <t>adsorption</t>
  </si>
  <si>
    <t>12-01-2021</t>
  </si>
  <si>
    <t>Sample from Mtl</t>
  </si>
  <si>
    <t xml:space="preserve">South </t>
  </si>
  <si>
    <t>04-01-2021</t>
  </si>
  <si>
    <t>spike reference</t>
  </si>
  <si>
    <t>dominic Frigon</t>
  </si>
  <si>
    <t>mcGill University</t>
  </si>
  <si>
    <t>betty/Fernando</t>
  </si>
  <si>
    <t>06-12-2020</t>
  </si>
  <si>
    <t>composite</t>
  </si>
  <si>
    <t>13-01-2021</t>
  </si>
  <si>
    <t>18-01-2021</t>
  </si>
  <si>
    <t>08-12-2020</t>
  </si>
  <si>
    <t>entretien d'un dessableur</t>
  </si>
  <si>
    <t>09-12-2020</t>
  </si>
  <si>
    <t>10-12-2020</t>
  </si>
  <si>
    <t>Forte pluie dosage de chimique au primaire pour 1,6 heures</t>
  </si>
  <si>
    <t>500ml</t>
  </si>
  <si>
    <t>15-01-2021</t>
  </si>
  <si>
    <t>19-01-2021</t>
  </si>
  <si>
    <t>20-01-2021</t>
  </si>
  <si>
    <t>16-01-2021</t>
  </si>
  <si>
    <t>17-01-2021</t>
  </si>
  <si>
    <t xml:space="preserve">Spike reference </t>
  </si>
  <si>
    <t>21-01-2021</t>
  </si>
  <si>
    <t>25-01-2021</t>
  </si>
  <si>
    <t>22-01-2021</t>
  </si>
  <si>
    <t>degradation</t>
  </si>
  <si>
    <t>450 ml</t>
  </si>
  <si>
    <t>Spike reference 1</t>
  </si>
  <si>
    <t>Spike reference 2</t>
  </si>
  <si>
    <t>25-01-2022</t>
  </si>
  <si>
    <t>RNA Extraction</t>
  </si>
  <si>
    <t>PCR</t>
  </si>
  <si>
    <t>PCR Notes</t>
  </si>
  <si>
    <t>Conclusion</t>
  </si>
  <si>
    <t>Access</t>
  </si>
  <si>
    <t>Date of RNA extraction (YYYY-MM-DD)</t>
  </si>
  <si>
    <r>
      <t>Final elution in the extraction (</t>
    </r>
    <r>
      <rPr>
        <sz val="10"/>
        <color theme="1"/>
        <rFont val="Calibri"/>
        <family val="2"/>
      </rPr>
      <t>µ</t>
    </r>
    <r>
      <rPr>
        <sz val="7"/>
        <color theme="1"/>
        <rFont val="Arial"/>
        <family val="2"/>
      </rPr>
      <t>l)</t>
    </r>
  </si>
  <si>
    <t>Extracter/Worker</t>
  </si>
  <si>
    <t>qualityFlag Extraction</t>
  </si>
  <si>
    <t>assayMethod Extraction</t>
  </si>
  <si>
    <t>Notes Extraction</t>
  </si>
  <si>
    <t>Date of PCR (YYYY-MM-DD)</t>
  </si>
  <si>
    <r>
      <t>Final volume in the PCR (</t>
    </r>
    <r>
      <rPr>
        <sz val="10"/>
        <color theme="1"/>
        <rFont val="Calibri"/>
        <family val="2"/>
      </rPr>
      <t>µ</t>
    </r>
    <r>
      <rPr>
        <sz val="7"/>
        <color theme="1"/>
        <rFont val="Arial"/>
        <family val="2"/>
      </rPr>
      <t>l)</t>
    </r>
  </si>
  <si>
    <t>PCR/Worker</t>
  </si>
  <si>
    <t>dateTimeStart (YYYY-MM-DD HH:MM - 24h)</t>
  </si>
  <si>
    <t>dateTimeEnd (YYYY-MM-DD HH:MM - 24h)</t>
  </si>
  <si>
    <t>Label_ID</t>
  </si>
  <si>
    <t>Collection Type</t>
  </si>
  <si>
    <t>Sampling point</t>
  </si>
  <si>
    <t>Sample Type</t>
  </si>
  <si>
    <t>Sample Size (L)</t>
  </si>
  <si>
    <t>Field Sample Temp</t>
  </si>
  <si>
    <t>Shipped On Ice</t>
  </si>
  <si>
    <t>Pooled</t>
  </si>
  <si>
    <t>Sampler/Worker</t>
  </si>
  <si>
    <t>Notes Sampling</t>
  </si>
  <si>
    <t>Concentration Date (YYYY-MM-DD)</t>
  </si>
  <si>
    <t>Fraction Analyzed</t>
  </si>
  <si>
    <t>Concnetration Method</t>
  </si>
  <si>
    <t>Concentrator/Worker</t>
  </si>
  <si>
    <t>Turbidity (NTU)</t>
  </si>
  <si>
    <t>Conductivity (μS/cm)</t>
  </si>
  <si>
    <t>qualityFlag Concentration</t>
  </si>
  <si>
    <t>Notes Concentration</t>
  </si>
  <si>
    <t>SpikeBatch_ID</t>
  </si>
  <si>
    <t>gc/rxn</t>
  </si>
  <si>
    <t>qualityFlag PCR</t>
  </si>
  <si>
    <t>assayMethodID</t>
  </si>
  <si>
    <t>accessToPublic</t>
  </si>
  <si>
    <t>accessToAllOrg</t>
  </si>
  <si>
    <t>accessToPHAC</t>
  </si>
  <si>
    <t>accessToLocalHA</t>
  </si>
  <si>
    <t>accessToProvHA</t>
  </si>
  <si>
    <t>AccessToOtherProv</t>
  </si>
  <si>
    <t>AcessToDetails</t>
  </si>
  <si>
    <t>Concentration</t>
  </si>
  <si>
    <t>Std Curve Slope</t>
  </si>
  <si>
    <t>Std Curve Intercept</t>
  </si>
  <si>
    <t>MTL_11_grb3_Raw</t>
  </si>
  <si>
    <t>grb3 </t>
  </si>
  <si>
    <t>11-VSTL-ind</t>
  </si>
  <si>
    <t>RAW </t>
  </si>
  <si>
    <t>City_MTL</t>
  </si>
  <si>
    <t>Mixed</t>
  </si>
  <si>
    <t>0.45um_alone</t>
  </si>
  <si>
    <t>Betty/Allie</t>
  </si>
  <si>
    <t>N/A</t>
  </si>
  <si>
    <t>SpB_1</t>
  </si>
  <si>
    <t>PossibleProblem</t>
  </si>
  <si>
    <t>10% Beta Methanol</t>
  </si>
  <si>
    <t>RN/A extraction issue (clean up steps were not done)</t>
  </si>
  <si>
    <t>MTL_11_cpTP24h_Raw</t>
  </si>
  <si>
    <t>cpTP24h </t>
  </si>
  <si>
    <t>MTL_05_grb3_Raw</t>
  </si>
  <si>
    <t>05-CoteDNeige</t>
  </si>
  <si>
    <t>MTL_05_cpTP24h_Raw</t>
  </si>
  <si>
    <t>MTL_16_grb3_Raw</t>
  </si>
  <si>
    <t>16-Bordeau</t>
  </si>
  <si>
    <t>MTL_16_cpTP24h_Raw</t>
  </si>
  <si>
    <t>MTL_12_grb3_Raw</t>
  </si>
  <si>
    <t>12-Anjou-ind</t>
  </si>
  <si>
    <t>MTL_12_cpTP24h_Raw</t>
  </si>
  <si>
    <t>REFERENCE</t>
  </si>
  <si>
    <t>NEGATIVE</t>
  </si>
  <si>
    <t>SpB_2</t>
  </si>
  <si>
    <t>PCR needs to be re-done</t>
  </si>
  <si>
    <t>No recovery of PMMV and BRSV</t>
  </si>
  <si>
    <t>2.3.5</t>
  </si>
  <si>
    <t>SpB_3</t>
  </si>
  <si>
    <t>Very high negative background sigN/Al for SARS-CoV-2 (Cts values must be ≥37)</t>
  </si>
  <si>
    <t>Betty/Amanda/Felipe</t>
  </si>
  <si>
    <t>SpB_4</t>
  </si>
  <si>
    <t xml:space="preserve">72h composite </t>
  </si>
  <si>
    <t>72h composite</t>
  </si>
  <si>
    <t>SpB_5</t>
  </si>
  <si>
    <t>SpB_6</t>
  </si>
  <si>
    <t>SpB_7</t>
  </si>
  <si>
    <t>SpB_8</t>
  </si>
  <si>
    <t>SpB_9</t>
  </si>
  <si>
    <t>SpB_10</t>
  </si>
  <si>
    <t>SpB_11</t>
  </si>
  <si>
    <t>Felipe</t>
  </si>
  <si>
    <t>SpB_12</t>
  </si>
  <si>
    <t>22h composite</t>
  </si>
  <si>
    <t>23.5h composite</t>
  </si>
  <si>
    <t>21h composite</t>
  </si>
  <si>
    <t>SpB_13</t>
  </si>
  <si>
    <t>MTL_11_cpTP72h_Raw</t>
  </si>
  <si>
    <t>cpTP72h </t>
  </si>
  <si>
    <t>SpB_14</t>
  </si>
  <si>
    <t>MTL_05_cpTP72h_Raw</t>
  </si>
  <si>
    <t>MTL_16_cpTP72h_Raw</t>
  </si>
  <si>
    <t>Solids</t>
  </si>
  <si>
    <t>Centrifuge_alone</t>
  </si>
  <si>
    <t>SpB_15</t>
  </si>
  <si>
    <t>SpB_16</t>
  </si>
  <si>
    <t>MTL_11_cpTP48h_Raw</t>
  </si>
  <si>
    <t>cpTP48h </t>
  </si>
  <si>
    <t>MTL_05_cpTP48h_Raw</t>
  </si>
  <si>
    <t>MTL_16_cpTP48h_Raw</t>
  </si>
  <si>
    <t>SpB_17</t>
  </si>
  <si>
    <t>Sneha/Olivia</t>
  </si>
  <si>
    <t>Lawrence</t>
  </si>
  <si>
    <t xml:space="preserve">6h composite </t>
  </si>
  <si>
    <t>No data</t>
  </si>
  <si>
    <t>MTL_11_PS_Filter</t>
  </si>
  <si>
    <t>PS </t>
  </si>
  <si>
    <t>Filter </t>
  </si>
  <si>
    <t>SpB_18</t>
  </si>
  <si>
    <t>Allie/Olivia</t>
  </si>
  <si>
    <t>MTL_11_PS_Qtips</t>
  </si>
  <si>
    <t>Qtips </t>
  </si>
  <si>
    <t>MTL_11_PS_Gauze</t>
  </si>
  <si>
    <t>Gauze</t>
  </si>
  <si>
    <t>MTL_05_PS_Filter</t>
  </si>
  <si>
    <t>MTL_05_PS_Qtips</t>
  </si>
  <si>
    <t>MTL_05_PS_Gauze</t>
  </si>
  <si>
    <t>MTL_16_PS_Filter</t>
  </si>
  <si>
    <t>MTL_16_PS_Qtips</t>
  </si>
  <si>
    <t>MTL_16_PS_Gauze</t>
  </si>
  <si>
    <t>MTL_12_PS_Filter</t>
  </si>
  <si>
    <t>MTL_12_PS_Qtips</t>
  </si>
  <si>
    <t>SpB_19</t>
  </si>
  <si>
    <t>12h composite</t>
  </si>
  <si>
    <t>Betty/Ethan</t>
  </si>
  <si>
    <r>
      <t xml:space="preserve"> </t>
    </r>
    <r>
      <rPr>
        <sz val="10"/>
        <color rgb="FFFF0000"/>
        <rFont val="Arial"/>
        <family val="2"/>
      </rPr>
      <t>(DoF: ADD REG DATA)</t>
    </r>
  </si>
  <si>
    <t xml:space="preserve">Pooled </t>
  </si>
  <si>
    <t>Date (YYYY-MM-DD)</t>
  </si>
  <si>
    <t>Yes</t>
  </si>
  <si>
    <t>List Worker Names</t>
  </si>
  <si>
    <t>SpB_#</t>
  </si>
  <si>
    <t>Qiagen Kit</t>
  </si>
  <si>
    <t>No</t>
  </si>
  <si>
    <t>Centrifuge_0.45um</t>
  </si>
  <si>
    <t>Liquid</t>
  </si>
  <si>
    <t>5um_0.45um</t>
  </si>
  <si>
    <t>8.1-MtlNord-Est</t>
  </si>
  <si>
    <t>8.2-MtlNord-Est</t>
  </si>
  <si>
    <t>01-IntNord</t>
  </si>
  <si>
    <t>02-IntSud</t>
  </si>
  <si>
    <t>MTL_12_cpTP48h_Raw</t>
  </si>
  <si>
    <t>MTL_12_cpTP72h_Raw</t>
  </si>
  <si>
    <t>MTL_12_PS_Gauze</t>
  </si>
  <si>
    <t>MTL_8.1_cpTP24h_Raw</t>
  </si>
  <si>
    <t>MTL_8.1_cpT48h_Raw</t>
  </si>
  <si>
    <t>MTL_8.1_cpTP72h_Raw</t>
  </si>
  <si>
    <t>MTL_8.1_grb3_Raw</t>
  </si>
  <si>
    <t>MTL_8.1_PS_Qtips</t>
  </si>
  <si>
    <t>MTL_8.1_PS_Filter</t>
  </si>
  <si>
    <t>MTL_8.1_PS_Gauze</t>
  </si>
  <si>
    <t>MTL_8.2_cpTP24h_Raw</t>
  </si>
  <si>
    <t>MTL_8.2_cpTP48h_Raw</t>
  </si>
  <si>
    <t>MTL_8.2_cpTP72h_Raw</t>
  </si>
  <si>
    <t>MTL_8.2_grb3_Raw</t>
  </si>
  <si>
    <t>MTL_8.2_PS_Qtips</t>
  </si>
  <si>
    <t>MTL_8.2_PS_Filter</t>
  </si>
  <si>
    <t>MTL_8.2_PS_Gauze</t>
  </si>
  <si>
    <t>MTL_01_cpTP24h_Raw</t>
  </si>
  <si>
    <t>MTL_01_cpTP48h_Raw</t>
  </si>
  <si>
    <t>MTL_01_cpTP72h_Raw</t>
  </si>
  <si>
    <t>MTL_01_grb3_Raw</t>
  </si>
  <si>
    <t>MTL_01_PS_Qtips</t>
  </si>
  <si>
    <t>MTL_01_PS_Filter</t>
  </si>
  <si>
    <t>MTL_01_PS_Gauze</t>
  </si>
  <si>
    <t>MTL_02_cpTP24h_Raw</t>
  </si>
  <si>
    <t>MTL_02_cpTP48h_Raw</t>
  </si>
  <si>
    <t>MTL_02_cpTP72h_Raw</t>
  </si>
  <si>
    <t>MTL_02_grb3_Raw</t>
  </si>
  <si>
    <t>MTL_02_PS_Qtips</t>
  </si>
  <si>
    <t>MTL_02_PS_Filter</t>
  </si>
  <si>
    <t>MTL_02_PS_Gauze</t>
  </si>
  <si>
    <t>Virus</t>
  </si>
  <si>
    <t>Date</t>
  </si>
  <si>
    <t>Avg_Cq-1</t>
  </si>
  <si>
    <t>Avg_Cq-2</t>
  </si>
  <si>
    <t>Avg_Cq-3</t>
  </si>
  <si>
    <t>Avg_Cq-4</t>
  </si>
  <si>
    <t>Avg_Cq-5</t>
  </si>
  <si>
    <t>Avg_Cq-6</t>
  </si>
  <si>
    <t>Avg_Cq-7</t>
  </si>
  <si>
    <t>Avg_Cq-8</t>
  </si>
  <si>
    <t>Avg_Cq-9</t>
  </si>
  <si>
    <t>Avg_Cq-10</t>
  </si>
  <si>
    <t>Conc_M-1</t>
  </si>
  <si>
    <t>Conc_M-2</t>
  </si>
  <si>
    <t>Conc_M-3</t>
  </si>
  <si>
    <t>Conc_M-4</t>
  </si>
  <si>
    <t>Conc_M-5</t>
  </si>
  <si>
    <t>Conc_M-6</t>
  </si>
  <si>
    <t>Conc_M-7</t>
  </si>
  <si>
    <t>Conc_M-8</t>
  </si>
  <si>
    <t>Conc_M-9</t>
  </si>
  <si>
    <t>Conc_M-10</t>
  </si>
  <si>
    <t>Conc_GC-1</t>
  </si>
  <si>
    <t>Conc_GC-2</t>
  </si>
  <si>
    <t>Conc_GC-3</t>
  </si>
  <si>
    <t>Conc_GC-4</t>
  </si>
  <si>
    <t>Conc_GC-5</t>
  </si>
  <si>
    <t>Conc_GC-6</t>
  </si>
  <si>
    <t>Conc_GC-7</t>
  </si>
  <si>
    <t>Conc_GC-8</t>
  </si>
  <si>
    <t>Conc_GC-9</t>
  </si>
  <si>
    <t>Conc_GC-10</t>
  </si>
  <si>
    <t>Log_GC-1</t>
  </si>
  <si>
    <t>Log_GC-2</t>
  </si>
  <si>
    <t>Log_GC-3</t>
  </si>
  <si>
    <t>Log_GC-4</t>
  </si>
  <si>
    <t>Log_GC-5</t>
  </si>
  <si>
    <t>Log_GC-6</t>
  </si>
  <si>
    <t>Log_GC-7</t>
  </si>
  <si>
    <t>Log_GC-8</t>
  </si>
  <si>
    <t>Log_GC-9</t>
  </si>
  <si>
    <t>Log_GC-10</t>
  </si>
  <si>
    <t>R2</t>
  </si>
  <si>
    <t>Efficiency</t>
  </si>
  <si>
    <t>Ct1</t>
  </si>
  <si>
    <t>Ct2</t>
  </si>
  <si>
    <t>Ct3</t>
  </si>
  <si>
    <t>Average Cq</t>
  </si>
  <si>
    <t>ng/rxn</t>
  </si>
  <si>
    <t>Log(gc)</t>
  </si>
  <si>
    <t>Cq</t>
  </si>
  <si>
    <t>Cq/Log(gc)</t>
  </si>
  <si>
    <t>BRSV</t>
  </si>
  <si>
    <t>COVID19 new cases (by lab)</t>
  </si>
  <si>
    <t>VSTL-III</t>
  </si>
  <si>
    <t>SARS-CoV-2 (gc/ml)</t>
  </si>
  <si>
    <t>Grab</t>
  </si>
  <si>
    <t>Weekend</t>
  </si>
  <si>
    <t>CDN-05</t>
  </si>
  <si>
    <t>COVID19 new cases</t>
  </si>
  <si>
    <t>Storage Temperature</t>
  </si>
  <si>
    <t>Storage Temperature (C)</t>
  </si>
  <si>
    <t>Qiagen Kit (10% BME)</t>
  </si>
  <si>
    <t>na.na.datetimestart (yyyy-mm-dd hh:mm - 24h).na</t>
  </si>
  <si>
    <t>na.na.datetimeend (yyyy-mm-dd hh:mm - 24h).na</t>
  </si>
  <si>
    <t>na.na.label_id.na</t>
  </si>
  <si>
    <t>na.na.collection type.na</t>
  </si>
  <si>
    <t>na.na.sampling point.na</t>
  </si>
  <si>
    <t>na.na.sample type.na</t>
  </si>
  <si>
    <t>na.na.sample size (l).na</t>
  </si>
  <si>
    <t>na.na.field sample temp.na</t>
  </si>
  <si>
    <t>na.na.shipped on ice.na</t>
  </si>
  <si>
    <t>na.na.pooled.na</t>
  </si>
  <si>
    <t>na.na.storage temperature.na</t>
  </si>
  <si>
    <t>na.na.sampler/worker.na</t>
  </si>
  <si>
    <t>na.na.notes sampling.na</t>
  </si>
  <si>
    <t>concentration.general.concentration date (yyyy-mm-dd).na</t>
  </si>
  <si>
    <t>concentration.general.concentrated volume (ml).na</t>
  </si>
  <si>
    <t>concentration.general.fraction analyzed.na</t>
  </si>
  <si>
    <t>concentration.general.concnetration method.na</t>
  </si>
  <si>
    <t>concentration.general.concentrator/worker.na</t>
  </si>
  <si>
    <t>concentration.key parametres.ph.initial</t>
  </si>
  <si>
    <t>concentration.key parametres.ph.concentration</t>
  </si>
  <si>
    <t>concentration.key parametres.turbidity (ntu).na</t>
  </si>
  <si>
    <t>concentration.key parametres.conductivity (μs/cm).na</t>
  </si>
  <si>
    <t>concentration.key parametres.tss (mg/l).na</t>
  </si>
  <si>
    <t>concentration.key parametres.qualityflag concentration.na</t>
  </si>
  <si>
    <t>concentration.key parametres.notes concentration.na</t>
  </si>
  <si>
    <t>concentration.key parametres.spikebatch_id.na</t>
  </si>
  <si>
    <t>rna extraction.date of rna extraction (yyyy-mm-dd).na.na</t>
  </si>
  <si>
    <t>rna extraction.final elution in the extraction (µl).na.na</t>
  </si>
  <si>
    <t>rna extraction.extracter/worker.na.na</t>
  </si>
  <si>
    <t>rna extraction.qualityflag extraction.na.na</t>
  </si>
  <si>
    <t>rna extraction.assaymethod extraction.na.na</t>
  </si>
  <si>
    <t>rna extraction.notes extraction.na.na</t>
  </si>
  <si>
    <t>pcr.date of pcr (yyyy-mm-dd).na.na</t>
  </si>
  <si>
    <t>pcr.final volume in the pcr (µl).na.na</t>
  </si>
  <si>
    <t>pcr.pcr/worker.na.na</t>
  </si>
  <si>
    <t>pcr.external control (brsv).ct.1</t>
  </si>
  <si>
    <t>pcr.external control (brsv).ct.2</t>
  </si>
  <si>
    <t>pcr.external control (brsv).ct.3</t>
  </si>
  <si>
    <t>pcr.external control (brsv).ct.mean</t>
  </si>
  <si>
    <t>pcr.external control (brsv).ct.std curve slope</t>
  </si>
  <si>
    <t>pcr.external control (brsv).ct.std curve intercept</t>
  </si>
  <si>
    <t>pcr.external control (brsv).gc/rxn.na</t>
  </si>
  <si>
    <t>pcr.external control (brsv).% recovery.na</t>
  </si>
  <si>
    <t>pcr.pmmv.ct.1</t>
  </si>
  <si>
    <t>pcr.pmmv.ct.2</t>
  </si>
  <si>
    <t>pcr.pmmv.ct.3</t>
  </si>
  <si>
    <t>pcr.pmmv.ct.mean</t>
  </si>
  <si>
    <t>pcr.pmmv.ct.std curve slope</t>
  </si>
  <si>
    <t>pcr.pmmv.ct.std curve intercept</t>
  </si>
  <si>
    <t>pcr.pmmv.gc/rxn.na</t>
  </si>
  <si>
    <t>pcr.pmmv.gc/ml.na</t>
  </si>
  <si>
    <t>pcr.sars-cov-2.ct.1</t>
  </si>
  <si>
    <t>pcr.sars-cov-2.ct.2</t>
  </si>
  <si>
    <t>pcr.sars-cov-2.ct.3</t>
  </si>
  <si>
    <t>pcr.sars-cov-2.ct.mean</t>
  </si>
  <si>
    <t>pcr.sars-cov-2.ct.std curve slope</t>
  </si>
  <si>
    <t>pcr.sars-cov-2.ct.std curve intercept</t>
  </si>
  <si>
    <t>pcr.sars-cov-2.gc/rx.na</t>
  </si>
  <si>
    <t>pcr.sars-cov-2.gc/ml.na</t>
  </si>
  <si>
    <t>pcr.sars-cov-2.gc/normalized to pmmv.na</t>
  </si>
  <si>
    <t>pcr.sars-cov-2.qualityflag pcr.na</t>
  </si>
  <si>
    <t>pcr.sars-cov-2.assaymethodid.na</t>
  </si>
  <si>
    <t>pcr notes.na.na.na</t>
  </si>
  <si>
    <t>conclusion.na.na.na</t>
  </si>
  <si>
    <t>access.na.accesstopublic.na</t>
  </si>
  <si>
    <t>access.na.accesstoallorg.na</t>
  </si>
  <si>
    <t>access.na.accesstophac.na</t>
  </si>
  <si>
    <t>access.na.accesstolocalha.na</t>
  </si>
  <si>
    <t>access.na.accesstoprovha.na</t>
  </si>
  <si>
    <t>access.na.accesstootherprov.na</t>
  </si>
  <si>
    <t>access.na.acesstodetails.na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</si>
</sst>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mm/dd/yy;@"/>
    <numFmt numFmtId="165" formatCode="dd/mm/yyyy;@"/>
    <numFmt numFmtId="166" formatCode="0.000"/>
    <numFmt numFmtId="167" formatCode="0.0"/>
    <numFmt numFmtId="168" formatCode="0.0E+00"/>
    <numFmt numFmtId="169" formatCode="###0.00;\-###0.00"/>
    <numFmt numFmtId="170" formatCode="yyyy\-mm\-dd;@"/>
    <numFmt numFmtId="171" formatCode="yyyy\-mm\-dd\ hh:mm"/>
    <numFmt numFmtId="172" formatCode="dd\/mm"/>
    <numFmt numFmtId="173" formatCode="#,##0.000"/>
  </numFmts>
  <fonts count="2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1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7"/>
      <color theme="1"/>
      <name val="Arial"/>
      <family val="2"/>
    </font>
    <font>
      <sz val="8"/>
      <name val="Calibri"/>
      <family val="2"/>
      <scheme val="minor"/>
    </font>
    <font>
      <sz val="10"/>
      <color rgb="FFFF0000"/>
      <name val="Arial"/>
      <family val="2"/>
    </font>
    <font>
      <sz val="1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</font>
    <font>
      <b/>
      <sz val="8.25"/>
      <name val="Microsoft Sans Serif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2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EADCF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9E1F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6" tint="0.79998168889431442"/>
        <bgColor theme="6" tint="0.79998168889431442"/>
      </patternFill>
    </fill>
  </fills>
  <borders count="9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rgb="FF000000"/>
      </right>
      <top style="thin">
        <color indexed="64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/>
      <top style="medium">
        <color rgb="FF000000"/>
      </top>
      <bottom style="thin">
        <color indexed="64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82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/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top"/>
    </xf>
    <xf numFmtId="2" fontId="5" fillId="0" borderId="11" xfId="0" applyNumberFormat="1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164" fontId="1" fillId="0" borderId="11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11" fontId="1" fillId="0" borderId="11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 wrapText="1"/>
    </xf>
    <xf numFmtId="0" fontId="1" fillId="0" borderId="10" xfId="0" applyFont="1" applyBorder="1"/>
    <xf numFmtId="164" fontId="1" fillId="0" borderId="10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1" fillId="6" borderId="25" xfId="0" applyFont="1" applyFill="1" applyBorder="1" applyAlignment="1">
      <alignment horizontal="center" vertical="center" wrapText="1"/>
    </xf>
    <xf numFmtId="0" fontId="1" fillId="6" borderId="27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0" fontId="1" fillId="0" borderId="0" xfId="0" applyFont="1" applyAlignment="1">
      <alignment horizontal="right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2" fontId="5" fillId="0" borderId="12" xfId="0" applyNumberFormat="1" applyFont="1" applyFill="1" applyBorder="1" applyAlignment="1">
      <alignment horizontal="center" vertical="center" wrapText="1"/>
    </xf>
    <xf numFmtId="165" fontId="1" fillId="0" borderId="11" xfId="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 wrapText="1"/>
    </xf>
    <xf numFmtId="0" fontId="1" fillId="8" borderId="52" xfId="0" applyFont="1" applyFill="1" applyBorder="1" applyAlignment="1">
      <alignment horizontal="center" vertical="center"/>
    </xf>
    <xf numFmtId="0" fontId="5" fillId="8" borderId="11" xfId="0" applyFont="1" applyFill="1" applyBorder="1" applyAlignment="1">
      <alignment horizontal="center" vertical="center" wrapText="1"/>
    </xf>
    <xf numFmtId="0" fontId="1" fillId="8" borderId="12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14" fontId="1" fillId="0" borderId="11" xfId="0" applyNumberFormat="1" applyFont="1" applyBorder="1" applyAlignment="1">
      <alignment horizontal="center" vertical="center"/>
    </xf>
    <xf numFmtId="0" fontId="6" fillId="0" borderId="11" xfId="0" applyFont="1" applyFill="1" applyBorder="1" applyAlignment="1">
      <alignment wrapText="1"/>
    </xf>
    <xf numFmtId="0" fontId="6" fillId="0" borderId="10" xfId="0" applyFont="1" applyFill="1" applyBorder="1" applyAlignment="1">
      <alignment wrapText="1"/>
    </xf>
    <xf numFmtId="0" fontId="1" fillId="9" borderId="11" xfId="0" applyFont="1" applyFill="1" applyBorder="1" applyAlignment="1">
      <alignment horizontal="center" vertical="center"/>
    </xf>
    <xf numFmtId="0" fontId="1" fillId="9" borderId="11" xfId="0" applyFont="1" applyFill="1" applyBorder="1"/>
    <xf numFmtId="0" fontId="1" fillId="9" borderId="53" xfId="0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2" fontId="1" fillId="9" borderId="11" xfId="0" applyNumberFormat="1" applyFont="1" applyFill="1" applyBorder="1" applyAlignment="1">
      <alignment horizontal="center" vertical="center"/>
    </xf>
    <xf numFmtId="11" fontId="1" fillId="9" borderId="11" xfId="0" applyNumberFormat="1" applyFont="1" applyFill="1" applyBorder="1" applyAlignment="1">
      <alignment horizontal="center" vertical="center"/>
    </xf>
    <xf numFmtId="0" fontId="1" fillId="9" borderId="0" xfId="0" applyFont="1" applyFill="1"/>
    <xf numFmtId="165" fontId="1" fillId="9" borderId="11" xfId="0" applyNumberFormat="1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 wrapText="1"/>
    </xf>
    <xf numFmtId="2" fontId="1" fillId="9" borderId="11" xfId="0" applyNumberFormat="1" applyFont="1" applyFill="1" applyBorder="1" applyAlignment="1">
      <alignment horizontal="center" vertical="center" wrapText="1"/>
    </xf>
    <xf numFmtId="0" fontId="1" fillId="9" borderId="0" xfId="0" applyFont="1" applyFill="1" applyBorder="1"/>
    <xf numFmtId="0" fontId="1" fillId="10" borderId="11" xfId="0" applyFont="1" applyFill="1" applyBorder="1" applyAlignment="1">
      <alignment horizontal="center" vertical="center"/>
    </xf>
    <xf numFmtId="165" fontId="1" fillId="10" borderId="11" xfId="0" applyNumberFormat="1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 wrapText="1"/>
    </xf>
    <xf numFmtId="2" fontId="1" fillId="10" borderId="11" xfId="0" applyNumberFormat="1" applyFont="1" applyFill="1" applyBorder="1" applyAlignment="1">
      <alignment horizontal="center" vertical="center" wrapText="1"/>
    </xf>
    <xf numFmtId="2" fontId="1" fillId="10" borderId="11" xfId="0" applyNumberFormat="1" applyFont="1" applyFill="1" applyBorder="1" applyAlignment="1">
      <alignment horizontal="center" vertical="center"/>
    </xf>
    <xf numFmtId="11" fontId="1" fillId="10" borderId="11" xfId="0" applyNumberFormat="1" applyFont="1" applyFill="1" applyBorder="1" applyAlignment="1">
      <alignment horizontal="center" vertical="center"/>
    </xf>
    <xf numFmtId="0" fontId="1" fillId="10" borderId="0" xfId="0" applyFont="1" applyFill="1" applyBorder="1"/>
    <xf numFmtId="164" fontId="1" fillId="9" borderId="11" xfId="0" applyNumberFormat="1" applyFont="1" applyFill="1" applyBorder="1" applyAlignment="1">
      <alignment horizontal="center" vertical="center"/>
    </xf>
    <xf numFmtId="0" fontId="6" fillId="9" borderId="0" xfId="0" applyFont="1" applyFill="1" applyBorder="1" applyAlignment="1">
      <alignment wrapText="1"/>
    </xf>
    <xf numFmtId="14" fontId="1" fillId="9" borderId="10" xfId="0" applyNumberFormat="1" applyFont="1" applyFill="1" applyBorder="1" applyAlignment="1">
      <alignment horizontal="center" vertical="center"/>
    </xf>
    <xf numFmtId="14" fontId="1" fillId="9" borderId="11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6" fillId="9" borderId="11" xfId="0" applyFont="1" applyFill="1" applyBorder="1" applyAlignment="1">
      <alignment wrapText="1"/>
    </xf>
    <xf numFmtId="0" fontId="1" fillId="9" borderId="14" xfId="0" applyFont="1" applyFill="1" applyBorder="1" applyAlignment="1">
      <alignment horizontal="center" vertical="center"/>
    </xf>
    <xf numFmtId="2" fontId="1" fillId="9" borderId="13" xfId="0" applyNumberFormat="1" applyFont="1" applyFill="1" applyBorder="1" applyAlignment="1">
      <alignment horizontal="center" vertical="center"/>
    </xf>
    <xf numFmtId="2" fontId="3" fillId="9" borderId="11" xfId="0" applyNumberFormat="1" applyFont="1" applyFill="1" applyBorder="1" applyAlignment="1">
      <alignment horizontal="center" vertical="center" wrapText="1"/>
    </xf>
    <xf numFmtId="2" fontId="2" fillId="9" borderId="11" xfId="0" applyNumberFormat="1" applyFont="1" applyFill="1" applyBorder="1" applyAlignment="1">
      <alignment horizontal="center" vertical="center"/>
    </xf>
    <xf numFmtId="2" fontId="5" fillId="0" borderId="55" xfId="0" applyNumberFormat="1" applyFont="1" applyBorder="1" applyAlignment="1">
      <alignment horizontal="center" vertical="center"/>
    </xf>
    <xf numFmtId="2" fontId="5" fillId="0" borderId="56" xfId="0" applyNumberFormat="1" applyFont="1" applyBorder="1" applyAlignment="1">
      <alignment horizontal="center" vertical="center"/>
    </xf>
    <xf numFmtId="0" fontId="1" fillId="9" borderId="11" xfId="0" applyNumberFormat="1" applyFont="1" applyFill="1" applyBorder="1" applyAlignment="1">
      <alignment horizontal="center" vertical="center"/>
    </xf>
    <xf numFmtId="2" fontId="1" fillId="0" borderId="11" xfId="0" applyNumberFormat="1" applyFont="1" applyFill="1" applyBorder="1" applyAlignment="1">
      <alignment horizontal="center" vertical="center"/>
    </xf>
    <xf numFmtId="0" fontId="1" fillId="11" borderId="0" xfId="0" applyFont="1" applyFill="1"/>
    <xf numFmtId="0" fontId="1" fillId="11" borderId="11" xfId="0" applyFont="1" applyFill="1" applyBorder="1" applyAlignment="1">
      <alignment horizontal="center" vertical="center"/>
    </xf>
    <xf numFmtId="0" fontId="1" fillId="11" borderId="11" xfId="0" applyFont="1" applyFill="1" applyBorder="1"/>
    <xf numFmtId="0" fontId="1" fillId="11" borderId="53" xfId="0" applyFont="1" applyFill="1" applyBorder="1" applyAlignment="1">
      <alignment horizontal="center" vertical="center"/>
    </xf>
    <xf numFmtId="0" fontId="1" fillId="11" borderId="12" xfId="0" applyFont="1" applyFill="1" applyBorder="1" applyAlignment="1">
      <alignment horizontal="center" vertical="center"/>
    </xf>
    <xf numFmtId="2" fontId="1" fillId="11" borderId="11" xfId="0" applyNumberFormat="1" applyFont="1" applyFill="1" applyBorder="1" applyAlignment="1">
      <alignment horizontal="center" vertical="center"/>
    </xf>
    <xf numFmtId="11" fontId="1" fillId="11" borderId="11" xfId="0" applyNumberFormat="1" applyFont="1" applyFill="1" applyBorder="1" applyAlignment="1">
      <alignment horizontal="center" vertical="center"/>
    </xf>
    <xf numFmtId="0" fontId="1" fillId="12" borderId="0" xfId="0" applyFont="1" applyFill="1" applyBorder="1"/>
    <xf numFmtId="0" fontId="1" fillId="12" borderId="10" xfId="0" applyFont="1" applyFill="1" applyBorder="1" applyAlignment="1">
      <alignment horizontal="center" vertical="center"/>
    </xf>
    <xf numFmtId="165" fontId="1" fillId="12" borderId="10" xfId="0" applyNumberFormat="1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 wrapText="1"/>
    </xf>
    <xf numFmtId="0" fontId="1" fillId="12" borderId="11" xfId="0" applyFont="1" applyFill="1" applyBorder="1" applyAlignment="1">
      <alignment horizontal="center" vertical="center"/>
    </xf>
    <xf numFmtId="2" fontId="2" fillId="12" borderId="10" xfId="0" applyNumberFormat="1" applyFont="1" applyFill="1" applyBorder="1" applyAlignment="1">
      <alignment horizontal="center" vertical="center"/>
    </xf>
    <xf numFmtId="2" fontId="1" fillId="12" borderId="10" xfId="0" applyNumberFormat="1" applyFont="1" applyFill="1" applyBorder="1" applyAlignment="1">
      <alignment horizontal="center" vertical="center"/>
    </xf>
    <xf numFmtId="11" fontId="1" fillId="12" borderId="10" xfId="0" applyNumberFormat="1" applyFont="1" applyFill="1" applyBorder="1" applyAlignment="1">
      <alignment horizontal="center" vertical="center"/>
    </xf>
    <xf numFmtId="2" fontId="1" fillId="12" borderId="11" xfId="0" applyNumberFormat="1" applyFont="1" applyFill="1" applyBorder="1" applyAlignment="1">
      <alignment horizontal="center" vertical="center"/>
    </xf>
    <xf numFmtId="11" fontId="1" fillId="12" borderId="11" xfId="0" applyNumberFormat="1" applyFont="1" applyFill="1" applyBorder="1" applyAlignment="1">
      <alignment horizontal="center" vertical="center"/>
    </xf>
    <xf numFmtId="165" fontId="1" fillId="12" borderId="11" xfId="0" applyNumberFormat="1" applyFont="1" applyFill="1" applyBorder="1" applyAlignment="1">
      <alignment horizontal="center" vertical="center"/>
    </xf>
    <xf numFmtId="2" fontId="3" fillId="12" borderId="11" xfId="0" applyNumberFormat="1" applyFont="1" applyFill="1" applyBorder="1" applyAlignment="1">
      <alignment horizontal="center" vertical="center" wrapText="1"/>
    </xf>
    <xf numFmtId="2" fontId="2" fillId="12" borderId="11" xfId="0" applyNumberFormat="1" applyFont="1" applyFill="1" applyBorder="1" applyAlignment="1">
      <alignment horizontal="center" vertical="center"/>
    </xf>
    <xf numFmtId="2" fontId="1" fillId="12" borderId="11" xfId="0" applyNumberFormat="1" applyFont="1" applyFill="1" applyBorder="1" applyAlignment="1">
      <alignment horizontal="center" vertical="center" wrapText="1"/>
    </xf>
    <xf numFmtId="0" fontId="1" fillId="12" borderId="11" xfId="0" applyNumberFormat="1" applyFont="1" applyFill="1" applyBorder="1" applyAlignment="1">
      <alignment horizontal="center" vertical="center"/>
    </xf>
    <xf numFmtId="0" fontId="1" fillId="10" borderId="11" xfId="0" applyNumberFormat="1" applyFont="1" applyFill="1" applyBorder="1" applyAlignment="1">
      <alignment horizontal="center" vertical="center"/>
    </xf>
    <xf numFmtId="0" fontId="1" fillId="13" borderId="0" xfId="0" applyFont="1" applyFill="1"/>
    <xf numFmtId="0" fontId="1" fillId="13" borderId="11" xfId="0" applyFont="1" applyFill="1" applyBorder="1" applyAlignment="1">
      <alignment horizontal="center" vertical="center"/>
    </xf>
    <xf numFmtId="164" fontId="1" fillId="13" borderId="11" xfId="0" applyNumberFormat="1" applyFont="1" applyFill="1" applyBorder="1" applyAlignment="1">
      <alignment horizontal="center" vertical="center"/>
    </xf>
    <xf numFmtId="0" fontId="1" fillId="13" borderId="10" xfId="0" applyFont="1" applyFill="1" applyBorder="1" applyAlignment="1">
      <alignment horizontal="center" vertical="center" wrapText="1"/>
    </xf>
    <xf numFmtId="165" fontId="1" fillId="13" borderId="11" xfId="0" applyNumberFormat="1" applyFont="1" applyFill="1" applyBorder="1" applyAlignment="1">
      <alignment horizontal="center" vertical="center"/>
    </xf>
    <xf numFmtId="2" fontId="1" fillId="13" borderId="11" xfId="0" applyNumberFormat="1" applyFont="1" applyFill="1" applyBorder="1" applyAlignment="1">
      <alignment horizontal="center" vertical="center"/>
    </xf>
    <xf numFmtId="11" fontId="1" fillId="13" borderId="11" xfId="0" applyNumberFormat="1" applyFont="1" applyFill="1" applyBorder="1" applyAlignment="1">
      <alignment horizontal="center" vertical="center"/>
    </xf>
    <xf numFmtId="0" fontId="1" fillId="13" borderId="11" xfId="0" applyFont="1" applyFill="1" applyBorder="1"/>
    <xf numFmtId="0" fontId="1" fillId="13" borderId="10" xfId="0" applyFont="1" applyFill="1" applyBorder="1"/>
    <xf numFmtId="0" fontId="1" fillId="13" borderId="10" xfId="0" applyFont="1" applyFill="1" applyBorder="1" applyAlignment="1">
      <alignment horizontal="center" vertical="center"/>
    </xf>
    <xf numFmtId="164" fontId="1" fillId="13" borderId="10" xfId="0" applyNumberFormat="1" applyFont="1" applyFill="1" applyBorder="1" applyAlignment="1">
      <alignment horizontal="center" vertical="center"/>
    </xf>
    <xf numFmtId="2" fontId="1" fillId="13" borderId="10" xfId="0" applyNumberFormat="1" applyFont="1" applyFill="1" applyBorder="1" applyAlignment="1">
      <alignment horizontal="center" vertical="center"/>
    </xf>
    <xf numFmtId="14" fontId="1" fillId="13" borderId="10" xfId="0" applyNumberFormat="1" applyFont="1" applyFill="1" applyBorder="1" applyAlignment="1">
      <alignment horizontal="center" vertical="center"/>
    </xf>
    <xf numFmtId="14" fontId="1" fillId="13" borderId="11" xfId="0" applyNumberFormat="1" applyFont="1" applyFill="1" applyBorder="1" applyAlignment="1">
      <alignment horizontal="center" vertical="center"/>
    </xf>
    <xf numFmtId="0" fontId="1" fillId="12" borderId="0" xfId="0" applyFont="1" applyFill="1"/>
    <xf numFmtId="14" fontId="1" fillId="12" borderId="10" xfId="0" applyNumberFormat="1" applyFont="1" applyFill="1" applyBorder="1" applyAlignment="1">
      <alignment horizontal="center" vertical="center"/>
    </xf>
    <xf numFmtId="14" fontId="1" fillId="12" borderId="11" xfId="0" applyNumberFormat="1" applyFont="1" applyFill="1" applyBorder="1" applyAlignment="1">
      <alignment horizontal="center" vertical="center"/>
    </xf>
    <xf numFmtId="0" fontId="6" fillId="13" borderId="10" xfId="0" applyFont="1" applyFill="1" applyBorder="1" applyAlignment="1">
      <alignment wrapText="1"/>
    </xf>
    <xf numFmtId="0" fontId="0" fillId="13" borderId="0" xfId="0" applyFill="1" applyAlignment="1">
      <alignment wrapText="1"/>
    </xf>
    <xf numFmtId="0" fontId="6" fillId="13" borderId="11" xfId="0" applyFont="1" applyFill="1" applyBorder="1" applyAlignment="1">
      <alignment wrapText="1"/>
    </xf>
    <xf numFmtId="0" fontId="6" fillId="13" borderId="0" xfId="0" applyFont="1" applyFill="1" applyBorder="1" applyAlignment="1">
      <alignment wrapText="1"/>
    </xf>
    <xf numFmtId="16" fontId="1" fillId="13" borderId="11" xfId="0" applyNumberFormat="1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166" fontId="1" fillId="13" borderId="11" xfId="0" applyNumberFormat="1" applyFont="1" applyFill="1" applyBorder="1" applyAlignment="1">
      <alignment horizontal="center" vertical="center"/>
    </xf>
    <xf numFmtId="0" fontId="1" fillId="13" borderId="12" xfId="0" applyFont="1" applyFill="1" applyBorder="1" applyAlignment="1">
      <alignment horizontal="center" vertical="center"/>
    </xf>
    <xf numFmtId="0" fontId="1" fillId="13" borderId="53" xfId="0" applyFont="1" applyFill="1" applyBorder="1" applyAlignment="1">
      <alignment horizontal="center" vertical="center"/>
    </xf>
    <xf numFmtId="166" fontId="1" fillId="9" borderId="11" xfId="0" applyNumberFormat="1" applyFont="1" applyFill="1" applyBorder="1" applyAlignment="1">
      <alignment horizontal="center" vertical="center"/>
    </xf>
    <xf numFmtId="0" fontId="1" fillId="9" borderId="54" xfId="0" applyFont="1" applyFill="1" applyBorder="1"/>
    <xf numFmtId="0" fontId="1" fillId="12" borderId="13" xfId="0" applyFont="1" applyFill="1" applyBorder="1" applyAlignment="1">
      <alignment horizontal="center" vertical="center"/>
    </xf>
    <xf numFmtId="164" fontId="1" fillId="12" borderId="13" xfId="0" applyNumberFormat="1" applyFont="1" applyFill="1" applyBorder="1" applyAlignment="1">
      <alignment horizontal="center" vertical="center"/>
    </xf>
    <xf numFmtId="2" fontId="1" fillId="12" borderId="13" xfId="0" applyNumberFormat="1" applyFont="1" applyFill="1" applyBorder="1" applyAlignment="1">
      <alignment horizontal="center" vertical="center"/>
    </xf>
    <xf numFmtId="164" fontId="1" fillId="12" borderId="11" xfId="0" applyNumberFormat="1" applyFont="1" applyFill="1" applyBorder="1" applyAlignment="1">
      <alignment horizontal="center" vertical="center"/>
    </xf>
    <xf numFmtId="0" fontId="1" fillId="12" borderId="11" xfId="0" applyFont="1" applyFill="1" applyBorder="1"/>
    <xf numFmtId="0" fontId="6" fillId="12" borderId="0" xfId="0" applyFont="1" applyFill="1" applyBorder="1" applyAlignment="1">
      <alignment wrapText="1"/>
    </xf>
    <xf numFmtId="2" fontId="1" fillId="13" borderId="11" xfId="0" applyNumberFormat="1" applyFont="1" applyFill="1" applyBorder="1" applyAlignment="1">
      <alignment horizontal="center" vertical="center" wrapText="1"/>
    </xf>
    <xf numFmtId="1" fontId="7" fillId="13" borderId="0" xfId="0" applyNumberFormat="1" applyFont="1" applyFill="1" applyAlignment="1">
      <alignment horizontal="center" wrapText="1"/>
    </xf>
    <xf numFmtId="0" fontId="1" fillId="13" borderId="0" xfId="0" applyFont="1" applyFill="1" applyBorder="1"/>
    <xf numFmtId="0" fontId="1" fillId="14" borderId="10" xfId="0" applyFont="1" applyFill="1" applyBorder="1" applyAlignment="1">
      <alignment horizontal="center" vertical="center"/>
    </xf>
    <xf numFmtId="2" fontId="1" fillId="14" borderId="10" xfId="0" applyNumberFormat="1" applyFont="1" applyFill="1" applyBorder="1" applyAlignment="1">
      <alignment horizontal="center" vertical="center"/>
    </xf>
    <xf numFmtId="0" fontId="1" fillId="14" borderId="11" xfId="0" applyFont="1" applyFill="1" applyBorder="1" applyAlignment="1">
      <alignment horizontal="center" vertical="center"/>
    </xf>
    <xf numFmtId="2" fontId="3" fillId="14" borderId="11" xfId="0" applyNumberFormat="1" applyFont="1" applyFill="1" applyBorder="1" applyAlignment="1">
      <alignment horizontal="center" vertical="center" wrapText="1"/>
    </xf>
    <xf numFmtId="2" fontId="2" fillId="14" borderId="11" xfId="0" applyNumberFormat="1" applyFont="1" applyFill="1" applyBorder="1" applyAlignment="1">
      <alignment horizontal="center" vertical="center"/>
    </xf>
    <xf numFmtId="2" fontId="1" fillId="14" borderId="11" xfId="0" applyNumberFormat="1" applyFont="1" applyFill="1" applyBorder="1" applyAlignment="1">
      <alignment horizontal="center" vertical="center"/>
    </xf>
    <xf numFmtId="2" fontId="1" fillId="14" borderId="11" xfId="0" applyNumberFormat="1" applyFont="1" applyFill="1" applyBorder="1" applyAlignment="1">
      <alignment horizontal="center" vertical="center" wrapText="1"/>
    </xf>
    <xf numFmtId="0" fontId="1" fillId="14" borderId="13" xfId="0" applyFont="1" applyFill="1" applyBorder="1" applyAlignment="1">
      <alignment horizontal="center" vertical="center"/>
    </xf>
    <xf numFmtId="0" fontId="1" fillId="14" borderId="12" xfId="0" applyFont="1" applyFill="1" applyBorder="1" applyAlignment="1">
      <alignment horizontal="center" vertical="center"/>
    </xf>
    <xf numFmtId="0" fontId="0" fillId="0" borderId="1" xfId="0" applyBorder="1"/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5" fontId="1" fillId="14" borderId="1" xfId="0" applyNumberFormat="1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2" fontId="1" fillId="14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14" borderId="14" xfId="0" applyFont="1" applyFill="1" applyBorder="1" applyAlignment="1">
      <alignment horizontal="center" vertical="center"/>
    </xf>
    <xf numFmtId="0" fontId="1" fillId="14" borderId="1" xfId="0" applyFont="1" applyFill="1" applyBorder="1"/>
    <xf numFmtId="0" fontId="1" fillId="0" borderId="1" xfId="0" applyFont="1" applyBorder="1"/>
    <xf numFmtId="14" fontId="0" fillId="0" borderId="1" xfId="0" applyNumberFormat="1" applyBorder="1"/>
    <xf numFmtId="168" fontId="0" fillId="0" borderId="1" xfId="0" applyNumberFormat="1" applyBorder="1" applyAlignment="1">
      <alignment horizontal="center" vertical="center"/>
    </xf>
    <xf numFmtId="1" fontId="1" fillId="14" borderId="1" xfId="0" applyNumberFormat="1" applyFont="1" applyFill="1" applyBorder="1" applyAlignment="1">
      <alignment horizontal="right" vertical="center"/>
    </xf>
    <xf numFmtId="11" fontId="0" fillId="0" borderId="1" xfId="0" applyNumberFormat="1" applyBorder="1" applyAlignment="1">
      <alignment horizontal="center" vertical="center"/>
    </xf>
    <xf numFmtId="2" fontId="5" fillId="14" borderId="1" xfId="0" applyNumberFormat="1" applyFont="1" applyFill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9" fontId="2" fillId="0" borderId="10" xfId="0" applyNumberFormat="1" applyFont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2" fontId="12" fillId="0" borderId="11" xfId="0" applyNumberFormat="1" applyFont="1" applyFill="1" applyBorder="1" applyAlignment="1">
      <alignment horizontal="center" vertical="center" wrapText="1"/>
    </xf>
    <xf numFmtId="2" fontId="12" fillId="0" borderId="11" xfId="0" applyNumberFormat="1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2" fontId="0" fillId="0" borderId="68" xfId="0" applyNumberFormat="1" applyBorder="1" applyAlignment="1">
      <alignment horizontal="center" vertical="center"/>
    </xf>
    <xf numFmtId="0" fontId="2" fillId="0" borderId="0" xfId="0" applyFont="1" applyFill="1" applyBorder="1" applyAlignment="1">
      <alignment wrapText="1"/>
    </xf>
    <xf numFmtId="0" fontId="2" fillId="0" borderId="11" xfId="0" applyFont="1" applyFill="1" applyBorder="1" applyAlignment="1">
      <alignment wrapText="1"/>
    </xf>
    <xf numFmtId="0" fontId="3" fillId="12" borderId="0" xfId="0" applyFont="1" applyFill="1" applyBorder="1" applyAlignment="1">
      <alignment wrapText="1"/>
    </xf>
    <xf numFmtId="0" fontId="6" fillId="9" borderId="0" xfId="0" applyFont="1" applyFill="1" applyAlignment="1">
      <alignment wrapText="1"/>
    </xf>
    <xf numFmtId="2" fontId="1" fillId="0" borderId="10" xfId="0" applyNumberFormat="1" applyFont="1" applyBorder="1" applyAlignment="1">
      <alignment horizontal="center" vertical="center"/>
    </xf>
    <xf numFmtId="165" fontId="1" fillId="0" borderId="10" xfId="0" applyNumberFormat="1" applyFont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2" fillId="13" borderId="10" xfId="0" applyFont="1" applyFill="1" applyBorder="1" applyAlignment="1">
      <alignment wrapText="1"/>
    </xf>
    <xf numFmtId="2" fontId="0" fillId="0" borderId="0" xfId="0" applyNumberFormat="1"/>
    <xf numFmtId="0" fontId="1" fillId="2" borderId="67" xfId="0" applyFont="1" applyFill="1" applyBorder="1" applyAlignment="1">
      <alignment vertical="center"/>
    </xf>
    <xf numFmtId="0" fontId="1" fillId="0" borderId="60" xfId="0" applyFont="1" applyBorder="1"/>
    <xf numFmtId="0" fontId="12" fillId="0" borderId="1" xfId="0" applyFont="1" applyFill="1" applyBorder="1"/>
    <xf numFmtId="0" fontId="1" fillId="6" borderId="58" xfId="0" applyFont="1" applyFill="1" applyBorder="1" applyAlignment="1">
      <alignment vertical="center" wrapText="1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/>
    </xf>
    <xf numFmtId="0" fontId="1" fillId="0" borderId="68" xfId="0" applyFont="1" applyFill="1" applyBorder="1"/>
    <xf numFmtId="0" fontId="0" fillId="0" borderId="0" xfId="0" applyAlignment="1">
      <alignment horizontal="center"/>
    </xf>
    <xf numFmtId="0" fontId="0" fillId="13" borderId="70" xfId="0" applyFill="1" applyBorder="1" applyAlignment="1">
      <alignment horizontal="center" vertical="center"/>
    </xf>
    <xf numFmtId="0" fontId="0" fillId="13" borderId="69" xfId="0" applyFill="1" applyBorder="1" applyAlignment="1">
      <alignment horizontal="center" vertical="center"/>
    </xf>
    <xf numFmtId="2" fontId="0" fillId="0" borderId="68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68" xfId="0" applyNumberFormat="1" applyBorder="1"/>
    <xf numFmtId="170" fontId="0" fillId="0" borderId="76" xfId="0" applyNumberFormat="1" applyBorder="1" applyAlignment="1">
      <alignment horizontal="center"/>
    </xf>
    <xf numFmtId="0" fontId="0" fillId="0" borderId="76" xfId="0" applyBorder="1"/>
    <xf numFmtId="2" fontId="0" fillId="0" borderId="66" xfId="0" applyNumberFormat="1" applyBorder="1" applyAlignment="1">
      <alignment horizontal="center" vertical="center"/>
    </xf>
    <xf numFmtId="2" fontId="0" fillId="0" borderId="66" xfId="0" applyNumberFormat="1" applyBorder="1" applyAlignment="1">
      <alignment horizontal="center"/>
    </xf>
    <xf numFmtId="2" fontId="0" fillId="0" borderId="66" xfId="0" applyNumberFormat="1" applyBorder="1"/>
    <xf numFmtId="0" fontId="8" fillId="13" borderId="75" xfId="0" applyFont="1" applyFill="1" applyBorder="1"/>
    <xf numFmtId="0" fontId="8" fillId="13" borderId="76" xfId="0" applyFont="1" applyFill="1" applyBorder="1"/>
    <xf numFmtId="0" fontId="0" fillId="13" borderId="63" xfId="0" applyFill="1" applyBorder="1" applyAlignment="1">
      <alignment vertical="center"/>
    </xf>
    <xf numFmtId="0" fontId="0" fillId="13" borderId="79" xfId="0" applyFill="1" applyBorder="1" applyAlignment="1">
      <alignment horizontal="center" vertical="center"/>
    </xf>
    <xf numFmtId="0" fontId="0" fillId="13" borderId="65" xfId="0" applyFill="1" applyBorder="1" applyAlignment="1">
      <alignment vertical="center"/>
    </xf>
    <xf numFmtId="166" fontId="0" fillId="0" borderId="0" xfId="0" applyNumberFormat="1" applyAlignment="1">
      <alignment horizontal="center" vertical="center"/>
    </xf>
    <xf numFmtId="0" fontId="8" fillId="13" borderId="78" xfId="0" applyFont="1" applyFill="1" applyBorder="1"/>
    <xf numFmtId="2" fontId="0" fillId="0" borderId="80" xfId="0" applyNumberFormat="1" applyBorder="1" applyAlignment="1">
      <alignment horizontal="center" vertical="center"/>
    </xf>
    <xf numFmtId="2" fontId="0" fillId="0" borderId="80" xfId="0" applyNumberFormat="1" applyBorder="1"/>
    <xf numFmtId="2" fontId="0" fillId="0" borderId="80" xfId="0" applyNumberFormat="1" applyBorder="1" applyAlignment="1">
      <alignment horizontal="center"/>
    </xf>
    <xf numFmtId="0" fontId="0" fillId="0" borderId="80" xfId="0" applyBorder="1"/>
    <xf numFmtId="4" fontId="0" fillId="0" borderId="80" xfId="0" applyNumberFormat="1" applyBorder="1" applyAlignment="1">
      <alignment horizontal="center" vertical="center"/>
    </xf>
    <xf numFmtId="170" fontId="0" fillId="0" borderId="80" xfId="0" applyNumberFormat="1" applyBorder="1" applyAlignment="1">
      <alignment horizontal="center"/>
    </xf>
    <xf numFmtId="0" fontId="8" fillId="13" borderId="59" xfId="0" applyFont="1" applyFill="1" applyBorder="1"/>
    <xf numFmtId="0" fontId="8" fillId="13" borderId="80" xfId="0" applyFont="1" applyFill="1" applyBorder="1" applyAlignment="1">
      <alignment horizontal="center"/>
    </xf>
    <xf numFmtId="0" fontId="0" fillId="0" borderId="80" xfId="0" applyBorder="1" applyAlignment="1">
      <alignment horizontal="center" vertical="center"/>
    </xf>
    <xf numFmtId="0" fontId="0" fillId="0" borderId="80" xfId="0" applyBorder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165" fontId="12" fillId="0" borderId="1" xfId="0" applyNumberFormat="1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/>
    </xf>
    <xf numFmtId="165" fontId="1" fillId="0" borderId="0" xfId="0" applyNumberFormat="1" applyFont="1" applyAlignment="1">
      <alignment horizontal="left" vertical="center"/>
    </xf>
    <xf numFmtId="165" fontId="2" fillId="0" borderId="10" xfId="0" applyNumberFormat="1" applyFont="1" applyFill="1" applyBorder="1" applyAlignment="1">
      <alignment horizontal="left" vertical="center"/>
    </xf>
    <xf numFmtId="165" fontId="2" fillId="0" borderId="1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6" borderId="2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8" borderId="11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1" fillId="6" borderId="61" xfId="0" applyFont="1" applyFill="1" applyBorder="1" applyAlignment="1">
      <alignment horizontal="left" vertical="center" wrapText="1"/>
    </xf>
    <xf numFmtId="0" fontId="1" fillId="6" borderId="58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vertical="center" wrapText="1"/>
    </xf>
    <xf numFmtId="0" fontId="1" fillId="4" borderId="6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0" fillId="13" borderId="62" xfId="0" applyFill="1" applyBorder="1" applyAlignment="1">
      <alignment horizontal="center" vertical="center"/>
    </xf>
    <xf numFmtId="0" fontId="0" fillId="13" borderId="65" xfId="0" applyFill="1" applyBorder="1" applyAlignment="1">
      <alignment horizontal="center" vertical="center"/>
    </xf>
    <xf numFmtId="0" fontId="0" fillId="13" borderId="63" xfId="0" applyFill="1" applyBorder="1" applyAlignment="1">
      <alignment horizontal="center" vertical="center"/>
    </xf>
    <xf numFmtId="0" fontId="8" fillId="13" borderId="6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58" xfId="0" applyFont="1" applyBorder="1"/>
    <xf numFmtId="0" fontId="1" fillId="0" borderId="62" xfId="0" applyFont="1" applyBorder="1"/>
    <xf numFmtId="165" fontId="1" fillId="0" borderId="58" xfId="0" applyNumberFormat="1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58" xfId="0" applyFont="1" applyBorder="1" applyAlignment="1">
      <alignment vertical="center"/>
    </xf>
    <xf numFmtId="165" fontId="1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1" fillId="0" borderId="1" xfId="0" applyFont="1" applyFill="1" applyBorder="1"/>
    <xf numFmtId="0" fontId="1" fillId="15" borderId="1" xfId="0" applyFont="1" applyFill="1" applyBorder="1" applyAlignment="1">
      <alignment horizontal="center" vertical="center"/>
    </xf>
    <xf numFmtId="0" fontId="1" fillId="14" borderId="71" xfId="0" applyFont="1" applyFill="1" applyBorder="1" applyAlignment="1">
      <alignment horizontal="center" vertical="center"/>
    </xf>
    <xf numFmtId="0" fontId="1" fillId="0" borderId="68" xfId="0" applyFont="1" applyBorder="1"/>
    <xf numFmtId="0" fontId="1" fillId="0" borderId="0" xfId="0" applyFont="1" applyAlignment="1">
      <alignment horizontal="center" vertical="center"/>
    </xf>
    <xf numFmtId="0" fontId="1" fillId="0" borderId="68" xfId="0" applyFont="1" applyBorder="1" applyAlignment="1">
      <alignment horizontal="center" vertical="center" wrapText="1"/>
    </xf>
    <xf numFmtId="170" fontId="12" fillId="0" borderId="1" xfId="0" applyNumberFormat="1" applyFont="1" applyBorder="1" applyAlignment="1">
      <alignment horizontal="center" vertical="center"/>
    </xf>
    <xf numFmtId="22" fontId="1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165" fontId="12" fillId="0" borderId="1" xfId="0" applyNumberFormat="1" applyFont="1" applyFill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11" fontId="12" fillId="0" borderId="1" xfId="0" applyNumberFormat="1" applyFont="1" applyFill="1" applyBorder="1" applyAlignment="1">
      <alignment horizontal="center" vertical="center"/>
    </xf>
    <xf numFmtId="0" fontId="12" fillId="0" borderId="1" xfId="0" applyNumberFormat="1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right" vertical="center"/>
    </xf>
    <xf numFmtId="1" fontId="12" fillId="0" borderId="1" xfId="0" applyNumberFormat="1" applyFont="1" applyFill="1" applyBorder="1" applyAlignment="1">
      <alignment horizontal="right" vertical="center"/>
    </xf>
    <xf numFmtId="2" fontId="12" fillId="0" borderId="1" xfId="0" applyNumberFormat="1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right" vertical="center"/>
    </xf>
    <xf numFmtId="0" fontId="1" fillId="14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60" xfId="0" applyFont="1" applyBorder="1" applyAlignment="1">
      <alignment vertical="center"/>
    </xf>
    <xf numFmtId="165" fontId="2" fillId="0" borderId="11" xfId="0" applyNumberFormat="1" applyFont="1" applyFill="1" applyBorder="1" applyAlignment="1">
      <alignment horizontal="center" vertical="center"/>
    </xf>
    <xf numFmtId="2" fontId="2" fillId="0" borderId="1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170" fontId="2" fillId="0" borderId="11" xfId="0" applyNumberFormat="1" applyFont="1" applyBorder="1" applyAlignment="1">
      <alignment horizontal="center" vertical="center"/>
    </xf>
    <xf numFmtId="170" fontId="2" fillId="16" borderId="11" xfId="0" applyNumberFormat="1" applyFont="1" applyFill="1" applyBorder="1" applyAlignment="1">
      <alignment horizontal="center" vertical="center"/>
    </xf>
    <xf numFmtId="170" fontId="1" fillId="0" borderId="0" xfId="0" applyNumberFormat="1" applyFont="1" applyAlignment="1">
      <alignment horizontal="center" vertical="center"/>
    </xf>
    <xf numFmtId="170" fontId="2" fillId="0" borderId="10" xfId="0" applyNumberFormat="1" applyFont="1" applyFill="1" applyBorder="1" applyAlignment="1">
      <alignment horizontal="center" vertical="center"/>
    </xf>
    <xf numFmtId="170" fontId="2" fillId="0" borderId="11" xfId="0" applyNumberFormat="1" applyFont="1" applyFill="1" applyBorder="1" applyAlignment="1">
      <alignment horizontal="center" vertical="center"/>
    </xf>
    <xf numFmtId="170" fontId="2" fillId="14" borderId="11" xfId="0" applyNumberFormat="1" applyFont="1" applyFill="1" applyBorder="1" applyAlignment="1">
      <alignment horizontal="center" vertical="center"/>
    </xf>
    <xf numFmtId="170" fontId="2" fillId="14" borderId="13" xfId="0" applyNumberFormat="1" applyFont="1" applyFill="1" applyBorder="1" applyAlignment="1">
      <alignment horizontal="center" vertical="center"/>
    </xf>
    <xf numFmtId="170" fontId="2" fillId="14" borderId="1" xfId="0" applyNumberFormat="1" applyFont="1" applyFill="1" applyBorder="1" applyAlignment="1">
      <alignment horizontal="center" vertical="center"/>
    </xf>
    <xf numFmtId="170" fontId="2" fillId="14" borderId="10" xfId="0" applyNumberFormat="1" applyFont="1" applyFill="1" applyBorder="1" applyAlignment="1">
      <alignment horizontal="center" vertical="center"/>
    </xf>
    <xf numFmtId="170" fontId="2" fillId="16" borderId="10" xfId="0" applyNumberFormat="1" applyFont="1" applyFill="1" applyBorder="1" applyAlignment="1">
      <alignment horizontal="center" vertical="center"/>
    </xf>
    <xf numFmtId="170" fontId="2" fillId="0" borderId="0" xfId="0" applyNumberFormat="1" applyFont="1" applyAlignment="1">
      <alignment horizontal="center" vertical="center"/>
    </xf>
    <xf numFmtId="1" fontId="2" fillId="0" borderId="10" xfId="0" applyNumberFormat="1" applyFont="1" applyFill="1" applyBorder="1" applyAlignment="1">
      <alignment horizontal="center" vertical="center"/>
    </xf>
    <xf numFmtId="11" fontId="2" fillId="0" borderId="10" xfId="0" applyNumberFormat="1" applyFont="1" applyFill="1" applyBorder="1" applyAlignment="1">
      <alignment horizontal="center" vertical="center"/>
    </xf>
    <xf numFmtId="2" fontId="2" fillId="0" borderId="10" xfId="0" applyNumberFormat="1" applyFont="1" applyFill="1" applyBorder="1" applyAlignment="1">
      <alignment horizontal="right" vertical="center"/>
    </xf>
    <xf numFmtId="0" fontId="2" fillId="0" borderId="5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60" xfId="0" applyFont="1" applyFill="1" applyBorder="1" applyAlignment="1">
      <alignment vertical="center"/>
    </xf>
    <xf numFmtId="0" fontId="2" fillId="0" borderId="11" xfId="0" applyFont="1" applyFill="1" applyBorder="1" applyAlignment="1">
      <alignment horizontal="center" vertical="center"/>
    </xf>
    <xf numFmtId="2" fontId="2" fillId="0" borderId="11" xfId="0" applyNumberFormat="1" applyFont="1" applyFill="1" applyBorder="1" applyAlignment="1">
      <alignment horizontal="center" vertical="center" wrapText="1"/>
    </xf>
    <xf numFmtId="2" fontId="2" fillId="0" borderId="11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165" fontId="2" fillId="0" borderId="11" xfId="0" applyNumberFormat="1" applyFont="1" applyBorder="1" applyAlignment="1">
      <alignment horizontal="left" vertical="center"/>
    </xf>
    <xf numFmtId="165" fontId="2" fillId="16" borderId="11" xfId="0" applyNumberFormat="1" applyFont="1" applyFill="1" applyBorder="1" applyAlignment="1">
      <alignment horizontal="left" vertical="center"/>
    </xf>
    <xf numFmtId="0" fontId="2" fillId="16" borderId="10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2" fontId="2" fillId="16" borderId="11" xfId="0" applyNumberFormat="1" applyFont="1" applyFill="1" applyBorder="1" applyAlignment="1">
      <alignment horizontal="center" vertical="center" wrapText="1"/>
    </xf>
    <xf numFmtId="1" fontId="2" fillId="16" borderId="10" xfId="0" applyNumberFormat="1" applyFont="1" applyFill="1" applyBorder="1" applyAlignment="1">
      <alignment horizontal="center" vertical="center"/>
    </xf>
    <xf numFmtId="2" fontId="2" fillId="16" borderId="11" xfId="0" applyNumberFormat="1" applyFont="1" applyFill="1" applyBorder="1" applyAlignment="1">
      <alignment horizontal="center" vertical="center"/>
    </xf>
    <xf numFmtId="2" fontId="2" fillId="16" borderId="10" xfId="0" applyNumberFormat="1" applyFont="1" applyFill="1" applyBorder="1" applyAlignment="1">
      <alignment horizontal="center" vertical="center"/>
    </xf>
    <xf numFmtId="11" fontId="2" fillId="16" borderId="10" xfId="0" applyNumberFormat="1" applyFont="1" applyFill="1" applyBorder="1" applyAlignment="1">
      <alignment horizontal="center" vertical="center"/>
    </xf>
    <xf numFmtId="2" fontId="2" fillId="16" borderId="10" xfId="0" applyNumberFormat="1" applyFont="1" applyFill="1" applyBorder="1" applyAlignment="1">
      <alignment horizontal="right" vertical="center"/>
    </xf>
    <xf numFmtId="0" fontId="2" fillId="16" borderId="12" xfId="0" applyFont="1" applyFill="1" applyBorder="1" applyAlignment="1">
      <alignment horizontal="center" vertical="center"/>
    </xf>
    <xf numFmtId="0" fontId="2" fillId="16" borderId="60" xfId="0" applyFont="1" applyFill="1" applyBorder="1" applyAlignment="1">
      <alignment vertical="center"/>
    </xf>
    <xf numFmtId="0" fontId="2" fillId="16" borderId="1" xfId="0" applyFont="1" applyFill="1" applyBorder="1" applyAlignment="1">
      <alignment vertical="center"/>
    </xf>
    <xf numFmtId="167" fontId="2" fillId="0" borderId="11" xfId="0" applyNumberFormat="1" applyFont="1" applyFill="1" applyBorder="1" applyAlignment="1">
      <alignment horizontal="center" vertical="center"/>
    </xf>
    <xf numFmtId="0" fontId="2" fillId="16" borderId="11" xfId="0" applyNumberFormat="1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2" fontId="2" fillId="14" borderId="11" xfId="0" applyNumberFormat="1" applyFont="1" applyFill="1" applyBorder="1" applyAlignment="1">
      <alignment horizontal="center" vertical="center" wrapText="1"/>
    </xf>
    <xf numFmtId="165" fontId="2" fillId="14" borderId="11" xfId="0" applyNumberFormat="1" applyFont="1" applyFill="1" applyBorder="1" applyAlignment="1">
      <alignment horizontal="center" vertical="center"/>
    </xf>
    <xf numFmtId="1" fontId="2" fillId="14" borderId="10" xfId="0" applyNumberFormat="1" applyFont="1" applyFill="1" applyBorder="1" applyAlignment="1">
      <alignment horizontal="center" vertical="center"/>
    </xf>
    <xf numFmtId="2" fontId="2" fillId="14" borderId="10" xfId="0" applyNumberFormat="1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4" borderId="60" xfId="0" applyFont="1" applyFill="1" applyBorder="1" applyAlignment="1">
      <alignment vertical="center"/>
    </xf>
    <xf numFmtId="0" fontId="2" fillId="14" borderId="1" xfId="0" applyFont="1" applyFill="1" applyBorder="1" applyAlignment="1">
      <alignment vertical="center"/>
    </xf>
    <xf numFmtId="165" fontId="2" fillId="14" borderId="11" xfId="0" applyNumberFormat="1" applyFont="1" applyFill="1" applyBorder="1" applyAlignment="1">
      <alignment horizontal="left" vertical="center"/>
    </xf>
    <xf numFmtId="0" fontId="2" fillId="14" borderId="0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165" fontId="2" fillId="14" borderId="13" xfId="0" applyNumberFormat="1" applyFont="1" applyFill="1" applyBorder="1" applyAlignment="1">
      <alignment horizontal="center"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14" xfId="0" applyFont="1" applyFill="1" applyBorder="1" applyAlignment="1">
      <alignment horizontal="center" vertical="center"/>
    </xf>
    <xf numFmtId="2" fontId="2" fillId="16" borderId="54" xfId="0" applyNumberFormat="1" applyFont="1" applyFill="1" applyBorder="1" applyAlignment="1">
      <alignment horizontal="right" vertical="center"/>
    </xf>
    <xf numFmtId="2" fontId="2" fillId="14" borderId="1" xfId="0" applyNumberFormat="1" applyFont="1" applyFill="1" applyBorder="1" applyAlignment="1">
      <alignment horizontal="center" vertical="center"/>
    </xf>
    <xf numFmtId="0" fontId="2" fillId="14" borderId="52" xfId="0" applyFont="1" applyFill="1" applyBorder="1" applyAlignment="1">
      <alignment horizontal="center" vertical="center"/>
    </xf>
    <xf numFmtId="2" fontId="2" fillId="16" borderId="0" xfId="0" applyNumberFormat="1" applyFont="1" applyFill="1" applyBorder="1" applyAlignment="1">
      <alignment horizontal="right" vertical="center"/>
    </xf>
    <xf numFmtId="0" fontId="16" fillId="16" borderId="0" xfId="0" applyFont="1" applyFill="1" applyBorder="1" applyAlignment="1">
      <alignment vertical="center" wrapText="1"/>
    </xf>
    <xf numFmtId="165" fontId="2" fillId="14" borderId="10" xfId="0" applyNumberFormat="1" applyFont="1" applyFill="1" applyBorder="1" applyAlignment="1">
      <alignment horizontal="left" vertical="center"/>
    </xf>
    <xf numFmtId="11" fontId="2" fillId="14" borderId="11" xfId="0" applyNumberFormat="1" applyFont="1" applyFill="1" applyBorder="1" applyAlignment="1">
      <alignment vertical="center"/>
    </xf>
    <xf numFmtId="0" fontId="2" fillId="14" borderId="11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170" fontId="2" fillId="14" borderId="12" xfId="0" applyNumberFormat="1" applyFont="1" applyFill="1" applyBorder="1" applyAlignment="1">
      <alignment horizontal="center" vertical="center"/>
    </xf>
    <xf numFmtId="171" fontId="2" fillId="0" borderId="10" xfId="0" applyNumberFormat="1" applyFont="1" applyFill="1" applyBorder="1" applyAlignment="1">
      <alignment horizontal="center" vertical="center"/>
    </xf>
    <xf numFmtId="171" fontId="2" fillId="0" borderId="11" xfId="0" applyNumberFormat="1" applyFont="1" applyBorder="1" applyAlignment="1">
      <alignment horizontal="center" vertical="center"/>
    </xf>
    <xf numFmtId="171" fontId="2" fillId="0" borderId="11" xfId="0" applyNumberFormat="1" applyFont="1" applyFill="1" applyBorder="1" applyAlignment="1">
      <alignment horizontal="center" vertical="center"/>
    </xf>
    <xf numFmtId="171" fontId="2" fillId="16" borderId="11" xfId="0" applyNumberFormat="1" applyFont="1" applyFill="1" applyBorder="1" applyAlignment="1">
      <alignment horizontal="center" vertical="center"/>
    </xf>
    <xf numFmtId="171" fontId="2" fillId="14" borderId="10" xfId="0" applyNumberFormat="1" applyFont="1" applyFill="1" applyBorder="1" applyAlignment="1">
      <alignment horizontal="center" vertical="center"/>
    </xf>
    <xf numFmtId="171" fontId="2" fillId="14" borderId="11" xfId="0" applyNumberFormat="1" applyFont="1" applyFill="1" applyBorder="1" applyAlignment="1">
      <alignment horizontal="center" vertical="center"/>
    </xf>
    <xf numFmtId="171" fontId="2" fillId="14" borderId="74" xfId="0" applyNumberFormat="1" applyFont="1" applyFill="1" applyBorder="1" applyAlignment="1">
      <alignment horizontal="center" vertical="center"/>
    </xf>
    <xf numFmtId="171" fontId="2" fillId="14" borderId="1" xfId="0" applyNumberFormat="1" applyFont="1" applyFill="1" applyBorder="1" applyAlignment="1">
      <alignment horizontal="center" vertical="center"/>
    </xf>
    <xf numFmtId="171" fontId="1" fillId="0" borderId="0" xfId="0" applyNumberFormat="1" applyFont="1" applyAlignment="1">
      <alignment horizontal="center" vertical="center"/>
    </xf>
    <xf numFmtId="2" fontId="12" fillId="0" borderId="11" xfId="0" applyNumberFormat="1" applyFont="1" applyBorder="1" applyAlignment="1">
      <alignment horizontal="center" vertical="center"/>
    </xf>
    <xf numFmtId="2" fontId="12" fillId="0" borderId="10" xfId="0" applyNumberFormat="1" applyFont="1" applyBorder="1" applyAlignment="1">
      <alignment horizontal="center" vertical="center"/>
    </xf>
    <xf numFmtId="2" fontId="2" fillId="0" borderId="13" xfId="0" applyNumberFormat="1" applyFont="1" applyFill="1" applyBorder="1" applyAlignment="1">
      <alignment horizontal="center" vertical="center"/>
    </xf>
    <xf numFmtId="2" fontId="2" fillId="0" borderId="54" xfId="0" applyNumberFormat="1" applyFont="1" applyFill="1" applyBorder="1" applyAlignment="1">
      <alignment horizontal="right" vertical="center"/>
    </xf>
    <xf numFmtId="170" fontId="2" fillId="0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71" fontId="2" fillId="0" borderId="1" xfId="0" applyNumberFormat="1" applyFont="1" applyFill="1" applyBorder="1" applyAlignment="1">
      <alignment horizontal="center" vertical="center"/>
    </xf>
    <xf numFmtId="169" fontId="2" fillId="0" borderId="10" xfId="0" applyNumberFormat="1" applyFont="1" applyFill="1" applyBorder="1" applyAlignment="1">
      <alignment horizontal="center" vertical="center"/>
    </xf>
    <xf numFmtId="11" fontId="2" fillId="0" borderId="11" xfId="0" applyNumberFormat="1" applyFont="1" applyFill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165" fontId="2" fillId="0" borderId="1" xfId="0" applyNumberFormat="1" applyFont="1" applyFill="1" applyBorder="1" applyAlignment="1">
      <alignment horizontal="left" vertical="center"/>
    </xf>
    <xf numFmtId="1" fontId="2" fillId="0" borderId="1" xfId="0" applyNumberFormat="1" applyFont="1" applyFill="1" applyBorder="1" applyAlignment="1">
      <alignment horizontal="center" vertical="center"/>
    </xf>
    <xf numFmtId="11" fontId="2" fillId="0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right" vertical="center"/>
    </xf>
    <xf numFmtId="166" fontId="2" fillId="0" borderId="1" xfId="0" applyNumberFormat="1" applyFont="1" applyFill="1" applyBorder="1" applyAlignment="1">
      <alignment horizontal="center" vertical="center"/>
    </xf>
    <xf numFmtId="171" fontId="1" fillId="0" borderId="1" xfId="0" applyNumberFormat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left" vertical="center"/>
    </xf>
    <xf numFmtId="2" fontId="2" fillId="14" borderId="10" xfId="0" applyNumberFormat="1" applyFont="1" applyFill="1" applyBorder="1" applyAlignment="1">
      <alignment horizontal="center" vertical="center" wrapText="1"/>
    </xf>
    <xf numFmtId="0" fontId="2" fillId="14" borderId="62" xfId="0" applyFont="1" applyFill="1" applyBorder="1" applyAlignment="1">
      <alignment vertical="center"/>
    </xf>
    <xf numFmtId="0" fontId="2" fillId="14" borderId="58" xfId="0" applyFont="1" applyFill="1" applyBorder="1" applyAlignment="1">
      <alignment vertical="center"/>
    </xf>
    <xf numFmtId="1" fontId="5" fillId="14" borderId="11" xfId="0" applyNumberFormat="1" applyFont="1" applyFill="1" applyBorder="1" applyAlignment="1">
      <alignment horizontal="center" vertical="center" wrapText="1"/>
    </xf>
    <xf numFmtId="171" fontId="2" fillId="14" borderId="13" xfId="0" applyNumberFormat="1" applyFont="1" applyFill="1" applyBorder="1" applyAlignment="1">
      <alignment horizontal="center" vertical="center"/>
    </xf>
    <xf numFmtId="165" fontId="2" fillId="14" borderId="13" xfId="0" applyNumberFormat="1" applyFont="1" applyFill="1" applyBorder="1" applyAlignment="1">
      <alignment horizontal="left" vertical="center"/>
    </xf>
    <xf numFmtId="0" fontId="2" fillId="14" borderId="13" xfId="0" applyFont="1" applyFill="1" applyBorder="1" applyAlignment="1">
      <alignment vertical="center"/>
    </xf>
    <xf numFmtId="0" fontId="2" fillId="14" borderId="67" xfId="0" applyFont="1" applyFill="1" applyBorder="1" applyAlignment="1">
      <alignment vertical="center"/>
    </xf>
    <xf numFmtId="0" fontId="2" fillId="14" borderId="2" xfId="0" applyFont="1" applyFill="1" applyBorder="1" applyAlignment="1">
      <alignment vertical="center"/>
    </xf>
    <xf numFmtId="0" fontId="3" fillId="17" borderId="11" xfId="0" applyFont="1" applyFill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17" borderId="11" xfId="0" applyFont="1" applyFill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2" fontId="2" fillId="0" borderId="11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8" fillId="13" borderId="0" xfId="0" applyFont="1" applyFill="1" applyAlignment="1">
      <alignment horizontal="center"/>
    </xf>
    <xf numFmtId="0" fontId="0" fillId="13" borderId="0" xfId="0" applyFill="1"/>
    <xf numFmtId="4" fontId="0" fillId="0" borderId="0" xfId="0" applyNumberFormat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170" fontId="2" fillId="0" borderId="10" xfId="0" applyNumberFormat="1" applyFont="1" applyBorder="1" applyAlignment="1">
      <alignment horizontal="center" vertical="center"/>
    </xf>
    <xf numFmtId="1" fontId="2" fillId="0" borderId="10" xfId="0" applyNumberFormat="1" applyFont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2" fontId="2" fillId="0" borderId="11" xfId="0" applyNumberFormat="1" applyFont="1" applyBorder="1" applyAlignment="1">
      <alignment horizontal="center" vertical="center"/>
    </xf>
    <xf numFmtId="173" fontId="0" fillId="0" borderId="82" xfId="0" applyNumberFormat="1" applyBorder="1" applyAlignment="1">
      <alignment horizontal="center" vertical="center"/>
    </xf>
    <xf numFmtId="173" fontId="0" fillId="0" borderId="11" xfId="0" applyNumberFormat="1" applyBorder="1" applyAlignment="1">
      <alignment horizontal="center" vertical="center"/>
    </xf>
    <xf numFmtId="166" fontId="2" fillId="0" borderId="10" xfId="0" applyNumberFormat="1" applyFont="1" applyFill="1" applyBorder="1" applyAlignment="1">
      <alignment horizontal="center" vertical="center"/>
    </xf>
    <xf numFmtId="165" fontId="2" fillId="0" borderId="10" xfId="0" applyNumberFormat="1" applyFont="1" applyBorder="1" applyAlignment="1">
      <alignment horizontal="left" vertical="center"/>
    </xf>
    <xf numFmtId="2" fontId="12" fillId="19" borderId="11" xfId="0" applyNumberFormat="1" applyFont="1" applyFill="1" applyBorder="1" applyAlignment="1">
      <alignment horizontal="center" vertical="center"/>
    </xf>
    <xf numFmtId="2" fontId="12" fillId="19" borderId="10" xfId="0" applyNumberFormat="1" applyFont="1" applyFill="1" applyBorder="1" applyAlignment="1">
      <alignment horizontal="center" vertical="center"/>
    </xf>
    <xf numFmtId="2" fontId="2" fillId="19" borderId="11" xfId="0" applyNumberFormat="1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wrapText="1"/>
    </xf>
    <xf numFmtId="0" fontId="3" fillId="0" borderId="11" xfId="0" applyFont="1" applyFill="1" applyBorder="1" applyAlignment="1">
      <alignment horizontal="center" wrapText="1"/>
    </xf>
    <xf numFmtId="0" fontId="0" fillId="0" borderId="1" xfId="0" applyFill="1" applyBorder="1"/>
    <xf numFmtId="166" fontId="0" fillId="0" borderId="1" xfId="0" applyNumberFormat="1" applyFill="1" applyBorder="1"/>
    <xf numFmtId="173" fontId="0" fillId="0" borderId="11" xfId="0" applyNumberFormat="1" applyFill="1" applyBorder="1" applyAlignment="1">
      <alignment horizontal="center" vertical="center"/>
    </xf>
    <xf numFmtId="0" fontId="12" fillId="0" borderId="0" xfId="0" applyFont="1" applyFill="1" applyAlignment="1">
      <alignment horizontal="center"/>
    </xf>
    <xf numFmtId="0" fontId="2" fillId="14" borderId="10" xfId="0" applyFont="1" applyFill="1" applyBorder="1" applyAlignment="1">
      <alignment vertical="center"/>
    </xf>
    <xf numFmtId="0" fontId="2" fillId="0" borderId="10" xfId="0" applyFont="1" applyFill="1" applyBorder="1" applyAlignment="1">
      <alignment vertical="center"/>
    </xf>
    <xf numFmtId="171" fontId="1" fillId="0" borderId="58" xfId="0" applyNumberFormat="1" applyFont="1" applyBorder="1" applyAlignment="1">
      <alignment horizontal="center" vertical="center"/>
    </xf>
    <xf numFmtId="165" fontId="1" fillId="0" borderId="58" xfId="0" applyNumberFormat="1" applyFont="1" applyBorder="1" applyAlignment="1">
      <alignment horizontal="left" vertical="center"/>
    </xf>
    <xf numFmtId="170" fontId="2" fillId="0" borderId="58" xfId="0" applyNumberFormat="1" applyFont="1" applyBorder="1" applyAlignment="1">
      <alignment horizontal="center" vertical="center"/>
    </xf>
    <xf numFmtId="170" fontId="1" fillId="0" borderId="58" xfId="0" applyNumberFormat="1" applyFont="1" applyBorder="1" applyAlignment="1">
      <alignment horizontal="center" vertical="center"/>
    </xf>
    <xf numFmtId="0" fontId="1" fillId="0" borderId="58" xfId="0" applyFont="1" applyFill="1" applyBorder="1" applyAlignment="1">
      <alignment vertical="center"/>
    </xf>
    <xf numFmtId="0" fontId="3" fillId="17" borderId="12" xfId="0" applyFont="1" applyFill="1" applyBorder="1" applyAlignment="1">
      <alignment horizontal="center" wrapText="1"/>
    </xf>
    <xf numFmtId="0" fontId="7" fillId="17" borderId="11" xfId="0" applyFont="1" applyFill="1" applyBorder="1" applyAlignment="1">
      <alignment horizontal="center" wrapText="1"/>
    </xf>
    <xf numFmtId="2" fontId="2" fillId="14" borderId="1" xfId="0" applyNumberFormat="1" applyFont="1" applyFill="1" applyBorder="1" applyAlignment="1">
      <alignment horizontal="center" vertical="center" wrapText="1"/>
    </xf>
    <xf numFmtId="2" fontId="2" fillId="14" borderId="1" xfId="0" applyNumberFormat="1" applyFont="1" applyFill="1" applyBorder="1" applyAlignment="1">
      <alignment horizontal="right" vertical="center"/>
    </xf>
    <xf numFmtId="2" fontId="1" fillId="0" borderId="1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1" fillId="0" borderId="12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171" fontId="2" fillId="20" borderId="11" xfId="0" applyNumberFormat="1" applyFont="1" applyFill="1" applyBorder="1" applyAlignment="1">
      <alignment horizontal="center" vertical="center"/>
    </xf>
    <xf numFmtId="165" fontId="2" fillId="20" borderId="11" xfId="0" applyNumberFormat="1" applyFont="1" applyFill="1" applyBorder="1" applyAlignment="1">
      <alignment horizontal="left" vertical="center"/>
    </xf>
    <xf numFmtId="0" fontId="2" fillId="20" borderId="10" xfId="0" applyFont="1" applyFill="1" applyBorder="1" applyAlignment="1">
      <alignment horizontal="center" vertical="center"/>
    </xf>
    <xf numFmtId="0" fontId="2" fillId="20" borderId="11" xfId="0" applyFont="1" applyFill="1" applyBorder="1" applyAlignment="1">
      <alignment horizontal="center" vertical="center"/>
    </xf>
    <xf numFmtId="170" fontId="2" fillId="20" borderId="11" xfId="0" applyNumberFormat="1" applyFont="1" applyFill="1" applyBorder="1" applyAlignment="1">
      <alignment horizontal="center" vertical="center"/>
    </xf>
    <xf numFmtId="2" fontId="2" fillId="20" borderId="11" xfId="0" applyNumberFormat="1" applyFont="1" applyFill="1" applyBorder="1" applyAlignment="1">
      <alignment horizontal="center" vertical="center" wrapText="1"/>
    </xf>
    <xf numFmtId="1" fontId="2" fillId="20" borderId="10" xfId="0" applyNumberFormat="1" applyFont="1" applyFill="1" applyBorder="1" applyAlignment="1">
      <alignment horizontal="center" vertical="center"/>
    </xf>
    <xf numFmtId="2" fontId="2" fillId="20" borderId="11" xfId="0" applyNumberFormat="1" applyFont="1" applyFill="1" applyBorder="1" applyAlignment="1">
      <alignment horizontal="center" vertical="center"/>
    </xf>
    <xf numFmtId="2" fontId="2" fillId="20" borderId="10" xfId="0" applyNumberFormat="1" applyFont="1" applyFill="1" applyBorder="1" applyAlignment="1">
      <alignment horizontal="center" vertical="center"/>
    </xf>
    <xf numFmtId="11" fontId="2" fillId="20" borderId="10" xfId="0" applyNumberFormat="1" applyFont="1" applyFill="1" applyBorder="1" applyAlignment="1">
      <alignment horizontal="center" vertical="center"/>
    </xf>
    <xf numFmtId="2" fontId="2" fillId="20" borderId="10" xfId="0" applyNumberFormat="1" applyFont="1" applyFill="1" applyBorder="1" applyAlignment="1">
      <alignment horizontal="right" vertical="center"/>
    </xf>
    <xf numFmtId="0" fontId="2" fillId="20" borderId="12" xfId="0" applyFont="1" applyFill="1" applyBorder="1" applyAlignment="1">
      <alignment horizontal="center" vertical="center"/>
    </xf>
    <xf numFmtId="0" fontId="2" fillId="20" borderId="60" xfId="0" applyFont="1" applyFill="1" applyBorder="1" applyAlignment="1">
      <alignment vertical="center"/>
    </xf>
    <xf numFmtId="0" fontId="2" fillId="20" borderId="1" xfId="0" applyFont="1" applyFill="1" applyBorder="1" applyAlignment="1">
      <alignment vertical="center"/>
    </xf>
    <xf numFmtId="0" fontId="2" fillId="20" borderId="0" xfId="0" applyFont="1" applyFill="1" applyBorder="1" applyAlignment="1">
      <alignment vertical="center"/>
    </xf>
    <xf numFmtId="0" fontId="2" fillId="9" borderId="64" xfId="0" applyFont="1" applyFill="1" applyBorder="1" applyAlignment="1">
      <alignment vertical="center"/>
    </xf>
    <xf numFmtId="0" fontId="1" fillId="6" borderId="63" xfId="0" applyFont="1" applyFill="1" applyBorder="1" applyAlignment="1">
      <alignment horizontal="center" vertical="center" wrapText="1"/>
    </xf>
    <xf numFmtId="2" fontId="2" fillId="14" borderId="54" xfId="0" applyNumberFormat="1" applyFont="1" applyFill="1" applyBorder="1" applyAlignment="1">
      <alignment horizontal="right" vertical="center"/>
    </xf>
    <xf numFmtId="0" fontId="1" fillId="0" borderId="63" xfId="0" applyFont="1" applyBorder="1" applyAlignment="1">
      <alignment vertical="center"/>
    </xf>
    <xf numFmtId="2" fontId="2" fillId="14" borderId="81" xfId="0" applyNumberFormat="1" applyFont="1" applyFill="1" applyBorder="1" applyAlignment="1">
      <alignment horizontal="right" vertical="center"/>
    </xf>
    <xf numFmtId="2" fontId="2" fillId="20" borderId="54" xfId="0" applyNumberFormat="1" applyFont="1" applyFill="1" applyBorder="1" applyAlignment="1">
      <alignment horizontal="right" vertical="center"/>
    </xf>
    <xf numFmtId="2" fontId="2" fillId="14" borderId="53" xfId="0" applyNumberFormat="1" applyFont="1" applyFill="1" applyBorder="1" applyAlignment="1">
      <alignment horizontal="right" vertical="center"/>
    </xf>
    <xf numFmtId="2" fontId="2" fillId="14" borderId="61" xfId="0" applyNumberFormat="1" applyFont="1" applyFill="1" applyBorder="1" applyAlignment="1">
      <alignment horizontal="right" vertical="center"/>
    </xf>
    <xf numFmtId="11" fontId="2" fillId="14" borderId="64" xfId="0" applyNumberFormat="1" applyFont="1" applyFill="1" applyBorder="1" applyAlignment="1">
      <alignment vertical="center"/>
    </xf>
    <xf numFmtId="11" fontId="2" fillId="14" borderId="54" xfId="0" applyNumberFormat="1" applyFont="1" applyFill="1" applyBorder="1" applyAlignment="1">
      <alignment vertical="center"/>
    </xf>
    <xf numFmtId="0" fontId="2" fillId="14" borderId="64" xfId="0" applyFont="1" applyFill="1" applyBorder="1" applyAlignment="1">
      <alignment vertical="center"/>
    </xf>
    <xf numFmtId="0" fontId="2" fillId="14" borderId="83" xfId="0" applyFont="1" applyFill="1" applyBorder="1" applyAlignment="1">
      <alignment vertical="center"/>
    </xf>
    <xf numFmtId="0" fontId="2" fillId="14" borderId="53" xfId="0" applyFont="1" applyFill="1" applyBorder="1" applyAlignment="1">
      <alignment vertical="center"/>
    </xf>
    <xf numFmtId="2" fontId="2" fillId="16" borderId="1" xfId="0" applyNumberFormat="1" applyFont="1" applyFill="1" applyBorder="1" applyAlignment="1">
      <alignment horizontal="right" vertical="center"/>
    </xf>
    <xf numFmtId="2" fontId="2" fillId="20" borderId="1" xfId="0" applyNumberFormat="1" applyFont="1" applyFill="1" applyBorder="1" applyAlignment="1">
      <alignment horizontal="right" vertical="center"/>
    </xf>
    <xf numFmtId="11" fontId="2" fillId="14" borderId="1" xfId="0" applyNumberFormat="1" applyFont="1" applyFill="1" applyBorder="1" applyAlignment="1">
      <alignment vertical="center"/>
    </xf>
    <xf numFmtId="171" fontId="2" fillId="16" borderId="10" xfId="0" applyNumberFormat="1" applyFont="1" applyFill="1" applyBorder="1" applyAlignment="1">
      <alignment horizontal="center" vertical="center"/>
    </xf>
    <xf numFmtId="165" fontId="2" fillId="16" borderId="10" xfId="0" applyNumberFormat="1" applyFont="1" applyFill="1" applyBorder="1" applyAlignment="1">
      <alignment horizontal="left" vertical="center"/>
    </xf>
    <xf numFmtId="2" fontId="2" fillId="16" borderId="58" xfId="0" applyNumberFormat="1" applyFont="1" applyFill="1" applyBorder="1" applyAlignment="1">
      <alignment horizontal="right" vertical="center"/>
    </xf>
    <xf numFmtId="0" fontId="2" fillId="16" borderId="62" xfId="0" applyFont="1" applyFill="1" applyBorder="1" applyAlignment="1">
      <alignment vertical="center"/>
    </xf>
    <xf numFmtId="0" fontId="2" fillId="16" borderId="58" xfId="0" applyFont="1" applyFill="1" applyBorder="1" applyAlignment="1">
      <alignment vertical="center"/>
    </xf>
    <xf numFmtId="171" fontId="2" fillId="14" borderId="58" xfId="0" applyNumberFormat="1" applyFont="1" applyFill="1" applyBorder="1" applyAlignment="1">
      <alignment horizontal="center" vertical="center"/>
    </xf>
    <xf numFmtId="165" fontId="2" fillId="0" borderId="58" xfId="0" applyNumberFormat="1" applyFont="1" applyFill="1" applyBorder="1" applyAlignment="1">
      <alignment horizontal="left" vertical="center"/>
    </xf>
    <xf numFmtId="0" fontId="2" fillId="14" borderId="58" xfId="0" applyFont="1" applyFill="1" applyBorder="1" applyAlignment="1">
      <alignment horizontal="center" vertical="center"/>
    </xf>
    <xf numFmtId="0" fontId="2" fillId="0" borderId="58" xfId="0" applyFont="1" applyFill="1" applyBorder="1" applyAlignment="1">
      <alignment horizontal="center" vertical="center"/>
    </xf>
    <xf numFmtId="170" fontId="2" fillId="0" borderId="58" xfId="0" applyNumberFormat="1" applyFont="1" applyFill="1" applyBorder="1" applyAlignment="1">
      <alignment horizontal="center" vertical="center"/>
    </xf>
    <xf numFmtId="0" fontId="2" fillId="14" borderId="74" xfId="0" applyFont="1" applyFill="1" applyBorder="1" applyAlignment="1">
      <alignment horizontal="center" vertical="center"/>
    </xf>
    <xf numFmtId="0" fontId="3" fillId="17" borderId="74" xfId="0" applyFont="1" applyFill="1" applyBorder="1" applyAlignment="1">
      <alignment horizontal="center" wrapText="1"/>
    </xf>
    <xf numFmtId="170" fontId="2" fillId="0" borderId="74" xfId="0" applyNumberFormat="1" applyFont="1" applyBorder="1" applyAlignment="1">
      <alignment horizontal="center" vertical="center"/>
    </xf>
    <xf numFmtId="0" fontId="1" fillId="14" borderId="58" xfId="0" applyFont="1" applyFill="1" applyBorder="1" applyAlignment="1">
      <alignment horizontal="center" vertical="center"/>
    </xf>
    <xf numFmtId="1" fontId="2" fillId="0" borderId="58" xfId="0" applyNumberFormat="1" applyFont="1" applyBorder="1" applyAlignment="1">
      <alignment horizontal="center" vertical="center"/>
    </xf>
    <xf numFmtId="2" fontId="1" fillId="14" borderId="74" xfId="0" applyNumberFormat="1" applyFont="1" applyFill="1" applyBorder="1" applyAlignment="1">
      <alignment horizontal="center" vertical="center"/>
    </xf>
    <xf numFmtId="0" fontId="1" fillId="14" borderId="74" xfId="0" applyFont="1" applyFill="1" applyBorder="1" applyAlignment="1">
      <alignment horizontal="center" vertical="center"/>
    </xf>
    <xf numFmtId="2" fontId="1" fillId="14" borderId="58" xfId="0" applyNumberFormat="1" applyFont="1" applyFill="1" applyBorder="1" applyAlignment="1">
      <alignment horizontal="center" vertical="center"/>
    </xf>
    <xf numFmtId="166" fontId="2" fillId="0" borderId="58" xfId="0" applyNumberFormat="1" applyFont="1" applyFill="1" applyBorder="1" applyAlignment="1">
      <alignment horizontal="center" vertical="center"/>
    </xf>
    <xf numFmtId="11" fontId="2" fillId="0" borderId="58" xfId="0" applyNumberFormat="1" applyFont="1" applyFill="1" applyBorder="1" applyAlignment="1">
      <alignment horizontal="center" vertical="center"/>
    </xf>
    <xf numFmtId="2" fontId="2" fillId="0" borderId="58" xfId="0" applyNumberFormat="1" applyFont="1" applyFill="1" applyBorder="1" applyAlignment="1">
      <alignment horizontal="center" vertical="center"/>
    </xf>
    <xf numFmtId="173" fontId="0" fillId="0" borderId="74" xfId="0" applyNumberFormat="1" applyBorder="1" applyAlignment="1">
      <alignment horizontal="center" vertical="center"/>
    </xf>
    <xf numFmtId="2" fontId="2" fillId="0" borderId="58" xfId="0" applyNumberFormat="1" applyFont="1" applyFill="1" applyBorder="1" applyAlignment="1">
      <alignment horizontal="right" vertical="center"/>
    </xf>
    <xf numFmtId="2" fontId="2" fillId="14" borderId="58" xfId="0" applyNumberFormat="1" applyFont="1" applyFill="1" applyBorder="1" applyAlignment="1">
      <alignment horizontal="right" vertical="center"/>
    </xf>
    <xf numFmtId="0" fontId="2" fillId="0" borderId="58" xfId="0" applyFont="1" applyFill="1" applyBorder="1" applyAlignment="1">
      <alignment vertical="center"/>
    </xf>
    <xf numFmtId="2" fontId="1" fillId="14" borderId="1" xfId="0" applyNumberFormat="1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wrapText="1"/>
    </xf>
    <xf numFmtId="170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73" fontId="0" fillId="0" borderId="1" xfId="0" applyNumberFormat="1" applyBorder="1" applyAlignment="1">
      <alignment horizontal="center" vertical="center"/>
    </xf>
    <xf numFmtId="165" fontId="1" fillId="0" borderId="1" xfId="0" applyNumberFormat="1" applyFont="1" applyBorder="1" applyAlignment="1">
      <alignment horizontal="left" vertical="center"/>
    </xf>
    <xf numFmtId="171" fontId="2" fillId="20" borderId="64" xfId="0" applyNumberFormat="1" applyFont="1" applyFill="1" applyBorder="1" applyAlignment="1">
      <alignment vertical="center"/>
    </xf>
    <xf numFmtId="165" fontId="2" fillId="20" borderId="64" xfId="0" applyNumberFormat="1" applyFont="1" applyFill="1" applyBorder="1" applyAlignment="1">
      <alignment horizontal="left" vertical="center"/>
    </xf>
    <xf numFmtId="0" fontId="2" fillId="20" borderId="64" xfId="0" applyFont="1" applyFill="1" applyBorder="1" applyAlignment="1">
      <alignment vertical="center"/>
    </xf>
    <xf numFmtId="170" fontId="2" fillId="20" borderId="64" xfId="0" applyNumberFormat="1" applyFont="1" applyFill="1" applyBorder="1" applyAlignment="1">
      <alignment vertical="center"/>
    </xf>
    <xf numFmtId="2" fontId="2" fillId="20" borderId="64" xfId="0" applyNumberFormat="1" applyFont="1" applyFill="1" applyBorder="1" applyAlignment="1">
      <alignment horizontal="right" vertical="center"/>
    </xf>
    <xf numFmtId="0" fontId="2" fillId="21" borderId="11" xfId="0" applyFont="1" applyFill="1" applyBorder="1" applyAlignment="1">
      <alignment horizontal="center" wrapText="1"/>
    </xf>
    <xf numFmtId="0" fontId="3" fillId="9" borderId="11" xfId="0" applyFont="1" applyFill="1" applyBorder="1" applyAlignment="1">
      <alignment horizontal="center" wrapText="1"/>
    </xf>
    <xf numFmtId="0" fontId="3" fillId="21" borderId="11" xfId="0" applyFont="1" applyFill="1" applyBorder="1" applyAlignment="1">
      <alignment horizontal="center" wrapText="1"/>
    </xf>
    <xf numFmtId="0" fontId="1" fillId="9" borderId="58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21" borderId="74" xfId="0" applyFont="1" applyFill="1" applyBorder="1" applyAlignment="1">
      <alignment horizontal="center" wrapText="1"/>
    </xf>
    <xf numFmtId="0" fontId="3" fillId="21" borderId="1" xfId="0" applyFont="1" applyFill="1" applyBorder="1" applyAlignment="1">
      <alignment horizontal="center" wrapText="1"/>
    </xf>
    <xf numFmtId="0" fontId="2" fillId="9" borderId="13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2" fontId="2" fillId="14" borderId="13" xfId="0" applyNumberFormat="1" applyFont="1" applyFill="1" applyBorder="1" applyAlignment="1">
      <alignment horizontal="center" vertical="center"/>
    </xf>
    <xf numFmtId="11" fontId="2" fillId="14" borderId="2" xfId="0" applyNumberFormat="1" applyFont="1" applyFill="1" applyBorder="1" applyAlignment="1">
      <alignment vertical="center"/>
    </xf>
    <xf numFmtId="11" fontId="2" fillId="14" borderId="83" xfId="0" applyNumberFormat="1" applyFont="1" applyFill="1" applyBorder="1" applyAlignment="1">
      <alignment vertical="center"/>
    </xf>
    <xf numFmtId="0" fontId="16" fillId="14" borderId="14" xfId="0" applyFont="1" applyFill="1" applyBorder="1" applyAlignment="1">
      <alignment vertical="center" wrapText="1"/>
    </xf>
    <xf numFmtId="171" fontId="2" fillId="14" borderId="52" xfId="0" applyNumberFormat="1" applyFont="1" applyFill="1" applyBorder="1" applyAlignment="1">
      <alignment horizontal="center" vertical="center"/>
    </xf>
    <xf numFmtId="11" fontId="2" fillId="14" borderId="58" xfId="0" applyNumberFormat="1" applyFont="1" applyFill="1" applyBorder="1" applyAlignment="1">
      <alignment vertical="center"/>
    </xf>
    <xf numFmtId="171" fontId="2" fillId="20" borderId="10" xfId="0" applyNumberFormat="1" applyFont="1" applyFill="1" applyBorder="1" applyAlignment="1">
      <alignment horizontal="center" vertical="center"/>
    </xf>
    <xf numFmtId="165" fontId="2" fillId="20" borderId="10" xfId="0" applyNumberFormat="1" applyFont="1" applyFill="1" applyBorder="1" applyAlignment="1">
      <alignment horizontal="left" vertical="center"/>
    </xf>
    <xf numFmtId="169" fontId="2" fillId="20" borderId="10" xfId="0" applyNumberFormat="1" applyFont="1" applyFill="1" applyBorder="1" applyAlignment="1">
      <alignment horizontal="center" vertical="center"/>
    </xf>
    <xf numFmtId="167" fontId="2" fillId="20" borderId="11" xfId="0" applyNumberFormat="1" applyFont="1" applyFill="1" applyBorder="1" applyAlignment="1">
      <alignment horizontal="center" vertical="center"/>
    </xf>
    <xf numFmtId="171" fontId="2" fillId="13" borderId="10" xfId="0" applyNumberFormat="1" applyFont="1" applyFill="1" applyBorder="1" applyAlignment="1">
      <alignment horizontal="center" vertical="center"/>
    </xf>
    <xf numFmtId="171" fontId="2" fillId="13" borderId="1" xfId="0" applyNumberFormat="1" applyFont="1" applyFill="1" applyBorder="1" applyAlignment="1">
      <alignment horizontal="center" vertical="center"/>
    </xf>
    <xf numFmtId="165" fontId="2" fillId="13" borderId="1" xfId="0" applyNumberFormat="1" applyFont="1" applyFill="1" applyBorder="1" applyAlignment="1">
      <alignment horizontal="left" vertical="center"/>
    </xf>
    <xf numFmtId="165" fontId="2" fillId="13" borderId="10" xfId="0" applyNumberFormat="1" applyFont="1" applyFill="1" applyBorder="1" applyAlignment="1">
      <alignment horizontal="left" vertical="center"/>
    </xf>
    <xf numFmtId="0" fontId="2" fillId="13" borderId="10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170" fontId="2" fillId="13" borderId="1" xfId="0" applyNumberFormat="1" applyFont="1" applyFill="1" applyBorder="1" applyAlignment="1">
      <alignment horizontal="center" vertical="center"/>
    </xf>
    <xf numFmtId="0" fontId="3" fillId="22" borderId="11" xfId="0" applyFont="1" applyFill="1" applyBorder="1" applyAlignment="1">
      <alignment horizontal="center" wrapText="1"/>
    </xf>
    <xf numFmtId="0" fontId="3" fillId="13" borderId="11" xfId="0" applyFont="1" applyFill="1" applyBorder="1" applyAlignment="1">
      <alignment horizontal="center" wrapText="1"/>
    </xf>
    <xf numFmtId="0" fontId="2" fillId="13" borderId="11" xfId="0" applyFont="1" applyFill="1" applyBorder="1" applyAlignment="1">
      <alignment horizontal="center" vertical="center"/>
    </xf>
    <xf numFmtId="170" fontId="2" fillId="13" borderId="11" xfId="0" applyNumberFormat="1" applyFont="1" applyFill="1" applyBorder="1" applyAlignment="1">
      <alignment horizontal="center" vertical="center"/>
    </xf>
    <xf numFmtId="2" fontId="2" fillId="13" borderId="1" xfId="0" applyNumberFormat="1" applyFont="1" applyFill="1" applyBorder="1" applyAlignment="1">
      <alignment horizontal="right" vertical="center"/>
    </xf>
    <xf numFmtId="2" fontId="2" fillId="13" borderId="54" xfId="0" applyNumberFormat="1" applyFont="1" applyFill="1" applyBorder="1" applyAlignment="1">
      <alignment horizontal="right" vertical="center"/>
    </xf>
    <xf numFmtId="0" fontId="2" fillId="13" borderId="12" xfId="0" applyFont="1" applyFill="1" applyBorder="1" applyAlignment="1">
      <alignment horizontal="center" vertical="center"/>
    </xf>
    <xf numFmtId="0" fontId="2" fillId="13" borderId="60" xfId="0" applyFont="1" applyFill="1" applyBorder="1" applyAlignment="1">
      <alignment vertical="center"/>
    </xf>
    <xf numFmtId="0" fontId="2" fillId="13" borderId="1" xfId="0" applyFont="1" applyFill="1" applyBorder="1" applyAlignment="1">
      <alignment vertical="center"/>
    </xf>
    <xf numFmtId="0" fontId="2" fillId="13" borderId="0" xfId="0" applyFont="1" applyFill="1" applyBorder="1" applyAlignment="1">
      <alignment vertical="center"/>
    </xf>
    <xf numFmtId="2" fontId="2" fillId="13" borderId="11" xfId="0" applyNumberFormat="1" applyFont="1" applyFill="1" applyBorder="1" applyAlignment="1">
      <alignment horizontal="center" vertical="center" wrapText="1"/>
    </xf>
    <xf numFmtId="169" fontId="2" fillId="19" borderId="10" xfId="0" applyNumberFormat="1" applyFont="1" applyFill="1" applyBorder="1" applyAlignment="1">
      <alignment horizontal="center" vertical="center"/>
    </xf>
    <xf numFmtId="2" fontId="2" fillId="19" borderId="10" xfId="0" applyNumberFormat="1" applyFont="1" applyFill="1" applyBorder="1" applyAlignment="1">
      <alignment horizontal="center" vertical="center"/>
    </xf>
    <xf numFmtId="171" fontId="2" fillId="14" borderId="2" xfId="0" applyNumberFormat="1" applyFont="1" applyFill="1" applyBorder="1" applyAlignment="1">
      <alignment horizontal="center" vertical="center"/>
    </xf>
    <xf numFmtId="165" fontId="2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170" fontId="2" fillId="0" borderId="2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169" fontId="2" fillId="0" borderId="71" xfId="0" applyNumberFormat="1" applyFont="1" applyBorder="1" applyAlignment="1">
      <alignment horizontal="center" vertical="center"/>
    </xf>
    <xf numFmtId="2" fontId="1" fillId="14" borderId="71" xfId="0" applyNumberFormat="1" applyFont="1" applyFill="1" applyBorder="1" applyAlignment="1">
      <alignment horizontal="center" vertical="center"/>
    </xf>
    <xf numFmtId="166" fontId="2" fillId="0" borderId="57" xfId="0" applyNumberFormat="1" applyFont="1" applyFill="1" applyBorder="1" applyAlignment="1">
      <alignment horizontal="center" vertical="center"/>
    </xf>
    <xf numFmtId="11" fontId="2" fillId="0" borderId="57" xfId="0" applyNumberFormat="1" applyFont="1" applyFill="1" applyBorder="1" applyAlignment="1">
      <alignment horizontal="center" vertical="center"/>
    </xf>
    <xf numFmtId="2" fontId="2" fillId="0" borderId="57" xfId="0" applyNumberFormat="1" applyFont="1" applyFill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173" fontId="0" fillId="0" borderId="2" xfId="0" applyNumberFormat="1" applyBorder="1" applyAlignment="1">
      <alignment horizontal="center" vertical="center"/>
    </xf>
    <xf numFmtId="2" fontId="2" fillId="0" borderId="2" xfId="0" applyNumberFormat="1" applyFont="1" applyFill="1" applyBorder="1" applyAlignment="1">
      <alignment horizontal="right" vertical="center"/>
    </xf>
    <xf numFmtId="170" fontId="2" fillId="14" borderId="58" xfId="0" applyNumberFormat="1" applyFont="1" applyFill="1" applyBorder="1" applyAlignment="1">
      <alignment horizontal="center" vertical="center"/>
    </xf>
    <xf numFmtId="0" fontId="3" fillId="17" borderId="10" xfId="0" applyFont="1" applyFill="1" applyBorder="1" applyAlignment="1">
      <alignment horizontal="center" wrapText="1"/>
    </xf>
    <xf numFmtId="0" fontId="16" fillId="14" borderId="10" xfId="0" applyFont="1" applyFill="1" applyBorder="1" applyAlignment="1">
      <alignment vertical="center" wrapText="1"/>
    </xf>
    <xf numFmtId="165" fontId="2" fillId="20" borderId="11" xfId="0" applyNumberFormat="1" applyFont="1" applyFill="1" applyBorder="1" applyAlignment="1">
      <alignment horizontal="center" vertical="center"/>
    </xf>
    <xf numFmtId="1" fontId="2" fillId="20" borderId="11" xfId="0" applyNumberFormat="1" applyFont="1" applyFill="1" applyBorder="1" applyAlignment="1">
      <alignment horizontal="center" vertical="center"/>
    </xf>
    <xf numFmtId="11" fontId="2" fillId="20" borderId="11" xfId="0" applyNumberFormat="1" applyFont="1" applyFill="1" applyBorder="1" applyAlignment="1">
      <alignment horizontal="center" vertical="center"/>
    </xf>
    <xf numFmtId="0" fontId="2" fillId="20" borderId="11" xfId="0" applyFont="1" applyFill="1" applyBorder="1" applyAlignment="1">
      <alignment horizontal="right" vertical="center"/>
    </xf>
    <xf numFmtId="11" fontId="2" fillId="20" borderId="11" xfId="0" applyNumberFormat="1" applyFont="1" applyFill="1" applyBorder="1" applyAlignment="1">
      <alignment vertical="center"/>
    </xf>
    <xf numFmtId="0" fontId="16" fillId="20" borderId="11" xfId="0" applyFont="1" applyFill="1" applyBorder="1" applyAlignment="1">
      <alignment vertical="center" wrapText="1"/>
    </xf>
    <xf numFmtId="0" fontId="2" fillId="20" borderId="11" xfId="0" applyFont="1" applyFill="1" applyBorder="1" applyAlignment="1">
      <alignment vertical="center"/>
    </xf>
    <xf numFmtId="171" fontId="2" fillId="20" borderId="1" xfId="0" applyNumberFormat="1" applyFont="1" applyFill="1" applyBorder="1" applyAlignment="1">
      <alignment horizontal="center" vertical="center"/>
    </xf>
    <xf numFmtId="170" fontId="2" fillId="20" borderId="12" xfId="0" applyNumberFormat="1" applyFont="1" applyFill="1" applyBorder="1" applyAlignment="1">
      <alignment horizontal="center" vertical="center"/>
    </xf>
    <xf numFmtId="11" fontId="2" fillId="20" borderId="1" xfId="0" applyNumberFormat="1" applyFont="1" applyFill="1" applyBorder="1" applyAlignment="1">
      <alignment vertical="center"/>
    </xf>
    <xf numFmtId="11" fontId="2" fillId="20" borderId="64" xfId="0" applyNumberFormat="1" applyFont="1" applyFill="1" applyBorder="1" applyAlignment="1">
      <alignment vertical="center"/>
    </xf>
    <xf numFmtId="0" fontId="1" fillId="0" borderId="10" xfId="0" applyFont="1" applyFill="1" applyBorder="1" applyAlignment="1">
      <alignment horizontal="center" vertical="center"/>
    </xf>
    <xf numFmtId="173" fontId="0" fillId="0" borderId="2" xfId="0" applyNumberFormat="1" applyFill="1" applyBorder="1" applyAlignment="1">
      <alignment horizontal="center" vertical="center"/>
    </xf>
    <xf numFmtId="11" fontId="2" fillId="0" borderId="64" xfId="0" applyNumberFormat="1" applyFont="1" applyFill="1" applyBorder="1" applyAlignment="1">
      <alignment vertical="center"/>
    </xf>
    <xf numFmtId="169" fontId="2" fillId="0" borderId="11" xfId="0" applyNumberFormat="1" applyFont="1" applyBorder="1" applyAlignment="1">
      <alignment horizontal="center" vertical="center"/>
    </xf>
    <xf numFmtId="0" fontId="2" fillId="0" borderId="57" xfId="0" applyFont="1" applyFill="1" applyBorder="1" applyAlignment="1">
      <alignment horizontal="center" vertical="center"/>
    </xf>
    <xf numFmtId="1" fontId="2" fillId="0" borderId="2" xfId="0" applyNumberFormat="1" applyFont="1" applyFill="1" applyBorder="1" applyAlignment="1">
      <alignment horizontal="center" vertical="center"/>
    </xf>
    <xf numFmtId="2" fontId="2" fillId="0" borderId="57" xfId="0" applyNumberFormat="1" applyFont="1" applyFill="1" applyBorder="1" applyAlignment="1">
      <alignment horizontal="right" vertical="center"/>
    </xf>
    <xf numFmtId="11" fontId="2" fillId="14" borderId="10" xfId="0" applyNumberFormat="1" applyFont="1" applyFill="1" applyBorder="1" applyAlignment="1">
      <alignment vertical="center"/>
    </xf>
    <xf numFmtId="11" fontId="2" fillId="14" borderId="61" xfId="0" applyNumberFormat="1" applyFont="1" applyFill="1" applyBorder="1" applyAlignment="1">
      <alignment vertical="center"/>
    </xf>
    <xf numFmtId="11" fontId="2" fillId="0" borderId="61" xfId="0" applyNumberFormat="1" applyFont="1" applyFill="1" applyBorder="1" applyAlignment="1">
      <alignment vertical="center"/>
    </xf>
    <xf numFmtId="11" fontId="2" fillId="14" borderId="9" xfId="0" applyNumberFormat="1" applyFont="1" applyFill="1" applyBorder="1" applyAlignment="1">
      <alignment vertical="center"/>
    </xf>
    <xf numFmtId="11" fontId="2" fillId="14" borderId="81" xfId="0" applyNumberFormat="1" applyFont="1" applyFill="1" applyBorder="1" applyAlignment="1">
      <alignment vertical="center"/>
    </xf>
    <xf numFmtId="11" fontId="2" fillId="0" borderId="53" xfId="0" applyNumberFormat="1" applyFont="1" applyFill="1" applyBorder="1" applyAlignment="1">
      <alignment vertical="center"/>
    </xf>
    <xf numFmtId="11" fontId="2" fillId="14" borderId="53" xfId="0" applyNumberFormat="1" applyFont="1" applyFill="1" applyBorder="1" applyAlignment="1">
      <alignment vertical="center"/>
    </xf>
    <xf numFmtId="0" fontId="2" fillId="14" borderId="61" xfId="0" applyFont="1" applyFill="1" applyBorder="1" applyAlignment="1">
      <alignment vertical="center"/>
    </xf>
    <xf numFmtId="0" fontId="1" fillId="20" borderId="11" xfId="0" applyFont="1" applyFill="1" applyBorder="1" applyAlignment="1">
      <alignment horizontal="center" vertical="center"/>
    </xf>
    <xf numFmtId="0" fontId="2" fillId="20" borderId="11" xfId="0" applyFont="1" applyFill="1" applyBorder="1" applyAlignment="1">
      <alignment vertical="center" wrapText="1"/>
    </xf>
    <xf numFmtId="11" fontId="2" fillId="20" borderId="53" xfId="0" applyNumberFormat="1" applyFont="1" applyFill="1" applyBorder="1" applyAlignment="1">
      <alignment vertical="center"/>
    </xf>
    <xf numFmtId="169" fontId="2" fillId="0" borderId="11" xfId="0" applyNumberFormat="1" applyFont="1" applyFill="1" applyBorder="1" applyAlignment="1">
      <alignment horizontal="center" vertical="center"/>
    </xf>
    <xf numFmtId="2" fontId="1" fillId="14" borderId="81" xfId="0" applyNumberFormat="1" applyFont="1" applyFill="1" applyBorder="1" applyAlignment="1">
      <alignment horizontal="center" vertical="center" wrapText="1"/>
    </xf>
    <xf numFmtId="172" fontId="1" fillId="0" borderId="11" xfId="0" applyNumberFormat="1" applyFont="1" applyBorder="1" applyAlignment="1">
      <alignment horizontal="center" vertical="center"/>
    </xf>
    <xf numFmtId="170" fontId="2" fillId="20" borderId="10" xfId="0" applyNumberFormat="1" applyFont="1" applyFill="1" applyBorder="1" applyAlignment="1">
      <alignment horizontal="center" vertical="center"/>
    </xf>
    <xf numFmtId="165" fontId="2" fillId="20" borderId="10" xfId="0" applyNumberFormat="1" applyFont="1" applyFill="1" applyBorder="1" applyAlignment="1">
      <alignment horizontal="center" vertical="center"/>
    </xf>
    <xf numFmtId="170" fontId="2" fillId="20" borderId="52" xfId="0" applyNumberFormat="1" applyFont="1" applyFill="1" applyBorder="1" applyAlignment="1">
      <alignment horizontal="center" vertical="center"/>
    </xf>
    <xf numFmtId="0" fontId="2" fillId="20" borderId="52" xfId="0" applyFont="1" applyFill="1" applyBorder="1" applyAlignment="1">
      <alignment horizontal="center" vertical="center"/>
    </xf>
    <xf numFmtId="11" fontId="2" fillId="20" borderId="63" xfId="0" applyNumberFormat="1" applyFont="1" applyFill="1" applyBorder="1" applyAlignment="1">
      <alignment vertical="center"/>
    </xf>
    <xf numFmtId="11" fontId="2" fillId="20" borderId="54" xfId="0" applyNumberFormat="1" applyFont="1" applyFill="1" applyBorder="1" applyAlignment="1">
      <alignment vertical="center"/>
    </xf>
    <xf numFmtId="0" fontId="2" fillId="20" borderId="62" xfId="0" applyFont="1" applyFill="1" applyBorder="1" applyAlignment="1">
      <alignment vertical="center"/>
    </xf>
    <xf numFmtId="0" fontId="2" fillId="20" borderId="58" xfId="0" applyFont="1" applyFill="1" applyBorder="1" applyAlignment="1">
      <alignment vertical="center"/>
    </xf>
    <xf numFmtId="0" fontId="1" fillId="20" borderId="0" xfId="0" applyFont="1" applyFill="1" applyAlignment="1">
      <alignment horizontal="center" vertical="center"/>
    </xf>
    <xf numFmtId="0" fontId="1" fillId="20" borderId="0" xfId="0" applyFont="1" applyFill="1" applyAlignment="1">
      <alignment horizontal="right" vertical="center"/>
    </xf>
    <xf numFmtId="165" fontId="2" fillId="0" borderId="1" xfId="0" applyNumberFormat="1" applyFont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71" fontId="1" fillId="0" borderId="1" xfId="0" applyNumberFormat="1" applyFont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170" fontId="1" fillId="0" borderId="1" xfId="0" applyNumberFormat="1" applyFont="1" applyBorder="1" applyAlignment="1">
      <alignment horizontal="center" vertical="center"/>
    </xf>
    <xf numFmtId="0" fontId="1" fillId="18" borderId="11" xfId="0" applyFont="1" applyFill="1" applyBorder="1" applyAlignment="1">
      <alignment horizontal="center" vertical="center"/>
    </xf>
    <xf numFmtId="169" fontId="17" fillId="0" borderId="10" xfId="0" applyNumberFormat="1" applyFont="1" applyBorder="1" applyAlignment="1">
      <alignment horizontal="center" vertical="center"/>
    </xf>
    <xf numFmtId="172" fontId="1" fillId="20" borderId="11" xfId="0" applyNumberFormat="1" applyFont="1" applyFill="1" applyBorder="1" applyAlignment="1">
      <alignment horizontal="center" vertical="center"/>
    </xf>
    <xf numFmtId="171" fontId="1" fillId="20" borderId="0" xfId="0" applyNumberFormat="1" applyFont="1" applyFill="1" applyAlignment="1">
      <alignment horizontal="center" vertical="center"/>
    </xf>
    <xf numFmtId="165" fontId="1" fillId="20" borderId="0" xfId="0" applyNumberFormat="1" applyFont="1" applyFill="1" applyAlignment="1">
      <alignment horizontal="left" vertical="center"/>
    </xf>
    <xf numFmtId="170" fontId="2" fillId="20" borderId="0" xfId="0" applyNumberFormat="1" applyFont="1" applyFill="1" applyAlignment="1">
      <alignment horizontal="center" vertical="center"/>
    </xf>
    <xf numFmtId="165" fontId="1" fillId="20" borderId="0" xfId="0" applyNumberFormat="1" applyFont="1" applyFill="1" applyAlignment="1">
      <alignment horizontal="center" vertical="center"/>
    </xf>
    <xf numFmtId="170" fontId="1" fillId="20" borderId="0" xfId="0" applyNumberFormat="1" applyFont="1" applyFill="1" applyAlignment="1">
      <alignment horizontal="center" vertical="center"/>
    </xf>
    <xf numFmtId="0" fontId="1" fillId="20" borderId="0" xfId="0" applyFont="1" applyFill="1" applyAlignment="1">
      <alignment vertical="center"/>
    </xf>
    <xf numFmtId="0" fontId="1" fillId="20" borderId="1" xfId="0" applyFont="1" applyFill="1" applyBorder="1" applyAlignment="1">
      <alignment vertical="center"/>
    </xf>
    <xf numFmtId="0" fontId="1" fillId="20" borderId="0" xfId="0" applyFont="1" applyFill="1" applyBorder="1" applyAlignment="1">
      <alignment vertical="center"/>
    </xf>
    <xf numFmtId="2" fontId="1" fillId="14" borderId="13" xfId="0" applyNumberFormat="1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2" fillId="14" borderId="84" xfId="0" applyFont="1" applyFill="1" applyBorder="1" applyAlignment="1">
      <alignment vertical="center"/>
    </xf>
    <xf numFmtId="0" fontId="2" fillId="0" borderId="13" xfId="0" applyFont="1" applyFill="1" applyBorder="1" applyAlignment="1">
      <alignment vertical="center"/>
    </xf>
    <xf numFmtId="173" fontId="0" fillId="0" borderId="57" xfId="0" applyNumberFormat="1" applyBorder="1" applyAlignment="1">
      <alignment horizontal="center" vertical="center"/>
    </xf>
    <xf numFmtId="0" fontId="1" fillId="20" borderId="2" xfId="0" applyFont="1" applyFill="1" applyBorder="1" applyAlignment="1">
      <alignment vertical="center"/>
    </xf>
    <xf numFmtId="0" fontId="1" fillId="20" borderId="67" xfId="0" applyFont="1" applyFill="1" applyBorder="1" applyAlignment="1">
      <alignment vertical="center"/>
    </xf>
    <xf numFmtId="165" fontId="1" fillId="0" borderId="2" xfId="0" applyNumberFormat="1" applyFont="1" applyBorder="1" applyAlignment="1">
      <alignment horizontal="left" vertical="center"/>
    </xf>
    <xf numFmtId="171" fontId="2" fillId="14" borderId="85" xfId="0" applyNumberFormat="1" applyFont="1" applyFill="1" applyBorder="1" applyAlignment="1">
      <alignment horizontal="center" vertical="center"/>
    </xf>
    <xf numFmtId="165" fontId="1" fillId="0" borderId="72" xfId="0" applyNumberFormat="1" applyFont="1" applyBorder="1" applyAlignment="1">
      <alignment horizontal="left" vertical="center"/>
    </xf>
    <xf numFmtId="171" fontId="1" fillId="20" borderId="1" xfId="0" applyNumberFormat="1" applyFont="1" applyFill="1" applyBorder="1" applyAlignment="1">
      <alignment horizontal="center" vertical="center"/>
    </xf>
    <xf numFmtId="165" fontId="1" fillId="20" borderId="1" xfId="0" applyNumberFormat="1" applyFont="1" applyFill="1" applyBorder="1" applyAlignment="1">
      <alignment horizontal="left" vertical="center"/>
    </xf>
    <xf numFmtId="0" fontId="1" fillId="20" borderId="1" xfId="0" applyFont="1" applyFill="1" applyBorder="1" applyAlignment="1">
      <alignment horizontal="center" vertical="center"/>
    </xf>
    <xf numFmtId="170" fontId="2" fillId="20" borderId="1" xfId="0" applyNumberFormat="1" applyFont="1" applyFill="1" applyBorder="1" applyAlignment="1">
      <alignment horizontal="center" vertical="center"/>
    </xf>
    <xf numFmtId="165" fontId="1" fillId="20" borderId="1" xfId="0" applyNumberFormat="1" applyFont="1" applyFill="1" applyBorder="1" applyAlignment="1">
      <alignment horizontal="center" vertical="center"/>
    </xf>
    <xf numFmtId="170" fontId="1" fillId="20" borderId="1" xfId="0" applyNumberFormat="1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right" vertical="center"/>
    </xf>
    <xf numFmtId="171" fontId="1" fillId="0" borderId="2" xfId="0" applyNumberFormat="1" applyFont="1" applyBorder="1" applyAlignment="1">
      <alignment horizontal="center" vertical="center"/>
    </xf>
    <xf numFmtId="171" fontId="2" fillId="14" borderId="86" xfId="0" applyNumberFormat="1" applyFont="1" applyFill="1" applyBorder="1" applyAlignment="1">
      <alignment horizontal="center" vertical="center"/>
    </xf>
    <xf numFmtId="165" fontId="1" fillId="0" borderId="73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170" fontId="2" fillId="0" borderId="1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67" xfId="0" applyFont="1" applyBorder="1" applyAlignment="1">
      <alignment vertical="center"/>
    </xf>
    <xf numFmtId="171" fontId="1" fillId="0" borderId="58" xfId="0" applyNumberFormat="1" applyFont="1" applyFill="1" applyBorder="1" applyAlignment="1">
      <alignment horizontal="center" vertical="center"/>
    </xf>
    <xf numFmtId="171" fontId="2" fillId="0" borderId="87" xfId="0" applyNumberFormat="1" applyFont="1" applyFill="1" applyBorder="1" applyAlignment="1">
      <alignment horizontal="center" vertical="center"/>
    </xf>
    <xf numFmtId="165" fontId="1" fillId="0" borderId="58" xfId="0" applyNumberFormat="1" applyFont="1" applyFill="1" applyBorder="1" applyAlignment="1">
      <alignment horizontal="left" vertical="center"/>
    </xf>
    <xf numFmtId="0" fontId="1" fillId="0" borderId="58" xfId="0" applyFont="1" applyFill="1" applyBorder="1" applyAlignment="1">
      <alignment horizontal="center" vertical="center"/>
    </xf>
    <xf numFmtId="171" fontId="2" fillId="0" borderId="85" xfId="0" applyNumberFormat="1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wrapText="1"/>
    </xf>
    <xf numFmtId="0" fontId="1" fillId="0" borderId="13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/>
    </xf>
    <xf numFmtId="0" fontId="1" fillId="0" borderId="71" xfId="0" applyFont="1" applyFill="1" applyBorder="1" applyAlignment="1">
      <alignment horizontal="center" vertical="center"/>
    </xf>
    <xf numFmtId="2" fontId="1" fillId="19" borderId="1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0" fontId="1" fillId="20" borderId="60" xfId="0" applyFont="1" applyFill="1" applyBorder="1" applyAlignment="1">
      <alignment horizontal="center" vertical="center"/>
    </xf>
    <xf numFmtId="2" fontId="2" fillId="0" borderId="52" xfId="0" applyNumberFormat="1" applyFont="1" applyFill="1" applyBorder="1" applyAlignment="1">
      <alignment horizontal="center" vertical="center"/>
    </xf>
    <xf numFmtId="2" fontId="2" fillId="16" borderId="52" xfId="0" applyNumberFormat="1" applyFont="1" applyFill="1" applyBorder="1" applyAlignment="1">
      <alignment horizontal="center" vertical="center"/>
    </xf>
    <xf numFmtId="2" fontId="2" fillId="20" borderId="52" xfId="0" applyNumberFormat="1" applyFont="1" applyFill="1" applyBorder="1" applyAlignment="1">
      <alignment horizontal="center" vertical="center"/>
    </xf>
    <xf numFmtId="2" fontId="2" fillId="14" borderId="52" xfId="0" applyNumberFormat="1" applyFont="1" applyFill="1" applyBorder="1" applyAlignment="1">
      <alignment horizontal="center" vertical="center"/>
    </xf>
    <xf numFmtId="2" fontId="2" fillId="0" borderId="2" xfId="0" applyNumberFormat="1" applyFont="1" applyFill="1" applyBorder="1" applyAlignment="1">
      <alignment horizontal="center" vertical="center"/>
    </xf>
    <xf numFmtId="11" fontId="2" fillId="20" borderId="12" xfId="0" applyNumberFormat="1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0" fontId="2" fillId="20" borderId="64" xfId="0" applyFont="1" applyFill="1" applyBorder="1" applyAlignment="1">
      <alignment horizontal="center" vertical="center"/>
    </xf>
    <xf numFmtId="1" fontId="2" fillId="20" borderId="64" xfId="0" applyNumberFormat="1" applyFont="1" applyFill="1" applyBorder="1" applyAlignment="1">
      <alignment horizontal="center" vertical="center"/>
    </xf>
    <xf numFmtId="1" fontId="2" fillId="0" borderId="58" xfId="0" applyNumberFormat="1" applyFont="1" applyFill="1" applyBorder="1" applyAlignment="1">
      <alignment horizontal="center" vertical="center"/>
    </xf>
    <xf numFmtId="166" fontId="0" fillId="0" borderId="2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" fontId="2" fillId="0" borderId="11" xfId="0" applyNumberFormat="1" applyFont="1" applyFill="1" applyBorder="1" applyAlignment="1">
      <alignment horizontal="center" vertical="center"/>
    </xf>
    <xf numFmtId="166" fontId="0" fillId="0" borderId="11" xfId="0" applyNumberFormat="1" applyFill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1" fontId="2" fillId="0" borderId="13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1" fillId="20" borderId="2" xfId="0" applyFont="1" applyFill="1" applyBorder="1" applyAlignment="1">
      <alignment horizontal="center" vertical="center"/>
    </xf>
    <xf numFmtId="0" fontId="2" fillId="20" borderId="71" xfId="0" applyFont="1" applyFill="1" applyBorder="1" applyAlignment="1">
      <alignment horizontal="center" vertical="center"/>
    </xf>
    <xf numFmtId="171" fontId="2" fillId="0" borderId="88" xfId="0" applyNumberFormat="1" applyFont="1" applyFill="1" applyBorder="1" applyAlignment="1">
      <alignment horizontal="center" vertical="center"/>
    </xf>
    <xf numFmtId="171" fontId="1" fillId="0" borderId="6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13" borderId="0" xfId="0" applyFont="1" applyFill="1" applyBorder="1" applyAlignment="1">
      <alignment horizontal="center" vertical="center"/>
    </xf>
    <xf numFmtId="0" fontId="2" fillId="14" borderId="71" xfId="0" applyFont="1" applyFill="1" applyBorder="1" applyAlignment="1">
      <alignment horizontal="center" vertical="center"/>
    </xf>
    <xf numFmtId="0" fontId="1" fillId="20" borderId="0" xfId="0" applyFont="1" applyFill="1" applyBorder="1" applyAlignment="1">
      <alignment horizontal="center" vertical="center"/>
    </xf>
    <xf numFmtId="165" fontId="2" fillId="0" borderId="52" xfId="0" applyNumberFormat="1" applyFont="1" applyBorder="1" applyAlignment="1">
      <alignment horizontal="center" vertical="center"/>
    </xf>
    <xf numFmtId="0" fontId="1" fillId="14" borderId="81" xfId="0" applyFont="1" applyFill="1" applyBorder="1" applyAlignment="1">
      <alignment horizontal="center" vertical="center"/>
    </xf>
    <xf numFmtId="165" fontId="2" fillId="0" borderId="12" xfId="0" applyNumberFormat="1" applyFont="1" applyBorder="1" applyAlignment="1">
      <alignment horizontal="center" vertical="center"/>
    </xf>
    <xf numFmtId="165" fontId="1" fillId="14" borderId="53" xfId="0" applyNumberFormat="1" applyFont="1" applyFill="1" applyBorder="1" applyAlignment="1">
      <alignment horizontal="center" vertical="center"/>
    </xf>
    <xf numFmtId="165" fontId="2" fillId="16" borderId="12" xfId="0" applyNumberFormat="1" applyFont="1" applyFill="1" applyBorder="1" applyAlignment="1">
      <alignment horizontal="center" vertical="center"/>
    </xf>
    <xf numFmtId="165" fontId="2" fillId="16" borderId="1" xfId="0" applyNumberFormat="1" applyFont="1" applyFill="1" applyBorder="1" applyAlignment="1">
      <alignment horizontal="center" vertical="center"/>
    </xf>
    <xf numFmtId="0" fontId="2" fillId="16" borderId="81" xfId="0" applyFont="1" applyFill="1" applyBorder="1" applyAlignment="1">
      <alignment horizontal="center" vertical="center"/>
    </xf>
    <xf numFmtId="165" fontId="2" fillId="0" borderId="10" xfId="0" applyNumberFormat="1" applyFont="1" applyFill="1" applyBorder="1" applyAlignment="1">
      <alignment horizontal="center" vertical="center"/>
    </xf>
    <xf numFmtId="165" fontId="2" fillId="0" borderId="52" xfId="0" applyNumberFormat="1" applyFont="1" applyFill="1" applyBorder="1" applyAlignment="1">
      <alignment horizontal="center" vertical="center"/>
    </xf>
    <xf numFmtId="0" fontId="1" fillId="0" borderId="81" xfId="0" applyFont="1" applyFill="1" applyBorder="1" applyAlignment="1">
      <alignment horizontal="center" vertical="center"/>
    </xf>
    <xf numFmtId="165" fontId="2" fillId="0" borderId="12" xfId="0" applyNumberFormat="1" applyFont="1" applyFill="1" applyBorder="1" applyAlignment="1">
      <alignment horizontal="center" vertical="center"/>
    </xf>
    <xf numFmtId="165" fontId="1" fillId="0" borderId="62" xfId="0" applyNumberFormat="1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165" fontId="2" fillId="20" borderId="12" xfId="0" applyNumberFormat="1" applyFont="1" applyFill="1" applyBorder="1" applyAlignment="1">
      <alignment horizontal="center" vertical="center"/>
    </xf>
    <xf numFmtId="165" fontId="2" fillId="20" borderId="1" xfId="0" applyNumberFormat="1" applyFont="1" applyFill="1" applyBorder="1" applyAlignment="1">
      <alignment horizontal="center" vertical="center"/>
    </xf>
    <xf numFmtId="0" fontId="2" fillId="20" borderId="81" xfId="0" applyFont="1" applyFill="1" applyBorder="1" applyAlignment="1">
      <alignment horizontal="center" vertical="center"/>
    </xf>
    <xf numFmtId="165" fontId="2" fillId="20" borderId="64" xfId="0" applyNumberFormat="1" applyFont="1" applyFill="1" applyBorder="1" applyAlignment="1">
      <alignment horizontal="center" vertical="center"/>
    </xf>
    <xf numFmtId="165" fontId="2" fillId="0" borderId="58" xfId="0" applyNumberFormat="1" applyFont="1" applyFill="1" applyBorder="1" applyAlignment="1">
      <alignment horizontal="center" vertical="center"/>
    </xf>
    <xf numFmtId="165" fontId="2" fillId="0" borderId="62" xfId="0" applyNumberFormat="1" applyFont="1" applyFill="1" applyBorder="1" applyAlignment="1">
      <alignment horizontal="center" vertical="center"/>
    </xf>
    <xf numFmtId="0" fontId="1" fillId="0" borderId="63" xfId="0" applyFont="1" applyFill="1" applyBorder="1" applyAlignment="1">
      <alignment horizontal="center" vertical="center"/>
    </xf>
    <xf numFmtId="165" fontId="2" fillId="0" borderId="60" xfId="0" applyNumberFormat="1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165" fontId="1" fillId="0" borderId="60" xfId="0" applyNumberFormat="1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165" fontId="2" fillId="16" borderId="52" xfId="0" applyNumberFormat="1" applyFont="1" applyFill="1" applyBorder="1" applyAlignment="1">
      <alignment horizontal="center" vertical="center"/>
    </xf>
    <xf numFmtId="165" fontId="2" fillId="13" borderId="1" xfId="0" applyNumberFormat="1" applyFont="1" applyFill="1" applyBorder="1" applyAlignment="1">
      <alignment horizontal="center" vertical="center"/>
    </xf>
    <xf numFmtId="165" fontId="2" fillId="13" borderId="52" xfId="0" applyNumberFormat="1" applyFont="1" applyFill="1" applyBorder="1" applyAlignment="1">
      <alignment horizontal="center" vertical="center"/>
    </xf>
    <xf numFmtId="0" fontId="1" fillId="13" borderId="61" xfId="0" applyFont="1" applyFill="1" applyBorder="1" applyAlignment="1">
      <alignment horizontal="center" vertical="center"/>
    </xf>
    <xf numFmtId="165" fontId="2" fillId="14" borderId="10" xfId="0" applyNumberFormat="1" applyFont="1" applyFill="1" applyBorder="1" applyAlignment="1">
      <alignment horizontal="center" vertical="center"/>
    </xf>
    <xf numFmtId="165" fontId="2" fillId="14" borderId="52" xfId="0" applyNumberFormat="1" applyFont="1" applyFill="1" applyBorder="1" applyAlignment="1">
      <alignment horizontal="center" vertical="center"/>
    </xf>
    <xf numFmtId="0" fontId="2" fillId="14" borderId="81" xfId="0" applyFont="1" applyFill="1" applyBorder="1" applyAlignment="1">
      <alignment horizontal="center" vertical="center"/>
    </xf>
    <xf numFmtId="0" fontId="2" fillId="13" borderId="81" xfId="0" applyFont="1" applyFill="1" applyBorder="1" applyAlignment="1">
      <alignment horizontal="center" vertical="center"/>
    </xf>
    <xf numFmtId="165" fontId="2" fillId="14" borderId="1" xfId="0" applyNumberFormat="1" applyFont="1" applyFill="1" applyBorder="1" applyAlignment="1">
      <alignment horizontal="center" vertical="center"/>
    </xf>
    <xf numFmtId="0" fontId="2" fillId="0" borderId="81" xfId="0" applyFont="1" applyFill="1" applyBorder="1" applyAlignment="1">
      <alignment horizontal="center" vertical="center"/>
    </xf>
    <xf numFmtId="165" fontId="2" fillId="20" borderId="52" xfId="0" applyNumberFormat="1" applyFont="1" applyFill="1" applyBorder="1" applyAlignment="1">
      <alignment horizontal="center" vertical="center"/>
    </xf>
    <xf numFmtId="165" fontId="2" fillId="14" borderId="12" xfId="0" applyNumberFormat="1" applyFont="1" applyFill="1" applyBorder="1" applyAlignment="1">
      <alignment horizontal="center" vertical="center"/>
    </xf>
    <xf numFmtId="165" fontId="2" fillId="0" borderId="2" xfId="0" applyNumberFormat="1" applyFont="1" applyFill="1" applyBorder="1" applyAlignment="1">
      <alignment horizontal="center" vertical="center"/>
    </xf>
    <xf numFmtId="165" fontId="2" fillId="14" borderId="14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/>
    </xf>
    <xf numFmtId="0" fontId="2" fillId="20" borderId="53" xfId="0" applyFont="1" applyFill="1" applyBorder="1" applyAlignment="1">
      <alignment horizontal="center" vertical="center"/>
    </xf>
    <xf numFmtId="0" fontId="2" fillId="14" borderId="53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 vertical="center"/>
    </xf>
    <xf numFmtId="165" fontId="2" fillId="0" borderId="57" xfId="0" applyNumberFormat="1" applyFont="1" applyFill="1" applyBorder="1" applyAlignment="1">
      <alignment horizontal="center" vertical="center"/>
    </xf>
    <xf numFmtId="0" fontId="2" fillId="14" borderId="84" xfId="0" applyFont="1" applyFill="1" applyBorder="1" applyAlignment="1">
      <alignment horizontal="center" vertical="center"/>
    </xf>
    <xf numFmtId="0" fontId="2" fillId="20" borderId="0" xfId="0" applyFont="1" applyFill="1" applyBorder="1" applyAlignment="1">
      <alignment horizontal="center" vertical="center"/>
    </xf>
    <xf numFmtId="0" fontId="2" fillId="20" borderId="58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165" fontId="1" fillId="0" borderId="58" xfId="0" applyNumberFormat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 vertical="center"/>
    </xf>
    <xf numFmtId="0" fontId="12" fillId="23" borderId="89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6" borderId="24" xfId="0" applyFont="1" applyFill="1" applyBorder="1" applyAlignment="1">
      <alignment horizontal="center" vertical="center" wrapText="1"/>
    </xf>
    <xf numFmtId="0" fontId="1" fillId="6" borderId="40" xfId="0" applyFont="1" applyFill="1" applyBorder="1" applyAlignment="1">
      <alignment horizontal="center" vertical="center" wrapText="1"/>
    </xf>
    <xf numFmtId="0" fontId="1" fillId="6" borderId="20" xfId="0" applyFont="1" applyFill="1" applyBorder="1" applyAlignment="1">
      <alignment horizontal="center" vertical="center" wrapText="1"/>
    </xf>
    <xf numFmtId="0" fontId="1" fillId="6" borderId="34" xfId="0" applyFont="1" applyFill="1" applyBorder="1" applyAlignment="1">
      <alignment horizontal="center" vertical="center" wrapText="1"/>
    </xf>
    <xf numFmtId="0" fontId="1" fillId="6" borderId="23" xfId="0" applyFont="1" applyFill="1" applyBorder="1" applyAlignment="1">
      <alignment horizontal="center" vertical="center" wrapText="1"/>
    </xf>
    <xf numFmtId="0" fontId="1" fillId="6" borderId="45" xfId="0" applyFont="1" applyFill="1" applyBorder="1" applyAlignment="1">
      <alignment horizontal="center" vertical="center" wrapText="1"/>
    </xf>
    <xf numFmtId="0" fontId="1" fillId="6" borderId="35" xfId="0" applyFont="1" applyFill="1" applyBorder="1" applyAlignment="1">
      <alignment horizontal="center" vertical="center" wrapText="1"/>
    </xf>
    <xf numFmtId="0" fontId="1" fillId="6" borderId="22" xfId="0" applyFont="1" applyFill="1" applyBorder="1" applyAlignment="1">
      <alignment horizontal="center" vertical="center" wrapText="1"/>
    </xf>
    <xf numFmtId="0" fontId="1" fillId="6" borderId="41" xfId="0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horizontal="center" vertical="center" wrapText="1"/>
    </xf>
    <xf numFmtId="0" fontId="1" fillId="6" borderId="46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29" xfId="0" applyFont="1" applyFill="1" applyBorder="1" applyAlignment="1">
      <alignment horizontal="center" vertical="center" wrapText="1"/>
    </xf>
    <xf numFmtId="0" fontId="1" fillId="6" borderId="30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47" xfId="0" applyFont="1" applyFill="1" applyBorder="1" applyAlignment="1">
      <alignment horizontal="center" vertical="center" wrapText="1"/>
    </xf>
    <xf numFmtId="0" fontId="1" fillId="6" borderId="38" xfId="0" applyFont="1" applyFill="1" applyBorder="1" applyAlignment="1">
      <alignment horizontal="center" vertical="center" wrapText="1"/>
    </xf>
    <xf numFmtId="0" fontId="1" fillId="6" borderId="39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43" xfId="0" applyFont="1" applyFill="1" applyBorder="1" applyAlignment="1">
      <alignment horizontal="center" vertical="center" wrapText="1"/>
    </xf>
    <xf numFmtId="0" fontId="1" fillId="5" borderId="50" xfId="0" applyFont="1" applyFill="1" applyBorder="1" applyAlignment="1">
      <alignment horizontal="center" vertical="center"/>
    </xf>
    <xf numFmtId="0" fontId="1" fillId="5" borderId="5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6" borderId="37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6" borderId="49" xfId="0" applyFont="1" applyFill="1" applyBorder="1" applyAlignment="1">
      <alignment horizontal="center" vertical="center" wrapText="1"/>
    </xf>
    <xf numFmtId="0" fontId="1" fillId="6" borderId="33" xfId="0" applyFont="1" applyFill="1" applyBorder="1" applyAlignment="1">
      <alignment horizontal="center" vertical="center" wrapText="1"/>
    </xf>
    <xf numFmtId="0" fontId="1" fillId="6" borderId="36" xfId="0" applyFont="1" applyFill="1" applyBorder="1" applyAlignment="1">
      <alignment horizontal="center" vertical="center" wrapText="1"/>
    </xf>
    <xf numFmtId="0" fontId="1" fillId="6" borderId="48" xfId="0" applyFont="1" applyFill="1" applyBorder="1" applyAlignment="1">
      <alignment horizontal="center" vertical="center" wrapText="1"/>
    </xf>
    <xf numFmtId="0" fontId="1" fillId="6" borderId="31" xfId="0" applyFont="1" applyFill="1" applyBorder="1" applyAlignment="1">
      <alignment horizontal="center" vertical="center" wrapText="1"/>
    </xf>
    <xf numFmtId="0" fontId="1" fillId="6" borderId="32" xfId="0" applyFont="1" applyFill="1" applyBorder="1" applyAlignment="1">
      <alignment horizontal="center" vertical="center" wrapText="1"/>
    </xf>
    <xf numFmtId="0" fontId="1" fillId="6" borderId="16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6" borderId="44" xfId="0" applyFont="1" applyFill="1" applyBorder="1" applyAlignment="1">
      <alignment horizontal="center" vertical="center" wrapText="1"/>
    </xf>
    <xf numFmtId="0" fontId="1" fillId="8" borderId="11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0" fontId="1" fillId="6" borderId="21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0" fontId="1" fillId="6" borderId="60" xfId="0" applyFont="1" applyFill="1" applyBorder="1" applyAlignment="1">
      <alignment horizontal="center" vertical="center" wrapText="1"/>
    </xf>
    <xf numFmtId="0" fontId="1" fillId="6" borderId="72" xfId="0" applyFont="1" applyFill="1" applyBorder="1" applyAlignment="1">
      <alignment horizontal="left" vertical="center" wrapText="1"/>
    </xf>
    <xf numFmtId="0" fontId="1" fillId="6" borderId="61" xfId="0" applyFont="1" applyFill="1" applyBorder="1" applyAlignment="1">
      <alignment horizontal="left" vertical="center" wrapText="1"/>
    </xf>
    <xf numFmtId="165" fontId="1" fillId="6" borderId="2" xfId="0" applyNumberFormat="1" applyFont="1" applyFill="1" applyBorder="1" applyAlignment="1">
      <alignment horizontal="left" vertical="center" wrapText="1"/>
    </xf>
    <xf numFmtId="0" fontId="0" fillId="0" borderId="58" xfId="0" applyBorder="1" applyAlignment="1">
      <alignment horizontal="left" vertical="center" wrapText="1"/>
    </xf>
    <xf numFmtId="0" fontId="1" fillId="6" borderId="67" xfId="0" applyFont="1" applyFill="1" applyBorder="1" applyAlignment="1">
      <alignment horizontal="center" vertical="center"/>
    </xf>
    <xf numFmtId="0" fontId="1" fillId="6" borderId="66" xfId="0" applyFont="1" applyFill="1" applyBorder="1" applyAlignment="1">
      <alignment horizontal="center" vertical="center"/>
    </xf>
    <xf numFmtId="0" fontId="1" fillId="6" borderId="62" xfId="0" applyFont="1" applyFill="1" applyBorder="1" applyAlignment="1">
      <alignment horizontal="center" vertical="center"/>
    </xf>
    <xf numFmtId="165" fontId="1" fillId="6" borderId="1" xfId="0" applyNumberFormat="1" applyFont="1" applyFill="1" applyBorder="1" applyAlignment="1">
      <alignment horizontal="center" vertical="center" wrapText="1"/>
    </xf>
    <xf numFmtId="0" fontId="1" fillId="6" borderId="57" xfId="0" applyFont="1" applyFill="1" applyBorder="1" applyAlignment="1">
      <alignment horizontal="center" vertical="center" wrapText="1"/>
    </xf>
    <xf numFmtId="0" fontId="1" fillId="6" borderId="58" xfId="0" applyFont="1" applyFill="1" applyBorder="1" applyAlignment="1">
      <alignment horizontal="center" vertical="center" wrapText="1"/>
    </xf>
    <xf numFmtId="1" fontId="1" fillId="6" borderId="1" xfId="0" applyNumberFormat="1" applyFont="1" applyFill="1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0" fontId="0" fillId="0" borderId="58" xfId="0" applyBorder="1" applyAlignment="1">
      <alignment horizontal="center" vertical="center" wrapText="1"/>
    </xf>
    <xf numFmtId="0" fontId="1" fillId="15" borderId="60" xfId="0" applyFont="1" applyFill="1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1" fillId="2" borderId="67" xfId="0" applyFont="1" applyFill="1" applyBorder="1" applyAlignment="1">
      <alignment horizontal="center" vertical="center"/>
    </xf>
    <xf numFmtId="0" fontId="0" fillId="0" borderId="73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1" fillId="4" borderId="72" xfId="0" applyFont="1" applyFill="1" applyBorder="1" applyAlignment="1">
      <alignment horizontal="left" vertical="center"/>
    </xf>
    <xf numFmtId="0" fontId="1" fillId="4" borderId="6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vertical="center" wrapText="1"/>
    </xf>
    <xf numFmtId="165" fontId="1" fillId="6" borderId="2" xfId="0" applyNumberFormat="1" applyFont="1" applyFill="1" applyBorder="1" applyAlignment="1">
      <alignment horizontal="center" vertical="center" wrapText="1"/>
    </xf>
    <xf numFmtId="165" fontId="1" fillId="6" borderId="9" xfId="0" applyNumberFormat="1" applyFont="1" applyFill="1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1" fillId="13" borderId="67" xfId="0" applyFont="1" applyFill="1" applyBorder="1" applyAlignment="1">
      <alignment horizontal="center" vertical="center"/>
    </xf>
    <xf numFmtId="0" fontId="0" fillId="13" borderId="73" xfId="0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0" fillId="13" borderId="62" xfId="0" applyFill="1" applyBorder="1" applyAlignment="1">
      <alignment horizontal="center" vertical="center"/>
    </xf>
    <xf numFmtId="0" fontId="0" fillId="13" borderId="65" xfId="0" applyFill="1" applyBorder="1" applyAlignment="1">
      <alignment horizontal="center" vertical="center"/>
    </xf>
    <xf numFmtId="0" fontId="0" fillId="13" borderId="63" xfId="0" applyFill="1" applyBorder="1" applyAlignment="1">
      <alignment horizontal="center" vertical="center"/>
    </xf>
    <xf numFmtId="0" fontId="0" fillId="6" borderId="58" xfId="0" applyFill="1" applyBorder="1" applyAlignment="1">
      <alignment horizontal="center" vertical="center" wrapText="1"/>
    </xf>
    <xf numFmtId="0" fontId="1" fillId="6" borderId="67" xfId="0" applyFont="1" applyFill="1" applyBorder="1" applyAlignment="1">
      <alignment horizontal="center" vertical="center" wrapText="1"/>
    </xf>
    <xf numFmtId="0" fontId="0" fillId="6" borderId="62" xfId="0" applyFill="1" applyBorder="1" applyAlignment="1">
      <alignment horizontal="center" vertical="center" wrapText="1"/>
    </xf>
    <xf numFmtId="0" fontId="2" fillId="0" borderId="60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57" xfId="0" applyFont="1" applyFill="1" applyBorder="1" applyAlignment="1">
      <alignment horizontal="center" vertical="center" wrapText="1"/>
    </xf>
    <xf numFmtId="0" fontId="1" fillId="6" borderId="60" xfId="0" applyFont="1" applyFill="1" applyBorder="1" applyAlignment="1">
      <alignment horizontal="center" vertical="center"/>
    </xf>
    <xf numFmtId="0" fontId="0" fillId="6" borderId="80" xfId="0" applyFill="1" applyBorder="1" applyAlignment="1">
      <alignment horizontal="center" vertical="center" wrapText="1"/>
    </xf>
    <xf numFmtId="0" fontId="0" fillId="6" borderId="63" xfId="0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57" xfId="0" applyFill="1" applyBorder="1" applyAlignment="1">
      <alignment horizontal="center" vertical="center" wrapText="1"/>
    </xf>
    <xf numFmtId="0" fontId="8" fillId="13" borderId="77" xfId="0" applyFont="1" applyFill="1" applyBorder="1" applyAlignment="1">
      <alignment horizontal="center"/>
    </xf>
    <xf numFmtId="0" fontId="8" fillId="13" borderId="6" xfId="0" applyFont="1" applyFill="1" applyBorder="1" applyAlignment="1">
      <alignment horizontal="center"/>
    </xf>
    <xf numFmtId="0" fontId="8" fillId="13" borderId="7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4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EADC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21960389353995"/>
          <c:y val="7.4920875524140298E-2"/>
          <c:w val="0.73187309689532853"/>
          <c:h val="0.79885258322668073"/>
        </c:manualLayout>
      </c:layout>
      <c:lineChart>
        <c:grouping val="stacked"/>
        <c:varyColors val="0"/>
        <c:ser>
          <c:idx val="0"/>
          <c:order val="0"/>
          <c:tx>
            <c:strRef>
              <c:f>'Graphs Montreal VSTL-III'!$C$2</c:f>
              <c:strCache>
                <c:ptCount val="1"/>
                <c:pt idx="0">
                  <c:v>COVID19 new cases (by lab)</c:v>
                </c:pt>
              </c:strCache>
            </c:strRef>
          </c:tx>
          <c:spPr>
            <a:ln w="6350" cap="rnd">
              <a:solidFill>
                <a:sysClr val="windowText" lastClr="0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6">
                  <a:lumMod val="20000"/>
                  <a:lumOff val="80000"/>
                </a:schemeClr>
              </a:solidFill>
              <a:ln w="6350">
                <a:solidFill>
                  <a:sysClr val="windowText" lastClr="00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'Graphs Montreal VSTL-III'!$B$5:$B$26</c:f>
              <c:numCache>
                <c:formatCode>m/d/yy</c:formatCode>
                <c:ptCount val="22"/>
                <c:pt idx="0">
                  <c:v>44242</c:v>
                </c:pt>
                <c:pt idx="1">
                  <c:v>44243</c:v>
                </c:pt>
                <c:pt idx="2">
                  <c:v>44244</c:v>
                </c:pt>
                <c:pt idx="3">
                  <c:v>44245</c:v>
                </c:pt>
                <c:pt idx="4">
                  <c:v>44246</c:v>
                </c:pt>
                <c:pt idx="5">
                  <c:v>44247</c:v>
                </c:pt>
                <c:pt idx="6">
                  <c:v>44248</c:v>
                </c:pt>
                <c:pt idx="7">
                  <c:v>44249</c:v>
                </c:pt>
                <c:pt idx="8">
                  <c:v>44250</c:v>
                </c:pt>
                <c:pt idx="9">
                  <c:v>44251</c:v>
                </c:pt>
                <c:pt idx="10">
                  <c:v>44252</c:v>
                </c:pt>
                <c:pt idx="11">
                  <c:v>44253</c:v>
                </c:pt>
                <c:pt idx="12">
                  <c:v>44254</c:v>
                </c:pt>
                <c:pt idx="13">
                  <c:v>44255</c:v>
                </c:pt>
                <c:pt idx="14">
                  <c:v>44256</c:v>
                </c:pt>
                <c:pt idx="15">
                  <c:v>44257</c:v>
                </c:pt>
                <c:pt idx="16">
                  <c:v>44258</c:v>
                </c:pt>
                <c:pt idx="17">
                  <c:v>44259</c:v>
                </c:pt>
                <c:pt idx="18">
                  <c:v>44260</c:v>
                </c:pt>
                <c:pt idx="19">
                  <c:v>44261</c:v>
                </c:pt>
                <c:pt idx="20">
                  <c:v>44262</c:v>
                </c:pt>
                <c:pt idx="21">
                  <c:v>44263</c:v>
                </c:pt>
              </c:numCache>
            </c:numRef>
          </c:cat>
          <c:val>
            <c:numRef>
              <c:f>'Graphs Montreal VSTL-III'!$C$5:$C$26</c:f>
              <c:numCache>
                <c:formatCode>General</c:formatCode>
                <c:ptCount val="22"/>
                <c:pt idx="0">
                  <c:v>317</c:v>
                </c:pt>
                <c:pt idx="1">
                  <c:v>412</c:v>
                </c:pt>
                <c:pt idx="2">
                  <c:v>331</c:v>
                </c:pt>
                <c:pt idx="3">
                  <c:v>375</c:v>
                </c:pt>
                <c:pt idx="4">
                  <c:v>394</c:v>
                </c:pt>
                <c:pt idx="5">
                  <c:v>392</c:v>
                </c:pt>
                <c:pt idx="6">
                  <c:v>404</c:v>
                </c:pt>
                <c:pt idx="7">
                  <c:v>259</c:v>
                </c:pt>
                <c:pt idx="8">
                  <c:v>417</c:v>
                </c:pt>
                <c:pt idx="9">
                  <c:v>410</c:v>
                </c:pt>
                <c:pt idx="10">
                  <c:v>389</c:v>
                </c:pt>
                <c:pt idx="11">
                  <c:v>399</c:v>
                </c:pt>
                <c:pt idx="12">
                  <c:v>324</c:v>
                </c:pt>
                <c:pt idx="13">
                  <c:v>248</c:v>
                </c:pt>
                <c:pt idx="14">
                  <c:v>259</c:v>
                </c:pt>
                <c:pt idx="15">
                  <c:v>391</c:v>
                </c:pt>
                <c:pt idx="16">
                  <c:v>306</c:v>
                </c:pt>
                <c:pt idx="17">
                  <c:v>371</c:v>
                </c:pt>
                <c:pt idx="18">
                  <c:v>281</c:v>
                </c:pt>
                <c:pt idx="19">
                  <c:v>393</c:v>
                </c:pt>
                <c:pt idx="20">
                  <c:v>277</c:v>
                </c:pt>
                <c:pt idx="21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5B-43A6-B421-F4D94F829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3998848"/>
        <c:axId val="1283999680"/>
      </c:lineChart>
      <c:scatterChart>
        <c:scatterStyle val="lineMarker"/>
        <c:varyColors val="0"/>
        <c:ser>
          <c:idx val="1"/>
          <c:order val="1"/>
          <c:tx>
            <c:strRef>
              <c:f>'Graphs Montreal VSTL-III'!$D$4</c:f>
              <c:strCache>
                <c:ptCount val="1"/>
                <c:pt idx="0">
                  <c:v>Grab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0000"/>
              </a:solidFill>
              <a:ln w="3175">
                <a:solidFill>
                  <a:sysClr val="windowText" lastClr="00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'Graphs Montreal VSTL-III'!$B$5:$B$26</c:f>
              <c:numCache>
                <c:formatCode>m/d/yy</c:formatCode>
                <c:ptCount val="22"/>
                <c:pt idx="0">
                  <c:v>44242</c:v>
                </c:pt>
                <c:pt idx="1">
                  <c:v>44243</c:v>
                </c:pt>
                <c:pt idx="2">
                  <c:v>44244</c:v>
                </c:pt>
                <c:pt idx="3">
                  <c:v>44245</c:v>
                </c:pt>
                <c:pt idx="4">
                  <c:v>44246</c:v>
                </c:pt>
                <c:pt idx="5">
                  <c:v>44247</c:v>
                </c:pt>
                <c:pt idx="6">
                  <c:v>44248</c:v>
                </c:pt>
                <c:pt idx="7">
                  <c:v>44249</c:v>
                </c:pt>
                <c:pt idx="8">
                  <c:v>44250</c:v>
                </c:pt>
                <c:pt idx="9">
                  <c:v>44251</c:v>
                </c:pt>
                <c:pt idx="10">
                  <c:v>44252</c:v>
                </c:pt>
                <c:pt idx="11">
                  <c:v>44253</c:v>
                </c:pt>
                <c:pt idx="12">
                  <c:v>44254</c:v>
                </c:pt>
                <c:pt idx="13">
                  <c:v>44255</c:v>
                </c:pt>
                <c:pt idx="14">
                  <c:v>44256</c:v>
                </c:pt>
                <c:pt idx="15">
                  <c:v>44257</c:v>
                </c:pt>
                <c:pt idx="16">
                  <c:v>44258</c:v>
                </c:pt>
                <c:pt idx="17">
                  <c:v>44259</c:v>
                </c:pt>
                <c:pt idx="18">
                  <c:v>44260</c:v>
                </c:pt>
                <c:pt idx="19">
                  <c:v>44261</c:v>
                </c:pt>
                <c:pt idx="20">
                  <c:v>44262</c:v>
                </c:pt>
                <c:pt idx="21">
                  <c:v>44263</c:v>
                </c:pt>
              </c:numCache>
            </c:numRef>
          </c:xVal>
          <c:yVal>
            <c:numRef>
              <c:f>'Graphs Montreal VSTL-III'!$D$5:$D$26</c:f>
              <c:numCache>
                <c:formatCode>0.0E+00</c:formatCode>
                <c:ptCount val="22"/>
                <c:pt idx="11" formatCode="0">
                  <c:v>3.0892588037332804</c:v>
                </c:pt>
                <c:pt idx="14" formatCode="0">
                  <c:v>8.93229218911892</c:v>
                </c:pt>
                <c:pt idx="16" formatCode="0">
                  <c:v>8.89439958459241</c:v>
                </c:pt>
                <c:pt idx="17" formatCode="0">
                  <c:v>3.7857172553192249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5B-43A6-B421-F4D94F829A12}"/>
            </c:ext>
          </c:extLst>
        </c:ser>
        <c:ser>
          <c:idx val="2"/>
          <c:order val="2"/>
          <c:tx>
            <c:strRef>
              <c:f>'Graphs Montreal VSTL-III'!$E$4</c:f>
              <c:strCache>
                <c:ptCount val="1"/>
                <c:pt idx="0">
                  <c:v>Composite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ysClr val="windowText" lastClr="00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'Graphs Montreal VSTL-III'!$B$5:$B$26</c:f>
              <c:numCache>
                <c:formatCode>m/d/yy</c:formatCode>
                <c:ptCount val="22"/>
                <c:pt idx="0">
                  <c:v>44242</c:v>
                </c:pt>
                <c:pt idx="1">
                  <c:v>44243</c:v>
                </c:pt>
                <c:pt idx="2">
                  <c:v>44244</c:v>
                </c:pt>
                <c:pt idx="3">
                  <c:v>44245</c:v>
                </c:pt>
                <c:pt idx="4">
                  <c:v>44246</c:v>
                </c:pt>
                <c:pt idx="5">
                  <c:v>44247</c:v>
                </c:pt>
                <c:pt idx="6">
                  <c:v>44248</c:v>
                </c:pt>
                <c:pt idx="7">
                  <c:v>44249</c:v>
                </c:pt>
                <c:pt idx="8">
                  <c:v>44250</c:v>
                </c:pt>
                <c:pt idx="9">
                  <c:v>44251</c:v>
                </c:pt>
                <c:pt idx="10">
                  <c:v>44252</c:v>
                </c:pt>
                <c:pt idx="11">
                  <c:v>44253</c:v>
                </c:pt>
                <c:pt idx="12">
                  <c:v>44254</c:v>
                </c:pt>
                <c:pt idx="13">
                  <c:v>44255</c:v>
                </c:pt>
                <c:pt idx="14">
                  <c:v>44256</c:v>
                </c:pt>
                <c:pt idx="15">
                  <c:v>44257</c:v>
                </c:pt>
                <c:pt idx="16">
                  <c:v>44258</c:v>
                </c:pt>
                <c:pt idx="17">
                  <c:v>44259</c:v>
                </c:pt>
                <c:pt idx="18">
                  <c:v>44260</c:v>
                </c:pt>
                <c:pt idx="19">
                  <c:v>44261</c:v>
                </c:pt>
                <c:pt idx="20">
                  <c:v>44262</c:v>
                </c:pt>
                <c:pt idx="21">
                  <c:v>44263</c:v>
                </c:pt>
              </c:numCache>
            </c:numRef>
          </c:xVal>
          <c:yVal>
            <c:numRef>
              <c:f>'Graphs Montreal VSTL-III'!$E$5:$E$26</c:f>
              <c:numCache>
                <c:formatCode>General</c:formatCode>
                <c:ptCount val="22"/>
                <c:pt idx="11" formatCode="0">
                  <c:v>5.5517519075425774</c:v>
                </c:pt>
                <c:pt idx="14" formatCode="0">
                  <c:v>9.8646937649361526</c:v>
                </c:pt>
                <c:pt idx="16" formatCode="0">
                  <c:v>12.23296718573455</c:v>
                </c:pt>
                <c:pt idx="17" formatCode="0">
                  <c:v>19.229459984012177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5B-43A6-B421-F4D94F829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830863"/>
        <c:axId val="1135832111"/>
      </c:scatterChart>
      <c:dateAx>
        <c:axId val="1283998848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83999680"/>
        <c:crossesAt val="0"/>
        <c:auto val="1"/>
        <c:lblOffset val="100"/>
        <c:baseTimeUnit val="days"/>
      </c:dateAx>
      <c:valAx>
        <c:axId val="128399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CA"/>
                  <a:t>COVID-19 new</a:t>
                </a:r>
                <a:r>
                  <a:rPr lang="en-CA" baseline="0"/>
                  <a:t> cases IN MONTREAL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8.1797702682671419E-2"/>
              <c:y val="0.326688747374250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83998848"/>
        <c:crosses val="autoZero"/>
        <c:crossBetween val="between"/>
      </c:valAx>
      <c:valAx>
        <c:axId val="113583211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CA"/>
                  <a:t>SARS-CoV-2</a:t>
                </a:r>
                <a:r>
                  <a:rPr lang="en-CA" baseline="0"/>
                  <a:t> GC/ml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0.89482700850035057"/>
              <c:y val="0.326723455400077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35830863"/>
        <c:crosses val="max"/>
        <c:crossBetween val="midCat"/>
      </c:valAx>
      <c:valAx>
        <c:axId val="1135830863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1135832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197127741437947"/>
          <c:y val="8.2997488425749343E-4"/>
          <c:w val="0.21342095141074871"/>
          <c:h val="0.132649490632434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>
      <a:noFill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21960389353995"/>
          <c:y val="7.4920875524140298E-2"/>
          <c:w val="0.73187309689532853"/>
          <c:h val="0.79885258322668073"/>
        </c:manualLayout>
      </c:layout>
      <c:lineChart>
        <c:grouping val="stacked"/>
        <c:varyColors val="0"/>
        <c:ser>
          <c:idx val="0"/>
          <c:order val="0"/>
          <c:tx>
            <c:strRef>
              <c:f>'Graphs Montreal CDN05'!$C$4</c:f>
              <c:strCache>
                <c:ptCount val="1"/>
                <c:pt idx="0">
                  <c:v>COVID19 new cases</c:v>
                </c:pt>
              </c:strCache>
            </c:strRef>
          </c:tx>
          <c:spPr>
            <a:ln w="6350" cap="rnd">
              <a:solidFill>
                <a:sysClr val="windowText" lastClr="0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6">
                  <a:lumMod val="20000"/>
                  <a:lumOff val="80000"/>
                </a:schemeClr>
              </a:solidFill>
              <a:ln w="6350">
                <a:solidFill>
                  <a:sysClr val="windowText" lastClr="00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'Graphs Montreal CDN05'!$B$5:$B$26</c:f>
              <c:numCache>
                <c:formatCode>m/d/yy</c:formatCode>
                <c:ptCount val="22"/>
                <c:pt idx="0">
                  <c:v>44242</c:v>
                </c:pt>
                <c:pt idx="1">
                  <c:v>44243</c:v>
                </c:pt>
                <c:pt idx="2">
                  <c:v>44244</c:v>
                </c:pt>
                <c:pt idx="3">
                  <c:v>44245</c:v>
                </c:pt>
                <c:pt idx="4">
                  <c:v>44246</c:v>
                </c:pt>
                <c:pt idx="5">
                  <c:v>44247</c:v>
                </c:pt>
                <c:pt idx="6">
                  <c:v>44248</c:v>
                </c:pt>
                <c:pt idx="7">
                  <c:v>44249</c:v>
                </c:pt>
                <c:pt idx="8">
                  <c:v>44250</c:v>
                </c:pt>
                <c:pt idx="9">
                  <c:v>44251</c:v>
                </c:pt>
                <c:pt idx="10">
                  <c:v>44252</c:v>
                </c:pt>
                <c:pt idx="11">
                  <c:v>44253</c:v>
                </c:pt>
                <c:pt idx="12">
                  <c:v>44254</c:v>
                </c:pt>
                <c:pt idx="13">
                  <c:v>44255</c:v>
                </c:pt>
                <c:pt idx="14">
                  <c:v>44256</c:v>
                </c:pt>
                <c:pt idx="15">
                  <c:v>44257</c:v>
                </c:pt>
                <c:pt idx="16">
                  <c:v>44258</c:v>
                </c:pt>
                <c:pt idx="17">
                  <c:v>44259</c:v>
                </c:pt>
                <c:pt idx="18">
                  <c:v>44260</c:v>
                </c:pt>
                <c:pt idx="19">
                  <c:v>44261</c:v>
                </c:pt>
                <c:pt idx="20">
                  <c:v>44262</c:v>
                </c:pt>
                <c:pt idx="21">
                  <c:v>44263</c:v>
                </c:pt>
              </c:numCache>
            </c:numRef>
          </c:cat>
          <c:val>
            <c:numRef>
              <c:f>'Graphs Montreal CDN05'!$C$5:$C$26</c:f>
              <c:numCache>
                <c:formatCode>General</c:formatCode>
                <c:ptCount val="22"/>
                <c:pt idx="0">
                  <c:v>317</c:v>
                </c:pt>
                <c:pt idx="1">
                  <c:v>412</c:v>
                </c:pt>
                <c:pt idx="2">
                  <c:v>331</c:v>
                </c:pt>
                <c:pt idx="3">
                  <c:v>375</c:v>
                </c:pt>
                <c:pt idx="4">
                  <c:v>394</c:v>
                </c:pt>
                <c:pt idx="5">
                  <c:v>392</c:v>
                </c:pt>
                <c:pt idx="6">
                  <c:v>404</c:v>
                </c:pt>
                <c:pt idx="7">
                  <c:v>259</c:v>
                </c:pt>
                <c:pt idx="8">
                  <c:v>417</c:v>
                </c:pt>
                <c:pt idx="9">
                  <c:v>410</c:v>
                </c:pt>
                <c:pt idx="10">
                  <c:v>389</c:v>
                </c:pt>
                <c:pt idx="11">
                  <c:v>399</c:v>
                </c:pt>
                <c:pt idx="12">
                  <c:v>324</c:v>
                </c:pt>
                <c:pt idx="13">
                  <c:v>248</c:v>
                </c:pt>
                <c:pt idx="14">
                  <c:v>259</c:v>
                </c:pt>
                <c:pt idx="15">
                  <c:v>391</c:v>
                </c:pt>
                <c:pt idx="16">
                  <c:v>306</c:v>
                </c:pt>
                <c:pt idx="17">
                  <c:v>371</c:v>
                </c:pt>
                <c:pt idx="18">
                  <c:v>281</c:v>
                </c:pt>
                <c:pt idx="19">
                  <c:v>393</c:v>
                </c:pt>
                <c:pt idx="20">
                  <c:v>277</c:v>
                </c:pt>
                <c:pt idx="21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29-4D34-8250-B7EBE2DE1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3998848"/>
        <c:axId val="1283999680"/>
      </c:lineChart>
      <c:scatterChart>
        <c:scatterStyle val="lineMarker"/>
        <c:varyColors val="0"/>
        <c:ser>
          <c:idx val="1"/>
          <c:order val="1"/>
          <c:tx>
            <c:strRef>
              <c:f>'Graphs Montreal CDN05'!$D$4</c:f>
              <c:strCache>
                <c:ptCount val="1"/>
                <c:pt idx="0">
                  <c:v>Grab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0000"/>
              </a:solidFill>
              <a:ln w="3175">
                <a:solidFill>
                  <a:sysClr val="windowText" lastClr="00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'Graphs Montreal CDN05'!$B$5:$B$26</c:f>
              <c:numCache>
                <c:formatCode>m/d/yy</c:formatCode>
                <c:ptCount val="22"/>
                <c:pt idx="0">
                  <c:v>44242</c:v>
                </c:pt>
                <c:pt idx="1">
                  <c:v>44243</c:v>
                </c:pt>
                <c:pt idx="2">
                  <c:v>44244</c:v>
                </c:pt>
                <c:pt idx="3">
                  <c:v>44245</c:v>
                </c:pt>
                <c:pt idx="4">
                  <c:v>44246</c:v>
                </c:pt>
                <c:pt idx="5">
                  <c:v>44247</c:v>
                </c:pt>
                <c:pt idx="6">
                  <c:v>44248</c:v>
                </c:pt>
                <c:pt idx="7">
                  <c:v>44249</c:v>
                </c:pt>
                <c:pt idx="8">
                  <c:v>44250</c:v>
                </c:pt>
                <c:pt idx="9">
                  <c:v>44251</c:v>
                </c:pt>
                <c:pt idx="10">
                  <c:v>44252</c:v>
                </c:pt>
                <c:pt idx="11">
                  <c:v>44253</c:v>
                </c:pt>
                <c:pt idx="12">
                  <c:v>44254</c:v>
                </c:pt>
                <c:pt idx="13">
                  <c:v>44255</c:v>
                </c:pt>
                <c:pt idx="14">
                  <c:v>44256</c:v>
                </c:pt>
                <c:pt idx="15">
                  <c:v>44257</c:v>
                </c:pt>
                <c:pt idx="16">
                  <c:v>44258</c:v>
                </c:pt>
                <c:pt idx="17">
                  <c:v>44259</c:v>
                </c:pt>
                <c:pt idx="18">
                  <c:v>44260</c:v>
                </c:pt>
                <c:pt idx="19">
                  <c:v>44261</c:v>
                </c:pt>
                <c:pt idx="20">
                  <c:v>44262</c:v>
                </c:pt>
                <c:pt idx="21">
                  <c:v>44263</c:v>
                </c:pt>
              </c:numCache>
            </c:numRef>
          </c:xVal>
          <c:yVal>
            <c:numRef>
              <c:f>'Graphs Montreal CDN05'!$D$5:$D$26</c:f>
              <c:numCache>
                <c:formatCode>0.0E+00</c:formatCode>
                <c:ptCount val="22"/>
                <c:pt idx="11" formatCode="0">
                  <c:v>22.073386816205506</c:v>
                </c:pt>
                <c:pt idx="14" formatCode="0">
                  <c:v>25.446966052759468</c:v>
                </c:pt>
                <c:pt idx="16" formatCode="0">
                  <c:v>39.792772684871878</c:v>
                </c:pt>
                <c:pt idx="17" formatCode="0">
                  <c:v>74.461807091558327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29-4D34-8250-B7EBE2DE1E9F}"/>
            </c:ext>
          </c:extLst>
        </c:ser>
        <c:ser>
          <c:idx val="2"/>
          <c:order val="2"/>
          <c:tx>
            <c:strRef>
              <c:f>'Graphs Montreal CDN05'!$E$4</c:f>
              <c:strCache>
                <c:ptCount val="1"/>
                <c:pt idx="0">
                  <c:v>Composite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ysClr val="windowText" lastClr="00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'Graphs Montreal CDN05'!$B$5:$B$26</c:f>
              <c:numCache>
                <c:formatCode>m/d/yy</c:formatCode>
                <c:ptCount val="22"/>
                <c:pt idx="0">
                  <c:v>44242</c:v>
                </c:pt>
                <c:pt idx="1">
                  <c:v>44243</c:v>
                </c:pt>
                <c:pt idx="2">
                  <c:v>44244</c:v>
                </c:pt>
                <c:pt idx="3">
                  <c:v>44245</c:v>
                </c:pt>
                <c:pt idx="4">
                  <c:v>44246</c:v>
                </c:pt>
                <c:pt idx="5">
                  <c:v>44247</c:v>
                </c:pt>
                <c:pt idx="6">
                  <c:v>44248</c:v>
                </c:pt>
                <c:pt idx="7">
                  <c:v>44249</c:v>
                </c:pt>
                <c:pt idx="8">
                  <c:v>44250</c:v>
                </c:pt>
                <c:pt idx="9">
                  <c:v>44251</c:v>
                </c:pt>
                <c:pt idx="10">
                  <c:v>44252</c:v>
                </c:pt>
                <c:pt idx="11">
                  <c:v>44253</c:v>
                </c:pt>
                <c:pt idx="12">
                  <c:v>44254</c:v>
                </c:pt>
                <c:pt idx="13">
                  <c:v>44255</c:v>
                </c:pt>
                <c:pt idx="14">
                  <c:v>44256</c:v>
                </c:pt>
                <c:pt idx="15">
                  <c:v>44257</c:v>
                </c:pt>
                <c:pt idx="16">
                  <c:v>44258</c:v>
                </c:pt>
                <c:pt idx="17">
                  <c:v>44259</c:v>
                </c:pt>
                <c:pt idx="18">
                  <c:v>44260</c:v>
                </c:pt>
                <c:pt idx="19">
                  <c:v>44261</c:v>
                </c:pt>
                <c:pt idx="20">
                  <c:v>44262</c:v>
                </c:pt>
                <c:pt idx="21">
                  <c:v>44263</c:v>
                </c:pt>
              </c:numCache>
            </c:numRef>
          </c:xVal>
          <c:yVal>
            <c:numRef>
              <c:f>'Graphs Montreal CDN05'!$E$5:$E$26</c:f>
              <c:numCache>
                <c:formatCode>General</c:formatCode>
                <c:ptCount val="22"/>
                <c:pt idx="11" formatCode="0">
                  <c:v>134.01440602747999</c:v>
                </c:pt>
                <c:pt idx="14" formatCode="0">
                  <c:v>126.71498724750623</c:v>
                </c:pt>
                <c:pt idx="16" formatCode="0">
                  <c:v>87.232271698595838</c:v>
                </c:pt>
                <c:pt idx="17" formatCode="0">
                  <c:v>19.004684623124238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29-4D34-8250-B7EBE2DE1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830863"/>
        <c:axId val="1135832111"/>
      </c:scatterChart>
      <c:dateAx>
        <c:axId val="1283998848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83999680"/>
        <c:crossesAt val="0"/>
        <c:auto val="1"/>
        <c:lblOffset val="100"/>
        <c:baseTimeUnit val="days"/>
      </c:dateAx>
      <c:valAx>
        <c:axId val="128399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CA"/>
                  <a:t>COVID-19 new</a:t>
                </a:r>
                <a:r>
                  <a:rPr lang="en-CA" baseline="0"/>
                  <a:t> cases IN MONTREAL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8.1797702682671419E-2"/>
              <c:y val="0.326688747374250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83998848"/>
        <c:crosses val="autoZero"/>
        <c:crossBetween val="between"/>
      </c:valAx>
      <c:valAx>
        <c:axId val="113583211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CA"/>
                  <a:t>SARS-CoV-2</a:t>
                </a:r>
                <a:r>
                  <a:rPr lang="en-CA" baseline="0"/>
                  <a:t> GC/ml</a:t>
                </a:r>
                <a:endParaRPr lang="en-CA"/>
              </a:p>
            </c:rich>
          </c:tx>
          <c:layout>
            <c:manualLayout>
              <c:xMode val="edge"/>
              <c:yMode val="edge"/>
              <c:x val="0.89482700850035057"/>
              <c:y val="0.326723455400077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35830863"/>
        <c:crosses val="max"/>
        <c:crossBetween val="midCat"/>
      </c:valAx>
      <c:valAx>
        <c:axId val="1135830863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1135832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197127741437947"/>
          <c:y val="8.2997488425749343E-4"/>
          <c:w val="0.21342095141074871"/>
          <c:h val="0.132649490632434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>
      <a:noFill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680357</xdr:colOff>
      <xdr:row>2</xdr:row>
      <xdr:rowOff>8</xdr:rowOff>
    </xdr:from>
    <xdr:to>
      <xdr:col>26</xdr:col>
      <xdr:colOff>99782</xdr:colOff>
      <xdr:row>25</xdr:row>
      <xdr:rowOff>145151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861DAA-6B32-4935-AAE3-8CC75514E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27215</xdr:colOff>
      <xdr:row>17</xdr:row>
      <xdr:rowOff>127000</xdr:rowOff>
    </xdr:from>
    <xdr:ext cx="42421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A8F05EB-A4AC-41C7-A10A-CD223D39081E}"/>
            </a:ext>
          </a:extLst>
        </xdr:cNvPr>
        <xdr:cNvSpPr txBox="1"/>
      </xdr:nvSpPr>
      <xdr:spPr>
        <a:xfrm>
          <a:off x="8608786" y="3211286"/>
          <a:ext cx="4242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1100">
              <a:solidFill>
                <a:srgbClr val="FF0000"/>
              </a:solidFill>
            </a:rPr>
            <a:t>LOD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0.15691</cdr:x>
      <cdr:y>0.70798</cdr:y>
    </cdr:from>
    <cdr:to>
      <cdr:x>0.85313</cdr:x>
      <cdr:y>0.70798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2C812287-3082-4C3B-B477-FBF746942692}"/>
            </a:ext>
          </a:extLst>
        </cdr:cNvPr>
        <cdr:cNvCxnSpPr/>
      </cdr:nvCxnSpPr>
      <cdr:spPr>
        <a:xfrm xmlns:a="http://schemas.openxmlformats.org/drawingml/2006/main">
          <a:off x="1841913" y="3057064"/>
          <a:ext cx="8172533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501646</xdr:colOff>
      <xdr:row>2</xdr:row>
      <xdr:rowOff>27214</xdr:rowOff>
    </xdr:from>
    <xdr:to>
      <xdr:col>25</xdr:col>
      <xdr:colOff>417282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0F9714-38A5-4ED7-A7A2-8B45B08E2D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Tsitouras Alexandra" id="{6BEB4F4D-AE6A-44E0-AB22-B6A81D0415C9}" userId="42148f31144bb170" providerId="Windows Live"/>
  <person displayName="Betelhem Kassa, Mrs" id="{CB37E8BC-FEF0-48DD-91B3-EBB2F099B35B}" userId="S::betelhem.kassa@mcgill.ca::a329aa78-cbdc-41cd-bef0-20cf88cdf2c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Y64" dT="2020-12-21T14:38:22.18" personId="{CB37E8BC-FEF0-48DD-91B3-EBB2F099B35B}" id="{7EBC2AB5-19AA-4021-BC18-B8355319B66D}">
    <text>duplicate Ct value too high</text>
  </threadedComment>
  <threadedComment ref="AF65" dT="2020-12-21T15:13:54.48" personId="{CB37E8BC-FEF0-48DD-91B3-EBB2F099B35B}" id="{5900B887-FA18-4823-832E-B940EC37A829}">
    <text>duplicate had no Ct value</text>
  </threadedComment>
  <threadedComment ref="AM67" dT="2020-12-21T15:41:43.24" personId="{CB37E8BC-FEF0-48DD-91B3-EBB2F099B35B}" id="{821AF568-5D37-465E-8115-CB3C74D428D1}">
    <text>Duplicate Ct lacking</text>
  </threadedComment>
  <threadedComment ref="AM68" dT="2020-12-21T15:41:48.33" personId="{CB37E8BC-FEF0-48DD-91B3-EBB2F099B35B}" id="{D6846407-A013-4429-B954-239E87FDBD3C}">
    <text>Duplicate Ct lacking</text>
  </threadedComment>
  <threadedComment ref="AM72" dT="2020-12-21T15:45:31.99" personId="{CB37E8BC-FEF0-48DD-91B3-EBB2F099B35B}" id="{16C3B1B4-3805-4E69-965D-0970A72E8812}">
    <text>duplicate no Ct value</text>
  </threadedComment>
  <threadedComment ref="AL73" dT="2020-12-21T15:45:43.99" personId="{CB37E8BC-FEF0-48DD-91B3-EBB2F099B35B}" id="{E9B93A0C-DB3B-4B86-AC2C-7EBC59BC5DDC}">
    <text>Duplicate No Ct value</text>
  </threadedComment>
  <threadedComment ref="Z74" dT="2020-12-21T14:41:43.15" personId="{CB37E8BC-FEF0-48DD-91B3-EBB2F099B35B}" id="{8E7B6113-F78B-49F8-9E02-93CF9616B9FE}">
    <text>Duplicate Ct too high</text>
  </threadedComment>
  <threadedComment ref="AG74" dT="2020-12-21T15:37:04.08" personId="{CB37E8BC-FEF0-48DD-91B3-EBB2F099B35B}" id="{1695338B-BAEA-487A-AAA6-648C8CDC65B8}">
    <text>Duplicate Ct lacking</text>
  </threadedComment>
  <threadedComment ref="L88" dT="2021-01-07T14:50:13.20" personId="{CB37E8BC-FEF0-48DD-91B3-EBB2F099B35B}" id="{E05F4FB2-AE2C-4D7A-BC66-4863EBF89C72}">
    <text>Qpcr done by Fernando</text>
  </threadedComment>
  <threadedComment ref="L100" dT="2021-01-07T14:50:32.89" personId="{CB37E8BC-FEF0-48DD-91B3-EBB2F099B35B}" id="{9E0EC5F3-3EE8-4345-9E63-AFFCD1E6C162}">
    <text>RNA extraction done by Fernando</text>
  </threadedComment>
  <threadedComment ref="C110" dT="2021-01-07T14:24:25.39" personId="{CB37E8BC-FEF0-48DD-91B3-EBB2F099B35B}" id="{B5BB6754-A247-4C39-8123-71ACC8ED0956}">
    <text>100 ml of sample 1</text>
  </threadedComment>
  <threadedComment ref="C111" dT="2021-01-07T14:24:36.49" personId="{CB37E8BC-FEF0-48DD-91B3-EBB2F099B35B}" id="{6564652E-8245-4B67-8B6F-E95868B8BB42}">
    <text>100 ml of sample 2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V3" dT="2021-03-27T19:54:20.09" personId="{6BEB4F4D-AE6A-44E0-AB22-B6A81D0415C9}" id="{B2430447-9EB0-43A1-8105-EFD006AAFCC1}">
    <text>Needs to be converted from megOHM</text>
  </threadedComment>
  <threadedComment ref="V175" dT="2021-03-24T16:28:59.23" personId="{CB37E8BC-FEF0-48DD-91B3-EBB2F099B35B}" id="{0975EA10-258C-4090-9E29-50DC4896C9DA}">
    <text>From here on conductivity measured in microsim/cm</text>
  </threadedComment>
  <threadedComment ref="V231" dT="2021-03-26T16:05:16.46" personId="{CB37E8BC-FEF0-48DD-91B3-EBB2F099B35B}" id="{82CC40FA-3840-4B26-91EF-C277AE6211DF}">
    <text xml:space="preserve">It wasn't possible to get a number for this sample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X177"/>
  <sheetViews>
    <sheetView showGridLines="0" zoomScale="70" zoomScaleNormal="70" workbookViewId="0">
      <pane xSplit="8" ySplit="18" topLeftCell="AM50" activePane="bottomRight" state="frozen"/>
      <selection pane="topRight"/>
      <selection pane="bottomLeft"/>
      <selection pane="bottomRight" activeCell="E17" sqref="E17:E18"/>
    </sheetView>
  </sheetViews>
  <sheetFormatPr baseColWidth="10" defaultColWidth="8.6640625" defaultRowHeight="13" x14ac:dyDescent="0.15"/>
  <cols>
    <col min="1" max="1" width="2.33203125" style="2" customWidth="1"/>
    <col min="2" max="3" width="8.6640625" style="1"/>
    <col min="4" max="4" width="12.83203125" style="1" customWidth="1"/>
    <col min="5" max="5" width="19.33203125" style="1" customWidth="1"/>
    <col min="6" max="6" width="18.6640625" style="1" customWidth="1"/>
    <col min="7" max="8" width="11.33203125" style="1" customWidth="1"/>
    <col min="9" max="9" width="18.1640625" style="1" bestFit="1" customWidth="1"/>
    <col min="10" max="14" width="18.1640625" style="1" customWidth="1"/>
    <col min="15" max="15" width="22.33203125" style="1" bestFit="1" customWidth="1"/>
    <col min="16" max="16" width="19.6640625" style="1" bestFit="1" customWidth="1"/>
    <col min="17" max="17" width="8.83203125" style="1" bestFit="1" customWidth="1"/>
    <col min="18" max="20" width="8.6640625" style="1"/>
    <col min="21" max="21" width="10.33203125" style="1" customWidth="1"/>
    <col min="22" max="22" width="17.83203125" style="1" customWidth="1"/>
    <col min="23" max="23" width="25.83203125" style="1" customWidth="1"/>
    <col min="24" max="24" width="10.33203125" style="1" customWidth="1"/>
    <col min="25" max="26" width="8.83203125" style="1" bestFit="1" customWidth="1"/>
    <col min="27" max="27" width="8.6640625" style="1"/>
    <col min="28" max="28" width="8.83203125" style="1" bestFit="1" customWidth="1"/>
    <col min="29" max="29" width="10.83203125" style="1" bestFit="1" customWidth="1"/>
    <col min="30" max="30" width="11.83203125" style="1" bestFit="1" customWidth="1"/>
    <col min="31" max="31" width="9.83203125" style="1" bestFit="1" customWidth="1"/>
    <col min="32" max="36" width="8.6640625" style="1"/>
    <col min="37" max="37" width="9.1640625" style="1" bestFit="1" customWidth="1"/>
    <col min="38" max="41" width="8.6640625" style="1"/>
    <col min="42" max="42" width="10" style="1" customWidth="1"/>
    <col min="43" max="43" width="8.6640625" style="1"/>
    <col min="44" max="44" width="11.33203125" style="1" customWidth="1"/>
    <col min="45" max="45" width="21.1640625" style="1" bestFit="1" customWidth="1"/>
    <col min="46" max="46" width="14.33203125" style="1" bestFit="1" customWidth="1"/>
    <col min="47" max="47" width="11.1640625" style="1" bestFit="1" customWidth="1"/>
    <col min="48" max="48" width="114.83203125" style="1" customWidth="1"/>
    <col min="49" max="16360" width="8.6640625" style="2"/>
    <col min="16361" max="16383" width="8.6640625" style="2" bestFit="1" customWidth="1"/>
    <col min="16384" max="16384" width="8.6640625" style="2"/>
  </cols>
  <sheetData>
    <row r="2" spans="1:48" x14ac:dyDescent="0.15">
      <c r="B2" s="257"/>
      <c r="C2" s="257"/>
      <c r="D2" s="257"/>
      <c r="E2" s="257"/>
      <c r="F2" s="257"/>
      <c r="G2" s="716" t="s">
        <v>0</v>
      </c>
      <c r="H2" s="716"/>
      <c r="I2" s="716"/>
      <c r="J2" s="716"/>
      <c r="K2" s="716"/>
      <c r="L2" s="716"/>
      <c r="M2" s="716"/>
      <c r="N2" s="716"/>
      <c r="O2" s="716"/>
      <c r="P2" s="257"/>
      <c r="Q2" s="257"/>
      <c r="R2" s="257"/>
      <c r="S2" s="257"/>
      <c r="T2" s="257"/>
      <c r="U2" s="257"/>
      <c r="V2" s="257"/>
      <c r="W2" s="257"/>
      <c r="X2" s="714" t="s">
        <v>1</v>
      </c>
      <c r="Y2" s="714"/>
      <c r="Z2" s="714"/>
      <c r="AA2" s="714"/>
      <c r="AB2" s="714"/>
      <c r="AC2" s="257"/>
      <c r="AD2" s="257"/>
      <c r="AE2" s="257"/>
      <c r="AF2" s="257"/>
      <c r="AG2" s="257"/>
      <c r="AH2" s="257"/>
      <c r="AI2" s="257"/>
      <c r="AJ2" s="257"/>
      <c r="AK2" s="257"/>
      <c r="AL2" s="257"/>
      <c r="AM2" s="257"/>
      <c r="AN2" s="257"/>
      <c r="AO2" s="257"/>
      <c r="AP2" s="257"/>
      <c r="AQ2" s="257"/>
      <c r="AR2" s="257"/>
      <c r="AS2" s="257"/>
      <c r="AT2" s="257"/>
      <c r="AU2" s="257"/>
      <c r="AV2" s="257"/>
    </row>
    <row r="3" spans="1:48" s="1" customFormat="1" ht="15" customHeight="1" x14ac:dyDescent="0.2">
      <c r="A3" s="257"/>
      <c r="B3" s="257"/>
      <c r="C3" s="257"/>
      <c r="D3" s="257"/>
      <c r="E3" s="257"/>
      <c r="F3" s="257"/>
      <c r="G3" s="715" t="s">
        <v>2</v>
      </c>
      <c r="H3" s="715"/>
      <c r="I3" s="715"/>
      <c r="J3" s="715"/>
      <c r="K3" s="715"/>
      <c r="L3" s="715"/>
      <c r="M3" s="715"/>
      <c r="N3" s="715"/>
      <c r="O3" s="715"/>
      <c r="P3" s="754" t="s">
        <v>3</v>
      </c>
      <c r="Q3" s="754" t="s">
        <v>4</v>
      </c>
      <c r="R3" s="257"/>
      <c r="S3" s="257"/>
      <c r="T3" s="257"/>
      <c r="U3" s="257"/>
      <c r="V3" s="257"/>
      <c r="W3" s="257"/>
      <c r="X3" s="715" t="s">
        <v>2</v>
      </c>
      <c r="Y3" s="715"/>
      <c r="Z3" s="715"/>
      <c r="AA3" s="715"/>
      <c r="AB3" s="715"/>
      <c r="AC3" s="754" t="s">
        <v>3</v>
      </c>
      <c r="AD3" s="754" t="s">
        <v>4</v>
      </c>
      <c r="AE3" s="257"/>
      <c r="AF3" s="257"/>
      <c r="AG3" s="257"/>
      <c r="AH3" s="257"/>
      <c r="AI3" s="257"/>
      <c r="AJ3" s="257"/>
      <c r="AK3" s="257"/>
      <c r="AL3" s="257"/>
      <c r="AM3" s="257"/>
      <c r="AN3" s="257"/>
      <c r="AO3" s="257"/>
      <c r="AP3" s="257"/>
      <c r="AQ3" s="257"/>
      <c r="AR3" s="257"/>
      <c r="AS3" s="257"/>
      <c r="AT3" s="257"/>
      <c r="AU3" s="257"/>
      <c r="AV3" s="257"/>
    </row>
    <row r="4" spans="1:48" s="1" customFormat="1" x14ac:dyDescent="0.2">
      <c r="A4" s="13"/>
      <c r="B4" s="7" t="s">
        <v>5</v>
      </c>
      <c r="C4" s="257"/>
      <c r="D4" s="257"/>
      <c r="E4" s="257"/>
      <c r="F4" s="257"/>
      <c r="G4" s="230">
        <v>1</v>
      </c>
      <c r="H4" s="230">
        <v>2</v>
      </c>
      <c r="I4" s="230">
        <v>3</v>
      </c>
      <c r="J4" s="230">
        <v>4</v>
      </c>
      <c r="K4" s="230">
        <v>5</v>
      </c>
      <c r="L4" s="230">
        <v>6</v>
      </c>
      <c r="M4" s="230">
        <v>7</v>
      </c>
      <c r="N4" s="230">
        <v>8</v>
      </c>
      <c r="O4" s="230">
        <v>9</v>
      </c>
      <c r="P4" s="755"/>
      <c r="Q4" s="755"/>
      <c r="R4" s="257"/>
      <c r="S4" s="257"/>
      <c r="T4" s="257"/>
      <c r="U4" s="257"/>
      <c r="V4" s="257"/>
      <c r="W4" s="257"/>
      <c r="X4" s="231">
        <v>1</v>
      </c>
      <c r="Y4" s="231">
        <v>2</v>
      </c>
      <c r="Z4" s="231">
        <v>3</v>
      </c>
      <c r="AA4" s="231">
        <v>4</v>
      </c>
      <c r="AB4" s="231">
        <v>5</v>
      </c>
      <c r="AC4" s="755"/>
      <c r="AD4" s="755"/>
      <c r="AE4" s="257"/>
      <c r="AF4" s="257"/>
      <c r="AG4" s="257"/>
      <c r="AH4" s="257"/>
      <c r="AI4" s="257"/>
      <c r="AJ4" s="257"/>
      <c r="AK4" s="257"/>
      <c r="AL4" s="257"/>
      <c r="AM4" s="257"/>
      <c r="AN4" s="257"/>
      <c r="AO4" s="257"/>
      <c r="AP4" s="257"/>
      <c r="AQ4" s="257"/>
      <c r="AR4" s="257"/>
      <c r="AS4" s="257"/>
      <c r="AT4" s="257"/>
      <c r="AU4" s="257"/>
      <c r="AV4" s="257"/>
    </row>
    <row r="5" spans="1:48" s="1" customFormat="1" ht="14" x14ac:dyDescent="0.2">
      <c r="A5" s="13"/>
      <c r="B5" s="6"/>
      <c r="C5" s="257"/>
      <c r="D5" s="257"/>
      <c r="E5" s="257"/>
      <c r="F5" s="35" t="s">
        <v>6</v>
      </c>
      <c r="G5" s="36">
        <v>50</v>
      </c>
      <c r="H5" s="36">
        <v>5</v>
      </c>
      <c r="I5" s="37">
        <v>0.5</v>
      </c>
      <c r="J5" s="37">
        <v>0.05</v>
      </c>
      <c r="K5" s="37">
        <v>5.0000000000000001E-3</v>
      </c>
      <c r="L5" s="37">
        <v>5.0000000000000001E-4</v>
      </c>
      <c r="M5" s="37">
        <v>5.0000000000000002E-5</v>
      </c>
      <c r="N5" s="37"/>
      <c r="O5" s="38"/>
      <c r="P5" s="39"/>
      <c r="Q5" s="230"/>
      <c r="R5" s="257"/>
      <c r="S5" s="257"/>
      <c r="T5" s="257"/>
      <c r="U5" s="257"/>
      <c r="V5" s="257"/>
      <c r="W5" s="15" t="s">
        <v>6</v>
      </c>
      <c r="X5" s="230">
        <v>100</v>
      </c>
      <c r="Y5" s="230">
        <v>10</v>
      </c>
      <c r="Z5" s="39">
        <v>1</v>
      </c>
      <c r="AA5" s="39">
        <v>0.1</v>
      </c>
      <c r="AB5" s="39">
        <v>0.01</v>
      </c>
      <c r="AC5" s="230"/>
      <c r="AD5" s="230"/>
      <c r="AE5" s="257"/>
      <c r="AF5" s="257"/>
      <c r="AG5" s="257"/>
      <c r="AH5" s="257"/>
      <c r="AI5" s="257"/>
      <c r="AJ5" s="257"/>
      <c r="AK5" s="257"/>
      <c r="AL5" s="257"/>
      <c r="AM5" s="257"/>
      <c r="AN5" s="257"/>
      <c r="AO5" s="257"/>
      <c r="AP5" s="257"/>
      <c r="AQ5" s="257"/>
      <c r="AR5" s="257"/>
      <c r="AS5" s="257"/>
      <c r="AT5" s="257"/>
      <c r="AU5" s="257"/>
      <c r="AV5" s="257"/>
    </row>
    <row r="6" spans="1:48" s="1" customFormat="1" ht="14" x14ac:dyDescent="0.2">
      <c r="A6" s="13"/>
      <c r="B6" s="6" t="s">
        <v>7</v>
      </c>
      <c r="C6" s="257"/>
      <c r="D6" s="257"/>
      <c r="E6" s="29">
        <v>1</v>
      </c>
      <c r="F6" s="11" t="s">
        <v>8</v>
      </c>
      <c r="G6" s="14">
        <f>AVERAGE(15.15, 15.4)</f>
        <v>15.275</v>
      </c>
      <c r="H6" s="18">
        <f>AVERAGE(19.15, 18.75)</f>
        <v>18.95</v>
      </c>
      <c r="I6" s="18">
        <f>AVERAGE(22.43,22.01)</f>
        <v>22.22</v>
      </c>
      <c r="J6" s="18">
        <f>AVERAGE(25.74,25.91)</f>
        <v>25.824999999999999</v>
      </c>
      <c r="K6" s="18">
        <f>AVERAGE(29.37,28.64)</f>
        <v>29.005000000000003</v>
      </c>
      <c r="L6" s="18">
        <f>AVERAGE(32.35,30.96)</f>
        <v>31.655000000000001</v>
      </c>
      <c r="M6" s="18">
        <f>AVERAGE(36.85,36.47)</f>
        <v>36.659999999999997</v>
      </c>
      <c r="N6" s="8"/>
      <c r="O6" s="11"/>
      <c r="P6" s="41">
        <v>-1.494</v>
      </c>
      <c r="Q6" s="8">
        <v>21.178999999999998</v>
      </c>
      <c r="R6" s="257"/>
      <c r="S6" s="257"/>
      <c r="T6" s="257"/>
      <c r="U6" s="257"/>
      <c r="V6" s="257"/>
      <c r="W6" s="11" t="s">
        <v>8</v>
      </c>
      <c r="X6" s="14">
        <f>AVERAGE(14.14,13.82,13.94)</f>
        <v>13.966666666666667</v>
      </c>
      <c r="Y6" s="18">
        <f>AVERAGE(17.4, 16.72,17.16)</f>
        <v>17.093333333333334</v>
      </c>
      <c r="Z6" s="18">
        <f>AVERAGE(20.91,20.74,20.58)</f>
        <v>20.743333333333332</v>
      </c>
      <c r="AA6" s="18">
        <f>AVERAGE(22.68,23.85,22.52)</f>
        <v>23.016666666666666</v>
      </c>
      <c r="AB6" s="18">
        <f>AVERAGE(26.22,25.93,27.28)</f>
        <v>26.47666666666667</v>
      </c>
      <c r="AC6" s="8"/>
      <c r="AD6" s="8"/>
      <c r="AE6" s="257"/>
      <c r="AF6" s="257"/>
      <c r="AG6" s="257"/>
      <c r="AH6" s="257"/>
      <c r="AI6" s="257"/>
      <c r="AJ6" s="257"/>
      <c r="AK6" s="257"/>
      <c r="AL6" s="257"/>
      <c r="AM6" s="257"/>
      <c r="AN6" s="257"/>
      <c r="AO6" s="257"/>
      <c r="AP6" s="257"/>
      <c r="AQ6" s="257"/>
      <c r="AR6" s="257"/>
      <c r="AS6" s="257"/>
      <c r="AT6" s="257"/>
      <c r="AU6" s="257"/>
      <c r="AV6" s="257"/>
    </row>
    <row r="7" spans="1:48" ht="14" x14ac:dyDescent="0.15">
      <c r="B7" s="6"/>
      <c r="C7" s="257"/>
      <c r="D7" s="257"/>
      <c r="E7" s="2"/>
      <c r="F7" s="4"/>
      <c r="G7" s="16"/>
      <c r="H7" s="4"/>
      <c r="I7" s="4"/>
      <c r="J7" s="4"/>
      <c r="K7" s="4"/>
      <c r="L7" s="4"/>
      <c r="M7" s="4"/>
      <c r="N7" s="4"/>
      <c r="O7" s="4"/>
      <c r="P7" s="4"/>
      <c r="Q7" s="172"/>
      <c r="R7" s="4"/>
      <c r="S7" s="4"/>
      <c r="T7" s="4"/>
      <c r="U7" s="4"/>
      <c r="V7" s="257"/>
      <c r="W7" s="257"/>
      <c r="X7" s="257"/>
      <c r="Y7" s="257"/>
      <c r="Z7" s="257"/>
      <c r="AA7" s="257"/>
      <c r="AB7" s="257"/>
      <c r="AC7" s="257"/>
      <c r="AD7" s="257"/>
      <c r="AE7" s="257"/>
      <c r="AF7" s="257"/>
      <c r="AG7" s="257"/>
      <c r="AH7" s="257"/>
      <c r="AI7" s="257"/>
      <c r="AJ7" s="257"/>
      <c r="AK7" s="257"/>
      <c r="AL7" s="257"/>
      <c r="AM7" s="257"/>
      <c r="AN7" s="257"/>
      <c r="AO7" s="257"/>
      <c r="AP7" s="257"/>
      <c r="AQ7" s="257"/>
      <c r="AR7" s="257"/>
      <c r="AS7" s="257"/>
      <c r="AT7" s="257"/>
      <c r="AU7" s="257"/>
      <c r="AV7" s="257"/>
    </row>
    <row r="8" spans="1:48" ht="14" x14ac:dyDescent="0.15">
      <c r="B8" s="6" t="s">
        <v>9</v>
      </c>
      <c r="C8" s="257"/>
      <c r="D8" s="257"/>
      <c r="E8" s="2"/>
      <c r="F8" s="230" t="s">
        <v>10</v>
      </c>
      <c r="G8" s="230">
        <v>10000</v>
      </c>
      <c r="H8" s="230">
        <v>1000</v>
      </c>
      <c r="I8" s="230">
        <v>100</v>
      </c>
      <c r="J8" s="230">
        <v>10</v>
      </c>
      <c r="K8" s="39">
        <v>1</v>
      </c>
      <c r="L8" s="12"/>
      <c r="M8" s="8"/>
      <c r="N8" s="11"/>
      <c r="O8" s="8"/>
      <c r="P8" s="4"/>
      <c r="Q8" s="172"/>
      <c r="R8" s="257"/>
      <c r="S8" s="257"/>
      <c r="T8" s="257"/>
      <c r="U8" s="257"/>
      <c r="V8" s="257"/>
      <c r="W8" s="257"/>
      <c r="X8" s="257"/>
      <c r="Y8" s="257"/>
      <c r="Z8" s="257"/>
      <c r="AA8" s="257"/>
      <c r="AB8" s="257"/>
      <c r="AC8" s="257"/>
      <c r="AD8" s="257"/>
      <c r="AE8" s="257"/>
      <c r="AF8" s="257"/>
      <c r="AG8" s="257"/>
      <c r="AH8" s="257"/>
      <c r="AI8" s="257"/>
      <c r="AJ8" s="257"/>
      <c r="AK8" s="257"/>
      <c r="AL8" s="257"/>
      <c r="AM8" s="257"/>
      <c r="AN8" s="257"/>
      <c r="AO8" s="257"/>
      <c r="AP8" s="257"/>
      <c r="AQ8" s="257"/>
      <c r="AR8" s="257"/>
      <c r="AS8" s="257"/>
      <c r="AT8" s="257"/>
      <c r="AU8" s="257"/>
      <c r="AV8" s="257"/>
    </row>
    <row r="9" spans="1:48" ht="14" x14ac:dyDescent="0.15">
      <c r="B9" s="6"/>
      <c r="C9" s="257"/>
      <c r="D9" s="257"/>
      <c r="E9" s="2">
        <v>1</v>
      </c>
      <c r="F9" s="8" t="s">
        <v>8</v>
      </c>
      <c r="G9" s="12">
        <f>AVERAGE(19.62,19.14)</f>
        <v>19.380000000000003</v>
      </c>
      <c r="H9" s="12">
        <f>AVERAGE(21.69, 22.13)</f>
        <v>21.91</v>
      </c>
      <c r="I9" s="12">
        <f>AVERAGE(25.32,25.86)</f>
        <v>25.59</v>
      </c>
      <c r="J9" s="12">
        <f>AVERAGE(27.99,28.77)</f>
        <v>28.38</v>
      </c>
      <c r="K9" s="12">
        <f>AVERAGE(31.99,32.01)</f>
        <v>32</v>
      </c>
      <c r="L9" s="8"/>
      <c r="M9" s="8"/>
      <c r="N9" s="11"/>
      <c r="O9" s="8"/>
      <c r="P9" s="34">
        <v>-1.377</v>
      </c>
      <c r="Q9" s="173">
        <v>31.794</v>
      </c>
      <c r="R9" s="257"/>
      <c r="S9" s="257"/>
      <c r="T9" s="257"/>
      <c r="U9" s="257"/>
      <c r="V9" s="257"/>
      <c r="W9" s="257"/>
      <c r="X9" s="257"/>
      <c r="Y9" s="257"/>
      <c r="Z9" s="257"/>
      <c r="AA9" s="257"/>
      <c r="AB9" s="257"/>
      <c r="AC9" s="257"/>
      <c r="AD9" s="257"/>
      <c r="AE9" s="257"/>
      <c r="AF9" s="257"/>
      <c r="AG9" s="257"/>
      <c r="AH9" s="257"/>
      <c r="AI9" s="257"/>
      <c r="AJ9" s="257"/>
      <c r="AK9" s="257"/>
      <c r="AL9" s="257"/>
      <c r="AM9" s="257"/>
      <c r="AN9" s="257"/>
      <c r="AO9" s="257"/>
      <c r="AP9" s="257"/>
      <c r="AQ9" s="257"/>
      <c r="AR9" s="257"/>
      <c r="AS9" s="257"/>
      <c r="AT9" s="257"/>
      <c r="AU9" s="257"/>
      <c r="AV9" s="257"/>
    </row>
    <row r="10" spans="1:48" ht="14" x14ac:dyDescent="0.15">
      <c r="B10" s="6"/>
      <c r="C10" s="257"/>
      <c r="D10" s="257"/>
      <c r="E10" s="2"/>
      <c r="F10" s="257"/>
      <c r="G10" s="16"/>
      <c r="H10" s="257"/>
      <c r="I10" s="257"/>
      <c r="J10" s="257"/>
      <c r="K10" s="257"/>
      <c r="L10" s="257"/>
      <c r="M10" s="257"/>
      <c r="N10" s="257"/>
      <c r="O10" s="257"/>
      <c r="P10" s="257"/>
      <c r="Q10" s="172"/>
      <c r="R10" s="257"/>
      <c r="S10" s="257"/>
      <c r="T10" s="257"/>
      <c r="U10" s="257"/>
      <c r="V10" s="257"/>
      <c r="W10" s="257"/>
      <c r="X10" s="257"/>
      <c r="Y10" s="257"/>
      <c r="Z10" s="257"/>
      <c r="AA10" s="257"/>
      <c r="AB10" s="257"/>
      <c r="AC10" s="257"/>
      <c r="AD10" s="257"/>
      <c r="AE10" s="257"/>
      <c r="AF10" s="257"/>
      <c r="AG10" s="257"/>
      <c r="AH10" s="257"/>
      <c r="AI10" s="257"/>
      <c r="AJ10" s="257"/>
      <c r="AK10" s="257"/>
      <c r="AL10" s="257"/>
      <c r="AM10" s="257"/>
      <c r="AN10" s="257"/>
      <c r="AO10" s="257"/>
      <c r="AP10" s="257"/>
      <c r="AQ10" s="257"/>
      <c r="AR10" s="257"/>
      <c r="AS10" s="257"/>
      <c r="AT10" s="257"/>
      <c r="AU10" s="257"/>
      <c r="AV10" s="257"/>
    </row>
    <row r="11" spans="1:48" ht="14" x14ac:dyDescent="0.15">
      <c r="B11" s="6" t="s">
        <v>11</v>
      </c>
      <c r="C11" s="257"/>
      <c r="D11" s="257"/>
      <c r="E11" s="2"/>
      <c r="F11" s="230" t="s">
        <v>6</v>
      </c>
      <c r="G11" s="39">
        <v>100</v>
      </c>
      <c r="H11" s="39">
        <v>10</v>
      </c>
      <c r="I11" s="230">
        <v>1</v>
      </c>
      <c r="J11" s="39">
        <v>0.1</v>
      </c>
      <c r="K11" s="230">
        <v>0.01</v>
      </c>
      <c r="L11" s="39">
        <v>1E-3</v>
      </c>
      <c r="M11" s="39">
        <v>1E-4</v>
      </c>
      <c r="N11" s="40">
        <v>1.0000000000000001E-5</v>
      </c>
      <c r="O11" s="230">
        <v>9.9999999999999995E-7</v>
      </c>
      <c r="P11" s="4"/>
      <c r="Q11" s="4"/>
      <c r="R11" s="257"/>
      <c r="S11" s="257"/>
      <c r="T11" s="257"/>
      <c r="U11" s="257"/>
      <c r="V11" s="257"/>
      <c r="W11" s="257"/>
      <c r="X11" s="257"/>
      <c r="Y11" s="257"/>
      <c r="Z11" s="257"/>
      <c r="AA11" s="257"/>
      <c r="AB11" s="257"/>
      <c r="AC11" s="257"/>
      <c r="AD11" s="257"/>
      <c r="AE11" s="257"/>
      <c r="AF11" s="257"/>
      <c r="AG11" s="257"/>
      <c r="AH11" s="257"/>
      <c r="AI11" s="257"/>
      <c r="AJ11" s="257"/>
      <c r="AK11" s="257"/>
      <c r="AL11" s="257"/>
      <c r="AM11" s="257"/>
      <c r="AN11" s="257"/>
      <c r="AO11" s="257"/>
      <c r="AP11" s="257"/>
      <c r="AQ11" s="257"/>
      <c r="AR11" s="257"/>
      <c r="AS11" s="257"/>
      <c r="AT11" s="257"/>
      <c r="AU11" s="257"/>
      <c r="AV11" s="257"/>
    </row>
    <row r="12" spans="1:48" ht="14" x14ac:dyDescent="0.15">
      <c r="B12" s="6"/>
      <c r="C12" s="257"/>
      <c r="D12" s="257"/>
      <c r="E12" s="2">
        <v>1</v>
      </c>
      <c r="F12" s="8" t="s">
        <v>8</v>
      </c>
      <c r="G12" s="14">
        <f>AVERAGE(9.29, 8.63)</f>
        <v>8.9600000000000009</v>
      </c>
      <c r="H12" s="14">
        <f>AVERAGE(13, 12.9)</f>
        <v>12.95</v>
      </c>
      <c r="I12" s="14">
        <f>AVERAGE(16.31,16.15
)</f>
        <v>16.229999999999997</v>
      </c>
      <c r="J12" s="14">
        <f>AVERAGE(19.45,19.38)</f>
        <v>19.414999999999999</v>
      </c>
      <c r="K12" s="14">
        <f>AVERAGE(22.78,22.7)</f>
        <v>22.740000000000002</v>
      </c>
      <c r="L12" s="12"/>
      <c r="M12" s="8"/>
      <c r="N12" s="8"/>
      <c r="O12" s="31"/>
      <c r="P12" s="8">
        <v>-1.478</v>
      </c>
      <c r="Q12" s="8">
        <v>16.059000000000001</v>
      </c>
      <c r="R12" s="257"/>
      <c r="S12" s="257"/>
      <c r="T12" s="257"/>
      <c r="U12" s="257"/>
      <c r="V12" s="257"/>
      <c r="W12" s="257"/>
      <c r="X12" s="257"/>
      <c r="Y12" s="257"/>
      <c r="Z12" s="257"/>
      <c r="AA12" s="257"/>
      <c r="AB12" s="257"/>
      <c r="AC12" s="257"/>
      <c r="AD12" s="257"/>
      <c r="AE12" s="257"/>
      <c r="AF12" s="257"/>
      <c r="AG12" s="257"/>
      <c r="AH12" s="257"/>
      <c r="AI12" s="257"/>
      <c r="AJ12" s="257"/>
      <c r="AK12" s="257"/>
      <c r="AL12" s="257"/>
      <c r="AM12" s="257"/>
      <c r="AN12" s="257"/>
      <c r="AO12" s="257"/>
      <c r="AP12" s="257"/>
      <c r="AQ12" s="257"/>
      <c r="AR12" s="257"/>
      <c r="AS12" s="257"/>
      <c r="AT12" s="257"/>
      <c r="AU12" s="257"/>
      <c r="AV12" s="257"/>
    </row>
    <row r="13" spans="1:48" ht="14" x14ac:dyDescent="0.15">
      <c r="B13" s="6"/>
      <c r="C13" s="257"/>
      <c r="D13" s="257"/>
      <c r="E13" s="2">
        <v>2</v>
      </c>
      <c r="F13" s="8" t="s">
        <v>8</v>
      </c>
      <c r="G13" s="14"/>
      <c r="H13" s="14">
        <f>AVERAGE(12.6, 12.59)</f>
        <v>12.594999999999999</v>
      </c>
      <c r="I13" s="14">
        <f>AVERAGE(15.86, 16.02)</f>
        <v>15.94</v>
      </c>
      <c r="J13" s="14">
        <f>AVERAGE(19.21,18.98)</f>
        <v>19.094999999999999</v>
      </c>
      <c r="K13" s="14">
        <f>AVERAGE(22.42,22.48)</f>
        <v>22.450000000000003</v>
      </c>
      <c r="L13" s="14">
        <f>AVERAGE(25.85,26.04)</f>
        <v>25.945</v>
      </c>
      <c r="M13" s="14">
        <f>AVERAGE(29.46,29.29)</f>
        <v>29.375</v>
      </c>
      <c r="N13" s="14">
        <f>AVERAGE(32.79,32.67)</f>
        <v>32.730000000000004</v>
      </c>
      <c r="O13" s="32">
        <f>AVERAGE(35.7,39.26)</f>
        <v>37.480000000000004</v>
      </c>
      <c r="P13" s="10">
        <v>-1.512</v>
      </c>
      <c r="Q13" s="10">
        <v>15.746</v>
      </c>
      <c r="R13" s="257"/>
      <c r="S13" s="257"/>
      <c r="T13" s="257"/>
      <c r="U13" s="257"/>
      <c r="V13" s="257"/>
      <c r="W13" s="257"/>
      <c r="X13" s="257"/>
      <c r="Y13" s="257"/>
      <c r="Z13" s="257"/>
      <c r="AA13" s="257"/>
      <c r="AB13" s="257"/>
      <c r="AC13" s="257"/>
      <c r="AD13" s="257"/>
      <c r="AE13" s="257"/>
      <c r="AF13" s="257"/>
      <c r="AG13" s="257"/>
      <c r="AH13" s="257"/>
      <c r="AI13" s="257"/>
      <c r="AJ13" s="257"/>
      <c r="AK13" s="257"/>
      <c r="AL13" s="257"/>
      <c r="AM13" s="257"/>
      <c r="AN13" s="257"/>
      <c r="AO13" s="257"/>
      <c r="AP13" s="257"/>
      <c r="AQ13" s="257"/>
      <c r="AR13" s="257"/>
      <c r="AS13" s="257"/>
      <c r="AT13" s="257"/>
      <c r="AU13" s="257"/>
      <c r="AV13" s="257"/>
    </row>
    <row r="15" spans="1:48" ht="14.5" customHeight="1" thickBot="1" x14ac:dyDescent="0.2">
      <c r="B15" s="760" t="s">
        <v>12</v>
      </c>
      <c r="C15" s="761"/>
      <c r="D15" s="761"/>
      <c r="E15" s="761"/>
      <c r="F15" s="761"/>
      <c r="G15" s="761"/>
      <c r="H15" s="762"/>
      <c r="I15" s="756" t="s">
        <v>13</v>
      </c>
      <c r="J15" s="757"/>
      <c r="K15" s="757"/>
      <c r="L15" s="757"/>
      <c r="M15" s="757"/>
      <c r="N15" s="757"/>
      <c r="O15" s="757"/>
      <c r="P15" s="757"/>
      <c r="Q15" s="757"/>
      <c r="R15" s="757"/>
      <c r="S15" s="757"/>
      <c r="T15" s="757"/>
      <c r="U15" s="758"/>
      <c r="V15" s="740" t="s">
        <v>14</v>
      </c>
      <c r="W15" s="741"/>
      <c r="X15" s="741"/>
      <c r="Y15" s="741"/>
      <c r="Z15" s="741"/>
      <c r="AA15" s="741"/>
      <c r="AB15" s="741"/>
      <c r="AC15" s="741"/>
      <c r="AD15" s="741"/>
      <c r="AE15" s="741"/>
      <c r="AF15" s="741"/>
      <c r="AG15" s="741"/>
      <c r="AH15" s="741"/>
      <c r="AI15" s="741"/>
      <c r="AJ15" s="741"/>
      <c r="AK15" s="741"/>
      <c r="AL15" s="741"/>
      <c r="AM15" s="741"/>
      <c r="AN15" s="741"/>
      <c r="AO15" s="741"/>
      <c r="AP15" s="741"/>
      <c r="AQ15" s="741"/>
      <c r="AR15" s="741"/>
      <c r="AS15" s="741"/>
      <c r="AT15" s="742"/>
      <c r="AU15" s="738" t="s">
        <v>15</v>
      </c>
      <c r="AV15" s="739"/>
    </row>
    <row r="16" spans="1:48" s="3" customFormat="1" ht="14.5" customHeight="1" x14ac:dyDescent="0.2">
      <c r="B16" s="766" t="s">
        <v>16</v>
      </c>
      <c r="C16" s="730"/>
      <c r="D16" s="730"/>
      <c r="E16" s="730"/>
      <c r="F16" s="730"/>
      <c r="G16" s="730"/>
      <c r="H16" s="731"/>
      <c r="I16" s="749" t="s">
        <v>16</v>
      </c>
      <c r="J16" s="750"/>
      <c r="K16" s="750"/>
      <c r="L16" s="750"/>
      <c r="M16" s="750"/>
      <c r="N16" s="750"/>
      <c r="O16" s="750"/>
      <c r="P16" s="746"/>
      <c r="Q16" s="730" t="s">
        <v>17</v>
      </c>
      <c r="R16" s="730"/>
      <c r="S16" s="730"/>
      <c r="T16" s="730"/>
      <c r="U16" s="731"/>
      <c r="V16" s="720" t="s">
        <v>18</v>
      </c>
      <c r="W16" s="723" t="s">
        <v>19</v>
      </c>
      <c r="X16" s="723" t="s">
        <v>20</v>
      </c>
      <c r="Y16" s="746" t="s">
        <v>21</v>
      </c>
      <c r="Z16" s="730"/>
      <c r="AA16" s="730"/>
      <c r="AB16" s="730"/>
      <c r="AC16" s="730"/>
      <c r="AD16" s="730"/>
      <c r="AE16" s="747"/>
      <c r="AF16" s="746" t="s">
        <v>22</v>
      </c>
      <c r="AG16" s="730"/>
      <c r="AH16" s="730"/>
      <c r="AI16" s="730"/>
      <c r="AJ16" s="730"/>
      <c r="AK16" s="747"/>
      <c r="AL16" s="746" t="s">
        <v>23</v>
      </c>
      <c r="AM16" s="730"/>
      <c r="AN16" s="730"/>
      <c r="AO16" s="730"/>
      <c r="AP16" s="730"/>
      <c r="AQ16" s="730"/>
      <c r="AR16" s="730"/>
      <c r="AS16" s="730"/>
      <c r="AT16" s="731"/>
      <c r="AU16" s="743" t="s">
        <v>24</v>
      </c>
      <c r="AV16" s="723"/>
    </row>
    <row r="17" spans="2:48" s="3" customFormat="1" ht="15" customHeight="1" x14ac:dyDescent="0.2">
      <c r="B17" s="734" t="s">
        <v>25</v>
      </c>
      <c r="C17" s="719" t="s">
        <v>26</v>
      </c>
      <c r="D17" s="719" t="s">
        <v>27</v>
      </c>
      <c r="E17" s="719" t="s">
        <v>28</v>
      </c>
      <c r="F17" s="719" t="s">
        <v>29</v>
      </c>
      <c r="G17" s="724" t="s">
        <v>30</v>
      </c>
      <c r="H17" s="763" t="s">
        <v>31</v>
      </c>
      <c r="I17" s="736" t="s">
        <v>32</v>
      </c>
      <c r="J17" s="752" t="s">
        <v>33</v>
      </c>
      <c r="K17" s="752" t="s">
        <v>34</v>
      </c>
      <c r="L17" s="752" t="s">
        <v>35</v>
      </c>
      <c r="M17" s="751" t="s">
        <v>36</v>
      </c>
      <c r="N17" s="765" t="s">
        <v>37</v>
      </c>
      <c r="O17" s="717" t="s">
        <v>38</v>
      </c>
      <c r="P17" s="717" t="s">
        <v>39</v>
      </c>
      <c r="Q17" s="728" t="s">
        <v>40</v>
      </c>
      <c r="R17" s="729"/>
      <c r="S17" s="726" t="s">
        <v>41</v>
      </c>
      <c r="T17" s="728" t="s">
        <v>42</v>
      </c>
      <c r="U17" s="759"/>
      <c r="V17" s="721"/>
      <c r="W17" s="724"/>
      <c r="X17" s="724"/>
      <c r="Y17" s="728" t="s">
        <v>8</v>
      </c>
      <c r="Z17" s="729"/>
      <c r="AA17" s="729"/>
      <c r="AB17" s="729"/>
      <c r="AC17" s="732" t="s">
        <v>6</v>
      </c>
      <c r="AD17" s="732" t="s">
        <v>10</v>
      </c>
      <c r="AE17" s="726" t="s">
        <v>43</v>
      </c>
      <c r="AF17" s="728" t="s">
        <v>8</v>
      </c>
      <c r="AG17" s="729"/>
      <c r="AH17" s="729"/>
      <c r="AI17" s="729"/>
      <c r="AJ17" s="732" t="s">
        <v>44</v>
      </c>
      <c r="AK17" s="726" t="s">
        <v>45</v>
      </c>
      <c r="AL17" s="728" t="s">
        <v>8</v>
      </c>
      <c r="AM17" s="729"/>
      <c r="AN17" s="729"/>
      <c r="AO17" s="729"/>
      <c r="AP17" s="726" t="s">
        <v>6</v>
      </c>
      <c r="AQ17" s="717" t="s">
        <v>44</v>
      </c>
      <c r="AR17" s="717" t="s">
        <v>45</v>
      </c>
      <c r="AS17" s="717" t="s">
        <v>46</v>
      </c>
      <c r="AT17" s="717" t="s">
        <v>47</v>
      </c>
      <c r="AU17" s="744"/>
      <c r="AV17" s="724"/>
    </row>
    <row r="18" spans="2:48" s="23" customFormat="1" ht="28.5" customHeight="1" thickBot="1" x14ac:dyDescent="0.25">
      <c r="B18" s="735"/>
      <c r="C18" s="718"/>
      <c r="D18" s="718"/>
      <c r="E18" s="718"/>
      <c r="F18" s="718"/>
      <c r="G18" s="725"/>
      <c r="H18" s="764"/>
      <c r="I18" s="737"/>
      <c r="J18" s="753"/>
      <c r="K18" s="753"/>
      <c r="L18" s="753"/>
      <c r="M18" s="722"/>
      <c r="N18" s="725"/>
      <c r="O18" s="718"/>
      <c r="P18" s="718"/>
      <c r="Q18" s="26" t="s">
        <v>48</v>
      </c>
      <c r="R18" s="24" t="s">
        <v>49</v>
      </c>
      <c r="S18" s="727"/>
      <c r="T18" s="26" t="s">
        <v>50</v>
      </c>
      <c r="U18" s="25" t="s">
        <v>51</v>
      </c>
      <c r="V18" s="722"/>
      <c r="W18" s="725"/>
      <c r="X18" s="725"/>
      <c r="Y18" s="26">
        <v>1</v>
      </c>
      <c r="Z18" s="24">
        <v>2</v>
      </c>
      <c r="AA18" s="24">
        <v>3</v>
      </c>
      <c r="AB18" s="24" t="s">
        <v>52</v>
      </c>
      <c r="AC18" s="733"/>
      <c r="AD18" s="733"/>
      <c r="AE18" s="727"/>
      <c r="AF18" s="26">
        <v>1</v>
      </c>
      <c r="AG18" s="24">
        <v>2</v>
      </c>
      <c r="AH18" s="24">
        <v>3</v>
      </c>
      <c r="AI18" s="24" t="s">
        <v>53</v>
      </c>
      <c r="AJ18" s="733"/>
      <c r="AK18" s="748"/>
      <c r="AL18" s="27">
        <v>1</v>
      </c>
      <c r="AM18" s="24">
        <v>2</v>
      </c>
      <c r="AN18" s="24">
        <v>3</v>
      </c>
      <c r="AO18" s="24" t="s">
        <v>53</v>
      </c>
      <c r="AP18" s="727"/>
      <c r="AQ18" s="718"/>
      <c r="AR18" s="718"/>
      <c r="AS18" s="718"/>
      <c r="AT18" s="718"/>
      <c r="AU18" s="745"/>
      <c r="AV18" s="725"/>
    </row>
    <row r="19" spans="2:48" s="86" customFormat="1" ht="14" x14ac:dyDescent="0.15">
      <c r="B19" s="87" t="s">
        <v>54</v>
      </c>
      <c r="C19" s="87" t="s">
        <v>55</v>
      </c>
      <c r="D19" s="88" t="s">
        <v>56</v>
      </c>
      <c r="E19" s="87" t="s">
        <v>57</v>
      </c>
      <c r="F19" s="89" t="s">
        <v>58</v>
      </c>
      <c r="G19" s="87" t="s">
        <v>59</v>
      </c>
      <c r="H19" s="90">
        <v>-20</v>
      </c>
      <c r="I19" s="87" t="s">
        <v>60</v>
      </c>
      <c r="J19" s="87" t="s">
        <v>61</v>
      </c>
      <c r="K19" s="87" t="s">
        <v>62</v>
      </c>
      <c r="L19" s="87" t="s">
        <v>63</v>
      </c>
      <c r="M19" s="87" t="s">
        <v>60</v>
      </c>
      <c r="N19" s="87">
        <v>200</v>
      </c>
      <c r="O19" s="87" t="s">
        <v>64</v>
      </c>
      <c r="P19" s="87" t="s">
        <v>65</v>
      </c>
      <c r="Q19" s="87">
        <v>7.65</v>
      </c>
      <c r="R19" s="87">
        <v>4</v>
      </c>
      <c r="S19" s="87">
        <v>700</v>
      </c>
      <c r="T19" s="87">
        <v>204600</v>
      </c>
      <c r="U19" s="87">
        <f t="shared" ref="U19:U84" si="0">T19*1000000</f>
        <v>204600000000</v>
      </c>
      <c r="V19" s="87" t="s">
        <v>60</v>
      </c>
      <c r="W19" s="90" t="s">
        <v>66</v>
      </c>
      <c r="X19" s="87" t="s">
        <v>60</v>
      </c>
      <c r="Y19" s="91">
        <v>18.03</v>
      </c>
      <c r="Z19" s="91">
        <v>18.350000000000001</v>
      </c>
      <c r="AA19" s="87"/>
      <c r="AB19" s="92">
        <f>AVERAGE(Y19:AA19)</f>
        <v>18.190000000000001</v>
      </c>
      <c r="AC19" s="92">
        <f>EXP((AB19-21.179)/-1.494)</f>
        <v>7.3940035752098252</v>
      </c>
      <c r="AD19" s="93">
        <f>(AC19*(6.0221*10^23))/(15123*340*10^9)</f>
        <v>865985758.54991186</v>
      </c>
      <c r="AE19" s="94">
        <f>AD19*100/AD$28</f>
        <v>92.281981046037515</v>
      </c>
      <c r="AF19" s="87">
        <v>20.47</v>
      </c>
      <c r="AG19" s="87">
        <v>20.239999999999998</v>
      </c>
      <c r="AH19" s="87"/>
      <c r="AI19" s="94">
        <f>AVERAGE(AF19:AH19)</f>
        <v>20.354999999999997</v>
      </c>
      <c r="AJ19" s="90">
        <f>EXP((AI19-31.794)/-1.377)</f>
        <v>4052.9064410416186</v>
      </c>
      <c r="AK19" s="95">
        <f>(AJ19/5)*(50/200)</f>
        <v>202.64532205208093</v>
      </c>
      <c r="AL19" s="87">
        <v>35.03</v>
      </c>
      <c r="AM19" s="87">
        <v>35.450000000000003</v>
      </c>
      <c r="AN19" s="87"/>
      <c r="AO19" s="94">
        <f>AVERAGE(AL19:AN19)</f>
        <v>35.24</v>
      </c>
      <c r="AP19" s="90">
        <f>EXP((AO19-15.746)/-1.512)</f>
        <v>2.5159574202529523E-6</v>
      </c>
      <c r="AQ19" s="90">
        <f>(AP19*(6.0221*10^23))/(29903*340*10^9)</f>
        <v>149.02446518749156</v>
      </c>
      <c r="AR19" s="95">
        <f>(AQ19/5)*(50/200)</f>
        <v>7.4512232593745775</v>
      </c>
      <c r="AS19" s="95">
        <f>AR19/AK19</f>
        <v>3.6769776789910669E-2</v>
      </c>
      <c r="AT19" s="95">
        <f>AS19*U19</f>
        <v>7523096331.215723</v>
      </c>
      <c r="AU19" s="87"/>
      <c r="AV19" s="87" t="s">
        <v>67</v>
      </c>
    </row>
    <row r="20" spans="2:48" s="86" customFormat="1" ht="14" x14ac:dyDescent="0.15">
      <c r="B20" s="90" t="s">
        <v>54</v>
      </c>
      <c r="C20" s="90" t="s">
        <v>55</v>
      </c>
      <c r="D20" s="96" t="s">
        <v>68</v>
      </c>
      <c r="E20" s="87" t="s">
        <v>57</v>
      </c>
      <c r="F20" s="89" t="s">
        <v>58</v>
      </c>
      <c r="G20" s="90" t="s">
        <v>59</v>
      </c>
      <c r="H20" s="90">
        <v>-20</v>
      </c>
      <c r="I20" s="90" t="s">
        <v>60</v>
      </c>
      <c r="J20" s="90" t="s">
        <v>61</v>
      </c>
      <c r="K20" s="90" t="s">
        <v>62</v>
      </c>
      <c r="L20" s="90" t="s">
        <v>63</v>
      </c>
      <c r="M20" s="90" t="s">
        <v>60</v>
      </c>
      <c r="N20" s="90">
        <v>200</v>
      </c>
      <c r="O20" s="90" t="s">
        <v>64</v>
      </c>
      <c r="P20" s="90" t="s">
        <v>65</v>
      </c>
      <c r="Q20" s="97">
        <v>7.74</v>
      </c>
      <c r="R20" s="90">
        <v>4</v>
      </c>
      <c r="S20" s="90">
        <v>380</v>
      </c>
      <c r="T20" s="90">
        <v>211656</v>
      </c>
      <c r="U20" s="87">
        <f t="shared" si="0"/>
        <v>211656000000</v>
      </c>
      <c r="V20" s="90" t="s">
        <v>60</v>
      </c>
      <c r="W20" s="90" t="s">
        <v>66</v>
      </c>
      <c r="X20" s="90" t="s">
        <v>60</v>
      </c>
      <c r="Y20" s="98">
        <v>19.100000000000001</v>
      </c>
      <c r="Z20" s="98">
        <v>19.22</v>
      </c>
      <c r="AA20" s="90"/>
      <c r="AB20" s="94">
        <f t="shared" ref="AB20:AB27" si="1">AVERAGE(Y20:AA20)</f>
        <v>19.16</v>
      </c>
      <c r="AC20" s="94">
        <f t="shared" ref="AC20:AC27" si="2">EXP((AB20-21.179)/-1.494)</f>
        <v>3.862851427264022</v>
      </c>
      <c r="AD20" s="95">
        <f t="shared" ref="AD20:AD27" si="3">(AC20*(6.0221*10^23))/(15123*340*10^9)</f>
        <v>452417190.41364074</v>
      </c>
      <c r="AE20" s="94">
        <f t="shared" ref="AE20:AE28" si="4">AD20*100/AD$28</f>
        <v>48.210902059825102</v>
      </c>
      <c r="AF20" s="90">
        <v>19.23</v>
      </c>
      <c r="AG20" s="90">
        <v>19.25</v>
      </c>
      <c r="AH20" s="90"/>
      <c r="AI20" s="94">
        <f t="shared" ref="AI20:AI27" si="5">AVERAGE(AF20:AH20)</f>
        <v>19.240000000000002</v>
      </c>
      <c r="AJ20" s="90">
        <f t="shared" ref="AJ20:AJ27" si="6">EXP((AI20-31.794)/-1.377)</f>
        <v>9108.1130785931709</v>
      </c>
      <c r="AK20" s="95">
        <f t="shared" ref="AK20:AK27" si="7">(AJ20/5)*(50/200)</f>
        <v>455.40565392965857</v>
      </c>
      <c r="AL20" s="90"/>
      <c r="AM20" s="90">
        <v>34.99</v>
      </c>
      <c r="AN20" s="90"/>
      <c r="AO20" s="94">
        <f t="shared" ref="AO20:AO27" si="8">AVERAGE(AL20:AN20)</f>
        <v>34.99</v>
      </c>
      <c r="AP20" s="90">
        <f t="shared" ref="AP20:AP27" si="9">EXP((AO20-15.746)/-1.512)</f>
        <v>2.968323544906777E-6</v>
      </c>
      <c r="AQ20" s="90">
        <f t="shared" ref="AQ20:AQ27" si="10">(AP20*(6.0221*10^23))/(29903*340*10^9)</f>
        <v>175.81888517759481</v>
      </c>
      <c r="AR20" s="95">
        <f t="shared" ref="AR20:AR27" si="11">(AQ20/5)*(50/200)</f>
        <v>8.7909442588797404</v>
      </c>
      <c r="AS20" s="95">
        <f t="shared" ref="AS20:AS27" si="12">AR20/AK20</f>
        <v>1.9303546591974415E-2</v>
      </c>
      <c r="AT20" s="95">
        <f t="shared" ref="AT20:AT27" si="13">AS20*U20</f>
        <v>4085711457.4709368</v>
      </c>
      <c r="AU20" s="90"/>
      <c r="AV20" s="90" t="s">
        <v>67</v>
      </c>
    </row>
    <row r="21" spans="2:48" s="86" customFormat="1" ht="14" x14ac:dyDescent="0.15">
      <c r="B21" s="90" t="s">
        <v>54</v>
      </c>
      <c r="C21" s="90" t="s">
        <v>55</v>
      </c>
      <c r="D21" s="96" t="s">
        <v>69</v>
      </c>
      <c r="E21" s="87" t="s">
        <v>57</v>
      </c>
      <c r="F21" s="89" t="s">
        <v>58</v>
      </c>
      <c r="G21" s="90" t="s">
        <v>59</v>
      </c>
      <c r="H21" s="90">
        <v>-20</v>
      </c>
      <c r="I21" s="90" t="s">
        <v>60</v>
      </c>
      <c r="J21" s="90" t="s">
        <v>61</v>
      </c>
      <c r="K21" s="90" t="s">
        <v>62</v>
      </c>
      <c r="L21" s="90" t="s">
        <v>63</v>
      </c>
      <c r="M21" s="90" t="s">
        <v>60</v>
      </c>
      <c r="N21" s="90">
        <v>200</v>
      </c>
      <c r="O21" s="90" t="s">
        <v>64</v>
      </c>
      <c r="P21" s="90" t="s">
        <v>65</v>
      </c>
      <c r="Q21" s="97">
        <v>7.77</v>
      </c>
      <c r="R21" s="90">
        <v>4</v>
      </c>
      <c r="S21" s="90">
        <v>260</v>
      </c>
      <c r="T21" s="174">
        <v>192432</v>
      </c>
      <c r="U21" s="87">
        <f t="shared" si="0"/>
        <v>192432000000</v>
      </c>
      <c r="V21" s="90" t="s">
        <v>60</v>
      </c>
      <c r="W21" s="90" t="s">
        <v>66</v>
      </c>
      <c r="X21" s="90" t="s">
        <v>60</v>
      </c>
      <c r="Y21" s="98">
        <v>18.95</v>
      </c>
      <c r="Z21" s="98">
        <v>18.63</v>
      </c>
      <c r="AA21" s="90"/>
      <c r="AB21" s="94">
        <f t="shared" si="1"/>
        <v>18.79</v>
      </c>
      <c r="AC21" s="94">
        <f t="shared" si="2"/>
        <v>4.9483932025532953</v>
      </c>
      <c r="AD21" s="95">
        <f t="shared" si="3"/>
        <v>579555851.91811848</v>
      </c>
      <c r="AE21" s="94">
        <f t="shared" si="4"/>
        <v>61.759170533455631</v>
      </c>
      <c r="AF21" s="90">
        <v>19.440000000000001</v>
      </c>
      <c r="AG21" s="90">
        <v>19.760000000000002</v>
      </c>
      <c r="AH21" s="90"/>
      <c r="AI21" s="94">
        <f t="shared" si="5"/>
        <v>19.600000000000001</v>
      </c>
      <c r="AJ21" s="90">
        <f t="shared" si="6"/>
        <v>7012.7341097922717</v>
      </c>
      <c r="AK21" s="95">
        <f t="shared" si="7"/>
        <v>350.63670548961358</v>
      </c>
      <c r="AL21" s="90">
        <v>34.01</v>
      </c>
      <c r="AM21" s="90">
        <v>34.65</v>
      </c>
      <c r="AN21" s="90"/>
      <c r="AO21" s="94">
        <f t="shared" si="8"/>
        <v>34.33</v>
      </c>
      <c r="AP21" s="90">
        <f t="shared" si="9"/>
        <v>4.5928707622174911E-6</v>
      </c>
      <c r="AQ21" s="90">
        <f t="shared" si="10"/>
        <v>272.04359799774124</v>
      </c>
      <c r="AR21" s="95">
        <f t="shared" si="11"/>
        <v>13.602179899887062</v>
      </c>
      <c r="AS21" s="95">
        <f t="shared" si="12"/>
        <v>3.8792800887441546E-2</v>
      </c>
      <c r="AT21" s="95">
        <f t="shared" si="13"/>
        <v>7464976260.3721514</v>
      </c>
      <c r="AU21" s="90"/>
      <c r="AV21" s="90" t="s">
        <v>67</v>
      </c>
    </row>
    <row r="22" spans="2:48" s="86" customFormat="1" ht="14" x14ac:dyDescent="0.15">
      <c r="B22" s="90" t="s">
        <v>54</v>
      </c>
      <c r="C22" s="90" t="s">
        <v>55</v>
      </c>
      <c r="D22" s="96" t="s">
        <v>70</v>
      </c>
      <c r="E22" s="87" t="s">
        <v>57</v>
      </c>
      <c r="F22" s="89" t="s">
        <v>58</v>
      </c>
      <c r="G22" s="90" t="s">
        <v>59</v>
      </c>
      <c r="H22" s="90">
        <v>-20</v>
      </c>
      <c r="I22" s="90" t="s">
        <v>60</v>
      </c>
      <c r="J22" s="90" t="s">
        <v>61</v>
      </c>
      <c r="K22" s="90" t="s">
        <v>62</v>
      </c>
      <c r="L22" s="90" t="s">
        <v>63</v>
      </c>
      <c r="M22" s="90" t="s">
        <v>60</v>
      </c>
      <c r="N22" s="90">
        <v>200</v>
      </c>
      <c r="O22" s="90" t="s">
        <v>64</v>
      </c>
      <c r="P22" s="90" t="s">
        <v>65</v>
      </c>
      <c r="Q22" s="97">
        <v>7.68</v>
      </c>
      <c r="R22" s="90">
        <v>4</v>
      </c>
      <c r="S22" s="90">
        <v>340</v>
      </c>
      <c r="T22" s="90">
        <v>215280</v>
      </c>
      <c r="U22" s="87">
        <f t="shared" si="0"/>
        <v>215280000000</v>
      </c>
      <c r="V22" s="90" t="s">
        <v>60</v>
      </c>
      <c r="W22" s="90" t="s">
        <v>66</v>
      </c>
      <c r="X22" s="90" t="s">
        <v>60</v>
      </c>
      <c r="Y22" s="98">
        <v>19.25</v>
      </c>
      <c r="Z22" s="98">
        <v>19.100000000000001</v>
      </c>
      <c r="AA22" s="90"/>
      <c r="AB22" s="94">
        <f t="shared" si="1"/>
        <v>19.175000000000001</v>
      </c>
      <c r="AC22" s="94">
        <f t="shared" si="2"/>
        <v>3.8242618254641387</v>
      </c>
      <c r="AD22" s="95">
        <f t="shared" si="3"/>
        <v>447897575.93862849</v>
      </c>
      <c r="AE22" s="94">
        <f t="shared" si="4"/>
        <v>47.729278692234303</v>
      </c>
      <c r="AF22" s="90">
        <v>21.52</v>
      </c>
      <c r="AG22" s="90">
        <v>21.46</v>
      </c>
      <c r="AH22" s="90"/>
      <c r="AI22" s="94">
        <f t="shared" si="5"/>
        <v>21.490000000000002</v>
      </c>
      <c r="AJ22" s="90">
        <f t="shared" si="6"/>
        <v>1777.4480135584031</v>
      </c>
      <c r="AK22" s="95">
        <f t="shared" si="7"/>
        <v>88.872400677920155</v>
      </c>
      <c r="AL22" s="90">
        <v>35.33</v>
      </c>
      <c r="AM22" s="90">
        <v>34.590000000000003</v>
      </c>
      <c r="AN22" s="90"/>
      <c r="AO22" s="94">
        <f t="shared" si="8"/>
        <v>34.96</v>
      </c>
      <c r="AP22" s="90">
        <f t="shared" si="9"/>
        <v>3.0278070157134421E-6</v>
      </c>
      <c r="AQ22" s="90">
        <f t="shared" si="10"/>
        <v>179.34219298602656</v>
      </c>
      <c r="AR22" s="95">
        <f t="shared" si="11"/>
        <v>8.967109649301328</v>
      </c>
      <c r="AS22" s="95">
        <f t="shared" si="12"/>
        <v>0.10089869949388186</v>
      </c>
      <c r="AT22" s="95">
        <f t="shared" si="13"/>
        <v>21721472027.042889</v>
      </c>
      <c r="AU22" s="90"/>
      <c r="AV22" s="90" t="s">
        <v>67</v>
      </c>
    </row>
    <row r="23" spans="2:48" s="86" customFormat="1" ht="14" x14ac:dyDescent="0.15">
      <c r="B23" s="90" t="s">
        <v>54</v>
      </c>
      <c r="C23" s="90" t="s">
        <v>55</v>
      </c>
      <c r="D23" s="96" t="s">
        <v>71</v>
      </c>
      <c r="E23" s="87" t="s">
        <v>57</v>
      </c>
      <c r="F23" s="89" t="s">
        <v>58</v>
      </c>
      <c r="G23" s="90" t="s">
        <v>59</v>
      </c>
      <c r="H23" s="90">
        <v>-20</v>
      </c>
      <c r="I23" s="90" t="s">
        <v>60</v>
      </c>
      <c r="J23" s="90" t="s">
        <v>61</v>
      </c>
      <c r="K23" s="90" t="s">
        <v>62</v>
      </c>
      <c r="L23" s="90" t="s">
        <v>63</v>
      </c>
      <c r="M23" s="90" t="s">
        <v>60</v>
      </c>
      <c r="N23" s="90">
        <v>200</v>
      </c>
      <c r="O23" s="90" t="s">
        <v>64</v>
      </c>
      <c r="P23" s="90" t="s">
        <v>65</v>
      </c>
      <c r="Q23" s="97">
        <v>7.61</v>
      </c>
      <c r="R23" s="90">
        <v>4</v>
      </c>
      <c r="S23" s="90">
        <v>270</v>
      </c>
      <c r="T23" s="90">
        <v>269808</v>
      </c>
      <c r="U23" s="87">
        <f t="shared" si="0"/>
        <v>269808000000</v>
      </c>
      <c r="V23" s="90" t="s">
        <v>60</v>
      </c>
      <c r="W23" s="90" t="s">
        <v>66</v>
      </c>
      <c r="X23" s="90" t="s">
        <v>60</v>
      </c>
      <c r="Y23" s="98">
        <v>17.98</v>
      </c>
      <c r="Z23" s="98">
        <v>17.87</v>
      </c>
      <c r="AA23" s="90"/>
      <c r="AB23" s="94">
        <f t="shared" si="1"/>
        <v>17.925000000000001</v>
      </c>
      <c r="AC23" s="94">
        <f t="shared" si="2"/>
        <v>8.8290331748132189</v>
      </c>
      <c r="AD23" s="95">
        <f t="shared" si="3"/>
        <v>1034056436.8655978</v>
      </c>
      <c r="AE23" s="94">
        <f t="shared" si="4"/>
        <v>110.19208522222402</v>
      </c>
      <c r="AF23" s="90">
        <v>21.85</v>
      </c>
      <c r="AG23" s="90">
        <v>21.94</v>
      </c>
      <c r="AH23" s="90"/>
      <c r="AI23" s="94">
        <f t="shared" si="5"/>
        <v>21.895000000000003</v>
      </c>
      <c r="AJ23" s="90">
        <f t="shared" si="6"/>
        <v>1324.5343825265452</v>
      </c>
      <c r="AK23" s="95">
        <f t="shared" si="7"/>
        <v>66.226719126327254</v>
      </c>
      <c r="AL23" s="90">
        <v>35.61</v>
      </c>
      <c r="AM23" s="90">
        <v>34.28</v>
      </c>
      <c r="AN23" s="90"/>
      <c r="AO23" s="94">
        <f t="shared" si="8"/>
        <v>34.945</v>
      </c>
      <c r="AP23" s="90">
        <f t="shared" si="9"/>
        <v>3.0579942745305602E-6</v>
      </c>
      <c r="AQ23" s="90">
        <f t="shared" si="10"/>
        <v>181.13023600475347</v>
      </c>
      <c r="AR23" s="95">
        <f t="shared" si="11"/>
        <v>9.0565118002376739</v>
      </c>
      <c r="AS23" s="95">
        <f t="shared" si="12"/>
        <v>0.13675012018883809</v>
      </c>
      <c r="AT23" s="95">
        <f t="shared" si="13"/>
        <v>36896276427.910027</v>
      </c>
      <c r="AU23" s="90"/>
      <c r="AV23" s="90" t="s">
        <v>67</v>
      </c>
    </row>
    <row r="24" spans="2:48" s="86" customFormat="1" ht="14" x14ac:dyDescent="0.15">
      <c r="B24" s="90" t="s">
        <v>54</v>
      </c>
      <c r="C24" s="90" t="s">
        <v>55</v>
      </c>
      <c r="D24" s="96" t="s">
        <v>72</v>
      </c>
      <c r="E24" s="87" t="s">
        <v>57</v>
      </c>
      <c r="F24" s="89" t="s">
        <v>58</v>
      </c>
      <c r="G24" s="90" t="s">
        <v>59</v>
      </c>
      <c r="H24" s="90">
        <v>-20</v>
      </c>
      <c r="I24" s="90" t="s">
        <v>60</v>
      </c>
      <c r="J24" s="90" t="s">
        <v>61</v>
      </c>
      <c r="K24" s="90" t="s">
        <v>62</v>
      </c>
      <c r="L24" s="90" t="s">
        <v>63</v>
      </c>
      <c r="M24" s="90" t="s">
        <v>60</v>
      </c>
      <c r="N24" s="90">
        <v>200</v>
      </c>
      <c r="O24" s="90" t="s">
        <v>64</v>
      </c>
      <c r="P24" s="90" t="s">
        <v>65</v>
      </c>
      <c r="Q24" s="97">
        <v>7.68</v>
      </c>
      <c r="R24" s="90">
        <v>4</v>
      </c>
      <c r="S24" s="90">
        <v>290</v>
      </c>
      <c r="T24" s="90">
        <v>184512</v>
      </c>
      <c r="U24" s="87">
        <f t="shared" si="0"/>
        <v>184512000000</v>
      </c>
      <c r="V24" s="90" t="s">
        <v>60</v>
      </c>
      <c r="W24" s="90" t="s">
        <v>66</v>
      </c>
      <c r="X24" s="90" t="s">
        <v>60</v>
      </c>
      <c r="Y24" s="94">
        <v>19.57</v>
      </c>
      <c r="Z24" s="94">
        <v>18.05</v>
      </c>
      <c r="AA24" s="90"/>
      <c r="AB24" s="94">
        <f t="shared" si="1"/>
        <v>18.810000000000002</v>
      </c>
      <c r="AC24" s="94">
        <f t="shared" si="2"/>
        <v>4.8825910776108383</v>
      </c>
      <c r="AD24" s="95">
        <f t="shared" si="3"/>
        <v>571849106.51248443</v>
      </c>
      <c r="AE24" s="94">
        <f t="shared" si="4"/>
        <v>60.937917150905498</v>
      </c>
      <c r="AF24" s="90">
        <v>20.239999999999998</v>
      </c>
      <c r="AG24" s="90">
        <v>19.66</v>
      </c>
      <c r="AH24" s="90"/>
      <c r="AI24" s="94">
        <f t="shared" si="5"/>
        <v>19.95</v>
      </c>
      <c r="AJ24" s="90">
        <f t="shared" si="6"/>
        <v>5438.7644426611096</v>
      </c>
      <c r="AK24" s="95">
        <f t="shared" si="7"/>
        <v>271.93822213305549</v>
      </c>
      <c r="AL24" s="90">
        <v>34.270000000000003</v>
      </c>
      <c r="AM24" s="90">
        <v>35.159999999999997</v>
      </c>
      <c r="AN24" s="90"/>
      <c r="AO24" s="94">
        <f t="shared" si="8"/>
        <v>34.715000000000003</v>
      </c>
      <c r="AP24" s="90">
        <f t="shared" si="9"/>
        <v>3.5604097527561493E-6</v>
      </c>
      <c r="AQ24" s="90">
        <f t="shared" si="10"/>
        <v>210.88916488875603</v>
      </c>
      <c r="AR24" s="95">
        <f t="shared" si="11"/>
        <v>10.544458244437802</v>
      </c>
      <c r="AS24" s="95">
        <f t="shared" si="12"/>
        <v>3.8775197402292898E-2</v>
      </c>
      <c r="AT24" s="95">
        <f t="shared" si="13"/>
        <v>7154489223.0918674</v>
      </c>
      <c r="AU24" s="90"/>
      <c r="AV24" s="90" t="s">
        <v>67</v>
      </c>
    </row>
    <row r="25" spans="2:48" s="86" customFormat="1" ht="14" x14ac:dyDescent="0.15">
      <c r="B25" s="90" t="s">
        <v>54</v>
      </c>
      <c r="C25" s="90" t="s">
        <v>55</v>
      </c>
      <c r="D25" s="96" t="s">
        <v>73</v>
      </c>
      <c r="E25" s="87" t="s">
        <v>57</v>
      </c>
      <c r="F25" s="89" t="s">
        <v>58</v>
      </c>
      <c r="G25" s="90" t="s">
        <v>59</v>
      </c>
      <c r="H25" s="90">
        <v>-20</v>
      </c>
      <c r="I25" s="90" t="s">
        <v>60</v>
      </c>
      <c r="J25" s="90" t="s">
        <v>61</v>
      </c>
      <c r="K25" s="90" t="s">
        <v>62</v>
      </c>
      <c r="L25" s="90" t="s">
        <v>63</v>
      </c>
      <c r="M25" s="90" t="s">
        <v>60</v>
      </c>
      <c r="N25" s="90">
        <v>200</v>
      </c>
      <c r="O25" s="90" t="s">
        <v>64</v>
      </c>
      <c r="P25" s="90" t="s">
        <v>65</v>
      </c>
      <c r="Q25" s="99">
        <v>7.28</v>
      </c>
      <c r="R25" s="90">
        <v>4</v>
      </c>
      <c r="S25" s="90">
        <v>290</v>
      </c>
      <c r="T25" s="90">
        <v>315744</v>
      </c>
      <c r="U25" s="87">
        <f t="shared" si="0"/>
        <v>315744000000</v>
      </c>
      <c r="V25" s="90" t="s">
        <v>60</v>
      </c>
      <c r="W25" s="90" t="s">
        <v>66</v>
      </c>
      <c r="X25" s="90" t="s">
        <v>60</v>
      </c>
      <c r="Y25" s="94">
        <v>18.920000000000002</v>
      </c>
      <c r="Z25" s="94">
        <v>19.149999999999999</v>
      </c>
      <c r="AA25" s="90"/>
      <c r="AB25" s="94">
        <f t="shared" si="1"/>
        <v>19.035</v>
      </c>
      <c r="AC25" s="94">
        <f t="shared" si="2"/>
        <v>4.1999542309820148</v>
      </c>
      <c r="AD25" s="95">
        <f t="shared" si="3"/>
        <v>491898673.51242924</v>
      </c>
      <c r="AE25" s="94">
        <f t="shared" si="4"/>
        <v>52.418164637783363</v>
      </c>
      <c r="AF25" s="90">
        <v>20.97</v>
      </c>
      <c r="AG25" s="90">
        <v>21.42</v>
      </c>
      <c r="AH25" s="90"/>
      <c r="AI25" s="94">
        <f t="shared" si="5"/>
        <v>21.195</v>
      </c>
      <c r="AJ25" s="90">
        <f t="shared" si="6"/>
        <v>2202.102260410873</v>
      </c>
      <c r="AK25" s="95">
        <f t="shared" si="7"/>
        <v>110.10511302054366</v>
      </c>
      <c r="AL25" s="90">
        <v>37.796133247864802</v>
      </c>
      <c r="AM25" s="90">
        <v>38.001542997309897</v>
      </c>
      <c r="AN25" s="90"/>
      <c r="AO25" s="94">
        <f t="shared" si="8"/>
        <v>37.89883812258735</v>
      </c>
      <c r="AP25" s="90">
        <f t="shared" si="9"/>
        <v>4.3351130411577017E-7</v>
      </c>
      <c r="AQ25" s="90">
        <f t="shared" si="10"/>
        <v>25.677616691179708</v>
      </c>
      <c r="AR25" s="95">
        <f t="shared" si="11"/>
        <v>1.2838808345589854</v>
      </c>
      <c r="AS25" s="95">
        <f t="shared" si="12"/>
        <v>1.1660501491147246E-2</v>
      </c>
      <c r="AT25" s="95">
        <f t="shared" si="13"/>
        <v>3681733382.820796</v>
      </c>
      <c r="AU25" s="90"/>
      <c r="AV25" s="90" t="s">
        <v>67</v>
      </c>
    </row>
    <row r="26" spans="2:48" s="86" customFormat="1" ht="14" x14ac:dyDescent="0.15">
      <c r="B26" s="90" t="s">
        <v>54</v>
      </c>
      <c r="C26" s="90" t="s">
        <v>55</v>
      </c>
      <c r="D26" s="96" t="s">
        <v>74</v>
      </c>
      <c r="E26" s="87" t="s">
        <v>57</v>
      </c>
      <c r="F26" s="89" t="s">
        <v>58</v>
      </c>
      <c r="G26" s="90" t="s">
        <v>59</v>
      </c>
      <c r="H26" s="90">
        <v>-20</v>
      </c>
      <c r="I26" s="90" t="s">
        <v>60</v>
      </c>
      <c r="J26" s="90" t="s">
        <v>61</v>
      </c>
      <c r="K26" s="90" t="s">
        <v>62</v>
      </c>
      <c r="L26" s="90" t="s">
        <v>63</v>
      </c>
      <c r="M26" s="90" t="s">
        <v>60</v>
      </c>
      <c r="N26" s="90">
        <v>200</v>
      </c>
      <c r="O26" s="90" t="s">
        <v>64</v>
      </c>
      <c r="P26" s="90" t="s">
        <v>65</v>
      </c>
      <c r="Q26" s="99">
        <v>7.89</v>
      </c>
      <c r="R26" s="90">
        <v>4</v>
      </c>
      <c r="S26" s="90">
        <v>160</v>
      </c>
      <c r="T26" s="90">
        <v>251688</v>
      </c>
      <c r="U26" s="87">
        <f t="shared" si="0"/>
        <v>251688000000</v>
      </c>
      <c r="V26" s="90" t="s">
        <v>60</v>
      </c>
      <c r="W26" s="90" t="s">
        <v>66</v>
      </c>
      <c r="X26" s="90" t="s">
        <v>60</v>
      </c>
      <c r="Y26" s="94">
        <v>19.190000000000001</v>
      </c>
      <c r="Z26" s="94">
        <v>19.059999999999999</v>
      </c>
      <c r="AA26" s="90"/>
      <c r="AB26" s="94">
        <f t="shared" si="1"/>
        <v>19.125</v>
      </c>
      <c r="AC26" s="94">
        <f t="shared" si="2"/>
        <v>3.9544149515303455</v>
      </c>
      <c r="AD26" s="95">
        <f t="shared" si="3"/>
        <v>463141111.11650914</v>
      </c>
      <c r="AE26" s="94">
        <f t="shared" si="4"/>
        <v>49.353674486820239</v>
      </c>
      <c r="AF26" s="90">
        <v>21.48</v>
      </c>
      <c r="AG26" s="90">
        <v>21.59</v>
      </c>
      <c r="AH26" s="90"/>
      <c r="AI26" s="94">
        <f t="shared" si="5"/>
        <v>21.535</v>
      </c>
      <c r="AJ26" s="90">
        <f t="shared" si="6"/>
        <v>1720.3003484319688</v>
      </c>
      <c r="AK26" s="95">
        <f t="shared" si="7"/>
        <v>86.015017421598444</v>
      </c>
      <c r="AL26" s="90">
        <v>38.214794656121398</v>
      </c>
      <c r="AM26" s="90">
        <v>35.951272566562402</v>
      </c>
      <c r="AN26" s="90"/>
      <c r="AO26" s="94">
        <f t="shared" si="8"/>
        <v>37.083033611341904</v>
      </c>
      <c r="AP26" s="90">
        <f t="shared" si="9"/>
        <v>7.4357610450285444E-7</v>
      </c>
      <c r="AQ26" s="90">
        <f t="shared" si="10"/>
        <v>44.043285632630202</v>
      </c>
      <c r="AR26" s="95">
        <f t="shared" si="11"/>
        <v>2.2021642816315099</v>
      </c>
      <c r="AS26" s="95">
        <f t="shared" si="12"/>
        <v>2.5602090746987917E-2</v>
      </c>
      <c r="AT26" s="95">
        <f t="shared" si="13"/>
        <v>6443739015.9278946</v>
      </c>
      <c r="AU26" s="90"/>
      <c r="AV26" s="90" t="s">
        <v>67</v>
      </c>
    </row>
    <row r="27" spans="2:48" s="86" customFormat="1" ht="14" x14ac:dyDescent="0.15">
      <c r="B27" s="90" t="s">
        <v>54</v>
      </c>
      <c r="C27" s="90" t="s">
        <v>55</v>
      </c>
      <c r="D27" s="96">
        <v>43839</v>
      </c>
      <c r="E27" s="87" t="s">
        <v>57</v>
      </c>
      <c r="F27" s="89" t="s">
        <v>58</v>
      </c>
      <c r="G27" s="90" t="s">
        <v>59</v>
      </c>
      <c r="H27" s="90">
        <v>-20</v>
      </c>
      <c r="I27" s="90" t="s">
        <v>60</v>
      </c>
      <c r="J27" s="90" t="s">
        <v>61</v>
      </c>
      <c r="K27" s="90" t="s">
        <v>62</v>
      </c>
      <c r="L27" s="90" t="s">
        <v>63</v>
      </c>
      <c r="M27" s="90" t="s">
        <v>60</v>
      </c>
      <c r="N27" s="90">
        <v>200</v>
      </c>
      <c r="O27" s="90" t="s">
        <v>64</v>
      </c>
      <c r="P27" s="90" t="s">
        <v>65</v>
      </c>
      <c r="Q27" s="99">
        <v>7.93</v>
      </c>
      <c r="R27" s="90">
        <v>4</v>
      </c>
      <c r="S27" s="90">
        <v>230</v>
      </c>
      <c r="T27" s="90">
        <v>201024</v>
      </c>
      <c r="U27" s="87">
        <f t="shared" si="0"/>
        <v>201024000000</v>
      </c>
      <c r="V27" s="90" t="s">
        <v>60</v>
      </c>
      <c r="W27" s="90" t="s">
        <v>66</v>
      </c>
      <c r="X27" s="90" t="s">
        <v>60</v>
      </c>
      <c r="Y27" s="94">
        <v>19.100000000000001</v>
      </c>
      <c r="Z27" s="94">
        <v>19.07</v>
      </c>
      <c r="AA27" s="90"/>
      <c r="AB27" s="94">
        <f t="shared" si="1"/>
        <v>19.085000000000001</v>
      </c>
      <c r="AC27" s="94">
        <f t="shared" si="2"/>
        <v>4.0617195795361019</v>
      </c>
      <c r="AD27" s="95">
        <f t="shared" si="3"/>
        <v>475708630.01669359</v>
      </c>
      <c r="AE27" s="94">
        <f t="shared" si="4"/>
        <v>50.692906142182032</v>
      </c>
      <c r="AF27" s="90">
        <v>21.85</v>
      </c>
      <c r="AG27" s="90">
        <v>21.6</v>
      </c>
      <c r="AH27" s="90"/>
      <c r="AI27" s="94">
        <f t="shared" si="5"/>
        <v>21.725000000000001</v>
      </c>
      <c r="AJ27" s="90">
        <f t="shared" si="6"/>
        <v>1498.5796782838979</v>
      </c>
      <c r="AK27" s="95">
        <f t="shared" si="7"/>
        <v>74.928983914194902</v>
      </c>
      <c r="AL27" s="90">
        <v>35.397427833068001</v>
      </c>
      <c r="AM27" s="90">
        <v>35.9061916827593</v>
      </c>
      <c r="AN27" s="90"/>
      <c r="AO27" s="94">
        <f t="shared" si="8"/>
        <v>35.651809757913654</v>
      </c>
      <c r="AP27" s="90">
        <f t="shared" si="9"/>
        <v>1.9161011378811582E-6</v>
      </c>
      <c r="AQ27" s="90">
        <f t="shared" si="10"/>
        <v>113.49395066041103</v>
      </c>
      <c r="AR27" s="95">
        <f t="shared" si="11"/>
        <v>5.6746975330205514</v>
      </c>
      <c r="AS27" s="95">
        <f t="shared" si="12"/>
        <v>7.573434519703276E-2</v>
      </c>
      <c r="AT27" s="95">
        <f t="shared" si="13"/>
        <v>15224421008.888313</v>
      </c>
      <c r="AU27" s="90"/>
      <c r="AV27" s="90" t="s">
        <v>67</v>
      </c>
    </row>
    <row r="28" spans="2:48" s="5" customFormat="1" x14ac:dyDescent="0.15">
      <c r="B28" s="8"/>
      <c r="C28" s="8"/>
      <c r="D28" s="33"/>
      <c r="E28" s="10" t="s">
        <v>75</v>
      </c>
      <c r="F28" s="30"/>
      <c r="G28" s="8"/>
      <c r="H28" s="8"/>
      <c r="I28" s="8"/>
      <c r="J28" s="8"/>
      <c r="K28" s="8"/>
      <c r="L28" s="8"/>
      <c r="M28" s="8"/>
      <c r="N28" s="8"/>
      <c r="O28" s="8"/>
      <c r="P28" s="8"/>
      <c r="Q28" s="20"/>
      <c r="R28" s="8"/>
      <c r="S28" s="8"/>
      <c r="T28" s="8"/>
      <c r="U28" s="10"/>
      <c r="V28" s="8"/>
      <c r="W28" s="8"/>
      <c r="X28" s="8"/>
      <c r="Y28" s="18">
        <v>17.96</v>
      </c>
      <c r="Z28" s="18">
        <v>18.18</v>
      </c>
      <c r="AA28" s="8"/>
      <c r="AB28" s="18">
        <f t="shared" ref="AB28" si="14">AVERAGE(Y28:AA28)</f>
        <v>18.07</v>
      </c>
      <c r="AC28" s="18">
        <f t="shared" ref="AC28" si="15">EXP((AB28-21.179)/-1.494)</f>
        <v>8.0124023036752021</v>
      </c>
      <c r="AD28" s="19">
        <f>(AC28*(6.0221*10^23))/(15123*340*10^9)</f>
        <v>938412622.63094449</v>
      </c>
      <c r="AE28" s="78">
        <f t="shared" si="4"/>
        <v>100</v>
      </c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</row>
    <row r="29" spans="2:48" s="5" customFormat="1" x14ac:dyDescent="0.15">
      <c r="B29" s="8"/>
      <c r="C29" s="8"/>
      <c r="D29" s="17"/>
      <c r="E29" s="10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20"/>
      <c r="R29" s="8"/>
      <c r="S29" s="8"/>
      <c r="T29" s="8"/>
      <c r="U29" s="10">
        <f t="shared" si="0"/>
        <v>0</v>
      </c>
      <c r="V29" s="8"/>
      <c r="W29" s="8"/>
      <c r="X29" s="8"/>
      <c r="Y29" s="18"/>
      <c r="Z29" s="18"/>
      <c r="AA29" s="8"/>
      <c r="AB29" s="18"/>
      <c r="AC29" s="18"/>
      <c r="AD29" s="19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</row>
    <row r="30" spans="2:48" s="86" customFormat="1" ht="14" x14ac:dyDescent="0.15">
      <c r="B30" s="90" t="s">
        <v>54</v>
      </c>
      <c r="C30" s="90" t="s">
        <v>55</v>
      </c>
      <c r="D30" s="96">
        <v>44053</v>
      </c>
      <c r="E30" s="87" t="s">
        <v>57</v>
      </c>
      <c r="F30" s="89" t="s">
        <v>58</v>
      </c>
      <c r="G30" s="90" t="s">
        <v>59</v>
      </c>
      <c r="H30" s="90">
        <v>-20</v>
      </c>
      <c r="I30" s="90" t="s">
        <v>60</v>
      </c>
      <c r="J30" s="90" t="s">
        <v>61</v>
      </c>
      <c r="K30" s="90" t="s">
        <v>62</v>
      </c>
      <c r="L30" s="90" t="s">
        <v>63</v>
      </c>
      <c r="M30" s="90" t="s">
        <v>60</v>
      </c>
      <c r="N30" s="90">
        <v>200</v>
      </c>
      <c r="O30" s="90" t="s">
        <v>64</v>
      </c>
      <c r="P30" s="90" t="s">
        <v>65</v>
      </c>
      <c r="Q30" s="97" t="s">
        <v>76</v>
      </c>
      <c r="R30" s="90">
        <v>4</v>
      </c>
      <c r="S30" s="90" t="s">
        <v>60</v>
      </c>
      <c r="T30" s="90">
        <v>192744</v>
      </c>
      <c r="U30" s="87">
        <f>T30*1000000</f>
        <v>192744000000</v>
      </c>
      <c r="V30" s="90" t="s">
        <v>60</v>
      </c>
      <c r="W30" s="90" t="s">
        <v>66</v>
      </c>
      <c r="X30" s="90" t="s">
        <v>60</v>
      </c>
      <c r="Y30" s="98">
        <v>22.256965639885699</v>
      </c>
      <c r="Z30" s="98">
        <v>22.251730791014499</v>
      </c>
      <c r="AA30" s="90"/>
      <c r="AB30" s="94">
        <f t="shared" ref="AB30:AB40" si="16">AVERAGE(Y30:AA30)</f>
        <v>22.254348215450101</v>
      </c>
      <c r="AC30" s="94">
        <f t="shared" ref="AC30:AC40" si="17">EXP((AB30-21.179)/-1.494)</f>
        <v>0.486860364937171</v>
      </c>
      <c r="AD30" s="95">
        <f t="shared" ref="AD30:AD40" si="18">(AC30*(6.0221*10^23))/(15123*340*10^9)</f>
        <v>57021089.880395211</v>
      </c>
      <c r="AE30" s="100">
        <f t="shared" ref="AE30:AE40" si="19">AD30*100/AD$62</f>
        <v>8.7326055539243548</v>
      </c>
      <c r="AF30" s="90">
        <v>25.253650203929901</v>
      </c>
      <c r="AG30" s="90">
        <v>25.241444816144799</v>
      </c>
      <c r="AH30" s="90"/>
      <c r="AI30" s="94">
        <f t="shared" ref="AI30:AI39" si="20">AVERAGE(AF30:AH30)</f>
        <v>25.24754751003735</v>
      </c>
      <c r="AJ30" s="90">
        <f>EXP((AI30-31.794)/-1.377)</f>
        <v>116.06393949613692</v>
      </c>
      <c r="AK30" s="95">
        <f>(AJ30/5)*(50/200)</f>
        <v>5.8031969748068466</v>
      </c>
      <c r="AL30" s="90">
        <v>37.238504373887501</v>
      </c>
      <c r="AM30" s="90">
        <v>37.832624948582797</v>
      </c>
      <c r="AN30" s="90"/>
      <c r="AO30" s="94">
        <f>AVERAGE(AL30:AN30)</f>
        <v>37.535564661235149</v>
      </c>
      <c r="AP30" s="90">
        <f>EXP((AO30-15.746)/-1.512)</f>
        <v>5.5124430631876794E-7</v>
      </c>
      <c r="AQ30" s="90">
        <f>(AP30*(6.0221*10^23))/(29903*340*10^9)</f>
        <v>32.651143964330281</v>
      </c>
      <c r="AR30" s="95">
        <f>(AQ30/5)*(50/200)</f>
        <v>1.6325571982165141</v>
      </c>
      <c r="AS30" s="95">
        <f>AR30/AK30</f>
        <v>0.28132031452729589</v>
      </c>
      <c r="AT30" s="95">
        <f>AS30*U30</f>
        <v>54222802703.249123</v>
      </c>
      <c r="AU30" s="90"/>
      <c r="AV30" s="90" t="s">
        <v>67</v>
      </c>
    </row>
    <row r="31" spans="2:48" s="86" customFormat="1" ht="14" x14ac:dyDescent="0.15">
      <c r="B31" s="90" t="s">
        <v>54</v>
      </c>
      <c r="C31" s="90" t="s">
        <v>55</v>
      </c>
      <c r="D31" s="96">
        <v>44081</v>
      </c>
      <c r="E31" s="87" t="s">
        <v>57</v>
      </c>
      <c r="F31" s="89" t="s">
        <v>58</v>
      </c>
      <c r="G31" s="90" t="s">
        <v>59</v>
      </c>
      <c r="H31" s="90">
        <v>-20</v>
      </c>
      <c r="I31" s="90" t="s">
        <v>60</v>
      </c>
      <c r="J31" s="90" t="s">
        <v>61</v>
      </c>
      <c r="K31" s="90" t="s">
        <v>62</v>
      </c>
      <c r="L31" s="90" t="s">
        <v>63</v>
      </c>
      <c r="M31" s="90" t="s">
        <v>60</v>
      </c>
      <c r="N31" s="90">
        <v>200</v>
      </c>
      <c r="O31" s="90" t="s">
        <v>64</v>
      </c>
      <c r="P31" s="90" t="s">
        <v>65</v>
      </c>
      <c r="Q31" s="97" t="s">
        <v>77</v>
      </c>
      <c r="R31" s="90">
        <v>4</v>
      </c>
      <c r="S31" s="90" t="s">
        <v>60</v>
      </c>
      <c r="T31" s="90">
        <v>196440</v>
      </c>
      <c r="U31" s="87">
        <f t="shared" si="0"/>
        <v>196440000000</v>
      </c>
      <c r="V31" s="90" t="s">
        <v>60</v>
      </c>
      <c r="W31" s="90" t="s">
        <v>66</v>
      </c>
      <c r="X31" s="90" t="s">
        <v>60</v>
      </c>
      <c r="Y31" s="98">
        <v>21.152493297365201</v>
      </c>
      <c r="Z31" s="98">
        <v>21.381691363377499</v>
      </c>
      <c r="AA31" s="90"/>
      <c r="AB31" s="94">
        <f t="shared" si="16"/>
        <v>21.267092330371348</v>
      </c>
      <c r="AC31" s="94">
        <f t="shared" si="17"/>
        <v>0.94274063504130745</v>
      </c>
      <c r="AD31" s="95">
        <f t="shared" si="18"/>
        <v>110413790.80330032</v>
      </c>
      <c r="AE31" s="100">
        <f t="shared" si="19"/>
        <v>16.909534434034907</v>
      </c>
      <c r="AF31" s="90">
        <v>23.049266014950199</v>
      </c>
      <c r="AG31" s="90">
        <v>23.501225303326301</v>
      </c>
      <c r="AH31" s="90"/>
      <c r="AI31" s="94">
        <f t="shared" si="20"/>
        <v>23.27524565913825</v>
      </c>
      <c r="AJ31" s="90">
        <f t="shared" ref="AJ31:AJ39" si="21">EXP((AI31-31.794)/-1.377)</f>
        <v>486.12180317287471</v>
      </c>
      <c r="AK31" s="95">
        <f t="shared" ref="AK31:AK39" si="22">(AJ31/5)*(50/200)</f>
        <v>24.306090158643734</v>
      </c>
      <c r="AL31" s="90">
        <v>32.386545612621397</v>
      </c>
      <c r="AM31" s="90">
        <v>32.835001406367702</v>
      </c>
      <c r="AN31" s="90"/>
      <c r="AO31" s="94">
        <f t="shared" ref="AO31:AO39" si="23">AVERAGE(AL31:AN31)</f>
        <v>32.61077350949455</v>
      </c>
      <c r="AP31" s="90">
        <f t="shared" ref="AP31:AP39" si="24">EXP((AO31-15.746)/-1.512)</f>
        <v>1.4318606196827343E-5</v>
      </c>
      <c r="AQ31" s="90">
        <f t="shared" ref="AQ31:AQ39" si="25">(AP31*(6.0221*10^23))/(29903*340*10^9)</f>
        <v>848.11555773386829</v>
      </c>
      <c r="AR31" s="95">
        <f t="shared" ref="AR31:AR39" si="26">(AQ31/5)*(50/200)</f>
        <v>42.405777886693414</v>
      </c>
      <c r="AS31" s="95">
        <f t="shared" ref="AS31:AS39" si="27">AR31/AK31</f>
        <v>1.7446564877326873</v>
      </c>
      <c r="AT31" s="95">
        <f t="shared" ref="AT31:AT39" si="28">AS31*U31</f>
        <v>342720320450.20911</v>
      </c>
      <c r="AU31" s="90"/>
      <c r="AV31" s="90" t="s">
        <v>67</v>
      </c>
    </row>
    <row r="32" spans="2:48" s="86" customFormat="1" ht="14" x14ac:dyDescent="0.15">
      <c r="B32" s="90" t="s">
        <v>54</v>
      </c>
      <c r="C32" s="90" t="s">
        <v>55</v>
      </c>
      <c r="D32" s="96">
        <v>44084</v>
      </c>
      <c r="E32" s="87" t="s">
        <v>57</v>
      </c>
      <c r="F32" s="89" t="s">
        <v>58</v>
      </c>
      <c r="G32" s="90" t="s">
        <v>59</v>
      </c>
      <c r="H32" s="90">
        <v>-20</v>
      </c>
      <c r="I32" s="90" t="s">
        <v>60</v>
      </c>
      <c r="J32" s="90" t="s">
        <v>61</v>
      </c>
      <c r="K32" s="90" t="s">
        <v>62</v>
      </c>
      <c r="L32" s="90" t="s">
        <v>63</v>
      </c>
      <c r="M32" s="90" t="s">
        <v>60</v>
      </c>
      <c r="N32" s="90">
        <v>200</v>
      </c>
      <c r="O32" s="90" t="s">
        <v>64</v>
      </c>
      <c r="P32" s="90" t="s">
        <v>65</v>
      </c>
      <c r="Q32" s="97" t="s">
        <v>78</v>
      </c>
      <c r="R32" s="90">
        <v>4</v>
      </c>
      <c r="S32" s="90" t="s">
        <v>60</v>
      </c>
      <c r="T32" s="90">
        <v>352152</v>
      </c>
      <c r="U32" s="87">
        <f t="shared" si="0"/>
        <v>352152000000</v>
      </c>
      <c r="V32" s="90" t="s">
        <v>60</v>
      </c>
      <c r="W32" s="90" t="s">
        <v>66</v>
      </c>
      <c r="X32" s="90" t="s">
        <v>60</v>
      </c>
      <c r="Y32" s="98">
        <v>28.583557554657201</v>
      </c>
      <c r="Z32" s="98">
        <v>28.4929627797911</v>
      </c>
      <c r="AA32" s="90"/>
      <c r="AB32" s="94">
        <f t="shared" si="16"/>
        <v>28.538260167224152</v>
      </c>
      <c r="AC32" s="94">
        <f t="shared" si="17"/>
        <v>7.2563600047962648E-3</v>
      </c>
      <c r="AD32" s="95">
        <f t="shared" si="18"/>
        <v>849864.94246946764</v>
      </c>
      <c r="AE32" s="100">
        <f t="shared" si="19"/>
        <v>0.13015421718984227</v>
      </c>
      <c r="AF32" s="90">
        <v>31.084241792171099</v>
      </c>
      <c r="AG32" s="90">
        <v>31.139026854673201</v>
      </c>
      <c r="AH32" s="90"/>
      <c r="AI32" s="94">
        <f t="shared" si="20"/>
        <v>31.111634323422152</v>
      </c>
      <c r="AJ32" s="90">
        <f t="shared" si="21"/>
        <v>1.6413928064782206</v>
      </c>
      <c r="AK32" s="95">
        <f t="shared" si="22"/>
        <v>8.2069640323911036E-2</v>
      </c>
      <c r="AL32" s="90">
        <v>37.1826824413248</v>
      </c>
      <c r="AM32" s="90">
        <v>38.489713129602798</v>
      </c>
      <c r="AN32" s="90"/>
      <c r="AO32" s="94">
        <f t="shared" si="23"/>
        <v>37.836197785463796</v>
      </c>
      <c r="AP32" s="90">
        <f t="shared" si="24"/>
        <v>4.5184837348668765E-7</v>
      </c>
      <c r="AQ32" s="90">
        <f t="shared" si="25"/>
        <v>26.763752702111155</v>
      </c>
      <c r="AR32" s="95">
        <f t="shared" si="26"/>
        <v>1.3381876351055577</v>
      </c>
      <c r="AS32" s="95">
        <f t="shared" si="27"/>
        <v>16.305513583634848</v>
      </c>
      <c r="AT32" s="95">
        <f t="shared" si="28"/>
        <v>5742019219504.1787</v>
      </c>
      <c r="AU32" s="90"/>
      <c r="AV32" s="90" t="s">
        <v>67</v>
      </c>
    </row>
    <row r="33" spans="2:48" s="86" customFormat="1" ht="14" x14ac:dyDescent="0.15">
      <c r="B33" s="90" t="s">
        <v>54</v>
      </c>
      <c r="C33" s="90" t="s">
        <v>55</v>
      </c>
      <c r="D33" s="96">
        <v>44091</v>
      </c>
      <c r="E33" s="87" t="s">
        <v>57</v>
      </c>
      <c r="F33" s="89" t="s">
        <v>58</v>
      </c>
      <c r="G33" s="90" t="s">
        <v>59</v>
      </c>
      <c r="H33" s="90">
        <v>-20</v>
      </c>
      <c r="I33" s="90" t="s">
        <v>60</v>
      </c>
      <c r="J33" s="90" t="s">
        <v>61</v>
      </c>
      <c r="K33" s="90" t="s">
        <v>62</v>
      </c>
      <c r="L33" s="90" t="s">
        <v>63</v>
      </c>
      <c r="M33" s="90" t="s">
        <v>60</v>
      </c>
      <c r="N33" s="90">
        <v>200</v>
      </c>
      <c r="O33" s="90" t="s">
        <v>64</v>
      </c>
      <c r="P33" s="90" t="s">
        <v>65</v>
      </c>
      <c r="Q33" s="97" t="s">
        <v>79</v>
      </c>
      <c r="R33" s="90">
        <v>4</v>
      </c>
      <c r="S33" s="90" t="s">
        <v>60</v>
      </c>
      <c r="T33" s="90">
        <v>202920</v>
      </c>
      <c r="U33" s="87">
        <f t="shared" si="0"/>
        <v>202920000000</v>
      </c>
      <c r="V33" s="90" t="s">
        <v>60</v>
      </c>
      <c r="W33" s="90" t="s">
        <v>66</v>
      </c>
      <c r="X33" s="90" t="s">
        <v>60</v>
      </c>
      <c r="Y33" s="98">
        <v>19.797647944433798</v>
      </c>
      <c r="Z33" s="98">
        <v>23.879007464660901</v>
      </c>
      <c r="AA33" s="90"/>
      <c r="AB33" s="94">
        <f t="shared" si="16"/>
        <v>21.83832770454735</v>
      </c>
      <c r="AC33" s="94">
        <f t="shared" si="17"/>
        <v>0.64318873753831518</v>
      </c>
      <c r="AD33" s="95">
        <f t="shared" si="18"/>
        <v>75330270.144219115</v>
      </c>
      <c r="AE33" s="100">
        <f t="shared" si="19"/>
        <v>11.536600524820948</v>
      </c>
      <c r="AF33" s="90">
        <v>21.555558467025602</v>
      </c>
      <c r="AG33" s="90">
        <v>19.619996524754502</v>
      </c>
      <c r="AH33" s="90"/>
      <c r="AI33" s="94">
        <f t="shared" si="20"/>
        <v>20.587777495890052</v>
      </c>
      <c r="AJ33" s="90">
        <f t="shared" si="21"/>
        <v>3422.5552647418513</v>
      </c>
      <c r="AK33" s="95">
        <f t="shared" si="22"/>
        <v>171.12776323709255</v>
      </c>
      <c r="AL33" s="90">
        <v>33.223136115075597</v>
      </c>
      <c r="AM33" s="90">
        <v>33.018477120039002</v>
      </c>
      <c r="AN33" s="90"/>
      <c r="AO33" s="94">
        <f t="shared" si="23"/>
        <v>33.120806617557299</v>
      </c>
      <c r="AP33" s="90">
        <f t="shared" si="24"/>
        <v>1.0218873360529663E-5</v>
      </c>
      <c r="AQ33" s="90">
        <f t="shared" si="25"/>
        <v>605.28136331437997</v>
      </c>
      <c r="AR33" s="95">
        <f t="shared" si="26"/>
        <v>30.264068165718999</v>
      </c>
      <c r="AS33" s="95">
        <f t="shared" si="27"/>
        <v>0.17685072014754855</v>
      </c>
      <c r="AT33" s="95">
        <f t="shared" si="28"/>
        <v>35886548132.340553</v>
      </c>
      <c r="AU33" s="90"/>
      <c r="AV33" s="90" t="s">
        <v>67</v>
      </c>
    </row>
    <row r="34" spans="2:48" s="86" customFormat="1" ht="14" x14ac:dyDescent="0.15">
      <c r="B34" s="90" t="s">
        <v>54</v>
      </c>
      <c r="C34" s="90" t="s">
        <v>55</v>
      </c>
      <c r="D34" s="96">
        <v>44095</v>
      </c>
      <c r="E34" s="87" t="s">
        <v>57</v>
      </c>
      <c r="F34" s="89" t="s">
        <v>58</v>
      </c>
      <c r="G34" s="90" t="s">
        <v>59</v>
      </c>
      <c r="H34" s="90">
        <v>-20</v>
      </c>
      <c r="I34" s="90" t="s">
        <v>60</v>
      </c>
      <c r="J34" s="90" t="s">
        <v>61</v>
      </c>
      <c r="K34" s="90" t="s">
        <v>62</v>
      </c>
      <c r="L34" s="90" t="s">
        <v>63</v>
      </c>
      <c r="M34" s="90" t="s">
        <v>60</v>
      </c>
      <c r="N34" s="90">
        <v>200</v>
      </c>
      <c r="O34" s="90" t="s">
        <v>64</v>
      </c>
      <c r="P34" s="90" t="s">
        <v>65</v>
      </c>
      <c r="Q34" s="97" t="s">
        <v>80</v>
      </c>
      <c r="R34" s="90">
        <v>4</v>
      </c>
      <c r="S34" s="90" t="s">
        <v>60</v>
      </c>
      <c r="T34" s="90">
        <v>184560</v>
      </c>
      <c r="U34" s="87">
        <f t="shared" si="0"/>
        <v>184560000000</v>
      </c>
      <c r="V34" s="90" t="s">
        <v>60</v>
      </c>
      <c r="W34" s="90" t="s">
        <v>66</v>
      </c>
      <c r="X34" s="90" t="s">
        <v>60</v>
      </c>
      <c r="Y34" s="94">
        <v>31.621395944206199</v>
      </c>
      <c r="Z34" s="94">
        <v>31.713536923192201</v>
      </c>
      <c r="AA34" s="90"/>
      <c r="AB34" s="94">
        <f t="shared" si="16"/>
        <v>31.6674664336992</v>
      </c>
      <c r="AC34" s="94">
        <f t="shared" si="17"/>
        <v>8.9347471203989721E-4</v>
      </c>
      <c r="AD34" s="95">
        <f t="shared" si="18"/>
        <v>104643.7655027882</v>
      </c>
      <c r="AE34" s="100">
        <f t="shared" si="19"/>
        <v>1.6025872703064378E-2</v>
      </c>
      <c r="AF34" s="90">
        <v>32.847940077451902</v>
      </c>
      <c r="AG34" s="90">
        <v>32.818997153326897</v>
      </c>
      <c r="AH34" s="90"/>
      <c r="AI34" s="94">
        <f t="shared" si="20"/>
        <v>32.8334686153894</v>
      </c>
      <c r="AJ34" s="90">
        <f t="shared" si="21"/>
        <v>0.47006741012484066</v>
      </c>
      <c r="AK34" s="95">
        <f t="shared" si="22"/>
        <v>2.3503370506242034E-2</v>
      </c>
      <c r="AL34" s="90">
        <v>37.7306419168819</v>
      </c>
      <c r="AM34" s="90"/>
      <c r="AN34" s="90"/>
      <c r="AO34" s="94">
        <f t="shared" si="23"/>
        <v>37.7306419168819</v>
      </c>
      <c r="AP34" s="90">
        <f t="shared" si="24"/>
        <v>4.8452001885410574E-7</v>
      </c>
      <c r="AQ34" s="90">
        <f t="shared" si="25"/>
        <v>28.698950189350569</v>
      </c>
      <c r="AR34" s="95">
        <f t="shared" si="26"/>
        <v>1.4349475094675284</v>
      </c>
      <c r="AS34" s="95">
        <f t="shared" si="27"/>
        <v>61.052839595343762</v>
      </c>
      <c r="AT34" s="95">
        <f t="shared" si="28"/>
        <v>11267912075716.645</v>
      </c>
      <c r="AU34" s="90"/>
      <c r="AV34" s="90" t="s">
        <v>67</v>
      </c>
    </row>
    <row r="35" spans="2:48" s="86" customFormat="1" ht="14" x14ac:dyDescent="0.15">
      <c r="B35" s="90" t="s">
        <v>54</v>
      </c>
      <c r="C35" s="90" t="s">
        <v>55</v>
      </c>
      <c r="D35" s="96">
        <v>44095</v>
      </c>
      <c r="E35" s="87" t="s">
        <v>57</v>
      </c>
      <c r="F35" s="89" t="s">
        <v>58</v>
      </c>
      <c r="G35" s="90" t="s">
        <v>59</v>
      </c>
      <c r="H35" s="90">
        <v>-20</v>
      </c>
      <c r="I35" s="90" t="s">
        <v>60</v>
      </c>
      <c r="J35" s="90" t="s">
        <v>61</v>
      </c>
      <c r="K35" s="90" t="s">
        <v>62</v>
      </c>
      <c r="L35" s="90" t="s">
        <v>63</v>
      </c>
      <c r="M35" s="90" t="s">
        <v>60</v>
      </c>
      <c r="N35" s="90">
        <v>200</v>
      </c>
      <c r="O35" s="90" t="s">
        <v>64</v>
      </c>
      <c r="P35" s="90" t="s">
        <v>65</v>
      </c>
      <c r="Q35" s="99" t="s">
        <v>79</v>
      </c>
      <c r="R35" s="90">
        <v>4</v>
      </c>
      <c r="S35" s="90" t="s">
        <v>60</v>
      </c>
      <c r="T35" s="90">
        <v>184560</v>
      </c>
      <c r="U35" s="87">
        <f t="shared" si="0"/>
        <v>184560000000</v>
      </c>
      <c r="V35" s="90" t="s">
        <v>60</v>
      </c>
      <c r="W35" s="90" t="s">
        <v>66</v>
      </c>
      <c r="X35" s="90" t="s">
        <v>60</v>
      </c>
      <c r="Y35" s="94">
        <v>20.2348708712234</v>
      </c>
      <c r="Z35" s="94">
        <v>20.235866024488001</v>
      </c>
      <c r="AA35" s="90"/>
      <c r="AB35" s="94">
        <f t="shared" si="16"/>
        <v>20.235368447855699</v>
      </c>
      <c r="AC35" s="94">
        <f t="shared" si="17"/>
        <v>1.8806437868974373</v>
      </c>
      <c r="AD35" s="95">
        <f t="shared" si="18"/>
        <v>220261015.5368149</v>
      </c>
      <c r="AE35" s="100">
        <f t="shared" si="19"/>
        <v>33.732301006949413</v>
      </c>
      <c r="AF35" s="90">
        <v>21.6271245702602</v>
      </c>
      <c r="AG35" s="90">
        <v>21.697014618844801</v>
      </c>
      <c r="AH35" s="90"/>
      <c r="AI35" s="94">
        <f t="shared" si="20"/>
        <v>21.662069594552499</v>
      </c>
      <c r="AJ35" s="90">
        <f t="shared" si="21"/>
        <v>1568.6554821643167</v>
      </c>
      <c r="AK35" s="95">
        <f t="shared" si="22"/>
        <v>78.432774108215838</v>
      </c>
      <c r="AL35" s="90">
        <v>33.266644688322003</v>
      </c>
      <c r="AM35" s="90">
        <v>33.610874788475599</v>
      </c>
      <c r="AN35" s="90"/>
      <c r="AO35" s="94">
        <f t="shared" si="23"/>
        <v>33.438759738398801</v>
      </c>
      <c r="AP35" s="90">
        <f t="shared" si="24"/>
        <v>8.2808853119960069E-6</v>
      </c>
      <c r="AQ35" s="90">
        <f t="shared" si="25"/>
        <v>490.49101346678913</v>
      </c>
      <c r="AR35" s="95">
        <f t="shared" si="26"/>
        <v>24.524550673339455</v>
      </c>
      <c r="AS35" s="95">
        <f t="shared" si="27"/>
        <v>0.31268243348759106</v>
      </c>
      <c r="AT35" s="95">
        <f t="shared" si="28"/>
        <v>57708669924.469803</v>
      </c>
      <c r="AU35" s="90"/>
      <c r="AV35" s="90" t="s">
        <v>67</v>
      </c>
    </row>
    <row r="36" spans="2:48" s="86" customFormat="1" ht="14" x14ac:dyDescent="0.15">
      <c r="B36" s="90" t="s">
        <v>54</v>
      </c>
      <c r="C36" s="90" t="s">
        <v>55</v>
      </c>
      <c r="D36" s="96">
        <v>44102</v>
      </c>
      <c r="E36" s="87" t="s">
        <v>57</v>
      </c>
      <c r="F36" s="89" t="s">
        <v>58</v>
      </c>
      <c r="G36" s="90" t="s">
        <v>59</v>
      </c>
      <c r="H36" s="90">
        <v>-20</v>
      </c>
      <c r="I36" s="90" t="s">
        <v>60</v>
      </c>
      <c r="J36" s="90" t="s">
        <v>61</v>
      </c>
      <c r="K36" s="90" t="s">
        <v>62</v>
      </c>
      <c r="L36" s="90" t="s">
        <v>63</v>
      </c>
      <c r="M36" s="90" t="s">
        <v>60</v>
      </c>
      <c r="N36" s="90">
        <v>200</v>
      </c>
      <c r="O36" s="90" t="s">
        <v>64</v>
      </c>
      <c r="P36" s="90" t="s">
        <v>65</v>
      </c>
      <c r="Q36" s="99" t="s">
        <v>81</v>
      </c>
      <c r="R36" s="90">
        <v>4</v>
      </c>
      <c r="S36" s="90" t="s">
        <v>60</v>
      </c>
      <c r="T36" s="90">
        <v>179496</v>
      </c>
      <c r="U36" s="87">
        <f t="shared" si="0"/>
        <v>179496000000</v>
      </c>
      <c r="V36" s="90" t="s">
        <v>60</v>
      </c>
      <c r="W36" s="90" t="s">
        <v>66</v>
      </c>
      <c r="X36" s="90" t="s">
        <v>60</v>
      </c>
      <c r="Y36" s="94">
        <v>20.2227484610852</v>
      </c>
      <c r="Z36" s="94">
        <v>20.222341193848099</v>
      </c>
      <c r="AA36" s="90"/>
      <c r="AB36" s="94">
        <f t="shared" si="16"/>
        <v>20.222544827466649</v>
      </c>
      <c r="AC36" s="94">
        <f t="shared" si="17"/>
        <v>1.8968556077979577</v>
      </c>
      <c r="AD36" s="95">
        <f t="shared" si="18"/>
        <v>222159744.13184592</v>
      </c>
      <c r="AE36" s="100">
        <f t="shared" si="19"/>
        <v>34.023085485273874</v>
      </c>
      <c r="AF36" s="90">
        <v>21.652128109185998</v>
      </c>
      <c r="AG36" s="90">
        <v>21.8353666667747</v>
      </c>
      <c r="AH36" s="90"/>
      <c r="AI36" s="94">
        <f t="shared" si="20"/>
        <v>21.743747387980349</v>
      </c>
      <c r="AJ36" s="90">
        <f t="shared" si="21"/>
        <v>1478.3152836630034</v>
      </c>
      <c r="AK36" s="95">
        <f t="shared" si="22"/>
        <v>73.915764183150173</v>
      </c>
      <c r="AL36" s="90">
        <v>32.3111938232448</v>
      </c>
      <c r="AM36" s="90">
        <v>32.248771369762501</v>
      </c>
      <c r="AN36" s="90"/>
      <c r="AO36" s="94">
        <f t="shared" si="23"/>
        <v>32.27998259650365</v>
      </c>
      <c r="AP36" s="90">
        <f t="shared" si="24"/>
        <v>1.7820275516888566E-5</v>
      </c>
      <c r="AQ36" s="90">
        <f t="shared" si="25"/>
        <v>1055.5254262335927</v>
      </c>
      <c r="AR36" s="95">
        <f t="shared" si="26"/>
        <v>52.776271311679636</v>
      </c>
      <c r="AS36" s="95">
        <f t="shared" si="27"/>
        <v>0.71400562376530918</v>
      </c>
      <c r="AT36" s="95">
        <f t="shared" si="28"/>
        <v>128161153443.37793</v>
      </c>
      <c r="AU36" s="90"/>
      <c r="AV36" s="90" t="s">
        <v>67</v>
      </c>
    </row>
    <row r="37" spans="2:48" s="86" customFormat="1" ht="14" x14ac:dyDescent="0.15">
      <c r="B37" s="90" t="s">
        <v>54</v>
      </c>
      <c r="C37" s="90" t="s">
        <v>82</v>
      </c>
      <c r="D37" s="96">
        <v>44053</v>
      </c>
      <c r="E37" s="87" t="s">
        <v>57</v>
      </c>
      <c r="F37" s="89" t="s">
        <v>58</v>
      </c>
      <c r="G37" s="90" t="s">
        <v>59</v>
      </c>
      <c r="H37" s="90">
        <v>-20</v>
      </c>
      <c r="I37" s="90" t="s">
        <v>60</v>
      </c>
      <c r="J37" s="90" t="s">
        <v>61</v>
      </c>
      <c r="K37" s="90" t="s">
        <v>62</v>
      </c>
      <c r="L37" s="90" t="s">
        <v>63</v>
      </c>
      <c r="M37" s="90" t="s">
        <v>60</v>
      </c>
      <c r="N37" s="90">
        <v>200</v>
      </c>
      <c r="O37" s="90" t="s">
        <v>64</v>
      </c>
      <c r="P37" s="90" t="s">
        <v>65</v>
      </c>
      <c r="Q37" s="99" t="s">
        <v>83</v>
      </c>
      <c r="R37" s="90">
        <v>4</v>
      </c>
      <c r="S37" s="90" t="s">
        <v>60</v>
      </c>
      <c r="T37" s="90">
        <v>201024</v>
      </c>
      <c r="U37" s="87">
        <f t="shared" si="0"/>
        <v>201024000000</v>
      </c>
      <c r="V37" s="90" t="s">
        <v>60</v>
      </c>
      <c r="W37" s="90" t="s">
        <v>66</v>
      </c>
      <c r="X37" s="90" t="s">
        <v>60</v>
      </c>
      <c r="Y37" s="94" t="s">
        <v>84</v>
      </c>
      <c r="Z37" s="94" t="s">
        <v>84</v>
      </c>
      <c r="AA37" s="90"/>
      <c r="AB37" s="94" t="e">
        <f t="shared" si="16"/>
        <v>#DIV/0!</v>
      </c>
      <c r="AC37" s="94" t="e">
        <f t="shared" si="17"/>
        <v>#DIV/0!</v>
      </c>
      <c r="AD37" s="95" t="e">
        <f t="shared" si="18"/>
        <v>#DIV/0!</v>
      </c>
      <c r="AE37" s="100" t="e">
        <f t="shared" si="19"/>
        <v>#DIV/0!</v>
      </c>
      <c r="AF37" s="90">
        <v>28.206717069425899</v>
      </c>
      <c r="AG37" s="90">
        <v>26.7651027474671</v>
      </c>
      <c r="AH37" s="90"/>
      <c r="AI37" s="94">
        <f t="shared" si="20"/>
        <v>27.485909908446502</v>
      </c>
      <c r="AJ37" s="90">
        <f t="shared" si="21"/>
        <v>22.842109284321442</v>
      </c>
      <c r="AK37" s="95">
        <f t="shared" si="22"/>
        <v>1.1421054642160722</v>
      </c>
      <c r="AL37" s="90">
        <v>37.301401279044001</v>
      </c>
      <c r="AM37" s="90">
        <v>38.313264051044499</v>
      </c>
      <c r="AN37" s="90"/>
      <c r="AO37" s="94">
        <f t="shared" si="23"/>
        <v>37.80733266504425</v>
      </c>
      <c r="AP37" s="90">
        <f t="shared" si="24"/>
        <v>4.6055733539487449E-7</v>
      </c>
      <c r="AQ37" s="90">
        <f t="shared" si="25"/>
        <v>27.279599425214794</v>
      </c>
      <c r="AR37" s="95">
        <f t="shared" si="26"/>
        <v>1.3639799712607397</v>
      </c>
      <c r="AS37" s="95">
        <f t="shared" si="27"/>
        <v>1.1942679673605796</v>
      </c>
      <c r="AT37" s="95">
        <f t="shared" si="28"/>
        <v>240076523870.69315</v>
      </c>
      <c r="AU37" s="90"/>
      <c r="AV37" s="90" t="s">
        <v>67</v>
      </c>
    </row>
    <row r="38" spans="2:48" s="86" customFormat="1" ht="14" x14ac:dyDescent="0.15">
      <c r="B38" s="90" t="s">
        <v>54</v>
      </c>
      <c r="C38" s="90" t="s">
        <v>82</v>
      </c>
      <c r="D38" s="96">
        <v>44084</v>
      </c>
      <c r="E38" s="87" t="s">
        <v>57</v>
      </c>
      <c r="F38" s="89" t="s">
        <v>58</v>
      </c>
      <c r="G38" s="90" t="s">
        <v>59</v>
      </c>
      <c r="H38" s="90">
        <v>-20</v>
      </c>
      <c r="I38" s="90" t="s">
        <v>60</v>
      </c>
      <c r="J38" s="90" t="s">
        <v>61</v>
      </c>
      <c r="K38" s="90" t="s">
        <v>62</v>
      </c>
      <c r="L38" s="90" t="s">
        <v>63</v>
      </c>
      <c r="M38" s="90" t="s">
        <v>60</v>
      </c>
      <c r="N38" s="90">
        <v>200</v>
      </c>
      <c r="O38" s="90" t="s">
        <v>64</v>
      </c>
      <c r="P38" s="90" t="s">
        <v>65</v>
      </c>
      <c r="Q38" s="99" t="s">
        <v>85</v>
      </c>
      <c r="R38" s="90">
        <v>4</v>
      </c>
      <c r="S38" s="90" t="s">
        <v>60</v>
      </c>
      <c r="T38" s="90">
        <v>251688</v>
      </c>
      <c r="U38" s="87">
        <f t="shared" si="0"/>
        <v>251688000000</v>
      </c>
      <c r="V38" s="90" t="s">
        <v>60</v>
      </c>
      <c r="W38" s="90" t="s">
        <v>66</v>
      </c>
      <c r="X38" s="90" t="s">
        <v>60</v>
      </c>
      <c r="Y38" s="94">
        <v>19.081700979230199</v>
      </c>
      <c r="Z38" s="94">
        <v>19.433835441249901</v>
      </c>
      <c r="AA38" s="90"/>
      <c r="AB38" s="94">
        <f t="shared" si="16"/>
        <v>19.257768210240052</v>
      </c>
      <c r="AC38" s="94">
        <f t="shared" si="17"/>
        <v>3.61815798853429</v>
      </c>
      <c r="AD38" s="95">
        <f t="shared" si="18"/>
        <v>423758692.88991731</v>
      </c>
      <c r="AE38" s="100">
        <f t="shared" si="19"/>
        <v>64.897348030636564</v>
      </c>
      <c r="AF38" s="90">
        <v>21.512334050183899</v>
      </c>
      <c r="AG38" s="90">
        <v>21.5634080879023</v>
      </c>
      <c r="AH38" s="90"/>
      <c r="AI38" s="94">
        <f t="shared" si="20"/>
        <v>21.537871069043099</v>
      </c>
      <c r="AJ38" s="90">
        <f t="shared" si="21"/>
        <v>1716.7172288996628</v>
      </c>
      <c r="AK38" s="95">
        <f t="shared" si="22"/>
        <v>85.835861444983138</v>
      </c>
      <c r="AL38" s="90">
        <v>35.176435616932601</v>
      </c>
      <c r="AM38" s="90">
        <v>34.490389976610302</v>
      </c>
      <c r="AN38" s="90"/>
      <c r="AO38" s="94">
        <f t="shared" si="23"/>
        <v>34.833412796771455</v>
      </c>
      <c r="AP38" s="90">
        <f t="shared" si="24"/>
        <v>3.2922140288791E-6</v>
      </c>
      <c r="AQ38" s="90">
        <f t="shared" si="25"/>
        <v>195.00347302663738</v>
      </c>
      <c r="AR38" s="95">
        <f t="shared" si="26"/>
        <v>9.7501736513318686</v>
      </c>
      <c r="AS38" s="95">
        <f t="shared" si="27"/>
        <v>0.11359091045624659</v>
      </c>
      <c r="AT38" s="95">
        <f t="shared" si="28"/>
        <v>28589469070.911789</v>
      </c>
      <c r="AU38" s="90"/>
      <c r="AV38" s="90" t="s">
        <v>67</v>
      </c>
    </row>
    <row r="39" spans="2:48" s="86" customFormat="1" ht="15" thickBot="1" x14ac:dyDescent="0.2">
      <c r="B39" s="90" t="s">
        <v>54</v>
      </c>
      <c r="C39" s="90" t="s">
        <v>82</v>
      </c>
      <c r="D39" s="96">
        <v>44095</v>
      </c>
      <c r="E39" s="87" t="s">
        <v>57</v>
      </c>
      <c r="F39" s="89" t="s">
        <v>58</v>
      </c>
      <c r="G39" s="90" t="s">
        <v>59</v>
      </c>
      <c r="H39" s="90">
        <v>-20</v>
      </c>
      <c r="I39" s="90" t="s">
        <v>60</v>
      </c>
      <c r="J39" s="90" t="s">
        <v>61</v>
      </c>
      <c r="K39" s="90" t="s">
        <v>62</v>
      </c>
      <c r="L39" s="90" t="s">
        <v>63</v>
      </c>
      <c r="M39" s="90" t="s">
        <v>60</v>
      </c>
      <c r="N39" s="90">
        <v>200</v>
      </c>
      <c r="O39" s="90" t="s">
        <v>64</v>
      </c>
      <c r="P39" s="90" t="s">
        <v>65</v>
      </c>
      <c r="Q39" s="99" t="s">
        <v>86</v>
      </c>
      <c r="R39" s="90">
        <v>4</v>
      </c>
      <c r="S39" s="90" t="s">
        <v>60</v>
      </c>
      <c r="T39" s="90">
        <v>201024</v>
      </c>
      <c r="U39" s="87">
        <f t="shared" si="0"/>
        <v>201024000000</v>
      </c>
      <c r="V39" s="90" t="s">
        <v>60</v>
      </c>
      <c r="W39" s="90" t="s">
        <v>66</v>
      </c>
      <c r="X39" s="90" t="s">
        <v>60</v>
      </c>
      <c r="Y39" s="94">
        <v>30.166667760503501</v>
      </c>
      <c r="Z39" s="94">
        <v>30.4768235254815</v>
      </c>
      <c r="AA39" s="90"/>
      <c r="AB39" s="94">
        <f t="shared" si="16"/>
        <v>30.3217456429925</v>
      </c>
      <c r="AC39" s="94">
        <f t="shared" si="17"/>
        <v>2.1992424225218284E-3</v>
      </c>
      <c r="AD39" s="95">
        <f t="shared" si="18"/>
        <v>257575.29031877237</v>
      </c>
      <c r="AE39" s="100">
        <f t="shared" si="19"/>
        <v>3.9446868088797042E-2</v>
      </c>
      <c r="AF39" s="90">
        <v>33.061341562899202</v>
      </c>
      <c r="AG39" s="90">
        <v>32.678566665668797</v>
      </c>
      <c r="AH39" s="90"/>
      <c r="AI39" s="94">
        <f t="shared" si="20"/>
        <v>32.869954114283999</v>
      </c>
      <c r="AJ39" s="90">
        <f t="shared" si="21"/>
        <v>0.45777589040720157</v>
      </c>
      <c r="AK39" s="95">
        <f t="shared" si="22"/>
        <v>2.2888794520360078E-2</v>
      </c>
      <c r="AL39" s="90" t="s">
        <v>84</v>
      </c>
      <c r="AM39" s="90" t="s">
        <v>84</v>
      </c>
      <c r="AN39" s="90"/>
      <c r="AO39" s="94" t="e">
        <f t="shared" si="23"/>
        <v>#DIV/0!</v>
      </c>
      <c r="AP39" s="90" t="e">
        <f t="shared" si="24"/>
        <v>#DIV/0!</v>
      </c>
      <c r="AQ39" s="90" t="e">
        <f t="shared" si="25"/>
        <v>#DIV/0!</v>
      </c>
      <c r="AR39" s="95" t="e">
        <f t="shared" si="26"/>
        <v>#DIV/0!</v>
      </c>
      <c r="AS39" s="95" t="e">
        <f t="shared" si="27"/>
        <v>#DIV/0!</v>
      </c>
      <c r="AT39" s="95" t="e">
        <f t="shared" si="28"/>
        <v>#DIV/0!</v>
      </c>
      <c r="AU39" s="90"/>
      <c r="AV39" s="90" t="s">
        <v>67</v>
      </c>
    </row>
    <row r="40" spans="2:48" s="5" customFormat="1" ht="15" thickBot="1" x14ac:dyDescent="0.2">
      <c r="B40" s="8"/>
      <c r="C40" s="8"/>
      <c r="D40" s="17"/>
      <c r="E40" s="10" t="s">
        <v>75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20"/>
      <c r="R40" s="8"/>
      <c r="S40" s="8"/>
      <c r="T40" s="8"/>
      <c r="U40" s="10">
        <f t="shared" si="0"/>
        <v>0</v>
      </c>
      <c r="V40" s="8"/>
      <c r="W40" s="8"/>
      <c r="X40" s="8"/>
      <c r="Y40" s="75">
        <v>18.420000000000002</v>
      </c>
      <c r="Z40" s="76">
        <v>18.18</v>
      </c>
      <c r="AA40" s="8"/>
      <c r="AB40" s="18">
        <f t="shared" si="16"/>
        <v>18.3</v>
      </c>
      <c r="AC40" s="18">
        <f t="shared" si="17"/>
        <v>6.8691577422066086</v>
      </c>
      <c r="AD40" s="19">
        <f t="shared" si="18"/>
        <v>804515810.34229922</v>
      </c>
      <c r="AE40" s="77">
        <f t="shared" si="19"/>
        <v>123.20913627486809</v>
      </c>
      <c r="AF40" s="8"/>
      <c r="AG40" s="8"/>
      <c r="AH40" s="8"/>
      <c r="AI40" s="8"/>
      <c r="AJ40" s="8"/>
      <c r="AK40" s="50">
        <f t="shared" ref="AK40" si="29">(AJ40/5)*(50/50)</f>
        <v>0</v>
      </c>
      <c r="AL40" s="8"/>
      <c r="AM40" s="8"/>
      <c r="AN40" s="8"/>
      <c r="AO40" s="8"/>
      <c r="AP40" s="8"/>
      <c r="AQ40" s="8"/>
      <c r="AR40" s="50">
        <f t="shared" ref="AR40" si="30">(AQ40/5)*(50/50)</f>
        <v>0</v>
      </c>
      <c r="AS40" s="8"/>
      <c r="AT40" s="8"/>
      <c r="AU40" s="8"/>
      <c r="AV40" s="8"/>
    </row>
    <row r="41" spans="2:48" s="5" customFormat="1" x14ac:dyDescent="0.15">
      <c r="B41" s="8"/>
      <c r="C41" s="8"/>
      <c r="D41" s="17"/>
      <c r="E41" s="10"/>
      <c r="F41" s="10"/>
      <c r="G41" s="8"/>
      <c r="H41" s="8"/>
      <c r="I41" s="8"/>
      <c r="J41" s="8"/>
      <c r="K41" s="8"/>
      <c r="L41" s="8"/>
      <c r="M41" s="8"/>
      <c r="N41" s="8"/>
      <c r="O41" s="8"/>
      <c r="P41" s="8"/>
      <c r="Q41" s="20"/>
      <c r="R41" s="8"/>
      <c r="S41" s="8"/>
      <c r="T41" s="8"/>
      <c r="U41" s="10"/>
      <c r="V41" s="8"/>
      <c r="W41" s="8"/>
      <c r="X41" s="8"/>
      <c r="Y41" s="18"/>
      <c r="Z41" s="18"/>
      <c r="AA41" s="8"/>
      <c r="AB41" s="18"/>
      <c r="AC41" s="18"/>
      <c r="AD41" s="19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</row>
    <row r="42" spans="2:48" s="56" customFormat="1" ht="14" x14ac:dyDescent="0.15">
      <c r="B42" s="45" t="s">
        <v>54</v>
      </c>
      <c r="C42" s="45" t="s">
        <v>55</v>
      </c>
      <c r="D42" s="52">
        <v>44077</v>
      </c>
      <c r="E42" s="53" t="s">
        <v>57</v>
      </c>
      <c r="F42" s="54" t="s">
        <v>58</v>
      </c>
      <c r="G42" s="45" t="s">
        <v>59</v>
      </c>
      <c r="H42" s="45">
        <v>-20</v>
      </c>
      <c r="I42" s="45" t="s">
        <v>60</v>
      </c>
      <c r="J42" s="45" t="s">
        <v>61</v>
      </c>
      <c r="K42" s="45" t="s">
        <v>62</v>
      </c>
      <c r="L42" s="45" t="s">
        <v>63</v>
      </c>
      <c r="M42" s="45" t="s">
        <v>60</v>
      </c>
      <c r="N42" s="45">
        <v>50</v>
      </c>
      <c r="O42" s="45" t="s">
        <v>64</v>
      </c>
      <c r="P42" s="45" t="s">
        <v>65</v>
      </c>
      <c r="Q42" s="73" t="s">
        <v>76</v>
      </c>
      <c r="R42" s="45">
        <v>4</v>
      </c>
      <c r="S42" s="45">
        <v>190</v>
      </c>
      <c r="T42" s="45">
        <v>239568</v>
      </c>
      <c r="U42" s="53">
        <f>T42*1000000</f>
        <v>239568000000</v>
      </c>
      <c r="V42" s="45" t="s">
        <v>60</v>
      </c>
      <c r="W42" s="45" t="s">
        <v>66</v>
      </c>
      <c r="X42" s="45" t="s">
        <v>60</v>
      </c>
      <c r="Y42" s="74">
        <v>16.61</v>
      </c>
      <c r="Z42" s="74">
        <v>16.43</v>
      </c>
      <c r="AA42" s="45"/>
      <c r="AB42" s="49">
        <f t="shared" ref="AB42:AB49" si="31">AVERAGE(Y42:AA42)</f>
        <v>16.52</v>
      </c>
      <c r="AC42" s="49">
        <f t="shared" ref="AC42:AC49" si="32">EXP((AB42-21.179)/-1.494)</f>
        <v>22.61184526139651</v>
      </c>
      <c r="AD42" s="50">
        <f t="shared" ref="AD42:AD49" si="33">(AC42*(6.0221*10^23))/(15123*340*10^9)</f>
        <v>2648299499.956356</v>
      </c>
      <c r="AE42" s="49">
        <f>AD42*100/AD$50</f>
        <v>28.602577206490182</v>
      </c>
      <c r="AF42" s="45">
        <v>20.239999999999998</v>
      </c>
      <c r="AG42" s="45">
        <v>20.399999999999999</v>
      </c>
      <c r="AH42" s="45"/>
      <c r="AI42" s="49">
        <f t="shared" ref="AI42:AI49" si="34">AVERAGE(AF42:AH42)</f>
        <v>20.32</v>
      </c>
      <c r="AJ42" s="45">
        <f>EXP((AI42-31.794)/-1.377)</f>
        <v>4157.2418516018406</v>
      </c>
      <c r="AK42" s="50">
        <f>(AJ42/5)*(50/50)</f>
        <v>831.4483703203681</v>
      </c>
      <c r="AL42" s="45">
        <v>33.46</v>
      </c>
      <c r="AM42" s="45">
        <v>33.33</v>
      </c>
      <c r="AN42" s="45"/>
      <c r="AO42" s="49">
        <f>AVERAGE(AL42:AN42)</f>
        <v>33.394999999999996</v>
      </c>
      <c r="AP42" s="45">
        <f>EXP((AO42-15.746)/-1.512)</f>
        <v>8.5240494061750994E-6</v>
      </c>
      <c r="AQ42" s="45">
        <f>(AP42*(6.0221*10^23))/(29903*340*10^9)</f>
        <v>504.89403904907294</v>
      </c>
      <c r="AR42" s="50">
        <f>(AQ42/5)*(50/50)</f>
        <v>100.97880780981458</v>
      </c>
      <c r="AS42" s="50">
        <f>AR42/AK42</f>
        <v>0.12144928225778602</v>
      </c>
      <c r="AT42" s="50">
        <f>AS42*U42</f>
        <v>29095361651.933281</v>
      </c>
      <c r="AU42" s="45"/>
      <c r="AV42" s="45"/>
    </row>
    <row r="43" spans="2:48" s="56" customFormat="1" ht="14" x14ac:dyDescent="0.15">
      <c r="B43" s="45" t="s">
        <v>54</v>
      </c>
      <c r="C43" s="45" t="s">
        <v>55</v>
      </c>
      <c r="D43" s="52">
        <v>44080</v>
      </c>
      <c r="E43" s="53" t="s">
        <v>57</v>
      </c>
      <c r="F43" s="54" t="s">
        <v>58</v>
      </c>
      <c r="G43" s="45" t="s">
        <v>59</v>
      </c>
      <c r="H43" s="45">
        <v>-20</v>
      </c>
      <c r="I43" s="45" t="s">
        <v>60</v>
      </c>
      <c r="J43" s="45" t="s">
        <v>61</v>
      </c>
      <c r="K43" s="45" t="s">
        <v>62</v>
      </c>
      <c r="L43" s="45" t="s">
        <v>63</v>
      </c>
      <c r="M43" s="45" t="s">
        <v>60</v>
      </c>
      <c r="N43" s="45">
        <v>50</v>
      </c>
      <c r="O43" s="45" t="s">
        <v>64</v>
      </c>
      <c r="P43" s="45" t="s">
        <v>65</v>
      </c>
      <c r="Q43" s="73" t="s">
        <v>77</v>
      </c>
      <c r="R43" s="45">
        <v>4</v>
      </c>
      <c r="S43" s="45">
        <v>260</v>
      </c>
      <c r="T43" s="45">
        <v>188880</v>
      </c>
      <c r="U43" s="53">
        <f t="shared" si="0"/>
        <v>188880000000</v>
      </c>
      <c r="V43" s="45" t="s">
        <v>60</v>
      </c>
      <c r="W43" s="45" t="s">
        <v>66</v>
      </c>
      <c r="X43" s="45" t="s">
        <v>60</v>
      </c>
      <c r="Y43" s="74">
        <v>16.66</v>
      </c>
      <c r="Z43" s="74">
        <v>16.649999999999999</v>
      </c>
      <c r="AA43" s="45"/>
      <c r="AB43" s="49">
        <f t="shared" si="31"/>
        <v>16.655000000000001</v>
      </c>
      <c r="AC43" s="49">
        <f t="shared" si="32"/>
        <v>20.658202371195607</v>
      </c>
      <c r="AD43" s="50">
        <f t="shared" si="33"/>
        <v>2419488828.8500385</v>
      </c>
      <c r="AE43" s="49">
        <f t="shared" ref="AE43:AE50" si="35">AD43*100/AD$50</f>
        <v>26.131340518156726</v>
      </c>
      <c r="AF43" s="45">
        <v>18.559999999999999</v>
      </c>
      <c r="AG43" s="45">
        <v>18.940000000000001</v>
      </c>
      <c r="AH43" s="45"/>
      <c r="AI43" s="49">
        <f t="shared" si="34"/>
        <v>18.75</v>
      </c>
      <c r="AJ43" s="45">
        <f t="shared" ref="AJ43:AJ49" si="36">EXP((AI43-31.794)/-1.377)</f>
        <v>13000.809250329807</v>
      </c>
      <c r="AK43" s="50">
        <f t="shared" ref="AK43:AK106" si="37">(AJ43/5)*(50/50)</f>
        <v>2600.1618500659615</v>
      </c>
      <c r="AL43" s="45">
        <v>31.12</v>
      </c>
      <c r="AM43" s="45">
        <v>31.21</v>
      </c>
      <c r="AN43" s="45"/>
      <c r="AO43" s="49">
        <f t="shared" ref="AO43:AO49" si="38">AVERAGE(AL43:AN43)</f>
        <v>31.164999999999999</v>
      </c>
      <c r="AP43" s="45">
        <f t="shared" ref="AP43:AP49" si="39">EXP((AO43-15.746)/-1.512)</f>
        <v>3.725399678133435E-5</v>
      </c>
      <c r="AQ43" s="45">
        <f t="shared" ref="AQ43:AQ49" si="40">(AP43*(6.0221*10^23))/(29903*340*10^9)</f>
        <v>2206.6180062287035</v>
      </c>
      <c r="AR43" s="50">
        <f t="shared" ref="AR43:AR106" si="41">(AQ43/5)*(50/50)</f>
        <v>441.32360124574069</v>
      </c>
      <c r="AS43" s="50">
        <f t="shared" ref="AS43:AS49" si="42">AR43/AK43</f>
        <v>0.16972928098093013</v>
      </c>
      <c r="AT43" s="50">
        <f>AS43*U43</f>
        <v>32058466591.678082</v>
      </c>
      <c r="AU43" s="45"/>
      <c r="AV43" s="45"/>
    </row>
    <row r="44" spans="2:48" s="56" customFormat="1" ht="14" x14ac:dyDescent="0.15">
      <c r="B44" s="45" t="s">
        <v>54</v>
      </c>
      <c r="C44" s="45" t="s">
        <v>55</v>
      </c>
      <c r="D44" s="52">
        <v>44087</v>
      </c>
      <c r="E44" s="53" t="s">
        <v>57</v>
      </c>
      <c r="F44" s="54" t="s">
        <v>58</v>
      </c>
      <c r="G44" s="45" t="s">
        <v>59</v>
      </c>
      <c r="H44" s="45">
        <v>-20</v>
      </c>
      <c r="I44" s="45" t="s">
        <v>60</v>
      </c>
      <c r="J44" s="45" t="s">
        <v>61</v>
      </c>
      <c r="K44" s="45" t="s">
        <v>62</v>
      </c>
      <c r="L44" s="45" t="s">
        <v>63</v>
      </c>
      <c r="M44" s="45" t="s">
        <v>60</v>
      </c>
      <c r="N44" s="45">
        <v>50</v>
      </c>
      <c r="O44" s="45" t="s">
        <v>64</v>
      </c>
      <c r="P44" s="45" t="s">
        <v>65</v>
      </c>
      <c r="Q44" s="73" t="s">
        <v>78</v>
      </c>
      <c r="R44" s="45">
        <v>4</v>
      </c>
      <c r="S44" s="45">
        <v>330</v>
      </c>
      <c r="T44" s="45">
        <v>303552</v>
      </c>
      <c r="U44" s="53">
        <f t="shared" si="0"/>
        <v>303552000000</v>
      </c>
      <c r="V44" s="45" t="s">
        <v>60</v>
      </c>
      <c r="W44" s="45" t="s">
        <v>66</v>
      </c>
      <c r="X44" s="45" t="s">
        <v>60</v>
      </c>
      <c r="Y44" s="74">
        <v>17.600000000000001</v>
      </c>
      <c r="Z44" s="74">
        <v>17.829999999999998</v>
      </c>
      <c r="AA44" s="45"/>
      <c r="AB44" s="49">
        <f t="shared" si="31"/>
        <v>17.715</v>
      </c>
      <c r="AC44" s="49">
        <f t="shared" si="32"/>
        <v>10.161517227239157</v>
      </c>
      <c r="AD44" s="50">
        <f t="shared" si="33"/>
        <v>1190116979.8662131</v>
      </c>
      <c r="AE44" s="49">
        <f t="shared" si="35"/>
        <v>12.853686979867369</v>
      </c>
      <c r="AF44" s="45">
        <v>20.149999999999999</v>
      </c>
      <c r="AG44" s="45">
        <v>20.170000000000002</v>
      </c>
      <c r="AH44" s="45"/>
      <c r="AI44" s="49">
        <f t="shared" si="34"/>
        <v>20.16</v>
      </c>
      <c r="AJ44" s="45">
        <f t="shared" si="36"/>
        <v>4669.4741514454709</v>
      </c>
      <c r="AK44" s="50">
        <f t="shared" si="37"/>
        <v>933.89483028909422</v>
      </c>
      <c r="AL44" s="45">
        <v>32.21</v>
      </c>
      <c r="AM44" s="45">
        <v>33.08</v>
      </c>
      <c r="AN44" s="45"/>
      <c r="AO44" s="49">
        <f t="shared" si="38"/>
        <v>32.644999999999996</v>
      </c>
      <c r="AP44" s="45">
        <f t="shared" si="39"/>
        <v>1.3998123100487869E-5</v>
      </c>
      <c r="AQ44" s="45">
        <f t="shared" si="40"/>
        <v>829.13279528758653</v>
      </c>
      <c r="AR44" s="50">
        <f t="shared" si="41"/>
        <v>165.8265590575173</v>
      </c>
      <c r="AS44" s="50">
        <f t="shared" si="42"/>
        <v>0.17756448978969552</v>
      </c>
      <c r="AT44" s="50">
        <f t="shared" ref="AT44:AT49" si="43">AS44*U44</f>
        <v>53900056004.641655</v>
      </c>
      <c r="AU44" s="45"/>
      <c r="AV44" s="45"/>
    </row>
    <row r="45" spans="2:48" s="56" customFormat="1" ht="14" x14ac:dyDescent="0.15">
      <c r="B45" s="45" t="s">
        <v>54</v>
      </c>
      <c r="C45" s="45" t="s">
        <v>55</v>
      </c>
      <c r="D45" s="52">
        <v>44090</v>
      </c>
      <c r="E45" s="53" t="s">
        <v>57</v>
      </c>
      <c r="F45" s="54" t="s">
        <v>58</v>
      </c>
      <c r="G45" s="45" t="s">
        <v>59</v>
      </c>
      <c r="H45" s="45">
        <v>-20</v>
      </c>
      <c r="I45" s="45" t="s">
        <v>60</v>
      </c>
      <c r="J45" s="45" t="s">
        <v>61</v>
      </c>
      <c r="K45" s="45" t="s">
        <v>62</v>
      </c>
      <c r="L45" s="45" t="s">
        <v>63</v>
      </c>
      <c r="M45" s="45" t="s">
        <v>60</v>
      </c>
      <c r="N45" s="45">
        <v>50</v>
      </c>
      <c r="O45" s="45" t="s">
        <v>64</v>
      </c>
      <c r="P45" s="45" t="s">
        <v>65</v>
      </c>
      <c r="Q45" s="73" t="s">
        <v>79</v>
      </c>
      <c r="R45" s="45">
        <v>4</v>
      </c>
      <c r="S45" s="45">
        <v>250</v>
      </c>
      <c r="T45" s="45">
        <v>188736</v>
      </c>
      <c r="U45" s="53">
        <f t="shared" si="0"/>
        <v>188736000000</v>
      </c>
      <c r="V45" s="45" t="s">
        <v>60</v>
      </c>
      <c r="W45" s="45" t="s">
        <v>66</v>
      </c>
      <c r="X45" s="45" t="s">
        <v>60</v>
      </c>
      <c r="Y45" s="74">
        <v>17.190000000000001</v>
      </c>
      <c r="Z45" s="74">
        <v>17.45</v>
      </c>
      <c r="AA45" s="45"/>
      <c r="AB45" s="49">
        <f t="shared" si="31"/>
        <v>17.32</v>
      </c>
      <c r="AC45" s="49">
        <f t="shared" si="32"/>
        <v>13.23677130077083</v>
      </c>
      <c r="AD45" s="50">
        <f t="shared" si="33"/>
        <v>1550290761.8386486</v>
      </c>
      <c r="AE45" s="49">
        <f t="shared" si="35"/>
        <v>16.743692021513876</v>
      </c>
      <c r="AF45" s="45">
        <v>19.95</v>
      </c>
      <c r="AG45" s="45">
        <v>20.079999999999998</v>
      </c>
      <c r="AH45" s="45"/>
      <c r="AI45" s="49">
        <f t="shared" si="34"/>
        <v>20.015000000000001</v>
      </c>
      <c r="AJ45" s="45">
        <f t="shared" si="36"/>
        <v>5187.9978070029765</v>
      </c>
      <c r="AK45" s="50">
        <f t="shared" si="37"/>
        <v>1037.5995614005953</v>
      </c>
      <c r="AL45" s="45">
        <v>32.14</v>
      </c>
      <c r="AM45" s="45">
        <v>32.04</v>
      </c>
      <c r="AN45" s="45"/>
      <c r="AO45" s="49">
        <f t="shared" si="38"/>
        <v>32.090000000000003</v>
      </c>
      <c r="AP45" s="45">
        <f t="shared" si="39"/>
        <v>2.0206144643853772E-5</v>
      </c>
      <c r="AQ45" s="45">
        <f t="shared" si="40"/>
        <v>1196.8445391053799</v>
      </c>
      <c r="AR45" s="50">
        <f t="shared" si="41"/>
        <v>239.36890782107599</v>
      </c>
      <c r="AS45" s="50">
        <f t="shared" si="42"/>
        <v>0.23069488146078804</v>
      </c>
      <c r="AT45" s="50">
        <f t="shared" si="43"/>
        <v>43540429147.383293</v>
      </c>
      <c r="AU45" s="45"/>
      <c r="AV45" s="45"/>
    </row>
    <row r="46" spans="2:48" s="56" customFormat="1" ht="14" x14ac:dyDescent="0.15">
      <c r="B46" s="45" t="s">
        <v>54</v>
      </c>
      <c r="C46" s="45" t="s">
        <v>55</v>
      </c>
      <c r="D46" s="52">
        <v>44098</v>
      </c>
      <c r="E46" s="53" t="s">
        <v>57</v>
      </c>
      <c r="F46" s="54" t="s">
        <v>58</v>
      </c>
      <c r="G46" s="45" t="s">
        <v>59</v>
      </c>
      <c r="H46" s="45">
        <v>-20</v>
      </c>
      <c r="I46" s="45" t="s">
        <v>60</v>
      </c>
      <c r="J46" s="45" t="s">
        <v>61</v>
      </c>
      <c r="K46" s="45" t="s">
        <v>62</v>
      </c>
      <c r="L46" s="45" t="s">
        <v>63</v>
      </c>
      <c r="M46" s="45" t="s">
        <v>60</v>
      </c>
      <c r="N46" s="45">
        <v>50</v>
      </c>
      <c r="O46" s="45" t="s">
        <v>64</v>
      </c>
      <c r="P46" s="45" t="s">
        <v>65</v>
      </c>
      <c r="Q46" s="73" t="s">
        <v>80</v>
      </c>
      <c r="R46" s="45">
        <v>4</v>
      </c>
      <c r="S46" s="45">
        <v>260</v>
      </c>
      <c r="T46" s="45">
        <v>185736</v>
      </c>
      <c r="U46" s="53">
        <f t="shared" si="0"/>
        <v>185736000000</v>
      </c>
      <c r="V46" s="45" t="s">
        <v>60</v>
      </c>
      <c r="W46" s="45" t="s">
        <v>66</v>
      </c>
      <c r="X46" s="45" t="s">
        <v>60</v>
      </c>
      <c r="Y46" s="49">
        <v>17.53</v>
      </c>
      <c r="Z46" s="49">
        <v>17.399999999999999</v>
      </c>
      <c r="AA46" s="45"/>
      <c r="AB46" s="49">
        <f t="shared" si="31"/>
        <v>17.465</v>
      </c>
      <c r="AC46" s="49">
        <f t="shared" si="32"/>
        <v>12.012451959753987</v>
      </c>
      <c r="AD46" s="50">
        <f t="shared" si="33"/>
        <v>1406898470.7133753</v>
      </c>
      <c r="AE46" s="49">
        <f t="shared" si="35"/>
        <v>15.195004239866165</v>
      </c>
      <c r="AF46" s="45">
        <v>19.68</v>
      </c>
      <c r="AG46" s="45">
        <v>19.690000000000001</v>
      </c>
      <c r="AH46" s="45"/>
      <c r="AI46" s="49">
        <f t="shared" si="34"/>
        <v>19.685000000000002</v>
      </c>
      <c r="AJ46" s="45">
        <f t="shared" si="36"/>
        <v>6592.9392111012985</v>
      </c>
      <c r="AK46" s="50">
        <f t="shared" si="37"/>
        <v>1318.5878422202597</v>
      </c>
      <c r="AL46" s="45">
        <v>31.89</v>
      </c>
      <c r="AM46" s="45">
        <v>32.24</v>
      </c>
      <c r="AN46" s="45"/>
      <c r="AO46" s="49">
        <f t="shared" si="38"/>
        <v>32.064999999999998</v>
      </c>
      <c r="AP46" s="45">
        <f t="shared" si="39"/>
        <v>2.0543018276385664E-5</v>
      </c>
      <c r="AQ46" s="45">
        <f t="shared" si="40"/>
        <v>1216.7981410700688</v>
      </c>
      <c r="AR46" s="50">
        <f t="shared" si="41"/>
        <v>243.35962821401375</v>
      </c>
      <c r="AS46" s="50">
        <f t="shared" si="42"/>
        <v>0.18456080089760332</v>
      </c>
      <c r="AT46" s="50">
        <f t="shared" si="43"/>
        <v>34279584915.51725</v>
      </c>
      <c r="AU46" s="45"/>
      <c r="AV46" s="45"/>
    </row>
    <row r="47" spans="2:48" s="64" customFormat="1" ht="14" x14ac:dyDescent="0.15">
      <c r="B47" s="57" t="s">
        <v>54</v>
      </c>
      <c r="C47" s="57" t="s">
        <v>82</v>
      </c>
      <c r="D47" s="58">
        <v>44077</v>
      </c>
      <c r="E47" s="59" t="s">
        <v>57</v>
      </c>
      <c r="F47" s="60" t="s">
        <v>58</v>
      </c>
      <c r="G47" s="57" t="s">
        <v>59</v>
      </c>
      <c r="H47" s="57">
        <v>-20</v>
      </c>
      <c r="I47" s="57" t="s">
        <v>60</v>
      </c>
      <c r="J47" s="57" t="s">
        <v>61</v>
      </c>
      <c r="K47" s="57" t="s">
        <v>62</v>
      </c>
      <c r="L47" s="57" t="s">
        <v>63</v>
      </c>
      <c r="M47" s="57" t="s">
        <v>60</v>
      </c>
      <c r="N47" s="57">
        <v>50</v>
      </c>
      <c r="O47" s="57" t="s">
        <v>64</v>
      </c>
      <c r="P47" s="57" t="s">
        <v>65</v>
      </c>
      <c r="Q47" s="61" t="s">
        <v>79</v>
      </c>
      <c r="R47" s="57">
        <v>4</v>
      </c>
      <c r="S47" s="57" t="s">
        <v>60</v>
      </c>
      <c r="T47" s="57">
        <v>185304</v>
      </c>
      <c r="U47" s="59">
        <f t="shared" si="0"/>
        <v>185304000000</v>
      </c>
      <c r="V47" s="57" t="s">
        <v>60</v>
      </c>
      <c r="W47" s="57" t="s">
        <v>66</v>
      </c>
      <c r="X47" s="57" t="s">
        <v>60</v>
      </c>
      <c r="Y47" s="62">
        <v>17.72</v>
      </c>
      <c r="Z47" s="62">
        <v>17.690000000000001</v>
      </c>
      <c r="AA47" s="57"/>
      <c r="AB47" s="62">
        <f t="shared" si="31"/>
        <v>17.704999999999998</v>
      </c>
      <c r="AC47" s="62">
        <f t="shared" si="32"/>
        <v>10.229760875069042</v>
      </c>
      <c r="AD47" s="63">
        <f t="shared" si="33"/>
        <v>1198109676.4521759</v>
      </c>
      <c r="AE47" s="62">
        <f t="shared" si="35"/>
        <v>12.940010947829384</v>
      </c>
      <c r="AF47" s="57">
        <v>20.52</v>
      </c>
      <c r="AG47" s="57">
        <v>20.66</v>
      </c>
      <c r="AH47" s="57"/>
      <c r="AI47" s="62">
        <f t="shared" si="34"/>
        <v>20.59</v>
      </c>
      <c r="AJ47" s="57">
        <f t="shared" si="36"/>
        <v>3417.0356512265503</v>
      </c>
      <c r="AK47" s="63">
        <f t="shared" si="37"/>
        <v>683.4071302453101</v>
      </c>
      <c r="AL47" s="57">
        <v>34.020000000000003</v>
      </c>
      <c r="AM47" s="57">
        <v>34.090000000000003</v>
      </c>
      <c r="AN47" s="57"/>
      <c r="AO47" s="62">
        <f t="shared" si="38"/>
        <v>34.055000000000007</v>
      </c>
      <c r="AP47" s="57">
        <f t="shared" si="39"/>
        <v>5.509002508505579E-6</v>
      </c>
      <c r="AQ47" s="57">
        <f t="shared" si="40"/>
        <v>326.30764969943448</v>
      </c>
      <c r="AR47" s="63">
        <f t="shared" si="41"/>
        <v>65.261529939886898</v>
      </c>
      <c r="AS47" s="63">
        <f t="shared" si="42"/>
        <v>9.5494365000934611E-2</v>
      </c>
      <c r="AT47" s="63">
        <f t="shared" si="43"/>
        <v>17695487812.133186</v>
      </c>
      <c r="AU47" s="57"/>
      <c r="AV47" s="57"/>
    </row>
    <row r="48" spans="2:48" s="64" customFormat="1" ht="14" x14ac:dyDescent="0.15">
      <c r="B48" s="57" t="s">
        <v>54</v>
      </c>
      <c r="C48" s="57" t="s">
        <v>82</v>
      </c>
      <c r="D48" s="58">
        <v>44087</v>
      </c>
      <c r="E48" s="59" t="s">
        <v>57</v>
      </c>
      <c r="F48" s="60" t="s">
        <v>58</v>
      </c>
      <c r="G48" s="57" t="s">
        <v>59</v>
      </c>
      <c r="H48" s="57">
        <v>-20</v>
      </c>
      <c r="I48" s="57" t="s">
        <v>60</v>
      </c>
      <c r="J48" s="57" t="s">
        <v>61</v>
      </c>
      <c r="K48" s="57" t="s">
        <v>62</v>
      </c>
      <c r="L48" s="57" t="s">
        <v>63</v>
      </c>
      <c r="M48" s="57" t="s">
        <v>60</v>
      </c>
      <c r="N48" s="57">
        <v>50</v>
      </c>
      <c r="O48" s="57" t="s">
        <v>64</v>
      </c>
      <c r="P48" s="57" t="s">
        <v>65</v>
      </c>
      <c r="Q48" s="61" t="s">
        <v>81</v>
      </c>
      <c r="R48" s="57">
        <v>4</v>
      </c>
      <c r="S48" s="57">
        <v>230</v>
      </c>
      <c r="T48" s="57">
        <v>220776</v>
      </c>
      <c r="U48" s="59">
        <f t="shared" si="0"/>
        <v>220776000000</v>
      </c>
      <c r="V48" s="57" t="s">
        <v>60</v>
      </c>
      <c r="W48" s="57" t="s">
        <v>66</v>
      </c>
      <c r="X48" s="57" t="s">
        <v>60</v>
      </c>
      <c r="Y48" s="62">
        <v>18.190000000000001</v>
      </c>
      <c r="Z48" s="62">
        <v>18.079999999999998</v>
      </c>
      <c r="AA48" s="57"/>
      <c r="AB48" s="62">
        <f t="shared" si="31"/>
        <v>18.134999999999998</v>
      </c>
      <c r="AC48" s="62">
        <f t="shared" si="32"/>
        <v>7.671278319835289</v>
      </c>
      <c r="AD48" s="63">
        <f t="shared" si="33"/>
        <v>898460178.88374329</v>
      </c>
      <c r="AE48" s="62">
        <f t="shared" si="35"/>
        <v>9.7036897201025614</v>
      </c>
      <c r="AF48" s="57">
        <v>20.45</v>
      </c>
      <c r="AG48" s="57">
        <v>20.25</v>
      </c>
      <c r="AH48" s="57"/>
      <c r="AI48" s="62">
        <f t="shared" si="34"/>
        <v>20.350000000000001</v>
      </c>
      <c r="AJ48" s="57">
        <f t="shared" si="36"/>
        <v>4067.649627581799</v>
      </c>
      <c r="AK48" s="63">
        <f t="shared" si="37"/>
        <v>813.52992551635975</v>
      </c>
      <c r="AL48" s="57">
        <v>33.74</v>
      </c>
      <c r="AM48" s="57">
        <v>34.61</v>
      </c>
      <c r="AN48" s="57"/>
      <c r="AO48" s="62">
        <f t="shared" si="38"/>
        <v>34.174999999999997</v>
      </c>
      <c r="AP48" s="57">
        <f t="shared" si="39"/>
        <v>5.0886801504505041E-6</v>
      </c>
      <c r="AQ48" s="57">
        <f t="shared" si="40"/>
        <v>301.41123686220715</v>
      </c>
      <c r="AR48" s="63">
        <f t="shared" si="41"/>
        <v>60.282247372441432</v>
      </c>
      <c r="AS48" s="63">
        <f t="shared" si="42"/>
        <v>7.4099606519304598E-2</v>
      </c>
      <c r="AT48" s="63">
        <f t="shared" si="43"/>
        <v>16359414728.905993</v>
      </c>
      <c r="AU48" s="57"/>
      <c r="AV48" s="57"/>
    </row>
    <row r="49" spans="2:48" s="64" customFormat="1" ht="14" x14ac:dyDescent="0.15">
      <c r="B49" s="57" t="s">
        <v>54</v>
      </c>
      <c r="C49" s="57" t="s">
        <v>82</v>
      </c>
      <c r="D49" s="58">
        <v>44098</v>
      </c>
      <c r="E49" s="59" t="s">
        <v>57</v>
      </c>
      <c r="F49" s="60" t="s">
        <v>58</v>
      </c>
      <c r="G49" s="57" t="s">
        <v>59</v>
      </c>
      <c r="H49" s="57">
        <v>-20</v>
      </c>
      <c r="I49" s="57" t="s">
        <v>60</v>
      </c>
      <c r="J49" s="57" t="s">
        <v>61</v>
      </c>
      <c r="K49" s="57" t="s">
        <v>62</v>
      </c>
      <c r="L49" s="57" t="s">
        <v>63</v>
      </c>
      <c r="M49" s="57" t="s">
        <v>60</v>
      </c>
      <c r="N49" s="57">
        <v>50</v>
      </c>
      <c r="O49" s="57" t="s">
        <v>64</v>
      </c>
      <c r="P49" s="57" t="s">
        <v>65</v>
      </c>
      <c r="Q49" s="61" t="s">
        <v>83</v>
      </c>
      <c r="R49" s="57">
        <v>4</v>
      </c>
      <c r="S49" s="57">
        <v>290</v>
      </c>
      <c r="T49" s="57">
        <v>135072</v>
      </c>
      <c r="U49" s="59">
        <f t="shared" si="0"/>
        <v>135072000000</v>
      </c>
      <c r="V49" s="57" t="s">
        <v>60</v>
      </c>
      <c r="W49" s="57" t="s">
        <v>66</v>
      </c>
      <c r="X49" s="57" t="s">
        <v>60</v>
      </c>
      <c r="Y49" s="62">
        <v>17.91</v>
      </c>
      <c r="Z49" s="62">
        <v>17.760000000000002</v>
      </c>
      <c r="AA49" s="57"/>
      <c r="AB49" s="62">
        <f t="shared" si="31"/>
        <v>17.835000000000001</v>
      </c>
      <c r="AC49" s="62">
        <f t="shared" si="32"/>
        <v>9.377249401630678</v>
      </c>
      <c r="AD49" s="63">
        <f t="shared" si="33"/>
        <v>1098263525.7858133</v>
      </c>
      <c r="AE49" s="62">
        <f t="shared" si="35"/>
        <v>11.861636982478203</v>
      </c>
      <c r="AF49" s="57">
        <v>20.54</v>
      </c>
      <c r="AG49" s="57">
        <v>20.11</v>
      </c>
      <c r="AH49" s="57"/>
      <c r="AI49" s="62">
        <f t="shared" si="34"/>
        <v>20.324999999999999</v>
      </c>
      <c r="AJ49" s="57">
        <f t="shared" si="36"/>
        <v>4142.1739382557043</v>
      </c>
      <c r="AK49" s="63">
        <f t="shared" si="37"/>
        <v>828.43478765114082</v>
      </c>
      <c r="AL49" s="57">
        <v>32.29</v>
      </c>
      <c r="AM49" s="57">
        <v>33.11</v>
      </c>
      <c r="AN49" s="57"/>
      <c r="AO49" s="62">
        <f t="shared" si="38"/>
        <v>32.700000000000003</v>
      </c>
      <c r="AP49" s="57">
        <f t="shared" si="39"/>
        <v>1.349808191529249E-5</v>
      </c>
      <c r="AQ49" s="57">
        <f t="shared" si="40"/>
        <v>799.51449984442741</v>
      </c>
      <c r="AR49" s="63">
        <f t="shared" si="41"/>
        <v>159.90289996888549</v>
      </c>
      <c r="AS49" s="63">
        <f t="shared" si="42"/>
        <v>0.19301808947721499</v>
      </c>
      <c r="AT49" s="63">
        <f t="shared" si="43"/>
        <v>26071339381.866383</v>
      </c>
      <c r="AU49" s="57"/>
      <c r="AV49" s="57"/>
    </row>
    <row r="50" spans="2:48" s="5" customFormat="1" x14ac:dyDescent="0.15">
      <c r="B50" s="8"/>
      <c r="C50" s="8"/>
      <c r="D50" s="17"/>
      <c r="E50" s="10" t="s">
        <v>75</v>
      </c>
      <c r="F50" s="10"/>
      <c r="G50" s="8"/>
      <c r="H50" s="8"/>
      <c r="I50" s="8"/>
      <c r="J50" s="8"/>
      <c r="K50" s="8"/>
      <c r="L50" s="8"/>
      <c r="M50" s="8"/>
      <c r="N50" s="8"/>
      <c r="O50" s="8"/>
      <c r="P50" s="8"/>
      <c r="Q50" s="20"/>
      <c r="R50" s="8"/>
      <c r="S50" s="8"/>
      <c r="T50" s="8"/>
      <c r="U50" s="10"/>
      <c r="V50" s="8"/>
      <c r="W50" s="8"/>
      <c r="X50" s="8"/>
      <c r="Y50" s="18">
        <v>14.7</v>
      </c>
      <c r="Z50" s="18">
        <v>14.6</v>
      </c>
      <c r="AA50" s="8"/>
      <c r="AB50" s="18">
        <f t="shared" ref="AB50" si="44">AVERAGE(Y50:AA50)</f>
        <v>14.649999999999999</v>
      </c>
      <c r="AC50" s="18">
        <f t="shared" ref="AC50" si="45">EXP((AB50-21.179)/-1.494)</f>
        <v>79.055272181087517</v>
      </c>
      <c r="AD50" s="19">
        <f t="shared" ref="AD50" si="46">(AC50*(6.0221*10^23))/(15123*340*10^9)</f>
        <v>9258954117.4472675</v>
      </c>
      <c r="AE50" s="49">
        <f t="shared" si="35"/>
        <v>100</v>
      </c>
      <c r="AF50" s="8"/>
      <c r="AG50" s="8"/>
      <c r="AH50" s="8"/>
      <c r="AI50" s="8"/>
      <c r="AJ50" s="8"/>
      <c r="AK50" s="50">
        <f t="shared" si="37"/>
        <v>0</v>
      </c>
      <c r="AL50" s="8"/>
      <c r="AM50" s="8"/>
      <c r="AN50" s="8"/>
      <c r="AO50" s="8"/>
      <c r="AP50" s="8"/>
      <c r="AQ50" s="8"/>
      <c r="AR50" s="50">
        <f t="shared" si="41"/>
        <v>0</v>
      </c>
      <c r="AS50" s="8"/>
      <c r="AT50" s="8"/>
      <c r="AU50" s="8"/>
      <c r="AV50" s="8"/>
    </row>
    <row r="51" spans="2:48" s="5" customFormat="1" x14ac:dyDescent="0.15">
      <c r="B51" s="8"/>
      <c r="C51" s="8"/>
      <c r="D51" s="17"/>
      <c r="E51" s="10"/>
      <c r="F51" s="10"/>
      <c r="G51" s="8"/>
      <c r="H51" s="8"/>
      <c r="I51" s="8"/>
      <c r="J51" s="8"/>
      <c r="K51" s="8"/>
      <c r="L51" s="8"/>
      <c r="M51" s="8"/>
      <c r="N51" s="8"/>
      <c r="O51" s="8"/>
      <c r="P51" s="8"/>
      <c r="Q51" s="20"/>
      <c r="R51" s="8"/>
      <c r="S51" s="8"/>
      <c r="T51" s="8"/>
      <c r="U51" s="10"/>
      <c r="V51" s="8"/>
      <c r="W51" s="8"/>
      <c r="X51" s="8"/>
      <c r="Y51" s="18"/>
      <c r="Z51" s="18"/>
      <c r="AA51" s="8"/>
      <c r="AB51" s="18"/>
      <c r="AC51" s="18"/>
      <c r="AD51" s="19"/>
      <c r="AE51" s="8"/>
      <c r="AF51" s="8"/>
      <c r="AG51" s="8"/>
      <c r="AH51" s="8"/>
      <c r="AI51" s="8"/>
      <c r="AJ51" s="8"/>
      <c r="AK51" s="50">
        <f t="shared" si="37"/>
        <v>0</v>
      </c>
      <c r="AL51" s="8"/>
      <c r="AM51" s="8"/>
      <c r="AN51" s="8"/>
      <c r="AO51" s="8"/>
      <c r="AP51" s="8"/>
      <c r="AQ51" s="8"/>
      <c r="AR51" s="50">
        <f t="shared" si="41"/>
        <v>0</v>
      </c>
      <c r="AS51" s="8"/>
      <c r="AT51" s="8"/>
      <c r="AU51" s="8"/>
      <c r="AV51" s="8"/>
    </row>
    <row r="52" spans="2:48" s="56" customFormat="1" ht="14" x14ac:dyDescent="0.15">
      <c r="B52" s="45" t="s">
        <v>54</v>
      </c>
      <c r="C52" s="45" t="s">
        <v>55</v>
      </c>
      <c r="D52" s="52">
        <v>44063</v>
      </c>
      <c r="E52" s="53" t="s">
        <v>57</v>
      </c>
      <c r="F52" s="54" t="s">
        <v>58</v>
      </c>
      <c r="G52" s="45" t="s">
        <v>59</v>
      </c>
      <c r="H52" s="45">
        <v>-20</v>
      </c>
      <c r="I52" s="45" t="s">
        <v>60</v>
      </c>
      <c r="J52" s="45" t="s">
        <v>61</v>
      </c>
      <c r="K52" s="45" t="s">
        <v>62</v>
      </c>
      <c r="L52" s="45" t="s">
        <v>63</v>
      </c>
      <c r="M52" s="45" t="s">
        <v>60</v>
      </c>
      <c r="N52" s="45">
        <v>50</v>
      </c>
      <c r="O52" s="45" t="s">
        <v>64</v>
      </c>
      <c r="P52" s="45" t="s">
        <v>65</v>
      </c>
      <c r="Q52" s="73" t="s">
        <v>76</v>
      </c>
      <c r="R52" s="45">
        <v>4</v>
      </c>
      <c r="S52" s="45">
        <v>660</v>
      </c>
      <c r="T52" s="45">
        <v>197664</v>
      </c>
      <c r="U52" s="53">
        <f>T52*1000000</f>
        <v>197664000000</v>
      </c>
      <c r="V52" s="45" t="s">
        <v>60</v>
      </c>
      <c r="W52" s="45" t="s">
        <v>66</v>
      </c>
      <c r="X52" s="45" t="s">
        <v>60</v>
      </c>
      <c r="Y52" s="74">
        <v>20.8211017191352</v>
      </c>
      <c r="Z52" s="74">
        <v>20.781973539147501</v>
      </c>
      <c r="AA52" s="45"/>
      <c r="AB52" s="49">
        <f t="shared" ref="AB52:AB59" si="47">AVERAGE(Y52:AA52)</f>
        <v>20.80153762914135</v>
      </c>
      <c r="AC52" s="49">
        <f t="shared" ref="AC52:AC59" si="48">EXP((AB52-21.179)/-1.494)</f>
        <v>1.2874354151789584</v>
      </c>
      <c r="AD52" s="50">
        <f t="shared" ref="AD52:AD59" si="49">(AC52*(6.0221*10^23))/(15123*340*10^9)</f>
        <v>150784446.24178219</v>
      </c>
      <c r="AE52" s="77">
        <f>AD52*100/AD$62</f>
        <v>23.092176867512187</v>
      </c>
      <c r="AF52" s="45">
        <v>20.8220016328169</v>
      </c>
      <c r="AG52" s="45">
        <v>20.466638310152302</v>
      </c>
      <c r="AH52" s="45"/>
      <c r="AI52" s="49">
        <f t="shared" ref="AI52" si="50">AVERAGE(AF52:AH52)</f>
        <v>20.644319971484599</v>
      </c>
      <c r="AJ52" s="45">
        <f>EXP((AI52-31.794)/-1.377)</f>
        <v>3284.8643316821222</v>
      </c>
      <c r="AK52" s="50">
        <f t="shared" si="37"/>
        <v>656.97286633642443</v>
      </c>
      <c r="AL52" s="45">
        <v>38.793462639891402</v>
      </c>
      <c r="AM52" s="45">
        <v>36.524770427854598</v>
      </c>
      <c r="AN52" s="45"/>
      <c r="AO52" s="49">
        <f>AVERAGE(AL52:AN52)</f>
        <v>37.659116533873004</v>
      </c>
      <c r="AP52" s="45">
        <f>EXP((AO52-15.746)/-1.512)</f>
        <v>5.0799108415791373E-7</v>
      </c>
      <c r="AQ52" s="45">
        <f>(AP52*(6.0221*10^23))/(29903*340*10^9)</f>
        <v>30.089181568516363</v>
      </c>
      <c r="AR52" s="50">
        <f t="shared" si="41"/>
        <v>6.0178363137032722</v>
      </c>
      <c r="AS52" s="50">
        <f>AR52/AK52</f>
        <v>9.159946509300191E-3</v>
      </c>
      <c r="AT52" s="50">
        <f>AS52*U52</f>
        <v>1810591666.8143129</v>
      </c>
      <c r="AU52" s="45"/>
      <c r="AV52" s="45"/>
    </row>
    <row r="53" spans="2:48" s="86" customFormat="1" ht="14" x14ac:dyDescent="0.15">
      <c r="B53" s="90" t="s">
        <v>54</v>
      </c>
      <c r="C53" s="90" t="s">
        <v>55</v>
      </c>
      <c r="D53" s="96">
        <v>44071</v>
      </c>
      <c r="E53" s="87" t="s">
        <v>57</v>
      </c>
      <c r="F53" s="89" t="s">
        <v>58</v>
      </c>
      <c r="G53" s="90" t="s">
        <v>59</v>
      </c>
      <c r="H53" s="90">
        <v>-20</v>
      </c>
      <c r="I53" s="90" t="s">
        <v>60</v>
      </c>
      <c r="J53" s="90" t="s">
        <v>61</v>
      </c>
      <c r="K53" s="90" t="s">
        <v>62</v>
      </c>
      <c r="L53" s="90" t="s">
        <v>63</v>
      </c>
      <c r="M53" s="90" t="s">
        <v>60</v>
      </c>
      <c r="N53" s="90">
        <v>50</v>
      </c>
      <c r="O53" s="90" t="s">
        <v>64</v>
      </c>
      <c r="P53" s="90" t="s">
        <v>65</v>
      </c>
      <c r="Q53" s="97" t="s">
        <v>77</v>
      </c>
      <c r="R53" s="90">
        <v>4</v>
      </c>
      <c r="S53" s="90">
        <v>300</v>
      </c>
      <c r="T53" s="90">
        <v>183600</v>
      </c>
      <c r="U53" s="87">
        <f t="shared" si="0"/>
        <v>183600000000</v>
      </c>
      <c r="V53" s="90" t="s">
        <v>60</v>
      </c>
      <c r="W53" s="90" t="s">
        <v>66</v>
      </c>
      <c r="X53" s="90" t="s">
        <v>60</v>
      </c>
      <c r="Y53" s="98">
        <v>22.1221366938661</v>
      </c>
      <c r="Z53" s="98">
        <v>21.999623980589298</v>
      </c>
      <c r="AA53" s="90"/>
      <c r="AB53" s="94">
        <f t="shared" si="47"/>
        <v>22.060880337227701</v>
      </c>
      <c r="AC53" s="94">
        <f t="shared" si="48"/>
        <v>0.55417134656900491</v>
      </c>
      <c r="AD53" s="95">
        <f t="shared" si="49"/>
        <v>64904552.593696482</v>
      </c>
      <c r="AE53" s="100">
        <f t="shared" ref="AE53:AE62" si="51">AD53*100/AD$62</f>
        <v>9.9399337621142099</v>
      </c>
      <c r="AF53" s="90">
        <v>22.696866216238298</v>
      </c>
      <c r="AG53" s="90">
        <v>22.5520130933951</v>
      </c>
      <c r="AH53" s="90"/>
      <c r="AI53" s="94">
        <f t="shared" ref="AI53:AI61" si="52">AVERAGE(AF53:AH53)</f>
        <v>22.624439654816697</v>
      </c>
      <c r="AJ53" s="90">
        <f t="shared" ref="AJ53:AJ61" si="53">EXP((AI53-31.794)/-1.377)</f>
        <v>779.83722967104666</v>
      </c>
      <c r="AK53" s="95">
        <f t="shared" si="37"/>
        <v>155.96744593420934</v>
      </c>
      <c r="AL53" s="90"/>
      <c r="AM53" s="90"/>
      <c r="AN53" s="90"/>
      <c r="AO53" s="94" t="e">
        <f t="shared" ref="AO53:AO61" si="54">AVERAGE(AL53:AN53)</f>
        <v>#DIV/0!</v>
      </c>
      <c r="AP53" s="90" t="e">
        <f t="shared" ref="AP53:AP61" si="55">EXP((AO53-15.746)/-1.512)</f>
        <v>#DIV/0!</v>
      </c>
      <c r="AQ53" s="90" t="e">
        <f t="shared" ref="AQ53:AQ61" si="56">(AP53*(6.0221*10^23))/(29903*340*10^9)</f>
        <v>#DIV/0!</v>
      </c>
      <c r="AR53" s="95" t="e">
        <f t="shared" si="41"/>
        <v>#DIV/0!</v>
      </c>
      <c r="AS53" s="95" t="e">
        <f t="shared" ref="AS53:AS61" si="57">AR53/AK53</f>
        <v>#DIV/0!</v>
      </c>
      <c r="AT53" s="95" t="e">
        <f t="shared" ref="AT53:AT61" si="58">AS53*U53</f>
        <v>#DIV/0!</v>
      </c>
      <c r="AU53" s="90"/>
      <c r="AV53" s="90" t="s">
        <v>87</v>
      </c>
    </row>
    <row r="54" spans="2:48" s="56" customFormat="1" ht="14" x14ac:dyDescent="0.15">
      <c r="B54" s="45" t="s">
        <v>54</v>
      </c>
      <c r="C54" s="45" t="s">
        <v>55</v>
      </c>
      <c r="D54" s="52">
        <v>44083</v>
      </c>
      <c r="E54" s="53" t="s">
        <v>57</v>
      </c>
      <c r="F54" s="54" t="s">
        <v>58</v>
      </c>
      <c r="G54" s="45" t="s">
        <v>59</v>
      </c>
      <c r="H54" s="45">
        <v>-20</v>
      </c>
      <c r="I54" s="45" t="s">
        <v>60</v>
      </c>
      <c r="J54" s="45" t="s">
        <v>61</v>
      </c>
      <c r="K54" s="45" t="s">
        <v>62</v>
      </c>
      <c r="L54" s="45" t="s">
        <v>63</v>
      </c>
      <c r="M54" s="45" t="s">
        <v>60</v>
      </c>
      <c r="N54" s="45">
        <v>50</v>
      </c>
      <c r="O54" s="45" t="s">
        <v>64</v>
      </c>
      <c r="P54" s="45" t="s">
        <v>65</v>
      </c>
      <c r="Q54" s="73" t="s">
        <v>78</v>
      </c>
      <c r="R54" s="45">
        <v>4</v>
      </c>
      <c r="S54" s="45">
        <v>270</v>
      </c>
      <c r="T54" s="45">
        <v>238944</v>
      </c>
      <c r="U54" s="53">
        <f t="shared" si="0"/>
        <v>238944000000</v>
      </c>
      <c r="V54" s="45" t="s">
        <v>60</v>
      </c>
      <c r="W54" s="45" t="s">
        <v>66</v>
      </c>
      <c r="X54" s="45" t="s">
        <v>60</v>
      </c>
      <c r="Y54" s="74">
        <v>19.0636005386724</v>
      </c>
      <c r="Z54" s="74">
        <v>19.470080303242401</v>
      </c>
      <c r="AA54" s="45"/>
      <c r="AB54" s="49">
        <f t="shared" si="47"/>
        <v>19.266840420957401</v>
      </c>
      <c r="AC54" s="49">
        <f t="shared" si="48"/>
        <v>3.5962535505944673</v>
      </c>
      <c r="AD54" s="50">
        <f t="shared" si="49"/>
        <v>421193244.9411869</v>
      </c>
      <c r="AE54" s="77">
        <f t="shared" si="51"/>
        <v>64.504457522012856</v>
      </c>
      <c r="AF54" s="45">
        <v>21.247341052030599</v>
      </c>
      <c r="AG54" s="45">
        <v>21.397974806630099</v>
      </c>
      <c r="AH54" s="45"/>
      <c r="AI54" s="49">
        <f t="shared" si="52"/>
        <v>21.322657929330347</v>
      </c>
      <c r="AJ54" s="45">
        <f t="shared" si="53"/>
        <v>2007.1287004537339</v>
      </c>
      <c r="AK54" s="50">
        <f t="shared" si="37"/>
        <v>401.42574009074679</v>
      </c>
      <c r="AL54" s="45">
        <v>35.220483397130501</v>
      </c>
      <c r="AM54" s="45">
        <v>35.126743051674602</v>
      </c>
      <c r="AN54" s="45"/>
      <c r="AO54" s="49">
        <f t="shared" si="54"/>
        <v>35.173613224402551</v>
      </c>
      <c r="AP54" s="45">
        <f t="shared" si="55"/>
        <v>2.6288855541729779E-6</v>
      </c>
      <c r="AQ54" s="45">
        <f t="shared" si="56"/>
        <v>155.71339188656154</v>
      </c>
      <c r="AR54" s="50">
        <f t="shared" si="41"/>
        <v>31.142678377312308</v>
      </c>
      <c r="AS54" s="50">
        <f t="shared" si="57"/>
        <v>7.7580173035919811E-2</v>
      </c>
      <c r="AT54" s="50">
        <f t="shared" si="58"/>
        <v>18537316865.894825</v>
      </c>
      <c r="AU54" s="45"/>
      <c r="AV54" s="45"/>
    </row>
    <row r="55" spans="2:48" s="56" customFormat="1" ht="14" x14ac:dyDescent="0.15">
      <c r="B55" s="45" t="s">
        <v>54</v>
      </c>
      <c r="C55" s="45" t="s">
        <v>55</v>
      </c>
      <c r="D55" s="52">
        <v>44116</v>
      </c>
      <c r="E55" s="53" t="s">
        <v>57</v>
      </c>
      <c r="F55" s="54" t="s">
        <v>58</v>
      </c>
      <c r="G55" s="45" t="s">
        <v>59</v>
      </c>
      <c r="H55" s="45">
        <v>-20</v>
      </c>
      <c r="I55" s="45" t="s">
        <v>60</v>
      </c>
      <c r="J55" s="45" t="s">
        <v>61</v>
      </c>
      <c r="K55" s="45" t="s">
        <v>62</v>
      </c>
      <c r="L55" s="45" t="s">
        <v>63</v>
      </c>
      <c r="M55" s="45" t="s">
        <v>60</v>
      </c>
      <c r="N55" s="45">
        <v>50</v>
      </c>
      <c r="O55" s="45" t="s">
        <v>64</v>
      </c>
      <c r="P55" s="45" t="s">
        <v>65</v>
      </c>
      <c r="Q55" s="73" t="s">
        <v>79</v>
      </c>
      <c r="R55" s="45">
        <v>4</v>
      </c>
      <c r="S55" s="45">
        <v>210</v>
      </c>
      <c r="T55" s="45">
        <v>221040</v>
      </c>
      <c r="U55" s="53">
        <f t="shared" si="0"/>
        <v>221040000000</v>
      </c>
      <c r="V55" s="45" t="s">
        <v>60</v>
      </c>
      <c r="W55" s="45" t="s">
        <v>66</v>
      </c>
      <c r="X55" s="45" t="s">
        <v>60</v>
      </c>
      <c r="Y55" s="74">
        <v>20.786342255565099</v>
      </c>
      <c r="Z55" s="74">
        <v>20.715641519411001</v>
      </c>
      <c r="AA55" s="45"/>
      <c r="AB55" s="49">
        <f t="shared" si="47"/>
        <v>20.750991887488048</v>
      </c>
      <c r="AC55" s="49">
        <f t="shared" si="48"/>
        <v>1.3317377660430187</v>
      </c>
      <c r="AD55" s="50">
        <f t="shared" si="49"/>
        <v>155973137.93341002</v>
      </c>
      <c r="AE55" s="77">
        <f t="shared" si="51"/>
        <v>23.886809133906112</v>
      </c>
      <c r="AF55" s="45">
        <v>23.778807387312899</v>
      </c>
      <c r="AG55" s="45">
        <v>23.775519380017801</v>
      </c>
      <c r="AH55" s="45"/>
      <c r="AI55" s="49">
        <f t="shared" si="52"/>
        <v>23.77716338366535</v>
      </c>
      <c r="AJ55" s="45">
        <f t="shared" si="53"/>
        <v>337.63260168801821</v>
      </c>
      <c r="AK55" s="50">
        <f t="shared" si="37"/>
        <v>67.526520337603642</v>
      </c>
      <c r="AL55" s="45">
        <v>37.454365200729903</v>
      </c>
      <c r="AM55" s="45">
        <v>35.2470188764675</v>
      </c>
      <c r="AN55" s="45"/>
      <c r="AO55" s="49">
        <f t="shared" si="54"/>
        <v>36.350692038598702</v>
      </c>
      <c r="AP55" s="45">
        <f t="shared" si="55"/>
        <v>1.2069164680848573E-6</v>
      </c>
      <c r="AQ55" s="45">
        <f t="shared" si="56"/>
        <v>71.487728581765538</v>
      </c>
      <c r="AR55" s="50">
        <f t="shared" si="41"/>
        <v>14.297545716353108</v>
      </c>
      <c r="AS55" s="50">
        <f t="shared" si="57"/>
        <v>0.21173230376556515</v>
      </c>
      <c r="AT55" s="50">
        <f t="shared" si="58"/>
        <v>46801308424.340523</v>
      </c>
      <c r="AU55" s="45"/>
      <c r="AV55" s="45"/>
    </row>
    <row r="56" spans="2:48" s="56" customFormat="1" ht="14" x14ac:dyDescent="0.15">
      <c r="B56" s="45" t="s">
        <v>54</v>
      </c>
      <c r="C56" s="45" t="s">
        <v>55</v>
      </c>
      <c r="D56" s="52">
        <v>44130</v>
      </c>
      <c r="E56" s="53" t="s">
        <v>57</v>
      </c>
      <c r="F56" s="54" t="s">
        <v>58</v>
      </c>
      <c r="G56" s="45" t="s">
        <v>59</v>
      </c>
      <c r="H56" s="45">
        <v>-20</v>
      </c>
      <c r="I56" s="45" t="s">
        <v>60</v>
      </c>
      <c r="J56" s="45" t="s">
        <v>61</v>
      </c>
      <c r="K56" s="45" t="s">
        <v>62</v>
      </c>
      <c r="L56" s="45" t="s">
        <v>63</v>
      </c>
      <c r="M56" s="45" t="s">
        <v>60</v>
      </c>
      <c r="N56" s="45">
        <v>50</v>
      </c>
      <c r="O56" s="45" t="s">
        <v>64</v>
      </c>
      <c r="P56" s="45" t="s">
        <v>65</v>
      </c>
      <c r="Q56" s="73" t="s">
        <v>80</v>
      </c>
      <c r="R56" s="45">
        <v>4</v>
      </c>
      <c r="S56" s="45">
        <v>210</v>
      </c>
      <c r="T56" s="45">
        <v>294528</v>
      </c>
      <c r="U56" s="53">
        <f t="shared" si="0"/>
        <v>294528000000</v>
      </c>
      <c r="V56" s="45" t="s">
        <v>60</v>
      </c>
      <c r="W56" s="45" t="s">
        <v>66</v>
      </c>
      <c r="X56" s="45" t="s">
        <v>60</v>
      </c>
      <c r="Y56" s="49">
        <v>19.698250415872899</v>
      </c>
      <c r="Z56" s="49">
        <v>19.482391329685701</v>
      </c>
      <c r="AA56" s="45"/>
      <c r="AB56" s="49">
        <f t="shared" si="47"/>
        <v>19.590320872779301</v>
      </c>
      <c r="AC56" s="49">
        <f t="shared" si="48"/>
        <v>2.8961228951286131</v>
      </c>
      <c r="AD56" s="50">
        <f t="shared" si="49"/>
        <v>339193936.90860474</v>
      </c>
      <c r="AE56" s="77">
        <f t="shared" si="51"/>
        <v>51.946514237426904</v>
      </c>
      <c r="AF56" s="45">
        <v>23.1039134727929</v>
      </c>
      <c r="AG56" s="45">
        <v>23.000637049194602</v>
      </c>
      <c r="AH56" s="45"/>
      <c r="AI56" s="49">
        <f t="shared" si="52"/>
        <v>23.052275260993753</v>
      </c>
      <c r="AJ56" s="45">
        <f t="shared" si="53"/>
        <v>571.56829587837046</v>
      </c>
      <c r="AK56" s="50">
        <f t="shared" si="37"/>
        <v>114.31365917567409</v>
      </c>
      <c r="AL56" s="45">
        <v>35.065238818214098</v>
      </c>
      <c r="AM56" s="45">
        <v>36.045551751208897</v>
      </c>
      <c r="AN56" s="45"/>
      <c r="AO56" s="49">
        <f t="shared" si="54"/>
        <v>35.555395284711494</v>
      </c>
      <c r="AP56" s="45">
        <f t="shared" si="55"/>
        <v>2.0422632927349461E-6</v>
      </c>
      <c r="AQ56" s="45">
        <f t="shared" si="56"/>
        <v>120.966751075331</v>
      </c>
      <c r="AR56" s="50">
        <f t="shared" si="41"/>
        <v>24.1933502150662</v>
      </c>
      <c r="AS56" s="50">
        <f t="shared" si="57"/>
        <v>0.21164006462155607</v>
      </c>
      <c r="AT56" s="50">
        <f t="shared" si="58"/>
        <v>62333924952.857666</v>
      </c>
      <c r="AU56" s="45"/>
      <c r="AV56" s="45"/>
    </row>
    <row r="57" spans="2:48" s="64" customFormat="1" ht="14" x14ac:dyDescent="0.15">
      <c r="B57" s="57" t="s">
        <v>54</v>
      </c>
      <c r="C57" s="57" t="s">
        <v>82</v>
      </c>
      <c r="D57" s="58">
        <v>44063</v>
      </c>
      <c r="E57" s="59" t="s">
        <v>57</v>
      </c>
      <c r="F57" s="60" t="s">
        <v>58</v>
      </c>
      <c r="G57" s="57" t="s">
        <v>59</v>
      </c>
      <c r="H57" s="57">
        <v>-20</v>
      </c>
      <c r="I57" s="57" t="s">
        <v>60</v>
      </c>
      <c r="J57" s="57" t="s">
        <v>61</v>
      </c>
      <c r="K57" s="57" t="s">
        <v>62</v>
      </c>
      <c r="L57" s="57" t="s">
        <v>63</v>
      </c>
      <c r="M57" s="57" t="s">
        <v>60</v>
      </c>
      <c r="N57" s="57">
        <v>50</v>
      </c>
      <c r="O57" s="57" t="s">
        <v>64</v>
      </c>
      <c r="P57" s="57" t="s">
        <v>65</v>
      </c>
      <c r="Q57" s="61" t="s">
        <v>79</v>
      </c>
      <c r="R57" s="57">
        <v>4</v>
      </c>
      <c r="S57" s="57">
        <v>240</v>
      </c>
      <c r="T57" s="57">
        <v>145800</v>
      </c>
      <c r="U57" s="59">
        <f t="shared" si="0"/>
        <v>145800000000</v>
      </c>
      <c r="V57" s="57" t="s">
        <v>60</v>
      </c>
      <c r="W57" s="57" t="s">
        <v>66</v>
      </c>
      <c r="X57" s="57" t="s">
        <v>60</v>
      </c>
      <c r="Y57" s="62">
        <v>18.194613318007001</v>
      </c>
      <c r="Z57" s="62">
        <v>17.349823177147702</v>
      </c>
      <c r="AA57" s="57"/>
      <c r="AB57" s="62">
        <f t="shared" si="47"/>
        <v>17.772218247577349</v>
      </c>
      <c r="AC57" s="62">
        <f t="shared" si="48"/>
        <v>9.7797025672082487</v>
      </c>
      <c r="AD57" s="63">
        <f t="shared" si="49"/>
        <v>1145398843.7943139</v>
      </c>
      <c r="AE57" s="101">
        <f t="shared" si="51"/>
        <v>175.41433048293456</v>
      </c>
      <c r="AF57" s="57">
        <v>22.945237971670601</v>
      </c>
      <c r="AG57" s="57">
        <v>22.130624808078299</v>
      </c>
      <c r="AH57" s="57"/>
      <c r="AI57" s="62">
        <f t="shared" si="52"/>
        <v>22.537931389874451</v>
      </c>
      <c r="AJ57" s="57">
        <f t="shared" si="53"/>
        <v>830.40118531678627</v>
      </c>
      <c r="AK57" s="63">
        <f t="shared" si="37"/>
        <v>166.08023706335726</v>
      </c>
      <c r="AL57" s="57"/>
      <c r="AM57" s="57">
        <v>36.6033125738428</v>
      </c>
      <c r="AN57" s="57"/>
      <c r="AO57" s="62">
        <f t="shared" si="54"/>
        <v>36.6033125738428</v>
      </c>
      <c r="AP57" s="57">
        <f t="shared" si="55"/>
        <v>1.021213534599535E-6</v>
      </c>
      <c r="AQ57" s="57">
        <f t="shared" si="56"/>
        <v>60.488225917838847</v>
      </c>
      <c r="AR57" s="63">
        <f t="shared" si="41"/>
        <v>12.097645183567769</v>
      </c>
      <c r="AS57" s="63">
        <f t="shared" si="57"/>
        <v>7.2842171937367167E-2</v>
      </c>
      <c r="AT57" s="63">
        <f t="shared" si="58"/>
        <v>10620388668.468134</v>
      </c>
      <c r="AU57" s="57"/>
      <c r="AV57" s="57"/>
    </row>
    <row r="58" spans="2:48" s="64" customFormat="1" ht="14" x14ac:dyDescent="0.15">
      <c r="B58" s="57" t="s">
        <v>54</v>
      </c>
      <c r="C58" s="57" t="s">
        <v>82</v>
      </c>
      <c r="D58" s="58">
        <v>44071</v>
      </c>
      <c r="E58" s="59" t="s">
        <v>57</v>
      </c>
      <c r="F58" s="60" t="s">
        <v>58</v>
      </c>
      <c r="G58" s="57" t="s">
        <v>59</v>
      </c>
      <c r="H58" s="57">
        <v>-20</v>
      </c>
      <c r="I58" s="57" t="s">
        <v>60</v>
      </c>
      <c r="J58" s="57" t="s">
        <v>61</v>
      </c>
      <c r="K58" s="57" t="s">
        <v>62</v>
      </c>
      <c r="L58" s="57" t="s">
        <v>63</v>
      </c>
      <c r="M58" s="57" t="s">
        <v>60</v>
      </c>
      <c r="N58" s="57">
        <v>50</v>
      </c>
      <c r="O58" s="57" t="s">
        <v>64</v>
      </c>
      <c r="P58" s="57" t="s">
        <v>65</v>
      </c>
      <c r="Q58" s="61" t="s">
        <v>81</v>
      </c>
      <c r="R58" s="57">
        <v>4</v>
      </c>
      <c r="S58" s="57">
        <v>290</v>
      </c>
      <c r="T58" s="57">
        <v>134832</v>
      </c>
      <c r="U58" s="59">
        <f t="shared" si="0"/>
        <v>134832000000</v>
      </c>
      <c r="V58" s="57" t="s">
        <v>60</v>
      </c>
      <c r="W58" s="57" t="s">
        <v>66</v>
      </c>
      <c r="X58" s="57" t="s">
        <v>60</v>
      </c>
      <c r="Y58" s="62">
        <v>19.354380013949399</v>
      </c>
      <c r="Z58" s="62">
        <v>19.301238269387401</v>
      </c>
      <c r="AA58" s="57"/>
      <c r="AB58" s="62">
        <f t="shared" si="47"/>
        <v>19.3278091416684</v>
      </c>
      <c r="AC58" s="62">
        <f t="shared" si="48"/>
        <v>3.4524480985403661</v>
      </c>
      <c r="AD58" s="63">
        <f t="shared" si="49"/>
        <v>404350749.23314965</v>
      </c>
      <c r="AE58" s="101">
        <f t="shared" si="51"/>
        <v>61.925080805951147</v>
      </c>
      <c r="AF58" s="57">
        <v>23.4536888332571</v>
      </c>
      <c r="AG58" s="57">
        <v>23.323107344154401</v>
      </c>
      <c r="AH58" s="57"/>
      <c r="AI58" s="62">
        <f t="shared" si="52"/>
        <v>23.388398088705749</v>
      </c>
      <c r="AJ58" s="57">
        <f t="shared" si="53"/>
        <v>447.77284653682449</v>
      </c>
      <c r="AK58" s="63">
        <f t="shared" si="37"/>
        <v>89.554569307364901</v>
      </c>
      <c r="AL58" s="57">
        <v>36.301421753410402</v>
      </c>
      <c r="AM58" s="57">
        <v>37.630993283399398</v>
      </c>
      <c r="AN58" s="57"/>
      <c r="AO58" s="62">
        <f t="shared" si="54"/>
        <v>36.9662075184049</v>
      </c>
      <c r="AP58" s="57">
        <f t="shared" si="55"/>
        <v>8.033070785122302E-7</v>
      </c>
      <c r="AQ58" s="57">
        <f t="shared" si="56"/>
        <v>47.581253479470888</v>
      </c>
      <c r="AR58" s="63">
        <f t="shared" si="41"/>
        <v>9.5162506958941773</v>
      </c>
      <c r="AS58" s="63">
        <f t="shared" si="57"/>
        <v>0.10626203408151021</v>
      </c>
      <c r="AT58" s="63">
        <f t="shared" si="58"/>
        <v>14327522579.278185</v>
      </c>
      <c r="AU58" s="57"/>
      <c r="AV58" s="57"/>
    </row>
    <row r="59" spans="2:48" s="64" customFormat="1" ht="14" x14ac:dyDescent="0.15">
      <c r="B59" s="57" t="s">
        <v>54</v>
      </c>
      <c r="C59" s="57" t="s">
        <v>82</v>
      </c>
      <c r="D59" s="58">
        <v>44083</v>
      </c>
      <c r="E59" s="59" t="s">
        <v>57</v>
      </c>
      <c r="F59" s="60" t="s">
        <v>58</v>
      </c>
      <c r="G59" s="57" t="s">
        <v>59</v>
      </c>
      <c r="H59" s="57">
        <v>-20</v>
      </c>
      <c r="I59" s="57" t="s">
        <v>60</v>
      </c>
      <c r="J59" s="57" t="s">
        <v>61</v>
      </c>
      <c r="K59" s="57" t="s">
        <v>62</v>
      </c>
      <c r="L59" s="57" t="s">
        <v>63</v>
      </c>
      <c r="M59" s="57" t="s">
        <v>60</v>
      </c>
      <c r="N59" s="57">
        <v>50</v>
      </c>
      <c r="O59" s="57" t="s">
        <v>64</v>
      </c>
      <c r="P59" s="57" t="s">
        <v>65</v>
      </c>
      <c r="Q59" s="61" t="s">
        <v>83</v>
      </c>
      <c r="R59" s="57">
        <v>4</v>
      </c>
      <c r="S59" s="57">
        <v>250</v>
      </c>
      <c r="T59" s="57">
        <v>166176</v>
      </c>
      <c r="U59" s="59">
        <f t="shared" si="0"/>
        <v>166176000000</v>
      </c>
      <c r="V59" s="57" t="s">
        <v>60</v>
      </c>
      <c r="W59" s="57" t="s">
        <v>66</v>
      </c>
      <c r="X59" s="57" t="s">
        <v>60</v>
      </c>
      <c r="Y59" s="62">
        <v>20.3840841159553</v>
      </c>
      <c r="Z59" s="62">
        <v>20.262895330152698</v>
      </c>
      <c r="AA59" s="57"/>
      <c r="AB59" s="62">
        <f t="shared" si="47"/>
        <v>20.323489723053999</v>
      </c>
      <c r="AC59" s="62">
        <f t="shared" si="48"/>
        <v>1.7729249688808952</v>
      </c>
      <c r="AD59" s="63">
        <f t="shared" si="49"/>
        <v>207644986.69921619</v>
      </c>
      <c r="AE59" s="101">
        <f t="shared" si="51"/>
        <v>31.800194768244165</v>
      </c>
      <c r="AF59" s="57">
        <v>23.218645210192399</v>
      </c>
      <c r="AG59" s="57">
        <v>22.7760796863172</v>
      </c>
      <c r="AH59" s="57"/>
      <c r="AI59" s="62">
        <f t="shared" si="52"/>
        <v>22.997362448254798</v>
      </c>
      <c r="AJ59" s="57">
        <f t="shared" si="53"/>
        <v>594.82221632891685</v>
      </c>
      <c r="AK59" s="63">
        <f t="shared" si="37"/>
        <v>118.96444326578337</v>
      </c>
      <c r="AL59" s="57">
        <v>36.978470245328602</v>
      </c>
      <c r="AM59" s="57">
        <v>35.861971679876902</v>
      </c>
      <c r="AN59" s="57"/>
      <c r="AO59" s="62">
        <f t="shared" si="54"/>
        <v>36.420220962602755</v>
      </c>
      <c r="AP59" s="57">
        <f t="shared" si="55"/>
        <v>1.1526734637353425E-6</v>
      </c>
      <c r="AQ59" s="57">
        <f t="shared" si="56"/>
        <v>68.274822572991937</v>
      </c>
      <c r="AR59" s="63">
        <f t="shared" si="41"/>
        <v>13.654964514598387</v>
      </c>
      <c r="AS59" s="63">
        <f t="shared" si="57"/>
        <v>0.11478189734466514</v>
      </c>
      <c r="AT59" s="63">
        <f t="shared" si="58"/>
        <v>19073996573.147076</v>
      </c>
      <c r="AU59" s="57"/>
      <c r="AV59" s="57"/>
    </row>
    <row r="60" spans="2:48" s="64" customFormat="1" ht="14" x14ac:dyDescent="0.15">
      <c r="B60" s="57" t="s">
        <v>54</v>
      </c>
      <c r="C60" s="57" t="s">
        <v>82</v>
      </c>
      <c r="D60" s="58">
        <v>44116</v>
      </c>
      <c r="E60" s="59" t="s">
        <v>57</v>
      </c>
      <c r="F60" s="60" t="s">
        <v>58</v>
      </c>
      <c r="G60" s="57" t="s">
        <v>59</v>
      </c>
      <c r="H60" s="57">
        <v>-20</v>
      </c>
      <c r="I60" s="57" t="s">
        <v>60</v>
      </c>
      <c r="J60" s="57" t="s">
        <v>61</v>
      </c>
      <c r="K60" s="57" t="s">
        <v>62</v>
      </c>
      <c r="L60" s="57" t="s">
        <v>63</v>
      </c>
      <c r="M60" s="57" t="s">
        <v>60</v>
      </c>
      <c r="N60" s="57">
        <v>50</v>
      </c>
      <c r="O60" s="57" t="s">
        <v>64</v>
      </c>
      <c r="P60" s="57" t="s">
        <v>65</v>
      </c>
      <c r="Q60" s="61" t="s">
        <v>85</v>
      </c>
      <c r="R60" s="57">
        <v>4</v>
      </c>
      <c r="S60" s="57">
        <v>140</v>
      </c>
      <c r="T60" s="57">
        <v>193176</v>
      </c>
      <c r="U60" s="59">
        <f t="shared" si="0"/>
        <v>193176000000</v>
      </c>
      <c r="V60" s="57" t="s">
        <v>60</v>
      </c>
      <c r="W60" s="57" t="s">
        <v>66</v>
      </c>
      <c r="X60" s="57" t="s">
        <v>60</v>
      </c>
      <c r="Y60" s="62">
        <v>21.1374470093761</v>
      </c>
      <c r="Z60" s="62">
        <v>21.1433901740705</v>
      </c>
      <c r="AA60" s="57"/>
      <c r="AB60" s="62">
        <f t="shared" ref="AB60:AB61" si="59">AVERAGE(Y60:AA60)</f>
        <v>21.1404185917233</v>
      </c>
      <c r="AC60" s="62">
        <f t="shared" ref="AC60:AC61" si="60">EXP((AB60-21.179)/-1.494)</f>
        <v>1.0261605703243415</v>
      </c>
      <c r="AD60" s="63">
        <f t="shared" ref="AD60:AD61" si="61">(AC60*(6.0221*10^23))/(15123*340*10^9)</f>
        <v>120183934.29855996</v>
      </c>
      <c r="AE60" s="101">
        <f t="shared" si="51"/>
        <v>18.405802034817409</v>
      </c>
      <c r="AF60" s="57">
        <v>24.4365517630564</v>
      </c>
      <c r="AG60" s="57">
        <v>24.491224684792702</v>
      </c>
      <c r="AH60" s="57"/>
      <c r="AI60" s="62">
        <f t="shared" si="52"/>
        <v>24.463888223924549</v>
      </c>
      <c r="AJ60" s="57">
        <f t="shared" si="53"/>
        <v>205.04869288031966</v>
      </c>
      <c r="AK60" s="63">
        <f t="shared" si="37"/>
        <v>41.009738576063931</v>
      </c>
      <c r="AL60" s="57">
        <v>35.613636972755302</v>
      </c>
      <c r="AM60" s="57">
        <v>36.8141044067537</v>
      </c>
      <c r="AN60" s="57"/>
      <c r="AO60" s="62">
        <f t="shared" si="54"/>
        <v>36.213870689754501</v>
      </c>
      <c r="AP60" s="57">
        <f t="shared" si="55"/>
        <v>1.3212246129193893E-6</v>
      </c>
      <c r="AQ60" s="57">
        <f t="shared" si="56"/>
        <v>78.258395689807372</v>
      </c>
      <c r="AR60" s="63">
        <f t="shared" si="41"/>
        <v>15.651679137961475</v>
      </c>
      <c r="AS60" s="63">
        <f t="shared" si="57"/>
        <v>0.38165761795655184</v>
      </c>
      <c r="AT60" s="63">
        <f t="shared" si="58"/>
        <v>73727092006.374863</v>
      </c>
      <c r="AU60" s="57"/>
      <c r="AV60" s="57"/>
    </row>
    <row r="61" spans="2:48" s="64" customFormat="1" ht="15" thickBot="1" x14ac:dyDescent="0.2">
      <c r="B61" s="57" t="s">
        <v>54</v>
      </c>
      <c r="C61" s="57" t="s">
        <v>82</v>
      </c>
      <c r="D61" s="58">
        <v>44130</v>
      </c>
      <c r="E61" s="59" t="s">
        <v>57</v>
      </c>
      <c r="F61" s="60" t="s">
        <v>58</v>
      </c>
      <c r="G61" s="57" t="s">
        <v>59</v>
      </c>
      <c r="H61" s="57">
        <v>-20</v>
      </c>
      <c r="I61" s="57" t="s">
        <v>60</v>
      </c>
      <c r="J61" s="57" t="s">
        <v>61</v>
      </c>
      <c r="K61" s="57" t="s">
        <v>62</v>
      </c>
      <c r="L61" s="57" t="s">
        <v>63</v>
      </c>
      <c r="M61" s="57" t="s">
        <v>60</v>
      </c>
      <c r="N61" s="57">
        <v>50</v>
      </c>
      <c r="O61" s="57" t="s">
        <v>64</v>
      </c>
      <c r="P61" s="57" t="s">
        <v>65</v>
      </c>
      <c r="Q61" s="61" t="s">
        <v>86</v>
      </c>
      <c r="R61" s="57">
        <v>4</v>
      </c>
      <c r="S61" s="57">
        <v>220</v>
      </c>
      <c r="T61" s="57">
        <v>234768</v>
      </c>
      <c r="U61" s="59">
        <f t="shared" si="0"/>
        <v>234768000000</v>
      </c>
      <c r="V61" s="57" t="s">
        <v>60</v>
      </c>
      <c r="W61" s="57" t="s">
        <v>66</v>
      </c>
      <c r="X61" s="57" t="s">
        <v>60</v>
      </c>
      <c r="Y61" s="62">
        <v>20.261556657577</v>
      </c>
      <c r="Z61" s="62">
        <v>20.362451594866499</v>
      </c>
      <c r="AA61" s="57"/>
      <c r="AB61" s="62">
        <f t="shared" si="59"/>
        <v>20.312004126221751</v>
      </c>
      <c r="AC61" s="62">
        <f t="shared" si="60"/>
        <v>1.7866074161795058</v>
      </c>
      <c r="AD61" s="63">
        <f t="shared" si="61"/>
        <v>209247475.03752756</v>
      </c>
      <c r="AE61" s="101">
        <f t="shared" si="51"/>
        <v>32.045610957106739</v>
      </c>
      <c r="AF61" s="57">
        <v>24.6302912575687</v>
      </c>
      <c r="AG61" s="57">
        <v>24.528478141007302</v>
      </c>
      <c r="AH61" s="57"/>
      <c r="AI61" s="62">
        <f t="shared" si="52"/>
        <v>24.579384699287999</v>
      </c>
      <c r="AJ61" s="57">
        <f t="shared" si="53"/>
        <v>188.55166254333835</v>
      </c>
      <c r="AK61" s="63">
        <f t="shared" si="37"/>
        <v>37.710332508667669</v>
      </c>
      <c r="AL61" s="57">
        <v>35.1834536697312</v>
      </c>
      <c r="AM61" s="57">
        <v>36.193315558464803</v>
      </c>
      <c r="AN61" s="57"/>
      <c r="AO61" s="62">
        <f t="shared" si="54"/>
        <v>35.688384614097998</v>
      </c>
      <c r="AP61" s="57">
        <f t="shared" si="55"/>
        <v>1.8703072915668793E-6</v>
      </c>
      <c r="AQ61" s="57">
        <f t="shared" si="56"/>
        <v>110.78150274657571</v>
      </c>
      <c r="AR61" s="63">
        <f t="shared" si="41"/>
        <v>22.156300549315141</v>
      </c>
      <c r="AS61" s="63">
        <f t="shared" si="57"/>
        <v>0.58753925185418465</v>
      </c>
      <c r="AT61" s="63">
        <f t="shared" si="58"/>
        <v>137935415079.30322</v>
      </c>
      <c r="AU61" s="57"/>
      <c r="AV61" s="57"/>
    </row>
    <row r="62" spans="2:48" s="5" customFormat="1" ht="15" thickBot="1" x14ac:dyDescent="0.2">
      <c r="B62" s="8"/>
      <c r="C62" s="8"/>
      <c r="D62" s="17"/>
      <c r="E62" s="10" t="s">
        <v>75</v>
      </c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20"/>
      <c r="R62" s="8"/>
      <c r="S62" s="8"/>
      <c r="T62" s="8"/>
      <c r="U62" s="10">
        <f t="shared" si="0"/>
        <v>0</v>
      </c>
      <c r="V62" s="8"/>
      <c r="W62" s="8"/>
      <c r="X62" s="8"/>
      <c r="Y62" s="75">
        <v>18.767959729731299</v>
      </c>
      <c r="Z62" s="76">
        <v>18.455674775334401</v>
      </c>
      <c r="AA62" s="8"/>
      <c r="AB62" s="18">
        <f t="shared" ref="AB62" si="62">AVERAGE(Y62:AA62)</f>
        <v>18.611817252532852</v>
      </c>
      <c r="AC62" s="18">
        <f t="shared" ref="AC62" si="63">EXP((AB62-21.179)/-1.494)</f>
        <v>5.5752016042723964</v>
      </c>
      <c r="AD62" s="19">
        <f t="shared" ref="AD62" si="64">(AC62*(6.0221*10^23))/(15123*340*10^9)</f>
        <v>652967656.99866569</v>
      </c>
      <c r="AE62" s="77">
        <f t="shared" si="51"/>
        <v>100</v>
      </c>
      <c r="AF62" s="8"/>
      <c r="AG62" s="8"/>
      <c r="AH62" s="8"/>
      <c r="AI62" s="8"/>
      <c r="AJ62" s="8"/>
      <c r="AK62" s="50">
        <f t="shared" si="37"/>
        <v>0</v>
      </c>
      <c r="AL62" s="8"/>
      <c r="AM62" s="8"/>
      <c r="AN62" s="8"/>
      <c r="AO62" s="8"/>
      <c r="AP62" s="8"/>
      <c r="AQ62" s="8"/>
      <c r="AR62" s="50">
        <f t="shared" si="41"/>
        <v>0</v>
      </c>
      <c r="AS62" s="8"/>
      <c r="AT62" s="8"/>
      <c r="AU62" s="8"/>
      <c r="AV62" s="8"/>
    </row>
    <row r="63" spans="2:48" s="5" customFormat="1" x14ac:dyDescent="0.15">
      <c r="B63" s="8"/>
      <c r="C63" s="8"/>
      <c r="D63" s="17"/>
      <c r="E63" s="10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20"/>
      <c r="R63" s="8"/>
      <c r="S63" s="8"/>
      <c r="T63" s="8"/>
      <c r="U63" s="10">
        <f t="shared" si="0"/>
        <v>0</v>
      </c>
      <c r="V63" s="8"/>
      <c r="W63" s="8"/>
      <c r="X63" s="8"/>
      <c r="Y63" s="18"/>
      <c r="Z63" s="18"/>
      <c r="AA63" s="8"/>
      <c r="AB63" s="18"/>
      <c r="AC63" s="18"/>
      <c r="AD63" s="19"/>
      <c r="AE63" s="8"/>
      <c r="AF63" s="8"/>
      <c r="AG63" s="8"/>
      <c r="AH63" s="8"/>
      <c r="AI63" s="8"/>
      <c r="AJ63" s="8"/>
      <c r="AK63" s="50">
        <f t="shared" si="37"/>
        <v>0</v>
      </c>
      <c r="AL63" s="8"/>
      <c r="AM63" s="8"/>
      <c r="AN63" s="8"/>
      <c r="AO63" s="8"/>
      <c r="AP63" s="8"/>
      <c r="AQ63" s="8"/>
      <c r="AR63" s="50">
        <f t="shared" si="41"/>
        <v>0</v>
      </c>
      <c r="AS63" s="8"/>
      <c r="AT63" s="8"/>
      <c r="AU63" s="8"/>
      <c r="AV63" s="8"/>
    </row>
    <row r="64" spans="2:48" s="138" customFormat="1" ht="14" x14ac:dyDescent="0.15">
      <c r="B64" s="103" t="s">
        <v>54</v>
      </c>
      <c r="C64" s="103" t="s">
        <v>82</v>
      </c>
      <c r="D64" s="106" t="s">
        <v>88</v>
      </c>
      <c r="E64" s="111" t="s">
        <v>57</v>
      </c>
      <c r="F64" s="105" t="s">
        <v>58</v>
      </c>
      <c r="G64" s="103" t="s">
        <v>59</v>
      </c>
      <c r="H64" s="103">
        <v>-20</v>
      </c>
      <c r="I64" s="106">
        <v>43933</v>
      </c>
      <c r="J64" s="103" t="s">
        <v>61</v>
      </c>
      <c r="K64" s="103" t="s">
        <v>62</v>
      </c>
      <c r="L64" s="103" t="s">
        <v>89</v>
      </c>
      <c r="M64" s="106" t="s">
        <v>90</v>
      </c>
      <c r="N64" s="103" t="s">
        <v>91</v>
      </c>
      <c r="O64" s="103" t="s">
        <v>92</v>
      </c>
      <c r="P64" s="103" t="s">
        <v>65</v>
      </c>
      <c r="Q64" s="136">
        <v>8.42</v>
      </c>
      <c r="R64" s="103">
        <v>3.52</v>
      </c>
      <c r="S64" s="137">
        <v>210</v>
      </c>
      <c r="T64" s="103">
        <v>163008</v>
      </c>
      <c r="U64" s="111">
        <f t="shared" si="0"/>
        <v>163008000000</v>
      </c>
      <c r="V64" s="103" t="s">
        <v>93</v>
      </c>
      <c r="W64" s="103" t="s">
        <v>66</v>
      </c>
      <c r="X64" s="103" t="s">
        <v>94</v>
      </c>
      <c r="Y64" s="107" t="s">
        <v>95</v>
      </c>
      <c r="Z64" s="107">
        <v>17.649999999999999</v>
      </c>
      <c r="AA64" s="103"/>
      <c r="AB64" s="107">
        <f>AVERAGE(Y64:AA64)</f>
        <v>17.649999999999999</v>
      </c>
      <c r="AC64" s="107">
        <f>EXP((AB64-21.179)/-1.494)</f>
        <v>10.613376369078816</v>
      </c>
      <c r="AD64" s="108">
        <f>(AC64*(6.0221*10^23))/(15123*340*10^9)</f>
        <v>1243038726.2142498</v>
      </c>
      <c r="AE64" s="107">
        <f t="shared" ref="AE64:AE74" si="65">AD64*100/AD$74</f>
        <v>157.64160522336832</v>
      </c>
      <c r="AF64" s="103"/>
      <c r="AG64" s="103">
        <v>24.42</v>
      </c>
      <c r="AH64" s="103"/>
      <c r="AI64" s="107">
        <f t="shared" ref="AI64:AI74" si="66">AVERAGE(AF64:AH64)</f>
        <v>24.42</v>
      </c>
      <c r="AJ64" s="103">
        <f>EXP((AI64-31.794)/-1.377)</f>
        <v>211.68934065834904</v>
      </c>
      <c r="AK64" s="108">
        <f t="shared" si="37"/>
        <v>42.337868131669808</v>
      </c>
      <c r="AL64" s="103">
        <v>36.130000000000003</v>
      </c>
      <c r="AM64" s="107">
        <v>35</v>
      </c>
      <c r="AN64" s="103"/>
      <c r="AO64" s="107">
        <f>AVERAGE(AL64:AN64)</f>
        <v>35.564999999999998</v>
      </c>
      <c r="AP64" s="103">
        <f>EXP((AO64-15.746)/-1.512)</f>
        <v>2.0293312903411192E-6</v>
      </c>
      <c r="AQ64" s="103">
        <f>(AP64*(6.0221*10^23))/(29903*340*10^9)</f>
        <v>120.20076643464117</v>
      </c>
      <c r="AR64" s="108">
        <f t="shared" si="41"/>
        <v>24.040153286928234</v>
      </c>
      <c r="AS64" s="108">
        <f>AR64/AK64</f>
        <v>0.56781681146920071</v>
      </c>
      <c r="AT64" s="108">
        <f>AS64*U64</f>
        <v>92558682803.971466</v>
      </c>
      <c r="AU64" s="103"/>
      <c r="AV64" s="103"/>
    </row>
    <row r="65" spans="2:48" s="86" customFormat="1" ht="14" x14ac:dyDescent="0.15">
      <c r="B65" s="90" t="s">
        <v>54</v>
      </c>
      <c r="C65" s="90" t="s">
        <v>82</v>
      </c>
      <c r="D65" s="96" t="s">
        <v>96</v>
      </c>
      <c r="E65" s="87" t="s">
        <v>57</v>
      </c>
      <c r="F65" s="89" t="s">
        <v>58</v>
      </c>
      <c r="G65" s="90" t="s">
        <v>59</v>
      </c>
      <c r="H65" s="90">
        <v>-20</v>
      </c>
      <c r="I65" s="96">
        <v>43933</v>
      </c>
      <c r="J65" s="90" t="s">
        <v>61</v>
      </c>
      <c r="K65" s="90" t="s">
        <v>62</v>
      </c>
      <c r="L65" s="90" t="s">
        <v>89</v>
      </c>
      <c r="M65" s="96" t="s">
        <v>90</v>
      </c>
      <c r="N65" s="90" t="s">
        <v>91</v>
      </c>
      <c r="O65" s="90" t="s">
        <v>92</v>
      </c>
      <c r="P65" s="90" t="s">
        <v>65</v>
      </c>
      <c r="Q65" s="99">
        <v>8.6</v>
      </c>
      <c r="R65" s="90">
        <v>4.0199999999999996</v>
      </c>
      <c r="S65" s="90">
        <v>240</v>
      </c>
      <c r="T65" s="90">
        <v>132408</v>
      </c>
      <c r="U65" s="87">
        <f t="shared" si="0"/>
        <v>132408000000</v>
      </c>
      <c r="V65" s="90" t="s">
        <v>93</v>
      </c>
      <c r="W65" s="90" t="s">
        <v>66</v>
      </c>
      <c r="X65" s="90" t="s">
        <v>94</v>
      </c>
      <c r="Y65" s="94">
        <v>22.93</v>
      </c>
      <c r="Z65" s="94">
        <v>21.09</v>
      </c>
      <c r="AA65" s="90"/>
      <c r="AB65" s="94">
        <f t="shared" ref="AB65:AB73" si="67">AVERAGE(Y65:AA65)</f>
        <v>22.009999999999998</v>
      </c>
      <c r="AC65" s="94">
        <f t="shared" ref="AC65:AC74" si="68">EXP((AB65-21.179)/-1.494)</f>
        <v>0.57336951080145204</v>
      </c>
      <c r="AD65" s="95">
        <f t="shared" ref="AD65:AD74" si="69">(AC65*(6.0221*10^23))/(15123*340*10^9)</f>
        <v>67153041.743923813</v>
      </c>
      <c r="AE65" s="94">
        <f t="shared" si="65"/>
        <v>8.5163181748847556</v>
      </c>
      <c r="AF65" s="90">
        <v>27.8</v>
      </c>
      <c r="AG65" s="90">
        <v>27.68</v>
      </c>
      <c r="AH65" s="90"/>
      <c r="AI65" s="94">
        <f t="shared" si="66"/>
        <v>27.740000000000002</v>
      </c>
      <c r="AJ65" s="90">
        <f t="shared" ref="AJ65:AJ100" si="70">EXP((AI65-31.794)/-1.377)</f>
        <v>18.993205999348952</v>
      </c>
      <c r="AK65" s="95">
        <f t="shared" si="37"/>
        <v>3.7986411998697904</v>
      </c>
      <c r="AL65" s="90">
        <v>33.74</v>
      </c>
      <c r="AM65" s="90">
        <v>34.61</v>
      </c>
      <c r="AN65" s="90"/>
      <c r="AO65" s="94">
        <v>6</v>
      </c>
      <c r="AP65" s="90">
        <f t="shared" ref="AP65:AP74" si="71">EXP((AO65-15.746)/-1.512)</f>
        <v>630.02984782745466</v>
      </c>
      <c r="AQ65" s="90">
        <f t="shared" ref="AQ65:AQ73" si="72">(AP65*(6.0221*10^23))/(29903*340*10^9)</f>
        <v>37317746464.565956</v>
      </c>
      <c r="AR65" s="95">
        <f t="shared" si="41"/>
        <v>7463549292.9131908</v>
      </c>
      <c r="AS65" s="95">
        <f>AR65/AK65</f>
        <v>1964794488.3999641</v>
      </c>
      <c r="AT65" s="95">
        <f t="shared" ref="AT65:AT74" si="73">AS65*U65</f>
        <v>2.6015450862006246E+20</v>
      </c>
      <c r="AU65" s="90"/>
      <c r="AV65" s="90" t="s">
        <v>97</v>
      </c>
    </row>
    <row r="66" spans="2:48" s="138" customFormat="1" ht="14" x14ac:dyDescent="0.15">
      <c r="B66" s="103" t="s">
        <v>54</v>
      </c>
      <c r="C66" s="103" t="s">
        <v>82</v>
      </c>
      <c r="D66" s="106" t="s">
        <v>98</v>
      </c>
      <c r="E66" s="111" t="s">
        <v>57</v>
      </c>
      <c r="F66" s="105" t="s">
        <v>58</v>
      </c>
      <c r="G66" s="103" t="s">
        <v>59</v>
      </c>
      <c r="H66" s="103">
        <v>-20</v>
      </c>
      <c r="I66" s="106">
        <v>43933</v>
      </c>
      <c r="J66" s="103" t="s">
        <v>61</v>
      </c>
      <c r="K66" s="103" t="s">
        <v>62</v>
      </c>
      <c r="L66" s="103" t="s">
        <v>89</v>
      </c>
      <c r="M66" s="106" t="s">
        <v>90</v>
      </c>
      <c r="N66" s="103" t="s">
        <v>91</v>
      </c>
      <c r="O66" s="103" t="s">
        <v>92</v>
      </c>
      <c r="P66" s="103" t="s">
        <v>65</v>
      </c>
      <c r="Q66" s="136">
        <v>8.2200000000000006</v>
      </c>
      <c r="R66" s="103">
        <v>4.09</v>
      </c>
      <c r="S66" s="103">
        <v>190</v>
      </c>
      <c r="T66" s="103">
        <v>163680</v>
      </c>
      <c r="U66" s="111">
        <f t="shared" si="0"/>
        <v>163680000000</v>
      </c>
      <c r="V66" s="103" t="s">
        <v>93</v>
      </c>
      <c r="W66" s="103" t="s">
        <v>66</v>
      </c>
      <c r="X66" s="103" t="s">
        <v>94</v>
      </c>
      <c r="Y66" s="107">
        <v>18.010000000000002</v>
      </c>
      <c r="Z66" s="107">
        <v>17.97</v>
      </c>
      <c r="AA66" s="103"/>
      <c r="AB66" s="107">
        <f t="shared" si="67"/>
        <v>17.990000000000002</v>
      </c>
      <c r="AC66" s="107">
        <f t="shared" si="68"/>
        <v>8.453141543826872</v>
      </c>
      <c r="AD66" s="108">
        <f t="shared" si="69"/>
        <v>990032006.00331783</v>
      </c>
      <c r="AE66" s="107">
        <f t="shared" si="65"/>
        <v>125.55540817637745</v>
      </c>
      <c r="AF66" s="107">
        <v>24.5</v>
      </c>
      <c r="AG66" s="103">
        <v>24.36</v>
      </c>
      <c r="AH66" s="103"/>
      <c r="AI66" s="107">
        <f t="shared" si="66"/>
        <v>24.43</v>
      </c>
      <c r="AJ66" s="103">
        <f t="shared" si="70"/>
        <v>210.1575865796828</v>
      </c>
      <c r="AK66" s="108">
        <f t="shared" si="37"/>
        <v>42.031517315936561</v>
      </c>
      <c r="AL66" s="103">
        <v>34.86</v>
      </c>
      <c r="AM66" s="107">
        <v>36.4</v>
      </c>
      <c r="AN66" s="103"/>
      <c r="AO66" s="107">
        <f>AVERAGE(AL66:AN66)</f>
        <v>35.629999999999995</v>
      </c>
      <c r="AP66" s="103">
        <f>EXP((AO66-15.746)/-1.512)</f>
        <v>1.9439401279233478E-6</v>
      </c>
      <c r="AQ66" s="103">
        <f t="shared" si="72"/>
        <v>115.14290169948708</v>
      </c>
      <c r="AR66" s="108">
        <f t="shared" si="41"/>
        <v>23.028580339897417</v>
      </c>
      <c r="AS66" s="108">
        <f t="shared" ref="AS66:AS112" si="74">AR66/AK66</f>
        <v>0.54788838972429765</v>
      </c>
      <c r="AT66" s="108">
        <f t="shared" si="73"/>
        <v>89678371630.073044</v>
      </c>
      <c r="AU66" s="103"/>
      <c r="AV66" s="103"/>
    </row>
    <row r="67" spans="2:48" s="86" customFormat="1" ht="16" x14ac:dyDescent="0.2">
      <c r="B67" s="90" t="s">
        <v>54</v>
      </c>
      <c r="C67" s="90" t="s">
        <v>82</v>
      </c>
      <c r="D67" s="96" t="s">
        <v>99</v>
      </c>
      <c r="E67" s="87" t="s">
        <v>57</v>
      </c>
      <c r="F67" s="89" t="s">
        <v>58</v>
      </c>
      <c r="G67" s="90" t="s">
        <v>59</v>
      </c>
      <c r="H67" s="90">
        <v>-20</v>
      </c>
      <c r="I67" s="96">
        <v>43933</v>
      </c>
      <c r="J67" s="90" t="s">
        <v>61</v>
      </c>
      <c r="K67" s="90" t="s">
        <v>62</v>
      </c>
      <c r="L67" s="90" t="s">
        <v>89</v>
      </c>
      <c r="M67" s="96" t="s">
        <v>90</v>
      </c>
      <c r="N67" s="90" t="s">
        <v>91</v>
      </c>
      <c r="O67" s="90" t="s">
        <v>92</v>
      </c>
      <c r="P67" s="90" t="s">
        <v>65</v>
      </c>
      <c r="Q67" s="99">
        <v>7.78</v>
      </c>
      <c r="R67" s="90">
        <v>3.99</v>
      </c>
      <c r="S67" s="90">
        <v>170</v>
      </c>
      <c r="T67" s="90">
        <v>245784</v>
      </c>
      <c r="U67" s="87">
        <f t="shared" si="0"/>
        <v>245784000000</v>
      </c>
      <c r="V67" s="90" t="s">
        <v>93</v>
      </c>
      <c r="W67" s="90" t="s">
        <v>66</v>
      </c>
      <c r="X67" s="90" t="s">
        <v>94</v>
      </c>
      <c r="Y67" s="94">
        <v>17.97</v>
      </c>
      <c r="Z67" s="94">
        <v>18.47</v>
      </c>
      <c r="AA67" s="90"/>
      <c r="AB67" s="94">
        <f t="shared" si="67"/>
        <v>18.22</v>
      </c>
      <c r="AC67" s="94">
        <f t="shared" si="68"/>
        <v>7.2470103822810534</v>
      </c>
      <c r="AD67" s="95">
        <f t="shared" si="69"/>
        <v>848769914.60484278</v>
      </c>
      <c r="AE67" s="94">
        <f t="shared" si="65"/>
        <v>107.64061407089797</v>
      </c>
      <c r="AF67" s="94">
        <v>25.2</v>
      </c>
      <c r="AG67" s="90">
        <v>25.2</v>
      </c>
      <c r="AH67" s="90"/>
      <c r="AI67" s="94">
        <f t="shared" si="66"/>
        <v>25.2</v>
      </c>
      <c r="AJ67" s="90">
        <f t="shared" si="70"/>
        <v>120.14159721702842</v>
      </c>
      <c r="AK67" s="95">
        <f t="shared" si="37"/>
        <v>24.028319443405685</v>
      </c>
      <c r="AL67" s="90" t="s">
        <v>100</v>
      </c>
      <c r="AM67" s="90" t="s">
        <v>100</v>
      </c>
      <c r="AN67" s="90"/>
      <c r="AO67" s="94" t="e">
        <f t="shared" ref="AO67:AO68" si="75">AVERAGE(AL67:AN67)</f>
        <v>#DIV/0!</v>
      </c>
      <c r="AP67" s="90" t="e">
        <f t="shared" si="71"/>
        <v>#DIV/0!</v>
      </c>
      <c r="AQ67" s="90" t="e">
        <f t="shared" si="72"/>
        <v>#DIV/0!</v>
      </c>
      <c r="AR67" s="95" t="e">
        <f t="shared" si="41"/>
        <v>#DIV/0!</v>
      </c>
      <c r="AS67" s="95" t="e">
        <f t="shared" si="74"/>
        <v>#DIV/0!</v>
      </c>
      <c r="AT67" s="95" t="e">
        <f t="shared" si="73"/>
        <v>#DIV/0!</v>
      </c>
      <c r="AU67" s="90"/>
      <c r="AV67" s="135" t="s">
        <v>101</v>
      </c>
    </row>
    <row r="68" spans="2:48" s="86" customFormat="1" ht="14" x14ac:dyDescent="0.15">
      <c r="B68" s="90" t="s">
        <v>54</v>
      </c>
      <c r="C68" s="90" t="s">
        <v>55</v>
      </c>
      <c r="D68" s="96" t="s">
        <v>102</v>
      </c>
      <c r="E68" s="87" t="s">
        <v>57</v>
      </c>
      <c r="F68" s="89" t="s">
        <v>58</v>
      </c>
      <c r="G68" s="90" t="s">
        <v>59</v>
      </c>
      <c r="H68" s="90">
        <v>-20</v>
      </c>
      <c r="I68" s="96">
        <v>43933</v>
      </c>
      <c r="J68" s="90" t="s">
        <v>61</v>
      </c>
      <c r="K68" s="90" t="s">
        <v>62</v>
      </c>
      <c r="L68" s="90" t="s">
        <v>89</v>
      </c>
      <c r="M68" s="96" t="s">
        <v>90</v>
      </c>
      <c r="N68" s="90" t="s">
        <v>91</v>
      </c>
      <c r="O68" s="90" t="s">
        <v>92</v>
      </c>
      <c r="P68" s="90" t="s">
        <v>65</v>
      </c>
      <c r="Q68" s="99">
        <v>8.59</v>
      </c>
      <c r="R68" s="90">
        <v>4.6100000000000003</v>
      </c>
      <c r="S68" s="90">
        <v>330</v>
      </c>
      <c r="T68" s="90">
        <v>233736</v>
      </c>
      <c r="U68" s="87">
        <f t="shared" si="0"/>
        <v>233736000000</v>
      </c>
      <c r="V68" s="90" t="s">
        <v>93</v>
      </c>
      <c r="W68" s="90" t="s">
        <v>66</v>
      </c>
      <c r="X68" s="90" t="s">
        <v>94</v>
      </c>
      <c r="Y68" s="94">
        <v>22.02</v>
      </c>
      <c r="Z68" s="94">
        <v>19.41</v>
      </c>
      <c r="AA68" s="90"/>
      <c r="AB68" s="94">
        <f t="shared" si="67"/>
        <v>20.715</v>
      </c>
      <c r="AC68" s="94">
        <f t="shared" si="68"/>
        <v>1.3642101764766041</v>
      </c>
      <c r="AD68" s="95">
        <f t="shared" si="69"/>
        <v>159776306.90611023</v>
      </c>
      <c r="AE68" s="94">
        <f t="shared" si="65"/>
        <v>20.262758485450011</v>
      </c>
      <c r="AF68" s="94">
        <v>22.99</v>
      </c>
      <c r="AG68" s="94">
        <v>22.58</v>
      </c>
      <c r="AH68" s="90"/>
      <c r="AI68" s="94">
        <f t="shared" si="66"/>
        <v>22.784999999999997</v>
      </c>
      <c r="AJ68" s="90">
        <f t="shared" si="70"/>
        <v>694.00811958649638</v>
      </c>
      <c r="AK68" s="95">
        <f t="shared" si="37"/>
        <v>138.80162391729928</v>
      </c>
      <c r="AL68" s="90" t="s">
        <v>100</v>
      </c>
      <c r="AM68" s="90" t="s">
        <v>100</v>
      </c>
      <c r="AN68" s="90"/>
      <c r="AO68" s="94" t="e">
        <f t="shared" si="75"/>
        <v>#DIV/0!</v>
      </c>
      <c r="AP68" s="90" t="e">
        <f>EXP((AO68-15.746)/-1.512)</f>
        <v>#DIV/0!</v>
      </c>
      <c r="AQ68" s="90" t="e">
        <f t="shared" si="72"/>
        <v>#DIV/0!</v>
      </c>
      <c r="AR68" s="95" t="e">
        <f t="shared" si="41"/>
        <v>#DIV/0!</v>
      </c>
      <c r="AS68" s="95" t="e">
        <f t="shared" si="74"/>
        <v>#DIV/0!</v>
      </c>
      <c r="AT68" s="95" t="e">
        <f t="shared" si="73"/>
        <v>#DIV/0!</v>
      </c>
      <c r="AU68" s="90"/>
      <c r="AV68" s="90" t="s">
        <v>103</v>
      </c>
    </row>
    <row r="69" spans="2:48" s="56" customFormat="1" ht="14" x14ac:dyDescent="0.15">
      <c r="B69" s="45" t="s">
        <v>54</v>
      </c>
      <c r="C69" s="45" t="s">
        <v>55</v>
      </c>
      <c r="D69" s="52" t="s">
        <v>104</v>
      </c>
      <c r="E69" s="53" t="s">
        <v>57</v>
      </c>
      <c r="F69" s="54" t="s">
        <v>58</v>
      </c>
      <c r="G69" s="45" t="s">
        <v>59</v>
      </c>
      <c r="H69" s="45">
        <v>-20</v>
      </c>
      <c r="I69" s="52">
        <v>43933</v>
      </c>
      <c r="J69" s="45" t="s">
        <v>61</v>
      </c>
      <c r="K69" s="45" t="s">
        <v>62</v>
      </c>
      <c r="L69" s="45" t="s">
        <v>89</v>
      </c>
      <c r="M69" s="52" t="s">
        <v>90</v>
      </c>
      <c r="N69" s="45" t="s">
        <v>91</v>
      </c>
      <c r="O69" s="45" t="s">
        <v>92</v>
      </c>
      <c r="P69" s="45" t="s">
        <v>65</v>
      </c>
      <c r="Q69" s="55">
        <v>7.42</v>
      </c>
      <c r="R69" s="45">
        <v>4.37</v>
      </c>
      <c r="S69" s="45">
        <v>210</v>
      </c>
      <c r="T69" s="45">
        <v>426168</v>
      </c>
      <c r="U69" s="53">
        <f t="shared" si="0"/>
        <v>426168000000</v>
      </c>
      <c r="V69" s="45" t="s">
        <v>93</v>
      </c>
      <c r="W69" s="45" t="s">
        <v>66</v>
      </c>
      <c r="X69" s="45" t="s">
        <v>94</v>
      </c>
      <c r="Y69" s="49">
        <v>19.12</v>
      </c>
      <c r="Z69" s="49">
        <v>21.07</v>
      </c>
      <c r="AA69" s="45"/>
      <c r="AB69" s="49">
        <f t="shared" si="67"/>
        <v>20.094999999999999</v>
      </c>
      <c r="AC69" s="49">
        <f t="shared" si="68"/>
        <v>2.0659061473445002</v>
      </c>
      <c r="AD69" s="50">
        <f t="shared" si="69"/>
        <v>241958944.69124383</v>
      </c>
      <c r="AE69" s="49">
        <f t="shared" si="65"/>
        <v>30.685123186343581</v>
      </c>
      <c r="AF69" s="49">
        <v>24.5</v>
      </c>
      <c r="AG69" s="45">
        <v>25.55</v>
      </c>
      <c r="AH69" s="45"/>
      <c r="AI69" s="49">
        <f t="shared" si="66"/>
        <v>25.024999999999999</v>
      </c>
      <c r="AJ69" s="45">
        <f t="shared" si="70"/>
        <v>136.42280126673808</v>
      </c>
      <c r="AK69" s="50">
        <f t="shared" si="37"/>
        <v>27.284560253347614</v>
      </c>
      <c r="AL69" s="45">
        <v>35.71</v>
      </c>
      <c r="AM69" s="45">
        <v>36.15</v>
      </c>
      <c r="AN69" s="45"/>
      <c r="AO69" s="49">
        <f>AVERAGE(AL69:AN69)</f>
        <v>35.93</v>
      </c>
      <c r="AP69" s="45">
        <f t="shared" si="71"/>
        <v>1.5940918623004178E-6</v>
      </c>
      <c r="AQ69" s="45">
        <f t="shared" si="72"/>
        <v>94.420790004931092</v>
      </c>
      <c r="AR69" s="50">
        <f t="shared" si="41"/>
        <v>18.884158000986218</v>
      </c>
      <c r="AS69" s="50">
        <f t="shared" si="74"/>
        <v>0.69211883298244736</v>
      </c>
      <c r="AT69" s="50">
        <f t="shared" si="73"/>
        <v>294958898814.46362</v>
      </c>
      <c r="AU69" s="45"/>
      <c r="AV69" s="45"/>
    </row>
    <row r="70" spans="2:48" s="56" customFormat="1" ht="14" x14ac:dyDescent="0.15">
      <c r="B70" s="45" t="s">
        <v>54</v>
      </c>
      <c r="C70" s="45" t="s">
        <v>55</v>
      </c>
      <c r="D70" s="52">
        <v>43840</v>
      </c>
      <c r="E70" s="53" t="s">
        <v>57</v>
      </c>
      <c r="F70" s="54" t="s">
        <v>58</v>
      </c>
      <c r="G70" s="45" t="s">
        <v>59</v>
      </c>
      <c r="H70" s="45">
        <v>-20</v>
      </c>
      <c r="I70" s="52">
        <v>43933</v>
      </c>
      <c r="J70" s="45" t="s">
        <v>61</v>
      </c>
      <c r="K70" s="45" t="s">
        <v>62</v>
      </c>
      <c r="L70" s="45" t="s">
        <v>89</v>
      </c>
      <c r="M70" s="52" t="s">
        <v>90</v>
      </c>
      <c r="N70" s="45" t="s">
        <v>91</v>
      </c>
      <c r="O70" s="45" t="s">
        <v>92</v>
      </c>
      <c r="P70" s="45" t="s">
        <v>65</v>
      </c>
      <c r="Q70" s="55">
        <v>7.56</v>
      </c>
      <c r="R70" s="45">
        <v>4.58</v>
      </c>
      <c r="S70" s="45">
        <v>190</v>
      </c>
      <c r="T70" s="45">
        <v>295056</v>
      </c>
      <c r="U70" s="53">
        <f t="shared" si="0"/>
        <v>295056000000</v>
      </c>
      <c r="V70" s="45" t="s">
        <v>93</v>
      </c>
      <c r="W70" s="45" t="s">
        <v>66</v>
      </c>
      <c r="X70" s="45" t="s">
        <v>94</v>
      </c>
      <c r="Y70" s="49">
        <v>18.190000000000001</v>
      </c>
      <c r="Z70" s="49">
        <v>18.62</v>
      </c>
      <c r="AA70" s="45"/>
      <c r="AB70" s="49">
        <f t="shared" si="67"/>
        <v>18.405000000000001</v>
      </c>
      <c r="AC70" s="49">
        <f t="shared" si="68"/>
        <v>6.4029599448525563</v>
      </c>
      <c r="AD70" s="50">
        <f t="shared" si="69"/>
        <v>749914720.54440987</v>
      </c>
      <c r="AE70" s="49">
        <f t="shared" si="65"/>
        <v>95.103843375253348</v>
      </c>
      <c r="AF70" s="49">
        <v>24.49</v>
      </c>
      <c r="AG70" s="45">
        <v>24.9</v>
      </c>
      <c r="AH70" s="45"/>
      <c r="AI70" s="49">
        <f t="shared" si="66"/>
        <v>24.695</v>
      </c>
      <c r="AJ70" s="45">
        <f t="shared" si="70"/>
        <v>173.36692674497155</v>
      </c>
      <c r="AK70" s="50">
        <f t="shared" si="37"/>
        <v>34.673385348994309</v>
      </c>
      <c r="AL70" s="45">
        <v>33.08</v>
      </c>
      <c r="AM70" s="45">
        <v>34.119999999999997</v>
      </c>
      <c r="AN70" s="45"/>
      <c r="AO70" s="49">
        <f>AVERAGE(AL70:AN70)</f>
        <v>33.599999999999994</v>
      </c>
      <c r="AP70" s="45">
        <f t="shared" si="71"/>
        <v>7.4432642787186471E-6</v>
      </c>
      <c r="AQ70" s="45">
        <f t="shared" si="72"/>
        <v>440.87728570290562</v>
      </c>
      <c r="AR70" s="50">
        <f t="shared" si="41"/>
        <v>88.17545714058113</v>
      </c>
      <c r="AS70" s="50">
        <f t="shared" si="74"/>
        <v>2.543029942218741</v>
      </c>
      <c r="AT70" s="50">
        <f t="shared" si="73"/>
        <v>750336242631.29285</v>
      </c>
      <c r="AU70" s="45"/>
      <c r="AV70" s="45"/>
    </row>
    <row r="71" spans="2:48" s="56" customFormat="1" ht="14" x14ac:dyDescent="0.15">
      <c r="B71" s="45" t="s">
        <v>54</v>
      </c>
      <c r="C71" s="45" t="s">
        <v>55</v>
      </c>
      <c r="D71" s="52">
        <v>43871</v>
      </c>
      <c r="E71" s="53" t="s">
        <v>57</v>
      </c>
      <c r="F71" s="54" t="s">
        <v>58</v>
      </c>
      <c r="G71" s="45" t="s">
        <v>59</v>
      </c>
      <c r="H71" s="45">
        <v>-20</v>
      </c>
      <c r="I71" s="52">
        <v>43933</v>
      </c>
      <c r="J71" s="45" t="s">
        <v>61</v>
      </c>
      <c r="K71" s="45" t="s">
        <v>62</v>
      </c>
      <c r="L71" s="45" t="s">
        <v>89</v>
      </c>
      <c r="M71" s="52" t="s">
        <v>90</v>
      </c>
      <c r="N71" s="45" t="s">
        <v>91</v>
      </c>
      <c r="O71" s="45" t="s">
        <v>92</v>
      </c>
      <c r="P71" s="45" t="s">
        <v>65</v>
      </c>
      <c r="Q71" s="55">
        <v>7.65</v>
      </c>
      <c r="R71" s="45">
        <v>3.73</v>
      </c>
      <c r="S71" s="45">
        <v>200</v>
      </c>
      <c r="T71" s="45">
        <v>321072</v>
      </c>
      <c r="U71" s="53">
        <f t="shared" si="0"/>
        <v>321072000000</v>
      </c>
      <c r="V71" s="45" t="s">
        <v>93</v>
      </c>
      <c r="W71" s="45" t="s">
        <v>66</v>
      </c>
      <c r="X71" s="45" t="s">
        <v>94</v>
      </c>
      <c r="Y71" s="49">
        <v>18.52</v>
      </c>
      <c r="Z71" s="49">
        <v>19.27</v>
      </c>
      <c r="AA71" s="45"/>
      <c r="AB71" s="49">
        <f t="shared" si="67"/>
        <v>18.895</v>
      </c>
      <c r="AC71" s="49">
        <f t="shared" si="68"/>
        <v>4.6125543562130087</v>
      </c>
      <c r="AD71" s="50">
        <f t="shared" si="69"/>
        <v>540222403.51763296</v>
      </c>
      <c r="AE71" s="49">
        <f t="shared" si="65"/>
        <v>68.510759216255877</v>
      </c>
      <c r="AF71" s="45">
        <v>23.34</v>
      </c>
      <c r="AG71" s="45">
        <v>26.79</v>
      </c>
      <c r="AH71" s="45"/>
      <c r="AI71" s="49">
        <f t="shared" si="66"/>
        <v>25.064999999999998</v>
      </c>
      <c r="AJ71" s="45">
        <f t="shared" si="70"/>
        <v>132.51690731344601</v>
      </c>
      <c r="AK71" s="50">
        <f t="shared" si="37"/>
        <v>26.503381462689202</v>
      </c>
      <c r="AL71" s="45">
        <v>34.130000000000003</v>
      </c>
      <c r="AM71" s="45">
        <v>33.29</v>
      </c>
      <c r="AN71" s="45"/>
      <c r="AO71" s="49">
        <f>AVERAGE(AL71:AN71)</f>
        <v>33.71</v>
      </c>
      <c r="AP71" s="45">
        <f t="shared" si="71"/>
        <v>6.9209855292572844E-6</v>
      </c>
      <c r="AQ71" s="45">
        <f t="shared" si="72"/>
        <v>409.94182125873942</v>
      </c>
      <c r="AR71" s="50">
        <f t="shared" si="41"/>
        <v>81.988364251747882</v>
      </c>
      <c r="AS71" s="50">
        <f t="shared" si="74"/>
        <v>3.0935057991437453</v>
      </c>
      <c r="AT71" s="50">
        <f t="shared" si="73"/>
        <v>993238093942.68066</v>
      </c>
      <c r="AU71" s="45"/>
      <c r="AV71" s="45"/>
    </row>
    <row r="72" spans="2:48" s="86" customFormat="1" ht="14" x14ac:dyDescent="0.15">
      <c r="B72" s="90" t="s">
        <v>54</v>
      </c>
      <c r="C72" s="90" t="s">
        <v>55</v>
      </c>
      <c r="D72" s="96">
        <v>43961</v>
      </c>
      <c r="E72" s="87" t="s">
        <v>57</v>
      </c>
      <c r="F72" s="89" t="s">
        <v>58</v>
      </c>
      <c r="G72" s="90" t="s">
        <v>59</v>
      </c>
      <c r="H72" s="90">
        <v>-20</v>
      </c>
      <c r="I72" s="96">
        <v>43933</v>
      </c>
      <c r="J72" s="90" t="s">
        <v>61</v>
      </c>
      <c r="K72" s="90" t="s">
        <v>62</v>
      </c>
      <c r="L72" s="90" t="s">
        <v>89</v>
      </c>
      <c r="M72" s="96" t="s">
        <v>90</v>
      </c>
      <c r="N72" s="90" t="s">
        <v>91</v>
      </c>
      <c r="O72" s="90" t="s">
        <v>92</v>
      </c>
      <c r="P72" s="90" t="s">
        <v>65</v>
      </c>
      <c r="Q72" s="99">
        <v>7.8</v>
      </c>
      <c r="R72" s="90">
        <v>4.5599999999999996</v>
      </c>
      <c r="S72" s="90">
        <v>250</v>
      </c>
      <c r="T72" s="90">
        <v>200664</v>
      </c>
      <c r="U72" s="87">
        <f t="shared" si="0"/>
        <v>200664000000</v>
      </c>
      <c r="V72" s="90" t="s">
        <v>93</v>
      </c>
      <c r="W72" s="90" t="s">
        <v>66</v>
      </c>
      <c r="X72" s="90" t="s">
        <v>94</v>
      </c>
      <c r="Y72" s="94">
        <v>18.920000000000002</v>
      </c>
      <c r="Z72" s="94">
        <v>19.829999999999998</v>
      </c>
      <c r="AA72" s="90"/>
      <c r="AB72" s="94">
        <f t="shared" si="67"/>
        <v>19.375</v>
      </c>
      <c r="AC72" s="94">
        <f t="shared" si="68"/>
        <v>3.3451002166963621</v>
      </c>
      <c r="AD72" s="95">
        <f t="shared" si="69"/>
        <v>391778164.44307971</v>
      </c>
      <c r="AE72" s="94">
        <f t="shared" si="65"/>
        <v>49.685128412987844</v>
      </c>
      <c r="AF72" s="90">
        <v>23.13</v>
      </c>
      <c r="AG72" s="90">
        <v>23.65</v>
      </c>
      <c r="AH72" s="90"/>
      <c r="AI72" s="94">
        <f t="shared" si="66"/>
        <v>23.39</v>
      </c>
      <c r="AJ72" s="90">
        <f t="shared" si="70"/>
        <v>447.25223991629753</v>
      </c>
      <c r="AK72" s="95">
        <f t="shared" si="37"/>
        <v>89.450447983259508</v>
      </c>
      <c r="AL72" s="90" t="s">
        <v>100</v>
      </c>
      <c r="AM72" s="90" t="s">
        <v>100</v>
      </c>
      <c r="AN72" s="90"/>
      <c r="AO72" s="94" t="e">
        <f t="shared" ref="AO72:AO74" si="76">AVERAGE(AL72:AN72)</f>
        <v>#DIV/0!</v>
      </c>
      <c r="AP72" s="90" t="e">
        <f t="shared" si="71"/>
        <v>#DIV/0!</v>
      </c>
      <c r="AQ72" s="90" t="e">
        <f t="shared" si="72"/>
        <v>#DIV/0!</v>
      </c>
      <c r="AR72" s="95" t="e">
        <f t="shared" si="41"/>
        <v>#DIV/0!</v>
      </c>
      <c r="AS72" s="95" t="e">
        <f t="shared" si="74"/>
        <v>#DIV/0!</v>
      </c>
      <c r="AT72" s="95" t="e">
        <f t="shared" si="73"/>
        <v>#DIV/0!</v>
      </c>
      <c r="AU72" s="90"/>
      <c r="AV72" s="90" t="s">
        <v>103</v>
      </c>
    </row>
    <row r="73" spans="2:48" s="86" customFormat="1" ht="14" x14ac:dyDescent="0.15">
      <c r="B73" s="90" t="s">
        <v>54</v>
      </c>
      <c r="C73" s="90" t="s">
        <v>55</v>
      </c>
      <c r="D73" s="96" t="s">
        <v>99</v>
      </c>
      <c r="E73" s="87" t="s">
        <v>57</v>
      </c>
      <c r="F73" s="89" t="s">
        <v>58</v>
      </c>
      <c r="G73" s="90" t="s">
        <v>59</v>
      </c>
      <c r="H73" s="90">
        <v>-20</v>
      </c>
      <c r="I73" s="96">
        <v>43933</v>
      </c>
      <c r="J73" s="90" t="s">
        <v>61</v>
      </c>
      <c r="K73" s="90" t="s">
        <v>62</v>
      </c>
      <c r="L73" s="90" t="s">
        <v>89</v>
      </c>
      <c r="M73" s="96" t="s">
        <v>90</v>
      </c>
      <c r="N73" s="90" t="s">
        <v>91</v>
      </c>
      <c r="O73" s="90" t="s">
        <v>92</v>
      </c>
      <c r="P73" s="90" t="s">
        <v>65</v>
      </c>
      <c r="Q73" s="99">
        <v>7.84</v>
      </c>
      <c r="R73" s="90">
        <v>4.2699999999999996</v>
      </c>
      <c r="S73" s="90">
        <v>300</v>
      </c>
      <c r="T73" s="90">
        <v>319488</v>
      </c>
      <c r="U73" s="87">
        <f t="shared" si="0"/>
        <v>319488000000</v>
      </c>
      <c r="V73" s="90" t="s">
        <v>93</v>
      </c>
      <c r="W73" s="90" t="s">
        <v>66</v>
      </c>
      <c r="X73" s="90" t="s">
        <v>94</v>
      </c>
      <c r="Y73" s="94">
        <v>20.149999999999999</v>
      </c>
      <c r="Z73" s="94">
        <v>20.75</v>
      </c>
      <c r="AA73" s="90"/>
      <c r="AB73" s="94">
        <f t="shared" si="67"/>
        <v>20.45</v>
      </c>
      <c r="AC73" s="94">
        <f t="shared" si="68"/>
        <v>1.6289763431968496</v>
      </c>
      <c r="AD73" s="95">
        <f t="shared" si="69"/>
        <v>190785722.49448147</v>
      </c>
      <c r="AE73" s="94">
        <f t="shared" si="65"/>
        <v>24.195358449794828</v>
      </c>
      <c r="AF73" s="90">
        <v>24.83</v>
      </c>
      <c r="AG73" s="90">
        <v>25.18</v>
      </c>
      <c r="AH73" s="90"/>
      <c r="AI73" s="94">
        <f t="shared" si="66"/>
        <v>25.004999999999999</v>
      </c>
      <c r="AJ73" s="90">
        <f t="shared" si="70"/>
        <v>138.41871034508986</v>
      </c>
      <c r="AK73" s="95">
        <f t="shared" si="37"/>
        <v>27.683742069017974</v>
      </c>
      <c r="AL73" s="90" t="s">
        <v>100</v>
      </c>
      <c r="AM73" s="90" t="s">
        <v>100</v>
      </c>
      <c r="AN73" s="90"/>
      <c r="AO73" s="94" t="e">
        <f t="shared" si="76"/>
        <v>#DIV/0!</v>
      </c>
      <c r="AP73" s="90" t="e">
        <f t="shared" si="71"/>
        <v>#DIV/0!</v>
      </c>
      <c r="AQ73" s="90" t="e">
        <f t="shared" si="72"/>
        <v>#DIV/0!</v>
      </c>
      <c r="AR73" s="95" t="e">
        <f t="shared" si="41"/>
        <v>#DIV/0!</v>
      </c>
      <c r="AS73" s="95" t="e">
        <f t="shared" si="74"/>
        <v>#DIV/0!</v>
      </c>
      <c r="AT73" s="95" t="e">
        <f t="shared" si="73"/>
        <v>#DIV/0!</v>
      </c>
      <c r="AU73" s="90"/>
      <c r="AV73" s="90" t="s">
        <v>103</v>
      </c>
    </row>
    <row r="74" spans="2:48" s="5" customFormat="1" ht="14" x14ac:dyDescent="0.15">
      <c r="B74" s="8"/>
      <c r="C74" s="8"/>
      <c r="D74" s="17"/>
      <c r="E74" s="10" t="s">
        <v>105</v>
      </c>
      <c r="F74" s="8"/>
      <c r="G74" s="8" t="s">
        <v>106</v>
      </c>
      <c r="H74" s="8">
        <v>-80</v>
      </c>
      <c r="I74" s="8"/>
      <c r="J74" s="8"/>
      <c r="K74" s="8"/>
      <c r="L74" s="8"/>
      <c r="M74" s="8"/>
      <c r="N74" s="10" t="s">
        <v>107</v>
      </c>
      <c r="O74" s="8" t="s">
        <v>108</v>
      </c>
      <c r="P74" s="8" t="s">
        <v>108</v>
      </c>
      <c r="Q74" s="20" t="s">
        <v>108</v>
      </c>
      <c r="R74" s="8" t="s">
        <v>108</v>
      </c>
      <c r="S74" s="8" t="s">
        <v>108</v>
      </c>
      <c r="T74" s="8" t="s">
        <v>108</v>
      </c>
      <c r="U74" s="10" t="e">
        <f t="shared" si="0"/>
        <v>#VALUE!</v>
      </c>
      <c r="V74" s="8" t="s">
        <v>93</v>
      </c>
      <c r="W74" s="8" t="s">
        <v>66</v>
      </c>
      <c r="X74" s="8" t="s">
        <v>94</v>
      </c>
      <c r="Y74" s="18">
        <v>18.04</v>
      </c>
      <c r="Z74" s="18">
        <v>18.62</v>
      </c>
      <c r="AA74" s="8"/>
      <c r="AB74" s="18">
        <f t="shared" ref="AB74" si="77">AVERAGE(Y74:AA74)</f>
        <v>18.329999999999998</v>
      </c>
      <c r="AC74" s="18">
        <f t="shared" si="68"/>
        <v>6.7325985129625687</v>
      </c>
      <c r="AD74" s="19">
        <f t="shared" si="69"/>
        <v>788521992.30840206</v>
      </c>
      <c r="AE74" s="18">
        <f t="shared" si="65"/>
        <v>100</v>
      </c>
      <c r="AF74" s="8" t="s">
        <v>95</v>
      </c>
      <c r="AG74" s="8" t="s">
        <v>95</v>
      </c>
      <c r="AH74" s="8" t="s">
        <v>109</v>
      </c>
      <c r="AI74" s="18" t="e">
        <f t="shared" si="66"/>
        <v>#DIV/0!</v>
      </c>
      <c r="AJ74" s="8" t="e">
        <f t="shared" si="70"/>
        <v>#DIV/0!</v>
      </c>
      <c r="AK74" s="50" t="e">
        <f t="shared" si="37"/>
        <v>#DIV/0!</v>
      </c>
      <c r="AL74" s="8" t="s">
        <v>100</v>
      </c>
      <c r="AM74" s="8" t="s">
        <v>100</v>
      </c>
      <c r="AN74" s="8"/>
      <c r="AO74" s="18" t="e">
        <f t="shared" si="76"/>
        <v>#DIV/0!</v>
      </c>
      <c r="AP74" s="8" t="e">
        <f t="shared" si="71"/>
        <v>#DIV/0!</v>
      </c>
      <c r="AQ74" s="8" t="e">
        <f>(AP74*(6.0221*10^23))/(B11*340*10^9)</f>
        <v>#DIV/0!</v>
      </c>
      <c r="AR74" s="50" t="e">
        <f t="shared" si="41"/>
        <v>#DIV/0!</v>
      </c>
      <c r="AS74" s="19" t="e">
        <f t="shared" si="74"/>
        <v>#DIV/0!</v>
      </c>
      <c r="AT74" s="19" t="e">
        <f t="shared" si="73"/>
        <v>#DIV/0!</v>
      </c>
      <c r="AU74" s="8"/>
      <c r="AV74" s="8"/>
    </row>
    <row r="75" spans="2:48" s="5" customFormat="1" x14ac:dyDescent="0.15">
      <c r="B75" s="8"/>
      <c r="C75" s="8"/>
      <c r="D75" s="17"/>
      <c r="E75" s="8" t="s">
        <v>109</v>
      </c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10">
        <f t="shared" si="0"/>
        <v>0</v>
      </c>
      <c r="V75" s="8"/>
      <c r="W75" s="8"/>
      <c r="X75" s="8"/>
      <c r="Y75" s="8"/>
      <c r="Z75" s="8"/>
      <c r="AA75" s="8"/>
      <c r="AB75" s="8"/>
      <c r="AC75" s="18"/>
      <c r="AD75" s="19"/>
      <c r="AE75" s="18"/>
      <c r="AF75" s="8"/>
      <c r="AG75" s="8"/>
      <c r="AH75" s="8"/>
      <c r="AI75" s="8"/>
      <c r="AJ75" s="8"/>
      <c r="AK75" s="50">
        <f t="shared" si="37"/>
        <v>0</v>
      </c>
      <c r="AL75" s="8"/>
      <c r="AM75" s="8"/>
      <c r="AN75" s="8"/>
      <c r="AO75" s="8"/>
      <c r="AP75" s="8"/>
      <c r="AQ75" s="8"/>
      <c r="AR75" s="50"/>
      <c r="AS75" s="19"/>
      <c r="AT75" s="8"/>
      <c r="AU75" s="8"/>
      <c r="AV75" s="8"/>
    </row>
    <row r="76" spans="2:48" s="56" customFormat="1" ht="14" x14ac:dyDescent="0.15">
      <c r="B76" s="45" t="s">
        <v>54</v>
      </c>
      <c r="C76" s="45" t="s">
        <v>55</v>
      </c>
      <c r="D76" s="65" t="s">
        <v>110</v>
      </c>
      <c r="E76" s="45" t="s">
        <v>57</v>
      </c>
      <c r="F76" s="54" t="s">
        <v>58</v>
      </c>
      <c r="G76" s="45" t="s">
        <v>59</v>
      </c>
      <c r="H76" s="45">
        <v>-20</v>
      </c>
      <c r="I76" s="52" t="s">
        <v>111</v>
      </c>
      <c r="J76" s="45" t="s">
        <v>61</v>
      </c>
      <c r="K76" s="45" t="s">
        <v>62</v>
      </c>
      <c r="L76" s="45" t="s">
        <v>89</v>
      </c>
      <c r="M76" s="45" t="s">
        <v>112</v>
      </c>
      <c r="N76" s="45" t="s">
        <v>91</v>
      </c>
      <c r="O76" s="45" t="s">
        <v>92</v>
      </c>
      <c r="P76" s="45" t="s">
        <v>65</v>
      </c>
      <c r="Q76" s="45">
        <v>8.65</v>
      </c>
      <c r="R76" s="45">
        <v>4.1900000000000004</v>
      </c>
      <c r="S76" s="45">
        <v>210</v>
      </c>
      <c r="T76" s="45">
        <v>209112</v>
      </c>
      <c r="U76" s="53">
        <f t="shared" si="0"/>
        <v>209112000000</v>
      </c>
      <c r="V76" s="45" t="s">
        <v>113</v>
      </c>
      <c r="W76" s="45" t="s">
        <v>66</v>
      </c>
      <c r="X76" s="45" t="s">
        <v>114</v>
      </c>
      <c r="Y76" s="45">
        <v>21.13</v>
      </c>
      <c r="Z76" s="45">
        <v>21.09</v>
      </c>
      <c r="AA76" s="45"/>
      <c r="AB76" s="49">
        <f t="shared" ref="AB76:AB86" si="78">AVERAGE(Y76:AA76)</f>
        <v>21.11</v>
      </c>
      <c r="AC76" s="49">
        <f t="shared" ref="AC76:AC86" si="79">EXP((AB76-21.179)/-1.494)</f>
        <v>1.0472678642589164</v>
      </c>
      <c r="AD76" s="50">
        <f t="shared" ref="AD76:AD86" si="80">(AC76*(6.0221*10^23))/(15123*340*10^9)</f>
        <v>122656020.73494637</v>
      </c>
      <c r="AE76" s="49">
        <f t="shared" ref="AE76:AE86" si="81">AD76*100/AD$86</f>
        <v>19.99331090702189</v>
      </c>
      <c r="AF76" s="49">
        <v>24.1</v>
      </c>
      <c r="AG76" s="45">
        <v>23.84</v>
      </c>
      <c r="AH76" s="45"/>
      <c r="AI76" s="49">
        <f t="shared" ref="AI76:AI86" si="82">AVERAGE(AF76:AH76)</f>
        <v>23.97</v>
      </c>
      <c r="AJ76" s="45">
        <f t="shared" si="70"/>
        <v>293.51161462965825</v>
      </c>
      <c r="AK76" s="50">
        <f t="shared" si="37"/>
        <v>58.702322925931654</v>
      </c>
      <c r="AL76" s="45">
        <v>35.93</v>
      </c>
      <c r="AM76" s="45">
        <v>34.69</v>
      </c>
      <c r="AN76" s="45"/>
      <c r="AO76" s="49">
        <f t="shared" ref="AO76:AO82" si="83">AVERAGE(AL76:AN76)</f>
        <v>35.31</v>
      </c>
      <c r="AP76" s="45">
        <f>EXP((AO76-15.746)/-1.512)</f>
        <v>2.4021330628430918E-6</v>
      </c>
      <c r="AQ76" s="45">
        <f>(AP76*(6.0221*10^23))/(29903*340*10^9)</f>
        <v>142.28245363683146</v>
      </c>
      <c r="AR76" s="50">
        <f t="shared" si="41"/>
        <v>28.456490727366294</v>
      </c>
      <c r="AS76" s="50">
        <f t="shared" si="74"/>
        <v>0.48475919365698023</v>
      </c>
      <c r="AT76" s="50">
        <f>AS76*U76</f>
        <v>101368964503.99844</v>
      </c>
      <c r="AU76" s="45"/>
      <c r="AV76" s="45"/>
    </row>
    <row r="77" spans="2:48" s="56" customFormat="1" ht="15" x14ac:dyDescent="0.2">
      <c r="B77" s="45" t="s">
        <v>54</v>
      </c>
      <c r="C77" s="45" t="s">
        <v>55</v>
      </c>
      <c r="D77" s="52" t="s">
        <v>115</v>
      </c>
      <c r="E77" s="45" t="s">
        <v>57</v>
      </c>
      <c r="F77" s="54" t="s">
        <v>58</v>
      </c>
      <c r="G77" s="45" t="s">
        <v>59</v>
      </c>
      <c r="H77" s="45">
        <v>-20</v>
      </c>
      <c r="I77" s="52" t="s">
        <v>111</v>
      </c>
      <c r="J77" s="45" t="s">
        <v>61</v>
      </c>
      <c r="K77" s="45" t="s">
        <v>62</v>
      </c>
      <c r="L77" s="45" t="s">
        <v>89</v>
      </c>
      <c r="M77" s="45" t="s">
        <v>112</v>
      </c>
      <c r="N77" s="45" t="s">
        <v>91</v>
      </c>
      <c r="O77" s="45" t="s">
        <v>92</v>
      </c>
      <c r="P77" s="45" t="s">
        <v>65</v>
      </c>
      <c r="Q77" s="45">
        <v>7.88</v>
      </c>
      <c r="R77" s="45">
        <v>4.2699999999999996</v>
      </c>
      <c r="S77" s="45">
        <v>280</v>
      </c>
      <c r="T77" s="175">
        <v>188232</v>
      </c>
      <c r="U77" s="53">
        <f t="shared" si="0"/>
        <v>188232000000</v>
      </c>
      <c r="V77" s="45" t="s">
        <v>113</v>
      </c>
      <c r="W77" s="45" t="s">
        <v>66</v>
      </c>
      <c r="X77" s="45" t="s">
        <v>114</v>
      </c>
      <c r="Y77" s="49">
        <v>21.7</v>
      </c>
      <c r="Z77" s="45">
        <v>21.75</v>
      </c>
      <c r="AA77" s="45"/>
      <c r="AB77" s="49">
        <f t="shared" si="78"/>
        <v>21.725000000000001</v>
      </c>
      <c r="AC77" s="49">
        <f t="shared" si="79"/>
        <v>0.69387611199265076</v>
      </c>
      <c r="AD77" s="50">
        <f t="shared" si="80"/>
        <v>81266775.850398138</v>
      </c>
      <c r="AE77" s="49">
        <f t="shared" si="81"/>
        <v>13.246735922563181</v>
      </c>
      <c r="AF77" s="45">
        <v>22.39</v>
      </c>
      <c r="AG77" s="45">
        <v>22.66</v>
      </c>
      <c r="AH77" s="45"/>
      <c r="AI77" s="49">
        <f t="shared" si="82"/>
        <v>22.524999999999999</v>
      </c>
      <c r="AJ77" s="45">
        <f t="shared" si="70"/>
        <v>838.23620422186787</v>
      </c>
      <c r="AK77" s="50">
        <f t="shared" si="37"/>
        <v>167.64724084437358</v>
      </c>
      <c r="AL77" s="45">
        <v>35.729999999999997</v>
      </c>
      <c r="AM77" s="45">
        <v>38.15</v>
      </c>
      <c r="AN77" s="45"/>
      <c r="AO77" s="49">
        <f t="shared" si="83"/>
        <v>36.94</v>
      </c>
      <c r="AP77" s="45">
        <f t="shared" ref="AP77:AP112" si="84">EXP((AO77-15.746)/-1.512)</f>
        <v>8.1735218237108468E-7</v>
      </c>
      <c r="AQ77" s="45">
        <f t="shared" ref="AQ77:AQ112" si="85">(AP77*(6.0221*10^23))/(29903*340*10^9)</f>
        <v>48.413169025505098</v>
      </c>
      <c r="AR77" s="50">
        <f t="shared" si="41"/>
        <v>9.6826338051010197</v>
      </c>
      <c r="AS77" s="50">
        <f t="shared" si="74"/>
        <v>5.775599858568134E-2</v>
      </c>
      <c r="AT77" s="50">
        <f t="shared" ref="AT77:AT112" si="86">AS77*U77</f>
        <v>10871527125.77997</v>
      </c>
      <c r="AU77" s="45"/>
      <c r="AV77" s="45"/>
    </row>
    <row r="78" spans="2:48" s="51" customFormat="1" ht="14" x14ac:dyDescent="0.15">
      <c r="B78" s="45" t="s">
        <v>54</v>
      </c>
      <c r="C78" s="45" t="s">
        <v>55</v>
      </c>
      <c r="D78" s="52" t="s">
        <v>116</v>
      </c>
      <c r="E78" s="45" t="s">
        <v>57</v>
      </c>
      <c r="F78" s="54" t="s">
        <v>58</v>
      </c>
      <c r="G78" s="45" t="s">
        <v>59</v>
      </c>
      <c r="H78" s="45">
        <v>-20</v>
      </c>
      <c r="I78" s="52" t="s">
        <v>111</v>
      </c>
      <c r="J78" s="45" t="s">
        <v>61</v>
      </c>
      <c r="K78" s="45" t="s">
        <v>62</v>
      </c>
      <c r="L78" s="45" t="s">
        <v>89</v>
      </c>
      <c r="M78" s="45" t="s">
        <v>112</v>
      </c>
      <c r="N78" s="45" t="s">
        <v>91</v>
      </c>
      <c r="O78" s="45" t="s">
        <v>92</v>
      </c>
      <c r="P78" s="45" t="s">
        <v>65</v>
      </c>
      <c r="Q78" s="45">
        <v>7.92</v>
      </c>
      <c r="R78" s="45">
        <v>4.62</v>
      </c>
      <c r="S78" s="45">
        <v>300</v>
      </c>
      <c r="T78" s="45">
        <v>182904</v>
      </c>
      <c r="U78" s="53">
        <f t="shared" si="0"/>
        <v>182904000000</v>
      </c>
      <c r="V78" s="45" t="s">
        <v>113</v>
      </c>
      <c r="W78" s="45" t="s">
        <v>66</v>
      </c>
      <c r="X78" s="45" t="s">
        <v>114</v>
      </c>
      <c r="Y78" s="45">
        <v>21.82</v>
      </c>
      <c r="Z78" s="45">
        <v>21.38</v>
      </c>
      <c r="AA78" s="45"/>
      <c r="AB78" s="49">
        <f t="shared" si="78"/>
        <v>21.6</v>
      </c>
      <c r="AC78" s="49">
        <f t="shared" si="79"/>
        <v>0.75442920009092496</v>
      </c>
      <c r="AD78" s="50">
        <f t="shared" si="80"/>
        <v>88358754.018374011</v>
      </c>
      <c r="AE78" s="49">
        <f t="shared" si="81"/>
        <v>14.402750308229244</v>
      </c>
      <c r="AF78" s="49">
        <v>22.8</v>
      </c>
      <c r="AG78" s="45">
        <v>22.69</v>
      </c>
      <c r="AH78" s="45"/>
      <c r="AI78" s="49">
        <f t="shared" si="82"/>
        <v>22.745000000000001</v>
      </c>
      <c r="AJ78" s="45">
        <f t="shared" si="70"/>
        <v>714.46378952917394</v>
      </c>
      <c r="AK78" s="50">
        <f t="shared" si="37"/>
        <v>142.8927579058348</v>
      </c>
      <c r="AL78" s="45">
        <v>35.58</v>
      </c>
      <c r="AM78" s="45">
        <v>37.11</v>
      </c>
      <c r="AN78" s="45"/>
      <c r="AO78" s="49">
        <f t="shared" si="83"/>
        <v>36.344999999999999</v>
      </c>
      <c r="AP78" s="45">
        <f t="shared" si="84"/>
        <v>1.2114685595752181E-6</v>
      </c>
      <c r="AQ78" s="45">
        <f t="shared" si="85"/>
        <v>71.757356753679247</v>
      </c>
      <c r="AR78" s="50">
        <f t="shared" si="41"/>
        <v>14.351471350735849</v>
      </c>
      <c r="AS78" s="50">
        <f t="shared" si="74"/>
        <v>0.10043526040832214</v>
      </c>
      <c r="AT78" s="50">
        <f t="shared" si="86"/>
        <v>18370010869.723751</v>
      </c>
      <c r="AU78" s="45"/>
      <c r="AV78" s="45"/>
    </row>
    <row r="79" spans="2:48" s="51" customFormat="1" ht="14" x14ac:dyDescent="0.15">
      <c r="B79" s="45" t="s">
        <v>54</v>
      </c>
      <c r="C79" s="45" t="s">
        <v>55</v>
      </c>
      <c r="D79" s="65" t="s">
        <v>117</v>
      </c>
      <c r="E79" s="45" t="s">
        <v>57</v>
      </c>
      <c r="F79" s="54" t="s">
        <v>58</v>
      </c>
      <c r="G79" s="45" t="s">
        <v>59</v>
      </c>
      <c r="H79" s="45">
        <v>-20</v>
      </c>
      <c r="I79" s="52" t="s">
        <v>111</v>
      </c>
      <c r="J79" s="45" t="s">
        <v>61</v>
      </c>
      <c r="K79" s="45" t="s">
        <v>62</v>
      </c>
      <c r="L79" s="45" t="s">
        <v>89</v>
      </c>
      <c r="M79" s="45" t="s">
        <v>112</v>
      </c>
      <c r="N79" s="45" t="s">
        <v>91</v>
      </c>
      <c r="O79" s="45" t="s">
        <v>92</v>
      </c>
      <c r="P79" s="45" t="s">
        <v>65</v>
      </c>
      <c r="Q79" s="45">
        <v>8.49</v>
      </c>
      <c r="R79" s="45">
        <v>4.66</v>
      </c>
      <c r="S79" s="45">
        <v>260</v>
      </c>
      <c r="T79" s="45">
        <v>205512</v>
      </c>
      <c r="U79" s="53">
        <f t="shared" si="0"/>
        <v>205512000000</v>
      </c>
      <c r="V79" s="45" t="s">
        <v>113</v>
      </c>
      <c r="W79" s="45" t="s">
        <v>66</v>
      </c>
      <c r="X79" s="45" t="s">
        <v>114</v>
      </c>
      <c r="Y79" s="45">
        <v>21.39</v>
      </c>
      <c r="Z79" s="45">
        <v>21.32</v>
      </c>
      <c r="AA79" s="45"/>
      <c r="AB79" s="49">
        <f t="shared" si="78"/>
        <v>21.355</v>
      </c>
      <c r="AC79" s="49">
        <f t="shared" si="79"/>
        <v>0.88886976386520522</v>
      </c>
      <c r="AD79" s="50">
        <f t="shared" si="80"/>
        <v>104104433.93531184</v>
      </c>
      <c r="AE79" s="49">
        <f t="shared" si="81"/>
        <v>16.969344855610444</v>
      </c>
      <c r="AF79" s="45">
        <v>22.67</v>
      </c>
      <c r="AG79" s="45">
        <v>22.46</v>
      </c>
      <c r="AH79" s="45"/>
      <c r="AI79" s="49">
        <f t="shared" si="82"/>
        <v>22.565000000000001</v>
      </c>
      <c r="AJ79" s="45">
        <f t="shared" si="70"/>
        <v>814.23683101518998</v>
      </c>
      <c r="AK79" s="50">
        <f t="shared" si="37"/>
        <v>162.84736620303801</v>
      </c>
      <c r="AL79" s="45">
        <v>35.86</v>
      </c>
      <c r="AM79" s="45">
        <v>38.01</v>
      </c>
      <c r="AN79" s="45"/>
      <c r="AO79" s="49">
        <f t="shared" si="83"/>
        <v>36.935000000000002</v>
      </c>
      <c r="AP79" s="45">
        <f t="shared" si="84"/>
        <v>8.2005954055689121E-7</v>
      </c>
      <c r="AQ79" s="45">
        <f t="shared" si="85"/>
        <v>48.573530485704303</v>
      </c>
      <c r="AR79" s="50">
        <f t="shared" si="41"/>
        <v>9.7147060971408603</v>
      </c>
      <c r="AS79" s="50">
        <f t="shared" si="74"/>
        <v>5.9655285336506887E-2</v>
      </c>
      <c r="AT79" s="50">
        <f t="shared" si="86"/>
        <v>12259877000.076204</v>
      </c>
      <c r="AU79" s="45"/>
      <c r="AV79" s="45"/>
    </row>
    <row r="80" spans="2:48" s="51" customFormat="1" ht="14" x14ac:dyDescent="0.15">
      <c r="B80" s="45" t="s">
        <v>54</v>
      </c>
      <c r="C80" s="45" t="s">
        <v>55</v>
      </c>
      <c r="D80" s="65" t="s">
        <v>118</v>
      </c>
      <c r="E80" s="45" t="s">
        <v>57</v>
      </c>
      <c r="F80" s="54" t="s">
        <v>58</v>
      </c>
      <c r="G80" s="45" t="s">
        <v>59</v>
      </c>
      <c r="H80" s="45">
        <v>-20</v>
      </c>
      <c r="I80" s="52" t="s">
        <v>111</v>
      </c>
      <c r="J80" s="45" t="s">
        <v>61</v>
      </c>
      <c r="K80" s="45" t="s">
        <v>62</v>
      </c>
      <c r="L80" s="45" t="s">
        <v>89</v>
      </c>
      <c r="M80" s="45" t="s">
        <v>112</v>
      </c>
      <c r="N80" s="45" t="s">
        <v>91</v>
      </c>
      <c r="O80" s="45" t="s">
        <v>92</v>
      </c>
      <c r="P80" s="45" t="s">
        <v>65</v>
      </c>
      <c r="Q80" s="45">
        <v>7.86</v>
      </c>
      <c r="R80" s="49">
        <v>4.5999999999999996</v>
      </c>
      <c r="S80" s="45">
        <v>350</v>
      </c>
      <c r="T80" s="45">
        <v>183168</v>
      </c>
      <c r="U80" s="53">
        <f t="shared" si="0"/>
        <v>183168000000</v>
      </c>
      <c r="V80" s="45" t="s">
        <v>113</v>
      </c>
      <c r="W80" s="45" t="s">
        <v>66</v>
      </c>
      <c r="X80" s="45" t="s">
        <v>114</v>
      </c>
      <c r="Y80" s="49">
        <v>20</v>
      </c>
      <c r="Z80" s="45">
        <v>19.95</v>
      </c>
      <c r="AA80" s="45"/>
      <c r="AB80" s="49">
        <f t="shared" si="78"/>
        <v>19.975000000000001</v>
      </c>
      <c r="AC80" s="49">
        <f t="shared" si="79"/>
        <v>2.2386885542843498</v>
      </c>
      <c r="AD80" s="50">
        <f t="shared" si="80"/>
        <v>262195221.58993861</v>
      </c>
      <c r="AE80" s="49">
        <f t="shared" si="81"/>
        <v>42.738632414230779</v>
      </c>
      <c r="AF80" s="45">
        <v>20.82</v>
      </c>
      <c r="AG80" s="45">
        <v>20.96</v>
      </c>
      <c r="AH80" s="45"/>
      <c r="AI80" s="49">
        <f t="shared" si="82"/>
        <v>20.89</v>
      </c>
      <c r="AJ80" s="45">
        <f t="shared" si="70"/>
        <v>2748.0964797383353</v>
      </c>
      <c r="AK80" s="50">
        <f t="shared" si="37"/>
        <v>549.61929594766707</v>
      </c>
      <c r="AL80" s="45">
        <v>34.65</v>
      </c>
      <c r="AM80" s="45">
        <v>33.909999999999997</v>
      </c>
      <c r="AN80" s="45"/>
      <c r="AO80" s="49">
        <f t="shared" si="83"/>
        <v>34.28</v>
      </c>
      <c r="AP80" s="45">
        <f t="shared" si="84"/>
        <v>4.7472905749399255E-6</v>
      </c>
      <c r="AQ80" s="45">
        <f t="shared" si="85"/>
        <v>281.19014786383542</v>
      </c>
      <c r="AR80" s="50">
        <f t="shared" si="41"/>
        <v>56.238029572767083</v>
      </c>
      <c r="AS80" s="50">
        <f t="shared" si="74"/>
        <v>0.10232178889534818</v>
      </c>
      <c r="AT80" s="50">
        <f t="shared" si="86"/>
        <v>18742077428.383137</v>
      </c>
      <c r="AU80" s="45"/>
      <c r="AV80" s="45"/>
    </row>
    <row r="81" spans="2:48" s="102" customFormat="1" ht="14" x14ac:dyDescent="0.15">
      <c r="B81" s="103" t="s">
        <v>54</v>
      </c>
      <c r="C81" s="103" t="s">
        <v>82</v>
      </c>
      <c r="D81" s="104" t="s">
        <v>110</v>
      </c>
      <c r="E81" s="103" t="s">
        <v>57</v>
      </c>
      <c r="F81" s="105" t="s">
        <v>58</v>
      </c>
      <c r="G81" s="103" t="s">
        <v>59</v>
      </c>
      <c r="H81" s="103">
        <v>-20</v>
      </c>
      <c r="I81" s="106" t="s">
        <v>111</v>
      </c>
      <c r="J81" s="103" t="s">
        <v>61</v>
      </c>
      <c r="K81" s="103" t="s">
        <v>62</v>
      </c>
      <c r="L81" s="103" t="s">
        <v>89</v>
      </c>
      <c r="M81" s="103" t="s">
        <v>112</v>
      </c>
      <c r="N81" s="103" t="s">
        <v>91</v>
      </c>
      <c r="O81" s="103" t="s">
        <v>92</v>
      </c>
      <c r="P81" s="103" t="s">
        <v>65</v>
      </c>
      <c r="Q81" s="103">
        <v>12.41</v>
      </c>
      <c r="R81" s="103">
        <v>4.05</v>
      </c>
      <c r="S81" s="103">
        <v>200</v>
      </c>
      <c r="T81" s="103">
        <v>224136</v>
      </c>
      <c r="U81" s="111">
        <f t="shared" si="0"/>
        <v>224136000000</v>
      </c>
      <c r="V81" s="103" t="s">
        <v>113</v>
      </c>
      <c r="W81" s="103" t="s">
        <v>66</v>
      </c>
      <c r="X81" s="103" t="s">
        <v>114</v>
      </c>
      <c r="Y81" s="103">
        <v>21.02</v>
      </c>
      <c r="Z81" s="103">
        <v>21.01</v>
      </c>
      <c r="AA81" s="103"/>
      <c r="AB81" s="107">
        <f t="shared" si="78"/>
        <v>21.015000000000001</v>
      </c>
      <c r="AC81" s="107">
        <f t="shared" si="79"/>
        <v>1.1160240601773634</v>
      </c>
      <c r="AD81" s="108">
        <f t="shared" si="80"/>
        <v>130708746.95718831</v>
      </c>
      <c r="AE81" s="107">
        <f t="shared" si="81"/>
        <v>21.305930198318855</v>
      </c>
      <c r="AF81" s="103">
        <v>23.22</v>
      </c>
      <c r="AG81" s="103">
        <v>23.11</v>
      </c>
      <c r="AH81" s="103"/>
      <c r="AI81" s="107">
        <f t="shared" si="82"/>
        <v>23.164999999999999</v>
      </c>
      <c r="AJ81" s="103">
        <f t="shared" si="70"/>
        <v>526.6422225437459</v>
      </c>
      <c r="AK81" s="108">
        <f t="shared" si="37"/>
        <v>105.32844450874919</v>
      </c>
      <c r="AL81" s="103">
        <v>35.25</v>
      </c>
      <c r="AM81" s="103">
        <v>36.15</v>
      </c>
      <c r="AN81" s="103"/>
      <c r="AO81" s="107">
        <f t="shared" si="83"/>
        <v>35.700000000000003</v>
      </c>
      <c r="AP81" s="103">
        <f t="shared" si="84"/>
        <v>1.8559943884116325E-6</v>
      </c>
      <c r="AQ81" s="103">
        <f t="shared" si="85"/>
        <v>109.93372498975798</v>
      </c>
      <c r="AR81" s="108">
        <f t="shared" si="41"/>
        <v>21.986744997951597</v>
      </c>
      <c r="AS81" s="108">
        <f t="shared" si="74"/>
        <v>0.20874460930755748</v>
      </c>
      <c r="AT81" s="108">
        <f t="shared" si="86"/>
        <v>46787181751.758705</v>
      </c>
      <c r="AU81" s="103"/>
      <c r="AV81" s="103"/>
    </row>
    <row r="82" spans="2:48" s="102" customFormat="1" ht="14" x14ac:dyDescent="0.15">
      <c r="B82" s="103" t="s">
        <v>54</v>
      </c>
      <c r="C82" s="103" t="s">
        <v>82</v>
      </c>
      <c r="D82" s="104" t="s">
        <v>115</v>
      </c>
      <c r="E82" s="103" t="s">
        <v>57</v>
      </c>
      <c r="F82" s="105" t="s">
        <v>58</v>
      </c>
      <c r="G82" s="103" t="s">
        <v>59</v>
      </c>
      <c r="H82" s="103">
        <v>-20</v>
      </c>
      <c r="I82" s="106" t="s">
        <v>111</v>
      </c>
      <c r="J82" s="103" t="s">
        <v>61</v>
      </c>
      <c r="K82" s="103" t="s">
        <v>62</v>
      </c>
      <c r="L82" s="103" t="s">
        <v>89</v>
      </c>
      <c r="M82" s="103" t="s">
        <v>112</v>
      </c>
      <c r="N82" s="103" t="s">
        <v>91</v>
      </c>
      <c r="O82" s="103" t="s">
        <v>92</v>
      </c>
      <c r="P82" s="103" t="s">
        <v>65</v>
      </c>
      <c r="Q82" s="103">
        <v>11.43</v>
      </c>
      <c r="R82" s="103">
        <v>4.21</v>
      </c>
      <c r="S82" s="103">
        <v>250</v>
      </c>
      <c r="T82" s="103">
        <v>185760</v>
      </c>
      <c r="U82" s="111">
        <f t="shared" si="0"/>
        <v>185760000000</v>
      </c>
      <c r="V82" s="103" t="s">
        <v>113</v>
      </c>
      <c r="W82" s="103" t="s">
        <v>66</v>
      </c>
      <c r="X82" s="103" t="s">
        <v>114</v>
      </c>
      <c r="Y82" s="103">
        <v>21.11</v>
      </c>
      <c r="Z82" s="103">
        <v>21.2</v>
      </c>
      <c r="AA82" s="103"/>
      <c r="AB82" s="107">
        <f t="shared" si="78"/>
        <v>21.155000000000001</v>
      </c>
      <c r="AC82" s="107">
        <f t="shared" si="79"/>
        <v>1.0161939809134222</v>
      </c>
      <c r="AD82" s="108">
        <f t="shared" si="80"/>
        <v>119016647.26611821</v>
      </c>
      <c r="AE82" s="107">
        <f t="shared" si="81"/>
        <v>19.400081770506159</v>
      </c>
      <c r="AF82" s="103">
        <v>24.02</v>
      </c>
      <c r="AG82" s="103">
        <v>23.75</v>
      </c>
      <c r="AH82" s="103"/>
      <c r="AI82" s="107">
        <f t="shared" si="82"/>
        <v>23.884999999999998</v>
      </c>
      <c r="AJ82" s="103">
        <f t="shared" si="70"/>
        <v>312.20049899258555</v>
      </c>
      <c r="AK82" s="108">
        <f t="shared" si="37"/>
        <v>62.44009979851711</v>
      </c>
      <c r="AL82" s="103">
        <v>36.42</v>
      </c>
      <c r="AM82" s="103">
        <v>36.04</v>
      </c>
      <c r="AN82" s="103"/>
      <c r="AO82" s="107">
        <f t="shared" si="83"/>
        <v>36.230000000000004</v>
      </c>
      <c r="AP82" s="103">
        <f t="shared" si="84"/>
        <v>1.3072053140685076E-6</v>
      </c>
      <c r="AQ82" s="103">
        <f t="shared" si="85"/>
        <v>77.428008618572193</v>
      </c>
      <c r="AR82" s="108">
        <f t="shared" si="41"/>
        <v>15.485601723714439</v>
      </c>
      <c r="AS82" s="108">
        <f t="shared" si="74"/>
        <v>0.24800731859307831</v>
      </c>
      <c r="AT82" s="108">
        <f t="shared" si="86"/>
        <v>46069839501.850227</v>
      </c>
      <c r="AU82" s="103"/>
      <c r="AV82" s="103"/>
    </row>
    <row r="83" spans="2:48" s="116" customFormat="1" ht="14" x14ac:dyDescent="0.15">
      <c r="B83" s="130" t="s">
        <v>54</v>
      </c>
      <c r="C83" s="130" t="s">
        <v>82</v>
      </c>
      <c r="D83" s="131" t="s">
        <v>116</v>
      </c>
      <c r="E83" s="130" t="s">
        <v>57</v>
      </c>
      <c r="F83" s="89" t="s">
        <v>58</v>
      </c>
      <c r="G83" s="130" t="s">
        <v>59</v>
      </c>
      <c r="H83" s="90">
        <v>-20</v>
      </c>
      <c r="I83" s="96" t="s">
        <v>111</v>
      </c>
      <c r="J83" s="130" t="s">
        <v>61</v>
      </c>
      <c r="K83" s="130" t="s">
        <v>62</v>
      </c>
      <c r="L83" s="130" t="s">
        <v>89</v>
      </c>
      <c r="M83" s="90" t="s">
        <v>112</v>
      </c>
      <c r="N83" s="130" t="s">
        <v>91</v>
      </c>
      <c r="O83" s="130" t="s">
        <v>92</v>
      </c>
      <c r="P83" s="130" t="s">
        <v>65</v>
      </c>
      <c r="Q83" s="130">
        <v>7.88</v>
      </c>
      <c r="R83" s="130">
        <v>4.4000000000000004</v>
      </c>
      <c r="S83" s="130">
        <v>210</v>
      </c>
      <c r="T83" s="130">
        <v>148032</v>
      </c>
      <c r="U83" s="87">
        <f t="shared" si="0"/>
        <v>148032000000</v>
      </c>
      <c r="V83" s="130" t="s">
        <v>113</v>
      </c>
      <c r="W83" s="130" t="s">
        <v>66</v>
      </c>
      <c r="X83" s="130" t="s">
        <v>114</v>
      </c>
      <c r="Y83" s="132">
        <v>23.3</v>
      </c>
      <c r="Z83" s="130">
        <v>23.14</v>
      </c>
      <c r="AA83" s="130"/>
      <c r="AB83" s="132">
        <f t="shared" si="78"/>
        <v>23.22</v>
      </c>
      <c r="AC83" s="94">
        <f t="shared" si="79"/>
        <v>0.25509195488560621</v>
      </c>
      <c r="AD83" s="95">
        <f t="shared" si="80"/>
        <v>29876371.820028879</v>
      </c>
      <c r="AE83" s="94">
        <f t="shared" si="81"/>
        <v>4.8699410513440702</v>
      </c>
      <c r="AF83" s="130">
        <v>23.91</v>
      </c>
      <c r="AG83" s="130">
        <v>24.26</v>
      </c>
      <c r="AH83" s="130"/>
      <c r="AI83" s="132">
        <f t="shared" si="82"/>
        <v>24.085000000000001</v>
      </c>
      <c r="AJ83" s="90">
        <f t="shared" si="70"/>
        <v>269.99469857346645</v>
      </c>
      <c r="AK83" s="95">
        <f t="shared" si="37"/>
        <v>53.998939714693293</v>
      </c>
      <c r="AL83" s="130" t="s">
        <v>100</v>
      </c>
      <c r="AM83" s="130" t="s">
        <v>100</v>
      </c>
      <c r="AN83" s="130"/>
      <c r="AO83" s="94" t="e">
        <f t="shared" ref="AO83:AO86" si="87">AVERAGE(AL83:AN83)</f>
        <v>#DIV/0!</v>
      </c>
      <c r="AP83" s="90" t="e">
        <f t="shared" si="84"/>
        <v>#DIV/0!</v>
      </c>
      <c r="AQ83" s="90" t="e">
        <f t="shared" si="85"/>
        <v>#DIV/0!</v>
      </c>
      <c r="AR83" s="95" t="e">
        <f t="shared" si="41"/>
        <v>#DIV/0!</v>
      </c>
      <c r="AS83" s="95" t="e">
        <f t="shared" si="74"/>
        <v>#DIV/0!</v>
      </c>
      <c r="AT83" s="95" t="e">
        <f t="shared" si="86"/>
        <v>#DIV/0!</v>
      </c>
      <c r="AU83" s="130"/>
      <c r="AV83" s="130" t="s">
        <v>119</v>
      </c>
    </row>
    <row r="84" spans="2:48" s="134" customFormat="1" ht="14" x14ac:dyDescent="0.15">
      <c r="B84" s="90" t="s">
        <v>54</v>
      </c>
      <c r="C84" s="90" t="s">
        <v>82</v>
      </c>
      <c r="D84" s="133" t="s">
        <v>117</v>
      </c>
      <c r="E84" s="90" t="s">
        <v>57</v>
      </c>
      <c r="F84" s="89" t="s">
        <v>58</v>
      </c>
      <c r="G84" s="90" t="s">
        <v>59</v>
      </c>
      <c r="H84" s="90">
        <v>-20</v>
      </c>
      <c r="I84" s="96" t="s">
        <v>111</v>
      </c>
      <c r="J84" s="90" t="s">
        <v>61</v>
      </c>
      <c r="K84" s="90" t="s">
        <v>62</v>
      </c>
      <c r="L84" s="90" t="s">
        <v>89</v>
      </c>
      <c r="M84" s="90" t="s">
        <v>112</v>
      </c>
      <c r="N84" s="90" t="s">
        <v>91</v>
      </c>
      <c r="O84" s="90" t="s">
        <v>92</v>
      </c>
      <c r="P84" s="90" t="s">
        <v>65</v>
      </c>
      <c r="Q84" s="90">
        <v>8.66</v>
      </c>
      <c r="R84" s="90">
        <v>4.28</v>
      </c>
      <c r="S84" s="90">
        <v>230</v>
      </c>
      <c r="T84" s="90">
        <v>144336</v>
      </c>
      <c r="U84" s="87">
        <f t="shared" si="0"/>
        <v>144336000000</v>
      </c>
      <c r="V84" s="90" t="s">
        <v>113</v>
      </c>
      <c r="W84" s="90" t="s">
        <v>66</v>
      </c>
      <c r="X84" s="90" t="s">
        <v>114</v>
      </c>
      <c r="Y84" s="90">
        <v>22.53</v>
      </c>
      <c r="Z84" s="90">
        <v>22.52</v>
      </c>
      <c r="AA84" s="90"/>
      <c r="AB84" s="94">
        <f t="shared" si="78"/>
        <v>22.524999999999999</v>
      </c>
      <c r="AC84" s="94">
        <f t="shared" si="79"/>
        <v>0.40618884922209753</v>
      </c>
      <c r="AD84" s="95">
        <f t="shared" si="80"/>
        <v>47572841.307171255</v>
      </c>
      <c r="AE84" s="94">
        <f t="shared" si="81"/>
        <v>7.7545203348806861</v>
      </c>
      <c r="AF84" s="90">
        <v>23.21</v>
      </c>
      <c r="AG84" s="90">
        <v>23.64</v>
      </c>
      <c r="AH84" s="90"/>
      <c r="AI84" s="94">
        <f t="shared" si="82"/>
        <v>23.425000000000001</v>
      </c>
      <c r="AJ84" s="90">
        <f t="shared" si="70"/>
        <v>436.02743083821366</v>
      </c>
      <c r="AK84" s="95">
        <f t="shared" si="37"/>
        <v>87.205486167642732</v>
      </c>
      <c r="AL84" s="90" t="s">
        <v>100</v>
      </c>
      <c r="AM84" s="90" t="s">
        <v>100</v>
      </c>
      <c r="AN84" s="90"/>
      <c r="AO84" s="94" t="e">
        <f t="shared" si="87"/>
        <v>#DIV/0!</v>
      </c>
      <c r="AP84" s="90" t="e">
        <f t="shared" si="84"/>
        <v>#DIV/0!</v>
      </c>
      <c r="AQ84" s="90" t="e">
        <f t="shared" si="85"/>
        <v>#DIV/0!</v>
      </c>
      <c r="AR84" s="95" t="e">
        <f t="shared" si="41"/>
        <v>#DIV/0!</v>
      </c>
      <c r="AS84" s="95" t="e">
        <f t="shared" si="74"/>
        <v>#DIV/0!</v>
      </c>
      <c r="AT84" s="95" t="e">
        <f t="shared" si="86"/>
        <v>#DIV/0!</v>
      </c>
      <c r="AU84" s="90"/>
      <c r="AV84" s="90" t="s">
        <v>119</v>
      </c>
    </row>
    <row r="85" spans="2:48" s="110" customFormat="1" ht="14" x14ac:dyDescent="0.15">
      <c r="B85" s="111" t="s">
        <v>54</v>
      </c>
      <c r="C85" s="111" t="s">
        <v>82</v>
      </c>
      <c r="D85" s="112" t="s">
        <v>118</v>
      </c>
      <c r="E85" s="111" t="s">
        <v>57</v>
      </c>
      <c r="F85" s="105" t="s">
        <v>58</v>
      </c>
      <c r="G85" s="111" t="s">
        <v>59</v>
      </c>
      <c r="H85" s="103">
        <v>-20</v>
      </c>
      <c r="I85" s="106" t="s">
        <v>111</v>
      </c>
      <c r="J85" s="111" t="s">
        <v>61</v>
      </c>
      <c r="K85" s="111" t="s">
        <v>62</v>
      </c>
      <c r="L85" s="111" t="s">
        <v>89</v>
      </c>
      <c r="M85" s="103" t="s">
        <v>112</v>
      </c>
      <c r="N85" s="111" t="s">
        <v>91</v>
      </c>
      <c r="O85" s="111" t="s">
        <v>92</v>
      </c>
      <c r="P85" s="111" t="s">
        <v>65</v>
      </c>
      <c r="Q85" s="111">
        <v>7.89</v>
      </c>
      <c r="R85" s="113">
        <v>4.5999999999999996</v>
      </c>
      <c r="S85" s="111">
        <v>230</v>
      </c>
      <c r="T85" s="111">
        <v>143280</v>
      </c>
      <c r="U85" s="111">
        <f t="shared" ref="U85:U112" si="88">T85*1000000</f>
        <v>143280000000</v>
      </c>
      <c r="V85" s="111" t="s">
        <v>113</v>
      </c>
      <c r="W85" s="111" t="s">
        <v>66</v>
      </c>
      <c r="X85" s="111" t="s">
        <v>114</v>
      </c>
      <c r="Y85" s="111">
        <v>20.61</v>
      </c>
      <c r="Z85" s="111">
        <v>21.21</v>
      </c>
      <c r="AA85" s="111"/>
      <c r="AB85" s="113">
        <f t="shared" si="78"/>
        <v>20.91</v>
      </c>
      <c r="AC85" s="107">
        <f t="shared" si="79"/>
        <v>1.1972814728630514</v>
      </c>
      <c r="AD85" s="108">
        <f t="shared" si="80"/>
        <v>140225615.78835085</v>
      </c>
      <c r="AE85" s="107">
        <f t="shared" si="81"/>
        <v>22.85720926527922</v>
      </c>
      <c r="AF85" s="111">
        <v>22.82</v>
      </c>
      <c r="AG85" s="111">
        <v>22.84</v>
      </c>
      <c r="AH85" s="111"/>
      <c r="AI85" s="113">
        <f t="shared" si="82"/>
        <v>22.83</v>
      </c>
      <c r="AJ85" s="103">
        <f t="shared" si="70"/>
        <v>671.69469983490683</v>
      </c>
      <c r="AK85" s="108">
        <f t="shared" si="37"/>
        <v>134.33893996698137</v>
      </c>
      <c r="AL85" s="111">
        <v>33.78</v>
      </c>
      <c r="AM85" s="111">
        <v>34.83</v>
      </c>
      <c r="AN85" s="111"/>
      <c r="AO85" s="107">
        <f t="shared" si="87"/>
        <v>34.305</v>
      </c>
      <c r="AP85" s="103">
        <f t="shared" si="84"/>
        <v>4.6694423737093367E-6</v>
      </c>
      <c r="AQ85" s="103">
        <f t="shared" si="85"/>
        <v>276.57906563294841</v>
      </c>
      <c r="AR85" s="108">
        <f t="shared" si="41"/>
        <v>55.315813126589681</v>
      </c>
      <c r="AS85" s="108">
        <f t="shared" si="74"/>
        <v>0.41176306095749698</v>
      </c>
      <c r="AT85" s="108">
        <f t="shared" si="86"/>
        <v>58997411373.990166</v>
      </c>
      <c r="AU85" s="111"/>
      <c r="AV85" s="111"/>
    </row>
    <row r="86" spans="2:48" s="21" customFormat="1" x14ac:dyDescent="0.15">
      <c r="B86" s="10"/>
      <c r="C86" s="10"/>
      <c r="D86" s="22"/>
      <c r="E86" s="10" t="s">
        <v>105</v>
      </c>
      <c r="F86" s="10"/>
      <c r="G86" s="10" t="s">
        <v>106</v>
      </c>
      <c r="H86" s="10">
        <v>-80</v>
      </c>
      <c r="I86" s="33" t="s">
        <v>108</v>
      </c>
      <c r="J86" s="10" t="s">
        <v>61</v>
      </c>
      <c r="K86" s="10" t="s">
        <v>62</v>
      </c>
      <c r="L86" s="10" t="s">
        <v>89</v>
      </c>
      <c r="M86" s="8" t="s">
        <v>112</v>
      </c>
      <c r="N86" s="10" t="s">
        <v>107</v>
      </c>
      <c r="O86" s="10" t="s">
        <v>108</v>
      </c>
      <c r="P86" s="10" t="s">
        <v>108</v>
      </c>
      <c r="Q86" s="10" t="s">
        <v>108</v>
      </c>
      <c r="R86" s="10" t="s">
        <v>108</v>
      </c>
      <c r="S86" s="10" t="s">
        <v>108</v>
      </c>
      <c r="T86" s="10" t="s">
        <v>108</v>
      </c>
      <c r="U86" s="10" t="e">
        <f t="shared" si="88"/>
        <v>#VALUE!</v>
      </c>
      <c r="V86" s="10" t="s">
        <v>113</v>
      </c>
      <c r="W86" s="10" t="s">
        <v>66</v>
      </c>
      <c r="X86" s="10" t="s">
        <v>120</v>
      </c>
      <c r="Y86" s="10">
        <v>18.78</v>
      </c>
      <c r="Z86" s="10">
        <v>18.63</v>
      </c>
      <c r="AA86" s="10"/>
      <c r="AB86" s="176">
        <f t="shared" si="78"/>
        <v>18.704999999999998</v>
      </c>
      <c r="AC86" s="18">
        <f t="shared" si="79"/>
        <v>5.2380912252562597</v>
      </c>
      <c r="AD86" s="19">
        <f t="shared" si="80"/>
        <v>613485286.68089736</v>
      </c>
      <c r="AE86" s="18">
        <f t="shared" si="81"/>
        <v>100</v>
      </c>
      <c r="AF86" s="10">
        <v>30.32</v>
      </c>
      <c r="AG86" s="10">
        <v>30.37</v>
      </c>
      <c r="AH86" s="10"/>
      <c r="AI86" s="176">
        <f t="shared" si="82"/>
        <v>30.344999999999999</v>
      </c>
      <c r="AJ86" s="8">
        <f t="shared" si="70"/>
        <v>2.8641957112557694</v>
      </c>
      <c r="AK86" s="50">
        <f t="shared" si="37"/>
        <v>0.57283914225115384</v>
      </c>
      <c r="AL86" s="10" t="s">
        <v>100</v>
      </c>
      <c r="AM86" s="10" t="s">
        <v>100</v>
      </c>
      <c r="AN86" s="10"/>
      <c r="AO86" s="18" t="e">
        <f t="shared" si="87"/>
        <v>#DIV/0!</v>
      </c>
      <c r="AP86" s="8" t="e">
        <f t="shared" si="84"/>
        <v>#DIV/0!</v>
      </c>
      <c r="AQ86" s="8" t="e">
        <f t="shared" si="85"/>
        <v>#DIV/0!</v>
      </c>
      <c r="AR86" s="50" t="e">
        <f t="shared" si="41"/>
        <v>#DIV/0!</v>
      </c>
      <c r="AS86" s="19" t="e">
        <f t="shared" si="74"/>
        <v>#DIV/0!</v>
      </c>
      <c r="AT86" s="19" t="e">
        <f t="shared" si="86"/>
        <v>#DIV/0!</v>
      </c>
      <c r="AU86" s="10"/>
      <c r="AV86" s="10"/>
    </row>
    <row r="87" spans="2:48" s="5" customFormat="1" x14ac:dyDescent="0.15">
      <c r="B87" s="10"/>
      <c r="C87" s="10"/>
      <c r="D87" s="22"/>
      <c r="E87" s="10"/>
      <c r="F87" s="10"/>
      <c r="G87" s="10"/>
      <c r="H87" s="10"/>
      <c r="I87" s="177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>
        <f t="shared" si="88"/>
        <v>0</v>
      </c>
      <c r="V87" s="10"/>
      <c r="W87" s="10"/>
      <c r="X87" s="10"/>
      <c r="Y87" s="10"/>
      <c r="Z87" s="10"/>
      <c r="AA87" s="10"/>
      <c r="AB87" s="176"/>
      <c r="AC87" s="18"/>
      <c r="AD87" s="19"/>
      <c r="AE87" s="18"/>
      <c r="AF87" s="10"/>
      <c r="AG87" s="10"/>
      <c r="AH87" s="10"/>
      <c r="AI87" s="176"/>
      <c r="AJ87" s="10"/>
      <c r="AK87" s="50">
        <f t="shared" si="37"/>
        <v>0</v>
      </c>
      <c r="AL87" s="10"/>
      <c r="AM87" s="10"/>
      <c r="AN87" s="10"/>
      <c r="AO87" s="10"/>
      <c r="AP87" s="10"/>
      <c r="AQ87" s="10"/>
      <c r="AR87" s="50">
        <f t="shared" si="41"/>
        <v>0</v>
      </c>
      <c r="AS87" s="19"/>
      <c r="AT87" s="10"/>
      <c r="AU87" s="10"/>
      <c r="AV87" s="10"/>
    </row>
    <row r="88" spans="2:48" s="102" customFormat="1" ht="14" x14ac:dyDescent="0.15">
      <c r="B88" s="111" t="s">
        <v>54</v>
      </c>
      <c r="C88" s="111" t="s">
        <v>82</v>
      </c>
      <c r="D88" s="112" t="s">
        <v>121</v>
      </c>
      <c r="E88" s="111" t="s">
        <v>57</v>
      </c>
      <c r="F88" s="105" t="s">
        <v>58</v>
      </c>
      <c r="G88" s="111" t="s">
        <v>59</v>
      </c>
      <c r="H88" s="111">
        <v>-20</v>
      </c>
      <c r="I88" s="111" t="s">
        <v>122</v>
      </c>
      <c r="J88" s="111" t="s">
        <v>61</v>
      </c>
      <c r="K88" s="111" t="s">
        <v>62</v>
      </c>
      <c r="L88" s="111" t="s">
        <v>123</v>
      </c>
      <c r="M88" s="111" t="s">
        <v>124</v>
      </c>
      <c r="N88" s="111" t="s">
        <v>125</v>
      </c>
      <c r="O88" s="111" t="s">
        <v>126</v>
      </c>
      <c r="P88" s="111" t="s">
        <v>65</v>
      </c>
      <c r="Q88" s="111">
        <v>8.1199999999999992</v>
      </c>
      <c r="R88" s="111">
        <v>4.49</v>
      </c>
      <c r="S88" s="111">
        <v>240</v>
      </c>
      <c r="T88" s="111">
        <v>141936</v>
      </c>
      <c r="U88" s="111">
        <f t="shared" si="88"/>
        <v>141936000000</v>
      </c>
      <c r="V88" s="111" t="s">
        <v>127</v>
      </c>
      <c r="W88" s="111" t="s">
        <v>66</v>
      </c>
      <c r="X88" s="111" t="s">
        <v>127</v>
      </c>
      <c r="Y88" s="111">
        <v>17.29</v>
      </c>
      <c r="Z88" s="111">
        <v>16.920000000000002</v>
      </c>
      <c r="AA88" s="111"/>
      <c r="AB88" s="107">
        <f t="shared" ref="AB88:AB98" si="89">AVERAGE(Y88:AA88)</f>
        <v>17.105</v>
      </c>
      <c r="AC88" s="107">
        <f t="shared" ref="AC88:AC98" si="90">EXP((AB88-21.179)/-1.494)</f>
        <v>15.285545304842303</v>
      </c>
      <c r="AD88" s="108">
        <f t="shared" ref="AD88:AD98" si="91">(AC88*(6.0221*10^23))/(15123*340*10^9)</f>
        <v>1790243189.7711477</v>
      </c>
      <c r="AE88" s="107">
        <f t="shared" ref="AE88:AE98" si="92">AD88*100/AD$98</f>
        <v>51.033354202927057</v>
      </c>
      <c r="AF88" s="111">
        <v>24.22</v>
      </c>
      <c r="AG88" s="111">
        <v>24.24</v>
      </c>
      <c r="AH88" s="111"/>
      <c r="AI88" s="107">
        <f t="shared" ref="AI88:AI98" si="93">AVERAGE(AF88:AH88)</f>
        <v>24.229999999999997</v>
      </c>
      <c r="AJ88" s="103">
        <f t="shared" si="70"/>
        <v>243.00959886959197</v>
      </c>
      <c r="AK88" s="108">
        <f t="shared" si="37"/>
        <v>48.601919773918397</v>
      </c>
      <c r="AL88" s="111">
        <v>35.58</v>
      </c>
      <c r="AM88" s="111">
        <v>36.31</v>
      </c>
      <c r="AN88" s="111"/>
      <c r="AO88" s="107">
        <f t="shared" ref="AO88:AO98" si="94">AVERAGE(AL88:AN88)</f>
        <v>35.945</v>
      </c>
      <c r="AP88" s="103">
        <f t="shared" si="84"/>
        <v>1.5783556446016772E-6</v>
      </c>
      <c r="AQ88" s="103">
        <f t="shared" si="85"/>
        <v>93.48870689106306</v>
      </c>
      <c r="AR88" s="108">
        <f t="shared" si="41"/>
        <v>18.697741378212612</v>
      </c>
      <c r="AS88" s="108">
        <f t="shared" si="74"/>
        <v>0.38471199214329221</v>
      </c>
      <c r="AT88" s="108">
        <f t="shared" si="86"/>
        <v>54604481316.850327</v>
      </c>
      <c r="AU88" s="111"/>
      <c r="AV88" s="111"/>
    </row>
    <row r="89" spans="2:48" s="102" customFormat="1" ht="14" x14ac:dyDescent="0.15">
      <c r="B89" s="103" t="s">
        <v>54</v>
      </c>
      <c r="C89" s="111" t="s">
        <v>82</v>
      </c>
      <c r="D89" s="104" t="s">
        <v>128</v>
      </c>
      <c r="E89" s="111" t="s">
        <v>57</v>
      </c>
      <c r="F89" s="105" t="s">
        <v>58</v>
      </c>
      <c r="G89" s="111" t="s">
        <v>59</v>
      </c>
      <c r="H89" s="111">
        <v>-20</v>
      </c>
      <c r="I89" s="111" t="s">
        <v>122</v>
      </c>
      <c r="J89" s="111" t="s">
        <v>61</v>
      </c>
      <c r="K89" s="111" t="s">
        <v>62</v>
      </c>
      <c r="L89" s="111" t="s">
        <v>123</v>
      </c>
      <c r="M89" s="111" t="s">
        <v>124</v>
      </c>
      <c r="N89" s="111" t="s">
        <v>125</v>
      </c>
      <c r="O89" s="111" t="s">
        <v>126</v>
      </c>
      <c r="P89" s="111" t="s">
        <v>65</v>
      </c>
      <c r="Q89" s="103">
        <v>7.78</v>
      </c>
      <c r="R89" s="107">
        <v>4.4000000000000004</v>
      </c>
      <c r="S89" s="103">
        <v>300</v>
      </c>
      <c r="T89" s="103">
        <v>148656</v>
      </c>
      <c r="U89" s="111">
        <f t="shared" si="88"/>
        <v>148656000000</v>
      </c>
      <c r="V89" s="111" t="s">
        <v>127</v>
      </c>
      <c r="W89" s="111" t="s">
        <v>66</v>
      </c>
      <c r="X89" s="111" t="s">
        <v>127</v>
      </c>
      <c r="Y89" s="103">
        <v>17.47</v>
      </c>
      <c r="Z89" s="103">
        <v>17.04</v>
      </c>
      <c r="AA89" s="103"/>
      <c r="AB89" s="107">
        <f t="shared" si="89"/>
        <v>17.254999999999999</v>
      </c>
      <c r="AC89" s="107">
        <f t="shared" si="90"/>
        <v>13.825379870430185</v>
      </c>
      <c r="AD89" s="108">
        <f t="shared" si="91"/>
        <v>1619228602.2793019</v>
      </c>
      <c r="AE89" s="107">
        <f t="shared" si="92"/>
        <v>46.158347238954477</v>
      </c>
      <c r="AF89" s="103">
        <v>24.01</v>
      </c>
      <c r="AG89" s="103">
        <v>24.07</v>
      </c>
      <c r="AH89" s="103"/>
      <c r="AI89" s="107">
        <f t="shared" si="93"/>
        <v>24.04</v>
      </c>
      <c r="AJ89" s="103">
        <f t="shared" si="70"/>
        <v>278.96381064395672</v>
      </c>
      <c r="AK89" s="108">
        <f t="shared" si="37"/>
        <v>55.792762128791345</v>
      </c>
      <c r="AL89" s="103">
        <v>35.53</v>
      </c>
      <c r="AM89" s="103">
        <v>37.07</v>
      </c>
      <c r="AN89" s="103"/>
      <c r="AO89" s="107">
        <f t="shared" si="94"/>
        <v>36.299999999999997</v>
      </c>
      <c r="AP89" s="103">
        <f t="shared" si="84"/>
        <v>1.2480660759880712E-6</v>
      </c>
      <c r="AQ89" s="103">
        <f t="shared" si="85"/>
        <v>73.925090303823168</v>
      </c>
      <c r="AR89" s="108">
        <f t="shared" si="41"/>
        <v>14.785018060764633</v>
      </c>
      <c r="AS89" s="108">
        <f t="shared" si="74"/>
        <v>0.26499885462983663</v>
      </c>
      <c r="AT89" s="108">
        <f t="shared" si="86"/>
        <v>39393669733.852997</v>
      </c>
      <c r="AU89" s="103"/>
      <c r="AV89" s="103"/>
    </row>
    <row r="90" spans="2:48" s="102" customFormat="1" ht="14" x14ac:dyDescent="0.15">
      <c r="B90" s="103" t="s">
        <v>54</v>
      </c>
      <c r="C90" s="111" t="s">
        <v>82</v>
      </c>
      <c r="D90" s="104" t="s">
        <v>129</v>
      </c>
      <c r="E90" s="111" t="s">
        <v>57</v>
      </c>
      <c r="F90" s="105" t="s">
        <v>58</v>
      </c>
      <c r="G90" s="111" t="s">
        <v>59</v>
      </c>
      <c r="H90" s="111">
        <v>-20</v>
      </c>
      <c r="I90" s="111" t="s">
        <v>122</v>
      </c>
      <c r="J90" s="111" t="s">
        <v>61</v>
      </c>
      <c r="K90" s="111" t="s">
        <v>62</v>
      </c>
      <c r="L90" s="111" t="s">
        <v>123</v>
      </c>
      <c r="M90" s="111" t="s">
        <v>124</v>
      </c>
      <c r="N90" s="111" t="s">
        <v>125</v>
      </c>
      <c r="O90" s="111" t="s">
        <v>126</v>
      </c>
      <c r="P90" s="111" t="s">
        <v>65</v>
      </c>
      <c r="Q90" s="107">
        <v>8</v>
      </c>
      <c r="R90" s="103">
        <v>4.6100000000000003</v>
      </c>
      <c r="S90" s="103">
        <v>220</v>
      </c>
      <c r="T90" s="103">
        <v>156984</v>
      </c>
      <c r="U90" s="111">
        <f t="shared" si="88"/>
        <v>156984000000</v>
      </c>
      <c r="V90" s="111" t="s">
        <v>127</v>
      </c>
      <c r="W90" s="111" t="s">
        <v>66</v>
      </c>
      <c r="X90" s="111" t="s">
        <v>127</v>
      </c>
      <c r="Y90" s="103">
        <v>17.32</v>
      </c>
      <c r="Z90" s="103">
        <v>17.11</v>
      </c>
      <c r="AA90" s="103"/>
      <c r="AB90" s="107">
        <f t="shared" si="89"/>
        <v>17.215</v>
      </c>
      <c r="AC90" s="107">
        <f t="shared" si="90"/>
        <v>14.20053707123448</v>
      </c>
      <c r="AD90" s="108">
        <f t="shared" si="91"/>
        <v>1663167016.672718</v>
      </c>
      <c r="AE90" s="107">
        <f t="shared" si="92"/>
        <v>47.410872414118437</v>
      </c>
      <c r="AF90" s="103">
        <v>24.41</v>
      </c>
      <c r="AG90" s="103">
        <v>24.5</v>
      </c>
      <c r="AH90" s="103"/>
      <c r="AI90" s="107">
        <f t="shared" si="93"/>
        <v>24.454999999999998</v>
      </c>
      <c r="AJ90" s="103">
        <f t="shared" si="70"/>
        <v>206.37651666176072</v>
      </c>
      <c r="AK90" s="108">
        <f t="shared" si="37"/>
        <v>41.275303332352145</v>
      </c>
      <c r="AL90" s="103">
        <v>36.26</v>
      </c>
      <c r="AM90" s="103">
        <v>35.130000000000003</v>
      </c>
      <c r="AN90" s="103"/>
      <c r="AO90" s="107">
        <f t="shared" si="94"/>
        <v>35.695</v>
      </c>
      <c r="AP90" s="103">
        <f t="shared" si="84"/>
        <v>1.8621420952492264E-6</v>
      </c>
      <c r="AQ90" s="103">
        <f t="shared" si="85"/>
        <v>110.2978641902973</v>
      </c>
      <c r="AR90" s="108">
        <f t="shared" si="41"/>
        <v>22.059572838059459</v>
      </c>
      <c r="AS90" s="108">
        <f t="shared" si="74"/>
        <v>0.53444968436534457</v>
      </c>
      <c r="AT90" s="108">
        <f t="shared" si="86"/>
        <v>83900049250.409256</v>
      </c>
      <c r="AU90" s="103"/>
      <c r="AV90" s="103"/>
    </row>
    <row r="91" spans="2:48" s="102" customFormat="1" ht="14" x14ac:dyDescent="0.15">
      <c r="B91" s="103" t="s">
        <v>54</v>
      </c>
      <c r="C91" s="111" t="s">
        <v>82</v>
      </c>
      <c r="D91" s="104" t="s">
        <v>130</v>
      </c>
      <c r="E91" s="111" t="s">
        <v>57</v>
      </c>
      <c r="F91" s="105" t="s">
        <v>58</v>
      </c>
      <c r="G91" s="111" t="s">
        <v>59</v>
      </c>
      <c r="H91" s="111">
        <v>-20</v>
      </c>
      <c r="I91" s="111" t="s">
        <v>122</v>
      </c>
      <c r="J91" s="111" t="s">
        <v>61</v>
      </c>
      <c r="K91" s="111" t="s">
        <v>62</v>
      </c>
      <c r="L91" s="111" t="s">
        <v>123</v>
      </c>
      <c r="M91" s="111" t="s">
        <v>124</v>
      </c>
      <c r="N91" s="111" t="s">
        <v>125</v>
      </c>
      <c r="O91" s="111" t="s">
        <v>126</v>
      </c>
      <c r="P91" s="111" t="s">
        <v>65</v>
      </c>
      <c r="Q91" s="103">
        <v>7.94</v>
      </c>
      <c r="R91" s="103">
        <v>3.73</v>
      </c>
      <c r="S91" s="103">
        <v>152</v>
      </c>
      <c r="T91" s="103">
        <v>196632</v>
      </c>
      <c r="U91" s="111">
        <f t="shared" si="88"/>
        <v>196632000000</v>
      </c>
      <c r="V91" s="111" t="s">
        <v>127</v>
      </c>
      <c r="W91" s="111" t="s">
        <v>66</v>
      </c>
      <c r="X91" s="111" t="s">
        <v>127</v>
      </c>
      <c r="Y91" s="103">
        <v>16.62</v>
      </c>
      <c r="Z91" s="103">
        <v>16.7</v>
      </c>
      <c r="AA91" s="103"/>
      <c r="AB91" s="107">
        <f t="shared" si="89"/>
        <v>16.66</v>
      </c>
      <c r="AC91" s="107">
        <f t="shared" si="90"/>
        <v>20.589180710248357</v>
      </c>
      <c r="AD91" s="108">
        <f t="shared" si="91"/>
        <v>2411405011.3614755</v>
      </c>
      <c r="AE91" s="107">
        <f t="shared" si="92"/>
        <v>68.740429666013654</v>
      </c>
      <c r="AF91" s="103">
        <v>23.96</v>
      </c>
      <c r="AG91" s="103">
        <v>24.03</v>
      </c>
      <c r="AH91" s="103"/>
      <c r="AI91" s="107">
        <f t="shared" si="93"/>
        <v>23.995000000000001</v>
      </c>
      <c r="AJ91" s="103">
        <f t="shared" si="70"/>
        <v>288.23087290294302</v>
      </c>
      <c r="AK91" s="108">
        <f t="shared" si="37"/>
        <v>57.646174580588607</v>
      </c>
      <c r="AL91" s="103">
        <v>35.06</v>
      </c>
      <c r="AM91" s="103">
        <v>34.69</v>
      </c>
      <c r="AN91" s="103"/>
      <c r="AO91" s="107">
        <f t="shared" si="94"/>
        <v>34.875</v>
      </c>
      <c r="AP91" s="103">
        <f t="shared" si="84"/>
        <v>3.2028964194806362E-6</v>
      </c>
      <c r="AQ91" s="103">
        <f t="shared" si="85"/>
        <v>189.71303811494752</v>
      </c>
      <c r="AR91" s="108">
        <f t="shared" si="41"/>
        <v>37.942607622989506</v>
      </c>
      <c r="AS91" s="108">
        <f t="shared" si="74"/>
        <v>0.6581981874607522</v>
      </c>
      <c r="AT91" s="108">
        <f t="shared" si="86"/>
        <v>129422825996.78262</v>
      </c>
      <c r="AU91" s="103"/>
      <c r="AV91" s="103"/>
    </row>
    <row r="92" spans="2:48" s="102" customFormat="1" ht="14" x14ac:dyDescent="0.15">
      <c r="B92" s="103" t="s">
        <v>54</v>
      </c>
      <c r="C92" s="111" t="s">
        <v>82</v>
      </c>
      <c r="D92" s="104" t="s">
        <v>131</v>
      </c>
      <c r="E92" s="111" t="s">
        <v>57</v>
      </c>
      <c r="F92" s="105" t="s">
        <v>58</v>
      </c>
      <c r="G92" s="111" t="s">
        <v>59</v>
      </c>
      <c r="H92" s="111">
        <v>-20</v>
      </c>
      <c r="I92" s="111" t="s">
        <v>122</v>
      </c>
      <c r="J92" s="111" t="s">
        <v>61</v>
      </c>
      <c r="K92" s="111" t="s">
        <v>62</v>
      </c>
      <c r="L92" s="111" t="s">
        <v>123</v>
      </c>
      <c r="M92" s="111" t="s">
        <v>124</v>
      </c>
      <c r="N92" s="111" t="s">
        <v>125</v>
      </c>
      <c r="O92" s="111" t="s">
        <v>126</v>
      </c>
      <c r="P92" s="111" t="s">
        <v>65</v>
      </c>
      <c r="Q92" s="103">
        <v>7.52</v>
      </c>
      <c r="R92" s="103">
        <v>4.1500000000000004</v>
      </c>
      <c r="S92" s="103">
        <v>189</v>
      </c>
      <c r="T92" s="103">
        <v>250704</v>
      </c>
      <c r="U92" s="111">
        <f t="shared" si="88"/>
        <v>250704000000</v>
      </c>
      <c r="V92" s="111" t="s">
        <v>127</v>
      </c>
      <c r="W92" s="111" t="s">
        <v>66</v>
      </c>
      <c r="X92" s="111" t="s">
        <v>127</v>
      </c>
      <c r="Y92" s="103">
        <v>16.59</v>
      </c>
      <c r="Z92" s="103">
        <v>16.559999999999999</v>
      </c>
      <c r="AA92" s="103"/>
      <c r="AB92" s="107">
        <f t="shared" si="89"/>
        <v>16.574999999999999</v>
      </c>
      <c r="AC92" s="107">
        <f t="shared" si="90"/>
        <v>21.79455075597458</v>
      </c>
      <c r="AD92" s="108">
        <f t="shared" si="91"/>
        <v>2552577960.8690014</v>
      </c>
      <c r="AE92" s="107">
        <f t="shared" si="92"/>
        <v>72.764759532064133</v>
      </c>
      <c r="AF92" s="103">
        <v>22.76</v>
      </c>
      <c r="AG92" s="103">
        <v>22.84</v>
      </c>
      <c r="AH92" s="103"/>
      <c r="AI92" s="107">
        <f t="shared" si="93"/>
        <v>22.8</v>
      </c>
      <c r="AJ92" s="103">
        <f t="shared" si="70"/>
        <v>686.48914565261407</v>
      </c>
      <c r="AK92" s="108">
        <f t="shared" si="37"/>
        <v>137.29782913052281</v>
      </c>
      <c r="AL92" s="103">
        <v>35.24</v>
      </c>
      <c r="AM92" s="103">
        <v>35.39</v>
      </c>
      <c r="AN92" s="103"/>
      <c r="AO92" s="107">
        <f t="shared" si="94"/>
        <v>35.314999999999998</v>
      </c>
      <c r="AP92" s="103">
        <f t="shared" si="84"/>
        <v>2.3942026208575405E-6</v>
      </c>
      <c r="AQ92" s="103">
        <f t="shared" si="85"/>
        <v>141.81271998153042</v>
      </c>
      <c r="AR92" s="108">
        <f t="shared" si="41"/>
        <v>28.362543996306083</v>
      </c>
      <c r="AS92" s="108">
        <f t="shared" si="74"/>
        <v>0.20657678403161858</v>
      </c>
      <c r="AT92" s="108">
        <f t="shared" si="86"/>
        <v>51789626063.862907</v>
      </c>
      <c r="AU92" s="103"/>
      <c r="AV92" s="103"/>
    </row>
    <row r="93" spans="2:48" s="51" customFormat="1" ht="12.75" customHeight="1" x14ac:dyDescent="0.2">
      <c r="B93" s="45" t="s">
        <v>54</v>
      </c>
      <c r="C93" s="45" t="s">
        <v>55</v>
      </c>
      <c r="D93" s="65" t="s">
        <v>121</v>
      </c>
      <c r="E93" s="53" t="s">
        <v>57</v>
      </c>
      <c r="F93" s="54" t="s">
        <v>58</v>
      </c>
      <c r="G93" s="53" t="s">
        <v>59</v>
      </c>
      <c r="H93" s="53">
        <v>-20</v>
      </c>
      <c r="I93" s="53" t="s">
        <v>122</v>
      </c>
      <c r="J93" s="53" t="s">
        <v>61</v>
      </c>
      <c r="K93" s="53" t="s">
        <v>62</v>
      </c>
      <c r="L93" s="53" t="s">
        <v>123</v>
      </c>
      <c r="M93" s="53" t="s">
        <v>124</v>
      </c>
      <c r="N93" s="53" t="s">
        <v>125</v>
      </c>
      <c r="O93" s="53" t="s">
        <v>126</v>
      </c>
      <c r="P93" s="53" t="s">
        <v>65</v>
      </c>
      <c r="Q93" s="45">
        <v>7.86</v>
      </c>
      <c r="R93" s="45">
        <v>4.62</v>
      </c>
      <c r="S93" s="45">
        <v>310</v>
      </c>
      <c r="T93" s="45">
        <v>189240</v>
      </c>
      <c r="U93" s="53">
        <f t="shared" si="88"/>
        <v>189240000000</v>
      </c>
      <c r="V93" s="53" t="s">
        <v>127</v>
      </c>
      <c r="W93" s="53" t="s">
        <v>66</v>
      </c>
      <c r="X93" s="53" t="s">
        <v>127</v>
      </c>
      <c r="Y93" s="45">
        <v>17.010000000000002</v>
      </c>
      <c r="Z93" s="45">
        <v>17.079999999999998</v>
      </c>
      <c r="AA93" s="45"/>
      <c r="AB93" s="49">
        <f t="shared" si="89"/>
        <v>17.045000000000002</v>
      </c>
      <c r="AC93" s="49">
        <f t="shared" si="90"/>
        <v>15.911916168496393</v>
      </c>
      <c r="AD93" s="50">
        <f t="shared" si="91"/>
        <v>1863603750.389981</v>
      </c>
      <c r="AE93" s="49">
        <f t="shared" si="92"/>
        <v>53.12459828416543</v>
      </c>
      <c r="AF93" s="45">
        <v>22.32</v>
      </c>
      <c r="AG93" s="45">
        <v>22.59</v>
      </c>
      <c r="AH93" s="45"/>
      <c r="AI93" s="49">
        <f t="shared" si="93"/>
        <v>22.454999999999998</v>
      </c>
      <c r="AJ93" s="45">
        <f t="shared" si="70"/>
        <v>881.94974528867795</v>
      </c>
      <c r="AK93" s="50">
        <f t="shared" si="37"/>
        <v>176.38994905773558</v>
      </c>
      <c r="AL93" s="45">
        <v>34.81</v>
      </c>
      <c r="AM93" s="45">
        <v>35.47</v>
      </c>
      <c r="AN93" s="45"/>
      <c r="AO93" s="49">
        <f t="shared" si="94"/>
        <v>35.14</v>
      </c>
      <c r="AP93" s="45">
        <f t="shared" si="84"/>
        <v>2.6879826855290061E-6</v>
      </c>
      <c r="AQ93" s="45">
        <f t="shared" si="85"/>
        <v>159.21381614793938</v>
      </c>
      <c r="AR93" s="50">
        <f t="shared" si="41"/>
        <v>31.842763229587877</v>
      </c>
      <c r="AS93" s="50">
        <f t="shared" si="74"/>
        <v>0.18052481674658896</v>
      </c>
      <c r="AT93" s="50">
        <f t="shared" si="86"/>
        <v>34162516321.124496</v>
      </c>
      <c r="AU93" s="45"/>
      <c r="AV93" s="66" t="s">
        <v>132</v>
      </c>
    </row>
    <row r="94" spans="2:48" s="51" customFormat="1" ht="14" x14ac:dyDescent="0.15">
      <c r="B94" s="45" t="s">
        <v>54</v>
      </c>
      <c r="C94" s="45" t="s">
        <v>55</v>
      </c>
      <c r="D94" s="65" t="s">
        <v>128</v>
      </c>
      <c r="E94" s="53" t="s">
        <v>57</v>
      </c>
      <c r="F94" s="54" t="s">
        <v>58</v>
      </c>
      <c r="G94" s="53" t="s">
        <v>59</v>
      </c>
      <c r="H94" s="53">
        <v>-20</v>
      </c>
      <c r="I94" s="53" t="s">
        <v>122</v>
      </c>
      <c r="J94" s="53" t="s">
        <v>61</v>
      </c>
      <c r="K94" s="53" t="s">
        <v>62</v>
      </c>
      <c r="L94" s="53" t="s">
        <v>123</v>
      </c>
      <c r="M94" s="53" t="s">
        <v>124</v>
      </c>
      <c r="N94" s="53" t="s">
        <v>125</v>
      </c>
      <c r="O94" s="53" t="s">
        <v>126</v>
      </c>
      <c r="P94" s="53" t="s">
        <v>65</v>
      </c>
      <c r="Q94" s="45">
        <v>8.3699999999999992</v>
      </c>
      <c r="R94" s="45">
        <v>4.57</v>
      </c>
      <c r="S94" s="45">
        <v>220</v>
      </c>
      <c r="T94" s="45">
        <v>188448</v>
      </c>
      <c r="U94" s="53">
        <f t="shared" si="88"/>
        <v>188448000000</v>
      </c>
      <c r="V94" s="53" t="s">
        <v>127</v>
      </c>
      <c r="W94" s="53" t="s">
        <v>66</v>
      </c>
      <c r="X94" s="53" t="s">
        <v>127</v>
      </c>
      <c r="Y94" s="45">
        <v>16.079999999999998</v>
      </c>
      <c r="Z94" s="45">
        <v>16.48</v>
      </c>
      <c r="AA94" s="45"/>
      <c r="AB94" s="49">
        <f t="shared" si="89"/>
        <v>16.28</v>
      </c>
      <c r="AC94" s="49">
        <f t="shared" si="90"/>
        <v>26.552302467391076</v>
      </c>
      <c r="AD94" s="50">
        <f t="shared" si="91"/>
        <v>3109805879.8027892</v>
      </c>
      <c r="AE94" s="49">
        <f t="shared" si="92"/>
        <v>88.649310816039772</v>
      </c>
      <c r="AF94" s="45">
        <v>23.37</v>
      </c>
      <c r="AG94" s="45">
        <v>23.12</v>
      </c>
      <c r="AH94" s="45"/>
      <c r="AI94" s="49">
        <f t="shared" si="93"/>
        <v>23.245000000000001</v>
      </c>
      <c r="AJ94" s="45">
        <f t="shared" si="70"/>
        <v>496.91754673160335</v>
      </c>
      <c r="AK94" s="50">
        <f t="shared" si="37"/>
        <v>99.383509346320665</v>
      </c>
      <c r="AL94" s="45">
        <v>34.36</v>
      </c>
      <c r="AM94" s="45">
        <v>34.06</v>
      </c>
      <c r="AN94" s="45"/>
      <c r="AO94" s="49">
        <f t="shared" si="94"/>
        <v>34.21</v>
      </c>
      <c r="AP94" s="45">
        <f t="shared" si="84"/>
        <v>4.9722395203122001E-6</v>
      </c>
      <c r="AQ94" s="45">
        <f t="shared" si="85"/>
        <v>294.51425899892098</v>
      </c>
      <c r="AR94" s="50">
        <f t="shared" si="41"/>
        <v>58.902851799784194</v>
      </c>
      <c r="AS94" s="50">
        <f t="shared" si="74"/>
        <v>0.59268234928720465</v>
      </c>
      <c r="AT94" s="50">
        <f t="shared" si="86"/>
        <v>111689803358.47514</v>
      </c>
      <c r="AU94" s="45"/>
      <c r="AV94" s="45"/>
    </row>
    <row r="95" spans="2:48" s="51" customFormat="1" ht="14" x14ac:dyDescent="0.15">
      <c r="B95" s="45" t="s">
        <v>54</v>
      </c>
      <c r="C95" s="45" t="s">
        <v>55</v>
      </c>
      <c r="D95" s="65" t="s">
        <v>129</v>
      </c>
      <c r="E95" s="53" t="s">
        <v>57</v>
      </c>
      <c r="F95" s="54" t="s">
        <v>58</v>
      </c>
      <c r="G95" s="53" t="s">
        <v>59</v>
      </c>
      <c r="H95" s="53">
        <v>-20</v>
      </c>
      <c r="I95" s="53" t="s">
        <v>122</v>
      </c>
      <c r="J95" s="53" t="s">
        <v>61</v>
      </c>
      <c r="K95" s="53" t="s">
        <v>62</v>
      </c>
      <c r="L95" s="53" t="s">
        <v>123</v>
      </c>
      <c r="M95" s="53" t="s">
        <v>124</v>
      </c>
      <c r="N95" s="53" t="s">
        <v>125</v>
      </c>
      <c r="O95" s="53" t="s">
        <v>126</v>
      </c>
      <c r="P95" s="53" t="s">
        <v>65</v>
      </c>
      <c r="Q95" s="45">
        <v>7.55</v>
      </c>
      <c r="R95" s="45">
        <v>4.08</v>
      </c>
      <c r="S95" s="45">
        <v>310</v>
      </c>
      <c r="T95" s="45">
        <v>195864</v>
      </c>
      <c r="U95" s="53">
        <f t="shared" si="88"/>
        <v>195864000000</v>
      </c>
      <c r="V95" s="53" t="s">
        <v>127</v>
      </c>
      <c r="W95" s="53" t="s">
        <v>66</v>
      </c>
      <c r="X95" s="53" t="s">
        <v>127</v>
      </c>
      <c r="Y95" s="45">
        <v>16.86</v>
      </c>
      <c r="Z95" s="45">
        <v>17.02</v>
      </c>
      <c r="AA95" s="45"/>
      <c r="AB95" s="49">
        <f t="shared" si="89"/>
        <v>16.939999999999998</v>
      </c>
      <c r="AC95" s="49">
        <f t="shared" si="90"/>
        <v>17.070458519741173</v>
      </c>
      <c r="AD95" s="50">
        <f t="shared" si="91"/>
        <v>1999292239.9409802</v>
      </c>
      <c r="AE95" s="49">
        <f t="shared" si="92"/>
        <v>56.992586045873665</v>
      </c>
      <c r="AF95" s="45">
        <v>22.16</v>
      </c>
      <c r="AG95" s="45">
        <v>22.13</v>
      </c>
      <c r="AH95" s="45"/>
      <c r="AI95" s="49">
        <f t="shared" si="93"/>
        <v>22.145</v>
      </c>
      <c r="AJ95" s="45">
        <f t="shared" si="70"/>
        <v>1104.6260762220161</v>
      </c>
      <c r="AK95" s="50">
        <f t="shared" si="37"/>
        <v>220.9252152444032</v>
      </c>
      <c r="AL95" s="45">
        <v>33.51</v>
      </c>
      <c r="AM95" s="45">
        <v>33.76</v>
      </c>
      <c r="AN95" s="45"/>
      <c r="AO95" s="49">
        <f t="shared" si="94"/>
        <v>33.634999999999998</v>
      </c>
      <c r="AP95" s="45">
        <f t="shared" si="84"/>
        <v>7.2729453831945883E-6</v>
      </c>
      <c r="AQ95" s="45">
        <f t="shared" si="85"/>
        <v>430.78900594408316</v>
      </c>
      <c r="AR95" s="50">
        <f t="shared" si="41"/>
        <v>86.157801188816634</v>
      </c>
      <c r="AS95" s="50">
        <f t="shared" si="74"/>
        <v>0.38998627247461426</v>
      </c>
      <c r="AT95" s="50">
        <f t="shared" si="86"/>
        <v>76384271271.96785</v>
      </c>
      <c r="AU95" s="45"/>
      <c r="AV95" s="45"/>
    </row>
    <row r="96" spans="2:48" s="51" customFormat="1" ht="14" x14ac:dyDescent="0.15">
      <c r="B96" s="45" t="s">
        <v>54</v>
      </c>
      <c r="C96" s="45" t="s">
        <v>55</v>
      </c>
      <c r="D96" s="45" t="s">
        <v>130</v>
      </c>
      <c r="E96" s="53" t="s">
        <v>57</v>
      </c>
      <c r="F96" s="54" t="s">
        <v>58</v>
      </c>
      <c r="G96" s="53" t="s">
        <v>59</v>
      </c>
      <c r="H96" s="53">
        <v>-20</v>
      </c>
      <c r="I96" s="53" t="s">
        <v>122</v>
      </c>
      <c r="J96" s="53" t="s">
        <v>61</v>
      </c>
      <c r="K96" s="53" t="s">
        <v>62</v>
      </c>
      <c r="L96" s="53" t="s">
        <v>123</v>
      </c>
      <c r="M96" s="53" t="s">
        <v>124</v>
      </c>
      <c r="N96" s="53" t="s">
        <v>125</v>
      </c>
      <c r="O96" s="53" t="s">
        <v>126</v>
      </c>
      <c r="P96" s="53" t="s">
        <v>65</v>
      </c>
      <c r="Q96" s="45">
        <v>8.16</v>
      </c>
      <c r="R96" s="45">
        <v>4.57</v>
      </c>
      <c r="S96" s="45">
        <v>180</v>
      </c>
      <c r="T96" s="45">
        <v>222000</v>
      </c>
      <c r="U96" s="53">
        <f t="shared" si="88"/>
        <v>222000000000</v>
      </c>
      <c r="V96" s="53" t="s">
        <v>127</v>
      </c>
      <c r="W96" s="53" t="s">
        <v>66</v>
      </c>
      <c r="X96" s="53" t="s">
        <v>127</v>
      </c>
      <c r="Y96" s="45">
        <v>17.059999999999999</v>
      </c>
      <c r="Z96" s="45">
        <v>17.079999999999998</v>
      </c>
      <c r="AA96" s="45"/>
      <c r="AB96" s="49">
        <f t="shared" si="89"/>
        <v>17.07</v>
      </c>
      <c r="AC96" s="49">
        <f t="shared" si="90"/>
        <v>15.647867911548204</v>
      </c>
      <c r="AD96" s="50">
        <f t="shared" si="91"/>
        <v>1832678416.3999212</v>
      </c>
      <c r="AE96" s="49">
        <f t="shared" si="92"/>
        <v>52.243028935165263</v>
      </c>
      <c r="AF96" s="45">
        <v>21.54</v>
      </c>
      <c r="AG96" s="45">
        <v>21.78</v>
      </c>
      <c r="AH96" s="45"/>
      <c r="AI96" s="49">
        <f t="shared" si="93"/>
        <v>21.66</v>
      </c>
      <c r="AJ96" s="45">
        <f t="shared" si="70"/>
        <v>1571.0149024626051</v>
      </c>
      <c r="AK96" s="50">
        <f t="shared" si="37"/>
        <v>314.20298049252102</v>
      </c>
      <c r="AL96" s="45">
        <v>33.11</v>
      </c>
      <c r="AM96" s="45">
        <v>32.92</v>
      </c>
      <c r="AN96" s="45"/>
      <c r="AO96" s="49">
        <f t="shared" si="94"/>
        <v>33.015000000000001</v>
      </c>
      <c r="AP96" s="45">
        <f t="shared" si="84"/>
        <v>1.0959583310344562E-5</v>
      </c>
      <c r="AQ96" s="45">
        <f t="shared" si="85"/>
        <v>649.1548816981375</v>
      </c>
      <c r="AR96" s="50">
        <f t="shared" si="41"/>
        <v>129.83097633962751</v>
      </c>
      <c r="AS96" s="50">
        <f t="shared" si="74"/>
        <v>0.41320733538591586</v>
      </c>
      <c r="AT96" s="50">
        <f t="shared" si="86"/>
        <v>91732028455.673325</v>
      </c>
      <c r="AU96" s="45"/>
      <c r="AV96" s="45"/>
    </row>
    <row r="97" spans="2:48" s="51" customFormat="1" ht="16" x14ac:dyDescent="0.2">
      <c r="B97" s="45" t="s">
        <v>54</v>
      </c>
      <c r="C97" s="45" t="s">
        <v>55</v>
      </c>
      <c r="D97" s="45" t="s">
        <v>131</v>
      </c>
      <c r="E97" s="53" t="s">
        <v>57</v>
      </c>
      <c r="F97" s="54" t="s">
        <v>58</v>
      </c>
      <c r="G97" s="53" t="s">
        <v>59</v>
      </c>
      <c r="H97" s="53">
        <v>-20</v>
      </c>
      <c r="I97" s="53" t="s">
        <v>122</v>
      </c>
      <c r="J97" s="53" t="s">
        <v>61</v>
      </c>
      <c r="K97" s="53" t="s">
        <v>62</v>
      </c>
      <c r="L97" s="53" t="s">
        <v>123</v>
      </c>
      <c r="M97" s="53" t="s">
        <v>124</v>
      </c>
      <c r="N97" s="53" t="s">
        <v>125</v>
      </c>
      <c r="O97" s="53" t="s">
        <v>126</v>
      </c>
      <c r="P97" s="53" t="s">
        <v>65</v>
      </c>
      <c r="Q97" s="45">
        <v>7.17</v>
      </c>
      <c r="R97" s="45">
        <v>4.42</v>
      </c>
      <c r="S97" s="45">
        <v>250</v>
      </c>
      <c r="T97" s="45">
        <v>236352</v>
      </c>
      <c r="U97" s="53">
        <f t="shared" si="88"/>
        <v>236352000000</v>
      </c>
      <c r="V97" s="53" t="s">
        <v>127</v>
      </c>
      <c r="W97" s="53" t="s">
        <v>66</v>
      </c>
      <c r="X97" s="53" t="s">
        <v>127</v>
      </c>
      <c r="Y97" s="45">
        <v>16.579999999999998</v>
      </c>
      <c r="Z97" s="45">
        <v>16.88</v>
      </c>
      <c r="AA97" s="45"/>
      <c r="AB97" s="49">
        <f t="shared" si="89"/>
        <v>16.729999999999997</v>
      </c>
      <c r="AC97" s="49">
        <f t="shared" si="90"/>
        <v>19.646744427244833</v>
      </c>
      <c r="AD97" s="50">
        <f t="shared" si="91"/>
        <v>2301026866.2713027</v>
      </c>
      <c r="AE97" s="49">
        <f t="shared" si="92"/>
        <v>65.593948223250038</v>
      </c>
      <c r="AF97" s="45">
        <v>23.63</v>
      </c>
      <c r="AG97" s="45">
        <v>23.36</v>
      </c>
      <c r="AH97" s="45"/>
      <c r="AI97" s="49">
        <f t="shared" si="93"/>
        <v>23.494999999999997</v>
      </c>
      <c r="AJ97" s="45">
        <f t="shared" si="70"/>
        <v>414.41587858592311</v>
      </c>
      <c r="AK97" s="50">
        <f t="shared" si="37"/>
        <v>82.883175717184628</v>
      </c>
      <c r="AL97" s="45">
        <v>33.11</v>
      </c>
      <c r="AM97" s="49">
        <v>33.6</v>
      </c>
      <c r="AN97" s="45"/>
      <c r="AO97" s="49">
        <f t="shared" si="94"/>
        <v>33.355000000000004</v>
      </c>
      <c r="AP97" s="45">
        <f t="shared" si="84"/>
        <v>8.7525626939756413E-6</v>
      </c>
      <c r="AQ97" s="45">
        <f t="shared" si="85"/>
        <v>518.42927228815029</v>
      </c>
      <c r="AR97" s="50">
        <f t="shared" si="41"/>
        <v>103.68585445763006</v>
      </c>
      <c r="AS97" s="50">
        <f t="shared" si="74"/>
        <v>1.2509879545570102</v>
      </c>
      <c r="AT97" s="50">
        <f t="shared" si="86"/>
        <v>295673505035.4585</v>
      </c>
      <c r="AU97" s="45"/>
      <c r="AV97" s="66" t="s">
        <v>133</v>
      </c>
    </row>
    <row r="98" spans="2:48" x14ac:dyDescent="0.15">
      <c r="B98" s="8"/>
      <c r="C98" s="8"/>
      <c r="D98" s="8"/>
      <c r="E98" s="8" t="s">
        <v>105</v>
      </c>
      <c r="F98" s="8"/>
      <c r="G98" s="8" t="s">
        <v>134</v>
      </c>
      <c r="H98" s="8">
        <v>-80</v>
      </c>
      <c r="I98" s="8" t="s">
        <v>108</v>
      </c>
      <c r="J98" s="10" t="s">
        <v>61</v>
      </c>
      <c r="K98" s="10" t="s">
        <v>62</v>
      </c>
      <c r="L98" s="10" t="s">
        <v>123</v>
      </c>
      <c r="M98" s="10" t="s">
        <v>124</v>
      </c>
      <c r="N98" s="10" t="s">
        <v>107</v>
      </c>
      <c r="O98" s="8" t="s">
        <v>108</v>
      </c>
      <c r="P98" s="8" t="s">
        <v>108</v>
      </c>
      <c r="Q98" s="8" t="s">
        <v>108</v>
      </c>
      <c r="R98" s="8" t="s">
        <v>108</v>
      </c>
      <c r="S98" s="8" t="s">
        <v>108</v>
      </c>
      <c r="T98" s="8" t="s">
        <v>108</v>
      </c>
      <c r="U98" s="10" t="e">
        <f t="shared" si="88"/>
        <v>#VALUE!</v>
      </c>
      <c r="V98" s="10" t="s">
        <v>127</v>
      </c>
      <c r="W98" s="10" t="s">
        <v>66</v>
      </c>
      <c r="X98" s="10" t="s">
        <v>127</v>
      </c>
      <c r="Y98" s="8">
        <v>16.149999999999999</v>
      </c>
      <c r="Z98" s="8">
        <v>16.05</v>
      </c>
      <c r="AA98" s="8"/>
      <c r="AB98" s="18">
        <f t="shared" si="89"/>
        <v>16.100000000000001</v>
      </c>
      <c r="AC98" s="18">
        <f t="shared" si="90"/>
        <v>29.952068688374769</v>
      </c>
      <c r="AD98" s="19">
        <f t="shared" si="91"/>
        <v>3507986527.1102777</v>
      </c>
      <c r="AE98" s="18">
        <f t="shared" si="92"/>
        <v>100</v>
      </c>
      <c r="AF98" s="8">
        <v>29.77</v>
      </c>
      <c r="AG98" s="8">
        <v>30.04</v>
      </c>
      <c r="AH98" s="8"/>
      <c r="AI98" s="18">
        <f t="shared" si="93"/>
        <v>29.905000000000001</v>
      </c>
      <c r="AJ98" s="8">
        <f t="shared" si="70"/>
        <v>3.9425306070879205</v>
      </c>
      <c r="AK98" s="50">
        <f t="shared" si="37"/>
        <v>0.78850612141758414</v>
      </c>
      <c r="AL98" s="8">
        <v>24.1</v>
      </c>
      <c r="AM98" s="8">
        <v>24.85</v>
      </c>
      <c r="AN98" s="8"/>
      <c r="AO98" s="18">
        <f t="shared" si="94"/>
        <v>24.475000000000001</v>
      </c>
      <c r="AP98" s="19">
        <f t="shared" si="84"/>
        <v>3.1099514988174471E-3</v>
      </c>
      <c r="AQ98" s="8">
        <f t="shared" si="85"/>
        <v>184207.75134728313</v>
      </c>
      <c r="AR98" s="50">
        <f t="shared" si="41"/>
        <v>36841.550269456624</v>
      </c>
      <c r="AS98" s="19">
        <f t="shared" si="74"/>
        <v>46723.226705231558</v>
      </c>
      <c r="AT98" s="19" t="e">
        <f t="shared" si="86"/>
        <v>#VALUE!</v>
      </c>
      <c r="AU98" s="8"/>
      <c r="AV98" s="8"/>
    </row>
    <row r="99" spans="2:48" x14ac:dyDescent="0.15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10">
        <f t="shared" si="88"/>
        <v>0</v>
      </c>
      <c r="V99" s="8"/>
      <c r="W99" s="8"/>
      <c r="X99" s="8"/>
      <c r="Y99" s="8"/>
      <c r="Z99" s="8"/>
      <c r="AA99" s="8"/>
      <c r="AB99" s="8"/>
      <c r="AC99" s="18"/>
      <c r="AD99" s="19"/>
      <c r="AE99" s="18"/>
      <c r="AF99" s="8"/>
      <c r="AG99" s="8"/>
      <c r="AH99" s="8"/>
      <c r="AI99" s="8"/>
      <c r="AJ99" s="8"/>
      <c r="AK99" s="50">
        <f t="shared" si="37"/>
        <v>0</v>
      </c>
      <c r="AL99" s="8"/>
      <c r="AM99" s="8"/>
      <c r="AN99" s="8"/>
      <c r="AO99" s="8"/>
      <c r="AP99" s="8"/>
      <c r="AQ99" s="8"/>
      <c r="AR99" s="50">
        <f t="shared" si="41"/>
        <v>0</v>
      </c>
      <c r="AS99" s="19"/>
      <c r="AT99" s="19"/>
      <c r="AU99" s="8"/>
      <c r="AV99" s="8"/>
    </row>
    <row r="100" spans="2:48" s="51" customFormat="1" x14ac:dyDescent="0.15">
      <c r="B100" s="45" t="s">
        <v>54</v>
      </c>
      <c r="C100" s="45" t="s">
        <v>55</v>
      </c>
      <c r="D100" s="67" t="s">
        <v>111</v>
      </c>
      <c r="E100" s="45" t="s">
        <v>57</v>
      </c>
      <c r="F100" s="45" t="s">
        <v>58</v>
      </c>
      <c r="G100" s="45" t="s">
        <v>59</v>
      </c>
      <c r="H100" s="45">
        <v>-20</v>
      </c>
      <c r="I100" s="45" t="s">
        <v>135</v>
      </c>
      <c r="J100" s="45" t="s">
        <v>61</v>
      </c>
      <c r="K100" s="45" t="s">
        <v>62</v>
      </c>
      <c r="L100" s="45" t="s">
        <v>123</v>
      </c>
      <c r="M100" s="68">
        <v>44287</v>
      </c>
      <c r="N100" s="45" t="s">
        <v>91</v>
      </c>
      <c r="O100" s="45" t="s">
        <v>136</v>
      </c>
      <c r="P100" s="45" t="s">
        <v>65</v>
      </c>
      <c r="Q100" s="45">
        <v>6.49</v>
      </c>
      <c r="R100" s="45">
        <v>4.25</v>
      </c>
      <c r="S100" s="45">
        <v>270</v>
      </c>
      <c r="T100" s="45">
        <v>193776</v>
      </c>
      <c r="U100" s="53">
        <f t="shared" si="88"/>
        <v>193776000000</v>
      </c>
      <c r="V100" s="68">
        <v>44317</v>
      </c>
      <c r="W100" s="53" t="s">
        <v>66</v>
      </c>
      <c r="X100" s="68">
        <v>44348</v>
      </c>
      <c r="Y100" s="45">
        <v>18.309999999999999</v>
      </c>
      <c r="Z100" s="45">
        <v>18.350000000000001</v>
      </c>
      <c r="AA100" s="45"/>
      <c r="AB100" s="49">
        <f t="shared" ref="AB100:AB112" si="95">AVERAGE(Y100:AA100)</f>
        <v>18.329999999999998</v>
      </c>
      <c r="AC100" s="49">
        <f t="shared" ref="AC100:AC112" si="96">EXP((AB100-21.179)/-1.494)</f>
        <v>6.7325985129625687</v>
      </c>
      <c r="AD100" s="50">
        <f t="shared" ref="AD100:AD112" si="97">(AC100*(6.0221*10^23))/(15123*340*10^9)</f>
        <v>788521992.30840206</v>
      </c>
      <c r="AE100" s="49">
        <f>AD100*100/AD$112</f>
        <v>6.32257150610452</v>
      </c>
      <c r="AF100" s="45">
        <v>21.07</v>
      </c>
      <c r="AG100" s="45">
        <v>21.32</v>
      </c>
      <c r="AH100" s="45"/>
      <c r="AI100" s="49">
        <f t="shared" ref="AI100:AI111" si="98">AVERAGE(AF100:AH100)</f>
        <v>21.195</v>
      </c>
      <c r="AJ100" s="45">
        <f t="shared" si="70"/>
        <v>2202.102260410873</v>
      </c>
      <c r="AK100" s="50">
        <f t="shared" si="37"/>
        <v>440.42045208217462</v>
      </c>
      <c r="AL100" s="45">
        <v>33.21</v>
      </c>
      <c r="AM100" s="45">
        <v>33.25</v>
      </c>
      <c r="AN100" s="45"/>
      <c r="AO100" s="49">
        <f t="shared" ref="AO100:AO112" si="99">AVERAGE(AL100:AN100)</f>
        <v>33.230000000000004</v>
      </c>
      <c r="AP100" s="45">
        <f t="shared" si="84"/>
        <v>9.5069061197446955E-6</v>
      </c>
      <c r="AQ100" s="45">
        <f t="shared" si="85"/>
        <v>563.1103247924616</v>
      </c>
      <c r="AR100" s="50">
        <f t="shared" si="41"/>
        <v>112.62206495849232</v>
      </c>
      <c r="AS100" s="50">
        <f t="shared" si="74"/>
        <v>0.25571488432485201</v>
      </c>
      <c r="AT100" s="50">
        <f t="shared" si="86"/>
        <v>49551407424.932526</v>
      </c>
      <c r="AU100" s="45"/>
      <c r="AV100" s="45"/>
    </row>
    <row r="101" spans="2:48" s="51" customFormat="1" x14ac:dyDescent="0.15">
      <c r="B101" s="45" t="s">
        <v>54</v>
      </c>
      <c r="C101" s="45" t="s">
        <v>55</v>
      </c>
      <c r="D101" s="67" t="s">
        <v>137</v>
      </c>
      <c r="E101" s="45" t="s">
        <v>57</v>
      </c>
      <c r="F101" s="45" t="s">
        <v>58</v>
      </c>
      <c r="G101" s="45" t="s">
        <v>59</v>
      </c>
      <c r="H101" s="45">
        <v>-20</v>
      </c>
      <c r="I101" s="45" t="s">
        <v>135</v>
      </c>
      <c r="J101" s="45" t="s">
        <v>61</v>
      </c>
      <c r="K101" s="45" t="s">
        <v>62</v>
      </c>
      <c r="L101" s="45" t="s">
        <v>123</v>
      </c>
      <c r="M101" s="68">
        <v>44287</v>
      </c>
      <c r="N101" s="45" t="s">
        <v>91</v>
      </c>
      <c r="O101" s="45" t="s">
        <v>136</v>
      </c>
      <c r="P101" s="45" t="s">
        <v>65</v>
      </c>
      <c r="Q101" s="45">
        <v>6.71</v>
      </c>
      <c r="R101" s="45">
        <v>4.33</v>
      </c>
      <c r="S101" s="45">
        <v>270</v>
      </c>
      <c r="T101" s="45">
        <v>192288</v>
      </c>
      <c r="U101" s="53">
        <f t="shared" si="88"/>
        <v>192288000000</v>
      </c>
      <c r="V101" s="68">
        <v>44317</v>
      </c>
      <c r="W101" s="53" t="s">
        <v>66</v>
      </c>
      <c r="X101" s="68">
        <v>44348</v>
      </c>
      <c r="Y101" s="49">
        <v>17.5</v>
      </c>
      <c r="Z101" s="45">
        <v>17.47</v>
      </c>
      <c r="AA101" s="45"/>
      <c r="AB101" s="49">
        <f t="shared" si="95"/>
        <v>17.484999999999999</v>
      </c>
      <c r="AC101" s="49">
        <f t="shared" si="96"/>
        <v>11.852714276759638</v>
      </c>
      <c r="AD101" s="50">
        <f t="shared" si="97"/>
        <v>1388189991.9887161</v>
      </c>
      <c r="AE101" s="49">
        <f t="shared" ref="AE101:AE112" si="100">AD101*100/AD$112</f>
        <v>11.130863278413846</v>
      </c>
      <c r="AF101" s="45">
        <v>20.89</v>
      </c>
      <c r="AG101" s="45">
        <v>20.76</v>
      </c>
      <c r="AH101" s="45"/>
      <c r="AI101" s="49">
        <f t="shared" si="98"/>
        <v>20.825000000000003</v>
      </c>
      <c r="AJ101" s="45">
        <f t="shared" ref="AJ101" si="101">EXP((AI101-31.794)/-1.377)</f>
        <v>2880.9282453488922</v>
      </c>
      <c r="AK101" s="50">
        <f t="shared" si="37"/>
        <v>576.18564906977849</v>
      </c>
      <c r="AL101" s="45">
        <v>32.880000000000003</v>
      </c>
      <c r="AM101" s="45">
        <v>32.39</v>
      </c>
      <c r="AN101" s="45"/>
      <c r="AO101" s="49">
        <f t="shared" si="99"/>
        <v>32.635000000000005</v>
      </c>
      <c r="AP101" s="45">
        <f t="shared" si="84"/>
        <v>1.4091010107164547E-5</v>
      </c>
      <c r="AQ101" s="45">
        <f t="shared" si="85"/>
        <v>834.63465171068424</v>
      </c>
      <c r="AR101" s="50">
        <f t="shared" si="41"/>
        <v>166.92693034213684</v>
      </c>
      <c r="AS101" s="50">
        <f t="shared" si="74"/>
        <v>0.28971032272607206</v>
      </c>
      <c r="AT101" s="50">
        <f t="shared" si="86"/>
        <v>55707818536.350945</v>
      </c>
      <c r="AU101" s="45"/>
      <c r="AV101" s="45"/>
    </row>
    <row r="102" spans="2:48" s="51" customFormat="1" x14ac:dyDescent="0.15">
      <c r="B102" s="45" t="s">
        <v>54</v>
      </c>
      <c r="C102" s="45" t="s">
        <v>55</v>
      </c>
      <c r="D102" s="67" t="s">
        <v>138</v>
      </c>
      <c r="E102" s="45" t="s">
        <v>57</v>
      </c>
      <c r="F102" s="45" t="s">
        <v>58</v>
      </c>
      <c r="G102" s="45" t="s">
        <v>59</v>
      </c>
      <c r="H102" s="45">
        <v>-20</v>
      </c>
      <c r="I102" s="45" t="s">
        <v>135</v>
      </c>
      <c r="J102" s="45" t="s">
        <v>61</v>
      </c>
      <c r="K102" s="45" t="s">
        <v>62</v>
      </c>
      <c r="L102" s="45" t="s">
        <v>123</v>
      </c>
      <c r="M102" s="68">
        <v>44287</v>
      </c>
      <c r="N102" s="45" t="s">
        <v>91</v>
      </c>
      <c r="O102" s="45" t="s">
        <v>136</v>
      </c>
      <c r="P102" s="45" t="s">
        <v>65</v>
      </c>
      <c r="Q102" s="45">
        <v>6.57</v>
      </c>
      <c r="R102" s="45">
        <v>3.75</v>
      </c>
      <c r="S102" s="45">
        <v>340</v>
      </c>
      <c r="T102" s="45">
        <v>192696</v>
      </c>
      <c r="U102" s="53">
        <f t="shared" si="88"/>
        <v>192696000000</v>
      </c>
      <c r="V102" s="68">
        <v>44317</v>
      </c>
      <c r="W102" s="53" t="s">
        <v>66</v>
      </c>
      <c r="X102" s="68">
        <v>44348</v>
      </c>
      <c r="Y102" s="45">
        <v>18.63</v>
      </c>
      <c r="Z102" s="45">
        <v>18.22</v>
      </c>
      <c r="AA102" s="45"/>
      <c r="AB102" s="49">
        <f t="shared" si="95"/>
        <v>18.424999999999997</v>
      </c>
      <c r="AC102" s="49">
        <f t="shared" si="96"/>
        <v>6.3178154639986124</v>
      </c>
      <c r="AD102" s="50">
        <f t="shared" si="97"/>
        <v>739942598.25793278</v>
      </c>
      <c r="AE102" s="49">
        <f t="shared" si="100"/>
        <v>5.9330494691754705</v>
      </c>
      <c r="AF102" s="45">
        <v>20.61</v>
      </c>
      <c r="AG102" s="45">
        <v>21.03</v>
      </c>
      <c r="AH102" s="45"/>
      <c r="AI102" s="49">
        <f t="shared" si="98"/>
        <v>20.82</v>
      </c>
      <c r="AJ102" s="45">
        <f t="shared" ref="AJ102" si="102">EXP((AI102-31.794)/-1.377)</f>
        <v>2891.4081474014033</v>
      </c>
      <c r="AK102" s="50">
        <f t="shared" si="37"/>
        <v>578.28162948028069</v>
      </c>
      <c r="AL102" s="45">
        <v>32.07</v>
      </c>
      <c r="AM102" s="45">
        <v>31.86</v>
      </c>
      <c r="AN102" s="45"/>
      <c r="AO102" s="49">
        <f t="shared" si="99"/>
        <v>31.965</v>
      </c>
      <c r="AP102" s="45">
        <f t="shared" si="84"/>
        <v>2.1947620015714973E-5</v>
      </c>
      <c r="AQ102" s="45">
        <f t="shared" si="85"/>
        <v>1299.995106694362</v>
      </c>
      <c r="AR102" s="50">
        <f t="shared" si="41"/>
        <v>259.99902133887241</v>
      </c>
      <c r="AS102" s="50">
        <f t="shared" si="74"/>
        <v>0.4496062265933321</v>
      </c>
      <c r="AT102" s="50">
        <f t="shared" si="86"/>
        <v>86637321439.628723</v>
      </c>
      <c r="AU102" s="45"/>
      <c r="AV102" s="45"/>
    </row>
    <row r="103" spans="2:48" s="51" customFormat="1" x14ac:dyDescent="0.15">
      <c r="B103" s="45" t="s">
        <v>54</v>
      </c>
      <c r="C103" s="45" t="s">
        <v>55</v>
      </c>
      <c r="D103" s="67" t="s">
        <v>112</v>
      </c>
      <c r="E103" s="45" t="s">
        <v>57</v>
      </c>
      <c r="F103" s="45" t="s">
        <v>58</v>
      </c>
      <c r="G103" s="45" t="s">
        <v>59</v>
      </c>
      <c r="H103" s="45">
        <v>-20</v>
      </c>
      <c r="I103" s="45" t="s">
        <v>135</v>
      </c>
      <c r="J103" s="45" t="s">
        <v>61</v>
      </c>
      <c r="K103" s="45" t="s">
        <v>62</v>
      </c>
      <c r="L103" s="45" t="s">
        <v>123</v>
      </c>
      <c r="M103" s="68">
        <v>44287</v>
      </c>
      <c r="N103" s="45" t="s">
        <v>91</v>
      </c>
      <c r="O103" s="45" t="s">
        <v>136</v>
      </c>
      <c r="P103" s="45" t="s">
        <v>65</v>
      </c>
      <c r="Q103" s="45">
        <v>6.56</v>
      </c>
      <c r="R103" s="49">
        <v>3.8</v>
      </c>
      <c r="S103" s="45">
        <v>310</v>
      </c>
      <c r="T103" s="45">
        <v>202800</v>
      </c>
      <c r="U103" s="53">
        <f t="shared" si="88"/>
        <v>202800000000</v>
      </c>
      <c r="V103" s="68">
        <v>44317</v>
      </c>
      <c r="W103" s="53" t="s">
        <v>66</v>
      </c>
      <c r="X103" s="68">
        <v>44348</v>
      </c>
      <c r="Y103" s="45">
        <v>18.48</v>
      </c>
      <c r="Z103" s="45">
        <v>18.420000000000002</v>
      </c>
      <c r="AA103" s="45"/>
      <c r="AB103" s="49">
        <f t="shared" si="95"/>
        <v>18.450000000000003</v>
      </c>
      <c r="AC103" s="49">
        <f t="shared" si="96"/>
        <v>6.2129752836379071</v>
      </c>
      <c r="AD103" s="50">
        <f t="shared" si="97"/>
        <v>727663715.48587537</v>
      </c>
      <c r="AE103" s="49">
        <f t="shared" si="100"/>
        <v>5.8345942388855283</v>
      </c>
      <c r="AF103" s="49">
        <v>20.399999999999999</v>
      </c>
      <c r="AG103" s="45">
        <v>20.32</v>
      </c>
      <c r="AH103" s="45"/>
      <c r="AI103" s="49">
        <f t="shared" si="98"/>
        <v>20.36</v>
      </c>
      <c r="AJ103" s="45">
        <f t="shared" ref="AJ103" si="103">EXP((AI103-31.794)/-1.377)</f>
        <v>4038.2166911464715</v>
      </c>
      <c r="AK103" s="50">
        <f t="shared" si="37"/>
        <v>807.64333822929427</v>
      </c>
      <c r="AL103" s="45">
        <v>31.39</v>
      </c>
      <c r="AM103" s="45">
        <v>31.2</v>
      </c>
      <c r="AN103" s="45"/>
      <c r="AO103" s="49">
        <f t="shared" si="99"/>
        <v>31.295000000000002</v>
      </c>
      <c r="AP103" s="45">
        <f t="shared" si="84"/>
        <v>3.4184776016113568E-5</v>
      </c>
      <c r="AQ103" s="45">
        <f t="shared" si="85"/>
        <v>2024.8228059612109</v>
      </c>
      <c r="AR103" s="50">
        <f t="shared" si="41"/>
        <v>404.96456119224217</v>
      </c>
      <c r="AS103" s="50">
        <f t="shared" si="74"/>
        <v>0.50141509503452442</v>
      </c>
      <c r="AT103" s="50">
        <f t="shared" si="86"/>
        <v>101686981273.00156</v>
      </c>
      <c r="AU103" s="45"/>
      <c r="AV103" s="45"/>
    </row>
    <row r="104" spans="2:48" s="51" customFormat="1" x14ac:dyDescent="0.15">
      <c r="B104" s="45" t="s">
        <v>54</v>
      </c>
      <c r="C104" s="45" t="s">
        <v>55</v>
      </c>
      <c r="D104" s="67" t="s">
        <v>139</v>
      </c>
      <c r="E104" s="45" t="s">
        <v>57</v>
      </c>
      <c r="F104" s="45" t="s">
        <v>58</v>
      </c>
      <c r="G104" s="45" t="s">
        <v>59</v>
      </c>
      <c r="H104" s="45">
        <v>-20</v>
      </c>
      <c r="I104" s="45" t="s">
        <v>135</v>
      </c>
      <c r="J104" s="45" t="s">
        <v>61</v>
      </c>
      <c r="K104" s="45" t="s">
        <v>62</v>
      </c>
      <c r="L104" s="45" t="s">
        <v>123</v>
      </c>
      <c r="M104" s="68">
        <v>44287</v>
      </c>
      <c r="N104" s="45" t="s">
        <v>91</v>
      </c>
      <c r="O104" s="45" t="s">
        <v>136</v>
      </c>
      <c r="P104" s="45" t="s">
        <v>65</v>
      </c>
      <c r="Q104" s="45">
        <v>6.62</v>
      </c>
      <c r="R104" s="49">
        <v>3.6</v>
      </c>
      <c r="S104" s="45">
        <v>280</v>
      </c>
      <c r="T104" s="45">
        <v>187296</v>
      </c>
      <c r="U104" s="53">
        <f t="shared" si="88"/>
        <v>187296000000</v>
      </c>
      <c r="V104" s="68">
        <v>44317</v>
      </c>
      <c r="W104" s="53" t="s">
        <v>66</v>
      </c>
      <c r="X104" s="68">
        <v>44348</v>
      </c>
      <c r="Y104" s="45">
        <v>17.86</v>
      </c>
      <c r="Z104" s="45">
        <v>17.940000000000001</v>
      </c>
      <c r="AA104" s="45"/>
      <c r="AB104" s="49">
        <f t="shared" si="95"/>
        <v>17.899999999999999</v>
      </c>
      <c r="AC104" s="49">
        <f t="shared" si="96"/>
        <v>8.9780177414983005</v>
      </c>
      <c r="AD104" s="50">
        <f t="shared" si="97"/>
        <v>1051505510.5211172</v>
      </c>
      <c r="AE104" s="49">
        <f t="shared" si="100"/>
        <v>8.4312407823528268</v>
      </c>
      <c r="AF104" s="45">
        <v>24.72</v>
      </c>
      <c r="AG104" s="45">
        <v>24.27</v>
      </c>
      <c r="AH104" s="45"/>
      <c r="AI104" s="49">
        <f t="shared" si="98"/>
        <v>24.494999999999997</v>
      </c>
      <c r="AJ104" s="45">
        <f t="shared" ref="AJ104" si="104">EXP((AI104-31.794)/-1.377)</f>
        <v>200.46779186615584</v>
      </c>
      <c r="AK104" s="50">
        <f t="shared" si="37"/>
        <v>40.093558373231168</v>
      </c>
      <c r="AL104" s="49">
        <v>33.299999999999997</v>
      </c>
      <c r="AM104" s="45">
        <v>33.31</v>
      </c>
      <c r="AN104" s="45"/>
      <c r="AO104" s="49">
        <f t="shared" si="99"/>
        <v>33.305</v>
      </c>
      <c r="AP104" s="45">
        <f t="shared" si="84"/>
        <v>9.0468381399916392E-6</v>
      </c>
      <c r="AQ104" s="45">
        <f t="shared" si="85"/>
        <v>535.85971073966266</v>
      </c>
      <c r="AR104" s="50">
        <f t="shared" si="41"/>
        <v>107.17194214793253</v>
      </c>
      <c r="AS104" s="50">
        <f t="shared" si="74"/>
        <v>2.6730464068633744</v>
      </c>
      <c r="AT104" s="50">
        <f t="shared" si="86"/>
        <v>500650899819.88257</v>
      </c>
      <c r="AU104" s="45"/>
      <c r="AV104" s="45"/>
    </row>
    <row r="105" spans="2:48" s="102" customFormat="1" x14ac:dyDescent="0.15">
      <c r="B105" s="103" t="s">
        <v>54</v>
      </c>
      <c r="C105" s="103" t="s">
        <v>140</v>
      </c>
      <c r="D105" s="114" t="s">
        <v>111</v>
      </c>
      <c r="E105" s="103" t="s">
        <v>57</v>
      </c>
      <c r="F105" s="103" t="s">
        <v>58</v>
      </c>
      <c r="G105" s="103" t="s">
        <v>59</v>
      </c>
      <c r="H105" s="103">
        <v>-20</v>
      </c>
      <c r="I105" s="103" t="s">
        <v>135</v>
      </c>
      <c r="J105" s="103" t="s">
        <v>61</v>
      </c>
      <c r="K105" s="103" t="s">
        <v>62</v>
      </c>
      <c r="L105" s="103" t="s">
        <v>123</v>
      </c>
      <c r="M105" s="115">
        <v>44287</v>
      </c>
      <c r="N105" s="103" t="s">
        <v>91</v>
      </c>
      <c r="O105" s="103" t="s">
        <v>136</v>
      </c>
      <c r="P105" s="103" t="s">
        <v>65</v>
      </c>
      <c r="Q105" s="103">
        <v>6.25</v>
      </c>
      <c r="R105" s="103">
        <v>3.97</v>
      </c>
      <c r="S105" s="103">
        <v>380</v>
      </c>
      <c r="T105" s="103">
        <v>166512</v>
      </c>
      <c r="U105" s="111">
        <f t="shared" si="88"/>
        <v>166512000000</v>
      </c>
      <c r="V105" s="115">
        <v>44317</v>
      </c>
      <c r="W105" s="111" t="s">
        <v>66</v>
      </c>
      <c r="X105" s="115">
        <v>44348</v>
      </c>
      <c r="Y105" s="103">
        <v>17.829999999999998</v>
      </c>
      <c r="Z105" s="103">
        <v>17.86</v>
      </c>
      <c r="AA105" s="103"/>
      <c r="AB105" s="107">
        <f t="shared" si="95"/>
        <v>17.844999999999999</v>
      </c>
      <c r="AC105" s="107">
        <f t="shared" si="96"/>
        <v>9.3146929339289493</v>
      </c>
      <c r="AD105" s="108">
        <f t="shared" si="97"/>
        <v>1090936911.7824724</v>
      </c>
      <c r="AE105" s="107">
        <f t="shared" si="100"/>
        <v>8.747411867614467</v>
      </c>
      <c r="AF105" s="103">
        <v>21.56</v>
      </c>
      <c r="AG105" s="103">
        <v>21.28</v>
      </c>
      <c r="AH105" s="103"/>
      <c r="AI105" s="107">
        <f t="shared" si="98"/>
        <v>21.42</v>
      </c>
      <c r="AJ105" s="103">
        <f t="shared" ref="AJ105" si="105">EXP((AI105-31.794)/-1.377)</f>
        <v>1870.1409160403844</v>
      </c>
      <c r="AK105" s="108">
        <f t="shared" si="37"/>
        <v>374.02818320807688</v>
      </c>
      <c r="AL105" s="103">
        <v>34.65</v>
      </c>
      <c r="AM105" s="103">
        <v>34.22</v>
      </c>
      <c r="AN105" s="103"/>
      <c r="AO105" s="107">
        <f t="shared" si="99"/>
        <v>34.435000000000002</v>
      </c>
      <c r="AP105" s="103">
        <f t="shared" si="84"/>
        <v>4.2847440665851153E-6</v>
      </c>
      <c r="AQ105" s="103">
        <f t="shared" si="85"/>
        <v>253.79272631884487</v>
      </c>
      <c r="AR105" s="108">
        <f t="shared" si="41"/>
        <v>50.758545263768973</v>
      </c>
      <c r="AS105" s="108">
        <f t="shared" si="74"/>
        <v>0.13570780904371399</v>
      </c>
      <c r="AT105" s="108">
        <f t="shared" si="86"/>
        <v>22596978699.486904</v>
      </c>
      <c r="AU105" s="103"/>
      <c r="AV105" s="103"/>
    </row>
    <row r="106" spans="2:48" s="102" customFormat="1" x14ac:dyDescent="0.15">
      <c r="B106" s="103" t="s">
        <v>54</v>
      </c>
      <c r="C106" s="103" t="s">
        <v>140</v>
      </c>
      <c r="D106" s="114" t="s">
        <v>137</v>
      </c>
      <c r="E106" s="103" t="s">
        <v>57</v>
      </c>
      <c r="F106" s="103" t="s">
        <v>58</v>
      </c>
      <c r="G106" s="103" t="s">
        <v>59</v>
      </c>
      <c r="H106" s="103">
        <v>-20</v>
      </c>
      <c r="I106" s="103" t="s">
        <v>135</v>
      </c>
      <c r="J106" s="103" t="s">
        <v>61</v>
      </c>
      <c r="K106" s="103" t="s">
        <v>62</v>
      </c>
      <c r="L106" s="103" t="s">
        <v>123</v>
      </c>
      <c r="M106" s="115">
        <v>44287</v>
      </c>
      <c r="N106" s="103" t="s">
        <v>91</v>
      </c>
      <c r="O106" s="103" t="s">
        <v>136</v>
      </c>
      <c r="P106" s="103" t="s">
        <v>65</v>
      </c>
      <c r="Q106" s="103">
        <v>6.59</v>
      </c>
      <c r="R106" s="103">
        <v>3.66</v>
      </c>
      <c r="S106" s="103">
        <v>210</v>
      </c>
      <c r="T106" s="103">
        <v>161544</v>
      </c>
      <c r="U106" s="111">
        <f t="shared" si="88"/>
        <v>161544000000</v>
      </c>
      <c r="V106" s="115">
        <v>44317</v>
      </c>
      <c r="W106" s="111" t="s">
        <v>66</v>
      </c>
      <c r="X106" s="115">
        <v>44348</v>
      </c>
      <c r="Y106" s="103">
        <v>18.239999999999998</v>
      </c>
      <c r="Z106" s="103">
        <v>18.010000000000002</v>
      </c>
      <c r="AA106" s="103"/>
      <c r="AB106" s="107">
        <f t="shared" si="95"/>
        <v>18.125</v>
      </c>
      <c r="AC106" s="107">
        <f t="shared" si="96"/>
        <v>7.7227977931931004</v>
      </c>
      <c r="AD106" s="108">
        <f t="shared" si="97"/>
        <v>904494140.02022958</v>
      </c>
      <c r="AE106" s="107">
        <f t="shared" si="100"/>
        <v>7.2524659209425577</v>
      </c>
      <c r="AF106" s="103">
        <v>21.46</v>
      </c>
      <c r="AG106" s="103">
        <v>21.25</v>
      </c>
      <c r="AH106" s="103"/>
      <c r="AI106" s="107">
        <f t="shared" si="98"/>
        <v>21.355</v>
      </c>
      <c r="AJ106" s="103">
        <f t="shared" ref="AJ106" si="106">EXP((AI106-31.794)/-1.377)</f>
        <v>1960.5358936729931</v>
      </c>
      <c r="AK106" s="108">
        <f t="shared" si="37"/>
        <v>392.10717873459862</v>
      </c>
      <c r="AL106" s="103">
        <v>34.17</v>
      </c>
      <c r="AM106" s="103">
        <v>33.25</v>
      </c>
      <c r="AN106" s="103"/>
      <c r="AO106" s="107">
        <f t="shared" si="99"/>
        <v>33.71</v>
      </c>
      <c r="AP106" s="103">
        <f t="shared" si="84"/>
        <v>6.9209855292572844E-6</v>
      </c>
      <c r="AQ106" s="103">
        <f t="shared" si="85"/>
        <v>409.94182125873942</v>
      </c>
      <c r="AR106" s="108">
        <f t="shared" si="41"/>
        <v>81.988364251747882</v>
      </c>
      <c r="AS106" s="108">
        <f t="shared" si="74"/>
        <v>0.20909682020191339</v>
      </c>
      <c r="AT106" s="108">
        <f t="shared" si="86"/>
        <v>33778336722.697895</v>
      </c>
      <c r="AU106" s="103"/>
      <c r="AV106" s="103"/>
    </row>
    <row r="107" spans="2:48" s="102" customFormat="1" x14ac:dyDescent="0.15">
      <c r="B107" s="103" t="s">
        <v>54</v>
      </c>
      <c r="C107" s="103" t="s">
        <v>140</v>
      </c>
      <c r="D107" s="114" t="s">
        <v>138</v>
      </c>
      <c r="E107" s="103" t="s">
        <v>57</v>
      </c>
      <c r="F107" s="103" t="s">
        <v>58</v>
      </c>
      <c r="G107" s="103" t="s">
        <v>59</v>
      </c>
      <c r="H107" s="103">
        <v>-20</v>
      </c>
      <c r="I107" s="103" t="s">
        <v>135</v>
      </c>
      <c r="J107" s="103" t="s">
        <v>61</v>
      </c>
      <c r="K107" s="103" t="s">
        <v>62</v>
      </c>
      <c r="L107" s="103" t="s">
        <v>123</v>
      </c>
      <c r="M107" s="115">
        <v>44287</v>
      </c>
      <c r="N107" s="103" t="s">
        <v>91</v>
      </c>
      <c r="O107" s="103" t="s">
        <v>136</v>
      </c>
      <c r="P107" s="103" t="s">
        <v>65</v>
      </c>
      <c r="Q107" s="103">
        <v>6.67</v>
      </c>
      <c r="R107" s="103">
        <v>4.37</v>
      </c>
      <c r="S107" s="103">
        <v>200</v>
      </c>
      <c r="T107" s="103">
        <v>166344</v>
      </c>
      <c r="U107" s="111">
        <f t="shared" si="88"/>
        <v>166344000000</v>
      </c>
      <c r="V107" s="115">
        <v>44317</v>
      </c>
      <c r="W107" s="111" t="s">
        <v>66</v>
      </c>
      <c r="X107" s="115">
        <v>44348</v>
      </c>
      <c r="Y107" s="103">
        <v>17.61</v>
      </c>
      <c r="Z107" s="103">
        <v>17.59</v>
      </c>
      <c r="AA107" s="103"/>
      <c r="AB107" s="107">
        <f t="shared" si="95"/>
        <v>17.600000000000001</v>
      </c>
      <c r="AC107" s="107">
        <f t="shared" si="96"/>
        <v>10.974587022427603</v>
      </c>
      <c r="AD107" s="108">
        <f t="shared" si="97"/>
        <v>1285343720.8568416</v>
      </c>
      <c r="AE107" s="107">
        <f t="shared" si="100"/>
        <v>10.306215507381017</v>
      </c>
      <c r="AF107" s="103">
        <v>21.62</v>
      </c>
      <c r="AG107" s="103">
        <v>21.47</v>
      </c>
      <c r="AH107" s="103"/>
      <c r="AI107" s="107">
        <f t="shared" si="98"/>
        <v>21.545000000000002</v>
      </c>
      <c r="AJ107" s="103">
        <f t="shared" ref="AJ107" si="107">EXP((AI107-31.794)/-1.377)</f>
        <v>1707.8524988281708</v>
      </c>
      <c r="AK107" s="108">
        <f t="shared" ref="AK107:AK156" si="108">(AJ107/5)*(50/50)</f>
        <v>341.57049976563417</v>
      </c>
      <c r="AL107" s="103">
        <v>33.409999999999997</v>
      </c>
      <c r="AM107" s="103">
        <v>33.5</v>
      </c>
      <c r="AN107" s="103"/>
      <c r="AO107" s="107">
        <f t="shared" si="99"/>
        <v>33.454999999999998</v>
      </c>
      <c r="AP107" s="103">
        <f t="shared" si="84"/>
        <v>8.1924170027916033E-6</v>
      </c>
      <c r="AQ107" s="103">
        <f t="shared" si="85"/>
        <v>485.2508840595504</v>
      </c>
      <c r="AR107" s="108">
        <f t="shared" ref="AR107:AR157" si="109">(AQ107/5)*(50/50)</f>
        <v>97.050176811910077</v>
      </c>
      <c r="AS107" s="108">
        <f t="shared" si="74"/>
        <v>0.2841292701755575</v>
      </c>
      <c r="AT107" s="108">
        <f t="shared" si="86"/>
        <v>47263199318.082939</v>
      </c>
      <c r="AU107" s="103"/>
      <c r="AV107" s="103"/>
    </row>
    <row r="108" spans="2:48" s="102" customFormat="1" x14ac:dyDescent="0.15">
      <c r="B108" s="103" t="s">
        <v>54</v>
      </c>
      <c r="C108" s="103" t="s">
        <v>140</v>
      </c>
      <c r="D108" s="114" t="s">
        <v>112</v>
      </c>
      <c r="E108" s="103" t="s">
        <v>57</v>
      </c>
      <c r="F108" s="103" t="s">
        <v>58</v>
      </c>
      <c r="G108" s="103" t="s">
        <v>59</v>
      </c>
      <c r="H108" s="103">
        <v>-20</v>
      </c>
      <c r="I108" s="103" t="s">
        <v>135</v>
      </c>
      <c r="J108" s="103" t="s">
        <v>61</v>
      </c>
      <c r="K108" s="103" t="s">
        <v>62</v>
      </c>
      <c r="L108" s="103" t="s">
        <v>123</v>
      </c>
      <c r="M108" s="115">
        <v>44287</v>
      </c>
      <c r="N108" s="103" t="s">
        <v>91</v>
      </c>
      <c r="O108" s="103" t="s">
        <v>136</v>
      </c>
      <c r="P108" s="103" t="s">
        <v>65</v>
      </c>
      <c r="Q108" s="103">
        <v>6.69</v>
      </c>
      <c r="R108" s="103">
        <v>3.88</v>
      </c>
      <c r="S108" s="103">
        <v>240</v>
      </c>
      <c r="T108" s="103">
        <v>156312</v>
      </c>
      <c r="U108" s="111">
        <f t="shared" si="88"/>
        <v>156312000000</v>
      </c>
      <c r="V108" s="115">
        <v>44317</v>
      </c>
      <c r="W108" s="111" t="s">
        <v>66</v>
      </c>
      <c r="X108" s="115">
        <v>44348</v>
      </c>
      <c r="Y108" s="103">
        <v>17.940000000000001</v>
      </c>
      <c r="Z108" s="103">
        <v>18.079999999999998</v>
      </c>
      <c r="AA108" s="103"/>
      <c r="AB108" s="107">
        <f t="shared" si="95"/>
        <v>18.009999999999998</v>
      </c>
      <c r="AC108" s="107">
        <f t="shared" si="96"/>
        <v>8.3407344142285265</v>
      </c>
      <c r="AD108" s="108">
        <f t="shared" si="97"/>
        <v>976866882.07532752</v>
      </c>
      <c r="AE108" s="107">
        <f t="shared" si="100"/>
        <v>7.8327691226283349</v>
      </c>
      <c r="AF108" s="107">
        <v>21.8</v>
      </c>
      <c r="AG108" s="103">
        <v>22.14</v>
      </c>
      <c r="AH108" s="103"/>
      <c r="AI108" s="107">
        <f t="shared" si="98"/>
        <v>21.97</v>
      </c>
      <c r="AJ108" s="103">
        <f t="shared" ref="AJ108" si="110">EXP((AI108-31.794)/-1.377)</f>
        <v>1254.3214603537303</v>
      </c>
      <c r="AK108" s="108">
        <f t="shared" si="108"/>
        <v>250.86429207074607</v>
      </c>
      <c r="AL108" s="103">
        <v>33.17</v>
      </c>
      <c r="AM108" s="103">
        <v>33.82</v>
      </c>
      <c r="AN108" s="103"/>
      <c r="AO108" s="107">
        <f t="shared" si="99"/>
        <v>33.495000000000005</v>
      </c>
      <c r="AP108" s="103">
        <f t="shared" si="84"/>
        <v>7.9785280870766504E-6</v>
      </c>
      <c r="AQ108" s="103">
        <f t="shared" si="85"/>
        <v>472.5818774152533</v>
      </c>
      <c r="AR108" s="108">
        <f t="shared" si="109"/>
        <v>94.516375483050666</v>
      </c>
      <c r="AS108" s="108">
        <f t="shared" si="74"/>
        <v>0.37676296894576039</v>
      </c>
      <c r="AT108" s="108">
        <f t="shared" si="86"/>
        <v>58892573201.849701</v>
      </c>
      <c r="AU108" s="103"/>
      <c r="AV108" s="103"/>
    </row>
    <row r="109" spans="2:48" s="102" customFormat="1" x14ac:dyDescent="0.15">
      <c r="B109" s="103" t="s">
        <v>54</v>
      </c>
      <c r="C109" s="103" t="s">
        <v>140</v>
      </c>
      <c r="D109" s="114" t="s">
        <v>139</v>
      </c>
      <c r="E109" s="103" t="s">
        <v>57</v>
      </c>
      <c r="F109" s="103" t="s">
        <v>58</v>
      </c>
      <c r="G109" s="103" t="s">
        <v>59</v>
      </c>
      <c r="H109" s="103">
        <v>-20</v>
      </c>
      <c r="I109" s="103" t="s">
        <v>135</v>
      </c>
      <c r="J109" s="103" t="s">
        <v>61</v>
      </c>
      <c r="K109" s="103" t="s">
        <v>62</v>
      </c>
      <c r="L109" s="103" t="s">
        <v>123</v>
      </c>
      <c r="M109" s="115">
        <v>44287</v>
      </c>
      <c r="N109" s="103" t="s">
        <v>91</v>
      </c>
      <c r="O109" s="103" t="s">
        <v>136</v>
      </c>
      <c r="P109" s="103" t="s">
        <v>65</v>
      </c>
      <c r="Q109" s="103">
        <v>6.44</v>
      </c>
      <c r="R109" s="103">
        <v>4.37</v>
      </c>
      <c r="S109" s="103">
        <v>330</v>
      </c>
      <c r="T109" s="103">
        <v>153600</v>
      </c>
      <c r="U109" s="111">
        <f t="shared" si="88"/>
        <v>153600000000</v>
      </c>
      <c r="V109" s="115">
        <v>44317</v>
      </c>
      <c r="W109" s="111" t="s">
        <v>66</v>
      </c>
      <c r="X109" s="115">
        <v>44348</v>
      </c>
      <c r="Y109" s="103">
        <v>18.809999999999999</v>
      </c>
      <c r="Z109" s="103">
        <v>18.829999999999998</v>
      </c>
      <c r="AA109" s="103"/>
      <c r="AB109" s="107">
        <f t="shared" si="95"/>
        <v>18.82</v>
      </c>
      <c r="AC109" s="107">
        <f t="shared" si="96"/>
        <v>4.8500188767483765</v>
      </c>
      <c r="AD109" s="108">
        <f t="shared" si="97"/>
        <v>568034250.08394682</v>
      </c>
      <c r="AE109" s="107">
        <f t="shared" si="100"/>
        <v>4.5546442573634005</v>
      </c>
      <c r="AF109" s="103">
        <v>22.16</v>
      </c>
      <c r="AG109" s="103">
        <v>22.12</v>
      </c>
      <c r="AH109" s="103"/>
      <c r="AI109" s="107">
        <f t="shared" si="98"/>
        <v>22.14</v>
      </c>
      <c r="AJ109" s="103">
        <f t="shared" ref="AJ109" si="111">EXP((AI109-31.794)/-1.377)</f>
        <v>1108.64435508826</v>
      </c>
      <c r="AK109" s="108">
        <f t="shared" si="108"/>
        <v>221.72887101765201</v>
      </c>
      <c r="AL109" s="103">
        <v>33.979999999999997</v>
      </c>
      <c r="AM109" s="103">
        <v>34.53</v>
      </c>
      <c r="AN109" s="103"/>
      <c r="AO109" s="107">
        <f t="shared" si="99"/>
        <v>34.254999999999995</v>
      </c>
      <c r="AP109" s="103">
        <f t="shared" si="84"/>
        <v>4.8264366490105612E-6</v>
      </c>
      <c r="AQ109" s="103">
        <f t="shared" si="85"/>
        <v>285.87810532492801</v>
      </c>
      <c r="AR109" s="108">
        <f t="shared" si="109"/>
        <v>57.175621064985606</v>
      </c>
      <c r="AS109" s="108">
        <f t="shared" si="74"/>
        <v>0.25786277088126158</v>
      </c>
      <c r="AT109" s="108">
        <f t="shared" si="86"/>
        <v>39607721607.361778</v>
      </c>
      <c r="AU109" s="103"/>
      <c r="AV109" s="103"/>
    </row>
    <row r="110" spans="2:48" s="116" customFormat="1" x14ac:dyDescent="0.15">
      <c r="B110" s="90" t="s">
        <v>54</v>
      </c>
      <c r="C110" s="90" t="s">
        <v>55</v>
      </c>
      <c r="D110" s="117" t="s">
        <v>111</v>
      </c>
      <c r="E110" s="90" t="s">
        <v>57</v>
      </c>
      <c r="F110" s="90" t="s">
        <v>58</v>
      </c>
      <c r="G110" s="90" t="s">
        <v>59</v>
      </c>
      <c r="H110" s="90">
        <v>-20</v>
      </c>
      <c r="I110" s="90" t="s">
        <v>135</v>
      </c>
      <c r="J110" s="90" t="s">
        <v>61</v>
      </c>
      <c r="K110" s="90" t="s">
        <v>62</v>
      </c>
      <c r="L110" s="90" t="s">
        <v>123</v>
      </c>
      <c r="M110" s="118">
        <v>44287</v>
      </c>
      <c r="N110" s="90" t="s">
        <v>141</v>
      </c>
      <c r="O110" s="90" t="s">
        <v>136</v>
      </c>
      <c r="P110" s="90" t="s">
        <v>65</v>
      </c>
      <c r="Q110" s="90">
        <v>6.49</v>
      </c>
      <c r="R110" s="90">
        <v>3.99</v>
      </c>
      <c r="S110" s="90">
        <v>270</v>
      </c>
      <c r="T110" s="90">
        <v>193776</v>
      </c>
      <c r="U110" s="87">
        <f t="shared" si="88"/>
        <v>193776000000</v>
      </c>
      <c r="V110" s="118">
        <v>44317</v>
      </c>
      <c r="W110" s="87" t="s">
        <v>66</v>
      </c>
      <c r="X110" s="118">
        <v>44348</v>
      </c>
      <c r="Y110" s="90">
        <v>18.149999999999999</v>
      </c>
      <c r="Z110" s="90">
        <v>18.079999999999998</v>
      </c>
      <c r="AA110" s="90"/>
      <c r="AB110" s="94">
        <f t="shared" si="95"/>
        <v>18.114999999999998</v>
      </c>
      <c r="AC110" s="94">
        <f t="shared" si="96"/>
        <v>7.7746632657474652</v>
      </c>
      <c r="AD110" s="95">
        <f t="shared" si="97"/>
        <v>910568624.58541536</v>
      </c>
      <c r="AE110" s="94">
        <f t="shared" si="100"/>
        <v>7.3011726956435137</v>
      </c>
      <c r="AF110" s="90">
        <v>19.66</v>
      </c>
      <c r="AG110" s="90">
        <v>19.2</v>
      </c>
      <c r="AH110" s="90"/>
      <c r="AI110" s="94">
        <f t="shared" si="98"/>
        <v>19.43</v>
      </c>
      <c r="AJ110" s="90">
        <f t="shared" ref="AJ110" si="112">EXP((AI110-31.794)/-1.377)</f>
        <v>7934.215196510685</v>
      </c>
      <c r="AK110" s="95">
        <f t="shared" si="108"/>
        <v>1586.843039302137</v>
      </c>
      <c r="AL110" s="94">
        <v>32.1</v>
      </c>
      <c r="AM110" s="90">
        <v>32.06</v>
      </c>
      <c r="AN110" s="90"/>
      <c r="AO110" s="94">
        <f t="shared" si="99"/>
        <v>32.08</v>
      </c>
      <c r="AP110" s="90">
        <f t="shared" si="84"/>
        <v>2.0340226068840004E-5</v>
      </c>
      <c r="AQ110" s="90">
        <f t="shared" si="85"/>
        <v>1204.7864114476158</v>
      </c>
      <c r="AR110" s="95">
        <f t="shared" si="109"/>
        <v>240.95728228952316</v>
      </c>
      <c r="AS110" s="95">
        <f t="shared" si="74"/>
        <v>0.15184695418615035</v>
      </c>
      <c r="AT110" s="95">
        <f t="shared" si="86"/>
        <v>29424295394.375469</v>
      </c>
      <c r="AU110" s="90"/>
      <c r="AV110" s="90" t="s">
        <v>142</v>
      </c>
    </row>
    <row r="111" spans="2:48" s="116" customFormat="1" x14ac:dyDescent="0.15">
      <c r="B111" s="90" t="s">
        <v>54</v>
      </c>
      <c r="C111" s="90" t="s">
        <v>55</v>
      </c>
      <c r="D111" s="117" t="s">
        <v>137</v>
      </c>
      <c r="E111" s="90" t="s">
        <v>57</v>
      </c>
      <c r="F111" s="90" t="s">
        <v>58</v>
      </c>
      <c r="G111" s="90" t="s">
        <v>59</v>
      </c>
      <c r="H111" s="90">
        <v>-20</v>
      </c>
      <c r="I111" s="90" t="s">
        <v>135</v>
      </c>
      <c r="J111" s="90" t="s">
        <v>61</v>
      </c>
      <c r="K111" s="90" t="s">
        <v>62</v>
      </c>
      <c r="L111" s="90" t="s">
        <v>123</v>
      </c>
      <c r="M111" s="118">
        <v>44287</v>
      </c>
      <c r="N111" s="90" t="s">
        <v>141</v>
      </c>
      <c r="O111" s="90" t="s">
        <v>136</v>
      </c>
      <c r="P111" s="90" t="s">
        <v>65</v>
      </c>
      <c r="Q111" s="90">
        <v>6.71</v>
      </c>
      <c r="R111" s="90">
        <v>3.82</v>
      </c>
      <c r="S111" s="90">
        <v>270</v>
      </c>
      <c r="T111" s="90">
        <v>192288</v>
      </c>
      <c r="U111" s="87">
        <f t="shared" si="88"/>
        <v>192288000000</v>
      </c>
      <c r="V111" s="118">
        <v>44317</v>
      </c>
      <c r="W111" s="87" t="s">
        <v>66</v>
      </c>
      <c r="X111" s="118">
        <v>44348</v>
      </c>
      <c r="Y111" s="90">
        <v>18.36</v>
      </c>
      <c r="Z111" s="90">
        <v>18.27</v>
      </c>
      <c r="AA111" s="90"/>
      <c r="AB111" s="94">
        <f t="shared" si="95"/>
        <v>18.314999999999998</v>
      </c>
      <c r="AC111" s="94">
        <f t="shared" si="96"/>
        <v>6.8005353613142576</v>
      </c>
      <c r="AD111" s="95">
        <f t="shared" si="97"/>
        <v>796478756.53699636</v>
      </c>
      <c r="AE111" s="94">
        <f t="shared" si="100"/>
        <v>6.3863708817506275</v>
      </c>
      <c r="AF111" s="90">
        <v>18.829999999999998</v>
      </c>
      <c r="AG111" s="90">
        <v>18.57</v>
      </c>
      <c r="AH111" s="90"/>
      <c r="AI111" s="94">
        <f t="shared" si="98"/>
        <v>18.7</v>
      </c>
      <c r="AJ111" s="90">
        <f t="shared" ref="AJ111" si="113">EXP((AI111-31.794)/-1.377)</f>
        <v>13481.554612536807</v>
      </c>
      <c r="AK111" s="95">
        <f t="shared" si="108"/>
        <v>2696.3109225073613</v>
      </c>
      <c r="AL111" s="90">
        <v>31.88</v>
      </c>
      <c r="AM111" s="90">
        <v>31.96</v>
      </c>
      <c r="AN111" s="90"/>
      <c r="AO111" s="94">
        <f t="shared" si="99"/>
        <v>31.92</v>
      </c>
      <c r="AP111" s="90">
        <f t="shared" si="84"/>
        <v>2.261064042792429E-5</v>
      </c>
      <c r="AQ111" s="90">
        <f t="shared" si="85"/>
        <v>1339.2669407653652</v>
      </c>
      <c r="AR111" s="95">
        <f t="shared" si="109"/>
        <v>267.85338815307307</v>
      </c>
      <c r="AS111" s="95">
        <f t="shared" si="74"/>
        <v>9.9340690243538407E-2</v>
      </c>
      <c r="AT111" s="95">
        <f t="shared" si="86"/>
        <v>19102022645.549515</v>
      </c>
      <c r="AU111" s="90"/>
      <c r="AV111" s="90" t="s">
        <v>142</v>
      </c>
    </row>
    <row r="112" spans="2:48" x14ac:dyDescent="0.15">
      <c r="B112" s="8"/>
      <c r="C112" s="8"/>
      <c r="D112" s="8"/>
      <c r="E112" s="8" t="s">
        <v>105</v>
      </c>
      <c r="F112" s="8"/>
      <c r="G112" s="8" t="s">
        <v>106</v>
      </c>
      <c r="H112" s="8">
        <v>-80</v>
      </c>
      <c r="I112" s="8" t="s">
        <v>108</v>
      </c>
      <c r="J112" s="8" t="s">
        <v>61</v>
      </c>
      <c r="K112" s="8" t="s">
        <v>62</v>
      </c>
      <c r="L112" s="8" t="s">
        <v>123</v>
      </c>
      <c r="M112" s="42">
        <v>44287</v>
      </c>
      <c r="N112" s="8" t="s">
        <v>107</v>
      </c>
      <c r="O112" s="8" t="s">
        <v>108</v>
      </c>
      <c r="P112" s="8" t="s">
        <v>108</v>
      </c>
      <c r="Q112" s="8" t="s">
        <v>108</v>
      </c>
      <c r="R112" s="8" t="s">
        <v>108</v>
      </c>
      <c r="S112" s="8" t="s">
        <v>108</v>
      </c>
      <c r="T112" s="8" t="s">
        <v>108</v>
      </c>
      <c r="U112" s="10" t="e">
        <f t="shared" si="88"/>
        <v>#VALUE!</v>
      </c>
      <c r="V112" s="42">
        <v>44317</v>
      </c>
      <c r="W112" s="10" t="s">
        <v>66</v>
      </c>
      <c r="X112" s="42">
        <v>44348</v>
      </c>
      <c r="Y112" s="8">
        <v>14.11</v>
      </c>
      <c r="Z112" s="18">
        <v>14.3</v>
      </c>
      <c r="AA112" s="8"/>
      <c r="AB112" s="18">
        <f t="shared" si="95"/>
        <v>14.205</v>
      </c>
      <c r="AC112" s="18">
        <f t="shared" si="96"/>
        <v>106.48513040085292</v>
      </c>
      <c r="AD112" s="19">
        <f t="shared" si="97"/>
        <v>12471539334.068022</v>
      </c>
      <c r="AE112" s="18">
        <f t="shared" si="100"/>
        <v>100</v>
      </c>
      <c r="AF112" s="8" t="s">
        <v>108</v>
      </c>
      <c r="AG112" s="8" t="s">
        <v>108</v>
      </c>
      <c r="AH112" s="8"/>
      <c r="AI112" s="8"/>
      <c r="AJ112" s="8"/>
      <c r="AK112" s="50">
        <f t="shared" si="108"/>
        <v>0</v>
      </c>
      <c r="AL112" s="8">
        <v>35.770000000000003</v>
      </c>
      <c r="AM112" s="8">
        <v>34.380000000000003</v>
      </c>
      <c r="AN112" s="8"/>
      <c r="AO112" s="18">
        <f t="shared" si="99"/>
        <v>35.075000000000003</v>
      </c>
      <c r="AP112" s="8">
        <f t="shared" si="84"/>
        <v>2.8060572922409756E-6</v>
      </c>
      <c r="AQ112" s="8">
        <f t="shared" si="85"/>
        <v>166.20757724096518</v>
      </c>
      <c r="AR112" s="50">
        <f t="shared" si="109"/>
        <v>33.241515448193034</v>
      </c>
      <c r="AS112" s="19" t="e">
        <f t="shared" si="74"/>
        <v>#DIV/0!</v>
      </c>
      <c r="AT112" s="19" t="e">
        <f t="shared" si="86"/>
        <v>#DIV/0!</v>
      </c>
      <c r="AU112" s="8"/>
      <c r="AV112" s="8"/>
    </row>
    <row r="113" spans="2:50" x14ac:dyDescent="0.15"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10"/>
      <c r="V113" s="42"/>
      <c r="W113" s="10"/>
      <c r="X113" s="42"/>
      <c r="Y113" s="8"/>
      <c r="Z113" s="8"/>
      <c r="AA113" s="8"/>
      <c r="AB113" s="18"/>
      <c r="AC113" s="18"/>
      <c r="AD113" s="8"/>
      <c r="AE113" s="8"/>
      <c r="AF113" s="8"/>
      <c r="AG113" s="8"/>
      <c r="AH113" s="8"/>
      <c r="AI113" s="8"/>
      <c r="AJ113" s="8"/>
      <c r="AK113" s="50">
        <f t="shared" si="108"/>
        <v>0</v>
      </c>
      <c r="AL113" s="8"/>
      <c r="AM113" s="8"/>
      <c r="AN113" s="8"/>
      <c r="AO113" s="8"/>
      <c r="AP113" s="8"/>
      <c r="AQ113" s="8"/>
      <c r="AR113" s="50">
        <f t="shared" si="109"/>
        <v>0</v>
      </c>
      <c r="AS113" s="8"/>
      <c r="AT113" s="8"/>
      <c r="AU113" s="8"/>
      <c r="AV113" s="8"/>
    </row>
    <row r="114" spans="2:50" s="116" customFormat="1" x14ac:dyDescent="0.15">
      <c r="B114" s="90" t="s">
        <v>143</v>
      </c>
      <c r="C114" s="90" t="s">
        <v>144</v>
      </c>
      <c r="D114" s="90" t="s">
        <v>135</v>
      </c>
      <c r="E114" s="90" t="s">
        <v>145</v>
      </c>
      <c r="F114" s="90" t="s">
        <v>60</v>
      </c>
      <c r="G114" s="90" t="s">
        <v>146</v>
      </c>
      <c r="H114" s="90">
        <v>4</v>
      </c>
      <c r="I114" s="90" t="s">
        <v>147</v>
      </c>
      <c r="J114" s="90" t="s">
        <v>61</v>
      </c>
      <c r="K114" s="90" t="s">
        <v>62</v>
      </c>
      <c r="L114" s="90" t="s">
        <v>123</v>
      </c>
      <c r="M114" s="90" t="s">
        <v>148</v>
      </c>
      <c r="N114" s="90" t="s">
        <v>91</v>
      </c>
      <c r="O114" s="90" t="s">
        <v>136</v>
      </c>
      <c r="P114" s="90" t="s">
        <v>149</v>
      </c>
      <c r="Q114" s="90">
        <v>7.52</v>
      </c>
      <c r="R114" s="94">
        <v>4.2</v>
      </c>
      <c r="S114" s="90" t="s">
        <v>60</v>
      </c>
      <c r="T114" s="90" t="s">
        <v>60</v>
      </c>
      <c r="U114" s="87" t="s">
        <v>60</v>
      </c>
      <c r="V114" s="90" t="s">
        <v>150</v>
      </c>
      <c r="W114" s="90" t="s">
        <v>66</v>
      </c>
      <c r="X114" s="90"/>
      <c r="Y114" s="90"/>
      <c r="Z114" s="90"/>
      <c r="AA114" s="90"/>
      <c r="AB114" s="90"/>
      <c r="AC114" s="94"/>
      <c r="AD114" s="90"/>
      <c r="AE114" s="90"/>
      <c r="AF114" s="90"/>
      <c r="AG114" s="90"/>
      <c r="AH114" s="90"/>
      <c r="AI114" s="90"/>
      <c r="AJ114" s="90"/>
      <c r="AK114" s="95">
        <f t="shared" si="108"/>
        <v>0</v>
      </c>
      <c r="AL114" s="90"/>
      <c r="AM114" s="90"/>
      <c r="AN114" s="90"/>
      <c r="AO114" s="90"/>
      <c r="AP114" s="90"/>
      <c r="AQ114" s="90"/>
      <c r="AR114" s="95">
        <f t="shared" si="109"/>
        <v>0</v>
      </c>
      <c r="AS114" s="90"/>
      <c r="AT114" s="90"/>
      <c r="AU114" s="90"/>
      <c r="AV114" s="90" t="s">
        <v>151</v>
      </c>
    </row>
    <row r="115" spans="2:50" s="116" customFormat="1" x14ac:dyDescent="0.15">
      <c r="B115" s="90" t="s">
        <v>143</v>
      </c>
      <c r="C115" s="90" t="s">
        <v>144</v>
      </c>
      <c r="D115" s="90" t="s">
        <v>135</v>
      </c>
      <c r="E115" s="90" t="s">
        <v>145</v>
      </c>
      <c r="F115" s="90" t="s">
        <v>60</v>
      </c>
      <c r="G115" s="90" t="s">
        <v>146</v>
      </c>
      <c r="H115" s="90">
        <v>4</v>
      </c>
      <c r="I115" s="90" t="s">
        <v>147</v>
      </c>
      <c r="J115" s="90" t="s">
        <v>61</v>
      </c>
      <c r="K115" s="90" t="s">
        <v>62</v>
      </c>
      <c r="L115" s="90" t="s">
        <v>123</v>
      </c>
      <c r="M115" s="90" t="s">
        <v>148</v>
      </c>
      <c r="N115" s="90" t="s">
        <v>91</v>
      </c>
      <c r="O115" s="90" t="s">
        <v>136</v>
      </c>
      <c r="P115" s="90" t="s">
        <v>149</v>
      </c>
      <c r="Q115" s="90">
        <v>7.35</v>
      </c>
      <c r="R115" s="90">
        <v>4.05</v>
      </c>
      <c r="S115" s="90" t="s">
        <v>60</v>
      </c>
      <c r="T115" s="90" t="s">
        <v>60</v>
      </c>
      <c r="U115" s="87" t="s">
        <v>60</v>
      </c>
      <c r="V115" s="90" t="s">
        <v>150</v>
      </c>
      <c r="W115" s="90" t="s">
        <v>66</v>
      </c>
      <c r="X115" s="90"/>
      <c r="Y115" s="90"/>
      <c r="Z115" s="90"/>
      <c r="AA115" s="90"/>
      <c r="AB115" s="90"/>
      <c r="AC115" s="94"/>
      <c r="AD115" s="90"/>
      <c r="AE115" s="90"/>
      <c r="AF115" s="90"/>
      <c r="AG115" s="90"/>
      <c r="AH115" s="90"/>
      <c r="AI115" s="90"/>
      <c r="AJ115" s="90"/>
      <c r="AK115" s="95">
        <f t="shared" si="108"/>
        <v>0</v>
      </c>
      <c r="AL115" s="90"/>
      <c r="AM115" s="90"/>
      <c r="AN115" s="90"/>
      <c r="AO115" s="90"/>
      <c r="AP115" s="90"/>
      <c r="AQ115" s="90"/>
      <c r="AR115" s="95">
        <f t="shared" si="109"/>
        <v>0</v>
      </c>
      <c r="AS115" s="90"/>
      <c r="AT115" s="90"/>
      <c r="AU115" s="90"/>
      <c r="AV115" s="90" t="s">
        <v>151</v>
      </c>
    </row>
    <row r="116" spans="2:50" s="116" customFormat="1" x14ac:dyDescent="0.15">
      <c r="B116" s="90" t="s">
        <v>143</v>
      </c>
      <c r="C116" s="90" t="s">
        <v>152</v>
      </c>
      <c r="D116" s="90" t="s">
        <v>153</v>
      </c>
      <c r="E116" s="90" t="s">
        <v>145</v>
      </c>
      <c r="F116" s="90" t="s">
        <v>60</v>
      </c>
      <c r="G116" s="90" t="s">
        <v>146</v>
      </c>
      <c r="H116" s="90">
        <v>4</v>
      </c>
      <c r="I116" s="90" t="s">
        <v>147</v>
      </c>
      <c r="J116" s="90" t="s">
        <v>61</v>
      </c>
      <c r="K116" s="90" t="s">
        <v>62</v>
      </c>
      <c r="L116" s="90" t="s">
        <v>123</v>
      </c>
      <c r="M116" s="90" t="s">
        <v>148</v>
      </c>
      <c r="N116" s="90" t="s">
        <v>91</v>
      </c>
      <c r="O116" s="90" t="s">
        <v>136</v>
      </c>
      <c r="P116" s="90" t="s">
        <v>149</v>
      </c>
      <c r="Q116" s="90">
        <v>7.57</v>
      </c>
      <c r="R116" s="90">
        <v>4.41</v>
      </c>
      <c r="S116" s="90" t="s">
        <v>60</v>
      </c>
      <c r="T116" s="90" t="s">
        <v>60</v>
      </c>
      <c r="U116" s="87" t="s">
        <v>60</v>
      </c>
      <c r="V116" s="90" t="s">
        <v>150</v>
      </c>
      <c r="W116" s="90" t="s">
        <v>66</v>
      </c>
      <c r="X116" s="90"/>
      <c r="Y116" s="90"/>
      <c r="Z116" s="90"/>
      <c r="AA116" s="90"/>
      <c r="AB116" s="90"/>
      <c r="AC116" s="94"/>
      <c r="AD116" s="90"/>
      <c r="AE116" s="90"/>
      <c r="AF116" s="90"/>
      <c r="AG116" s="90"/>
      <c r="AH116" s="90"/>
      <c r="AI116" s="90"/>
      <c r="AJ116" s="90"/>
      <c r="AK116" s="95">
        <f t="shared" si="108"/>
        <v>0</v>
      </c>
      <c r="AL116" s="90"/>
      <c r="AM116" s="90"/>
      <c r="AN116" s="90"/>
      <c r="AO116" s="90"/>
      <c r="AP116" s="90"/>
      <c r="AQ116" s="90"/>
      <c r="AR116" s="95">
        <f t="shared" si="109"/>
        <v>0</v>
      </c>
      <c r="AS116" s="90"/>
      <c r="AT116" s="90"/>
      <c r="AU116" s="90"/>
      <c r="AV116" s="90" t="s">
        <v>151</v>
      </c>
    </row>
    <row r="117" spans="2:50" s="116" customFormat="1" x14ac:dyDescent="0.15">
      <c r="B117" s="90" t="s">
        <v>143</v>
      </c>
      <c r="C117" s="90" t="s">
        <v>152</v>
      </c>
      <c r="D117" s="90" t="s">
        <v>153</v>
      </c>
      <c r="E117" s="90" t="s">
        <v>145</v>
      </c>
      <c r="F117" s="90" t="s">
        <v>60</v>
      </c>
      <c r="G117" s="90" t="s">
        <v>146</v>
      </c>
      <c r="H117" s="90">
        <v>4</v>
      </c>
      <c r="I117" s="90" t="s">
        <v>147</v>
      </c>
      <c r="J117" s="90" t="s">
        <v>61</v>
      </c>
      <c r="K117" s="90" t="s">
        <v>62</v>
      </c>
      <c r="L117" s="90" t="s">
        <v>123</v>
      </c>
      <c r="M117" s="90" t="s">
        <v>148</v>
      </c>
      <c r="N117" s="90" t="s">
        <v>91</v>
      </c>
      <c r="O117" s="90" t="s">
        <v>136</v>
      </c>
      <c r="P117" s="90" t="s">
        <v>149</v>
      </c>
      <c r="Q117" s="90">
        <v>7.57</v>
      </c>
      <c r="R117" s="90">
        <v>4.21</v>
      </c>
      <c r="S117" s="90" t="s">
        <v>60</v>
      </c>
      <c r="T117" s="90" t="s">
        <v>60</v>
      </c>
      <c r="U117" s="87" t="s">
        <v>60</v>
      </c>
      <c r="V117" s="90" t="s">
        <v>150</v>
      </c>
      <c r="W117" s="90" t="s">
        <v>66</v>
      </c>
      <c r="X117" s="90"/>
      <c r="Y117" s="90"/>
      <c r="Z117" s="90"/>
      <c r="AA117" s="90"/>
      <c r="AB117" s="90"/>
      <c r="AC117" s="94"/>
      <c r="AD117" s="90"/>
      <c r="AE117" s="90"/>
      <c r="AF117" s="90"/>
      <c r="AG117" s="90"/>
      <c r="AH117" s="90"/>
      <c r="AI117" s="90"/>
      <c r="AJ117" s="90"/>
      <c r="AK117" s="95">
        <f t="shared" si="108"/>
        <v>0</v>
      </c>
      <c r="AL117" s="90"/>
      <c r="AM117" s="90"/>
      <c r="AN117" s="90"/>
      <c r="AO117" s="90"/>
      <c r="AP117" s="90"/>
      <c r="AQ117" s="90"/>
      <c r="AR117" s="95">
        <f t="shared" si="109"/>
        <v>0</v>
      </c>
      <c r="AS117" s="90"/>
      <c r="AT117" s="90"/>
      <c r="AU117" s="90"/>
      <c r="AV117" s="90" t="s">
        <v>151</v>
      </c>
    </row>
    <row r="118" spans="2:50" x14ac:dyDescent="0.15">
      <c r="B118" s="8"/>
      <c r="C118" s="8"/>
      <c r="D118" s="8"/>
      <c r="E118" s="8" t="s">
        <v>154</v>
      </c>
      <c r="F118" s="8"/>
      <c r="G118" s="8" t="s">
        <v>106</v>
      </c>
      <c r="H118" s="8">
        <v>-80</v>
      </c>
      <c r="I118" s="8" t="s">
        <v>108</v>
      </c>
      <c r="J118" s="8" t="s">
        <v>155</v>
      </c>
      <c r="K118" s="8" t="s">
        <v>156</v>
      </c>
      <c r="L118" s="8" t="s">
        <v>157</v>
      </c>
      <c r="M118" s="8" t="s">
        <v>148</v>
      </c>
      <c r="N118" s="8" t="s">
        <v>107</v>
      </c>
      <c r="O118" s="8" t="s">
        <v>108</v>
      </c>
      <c r="P118" s="8" t="s">
        <v>108</v>
      </c>
      <c r="Q118" s="8" t="s">
        <v>108</v>
      </c>
      <c r="R118" s="8" t="s">
        <v>108</v>
      </c>
      <c r="S118" s="8"/>
      <c r="T118" s="8"/>
      <c r="U118" s="10"/>
      <c r="V118" s="8" t="s">
        <v>150</v>
      </c>
      <c r="W118" s="8" t="s">
        <v>66</v>
      </c>
      <c r="X118" s="8"/>
      <c r="Y118" s="8"/>
      <c r="Z118" s="8"/>
      <c r="AA118" s="8"/>
      <c r="AB118" s="8"/>
      <c r="AC118" s="18"/>
      <c r="AD118" s="8"/>
      <c r="AE118" s="8"/>
      <c r="AF118" s="8"/>
      <c r="AG118" s="8"/>
      <c r="AH118" s="8"/>
      <c r="AI118" s="8"/>
      <c r="AJ118" s="8"/>
      <c r="AK118" s="50">
        <f t="shared" si="108"/>
        <v>0</v>
      </c>
      <c r="AL118" s="8"/>
      <c r="AM118" s="8"/>
      <c r="AN118" s="8"/>
      <c r="AO118" s="8"/>
      <c r="AP118" s="8"/>
      <c r="AQ118" s="8"/>
      <c r="AR118" s="50">
        <f t="shared" si="109"/>
        <v>0</v>
      </c>
      <c r="AS118" s="8"/>
      <c r="AT118" s="8"/>
      <c r="AU118" s="8"/>
      <c r="AV118" s="8"/>
    </row>
    <row r="119" spans="2:50" x14ac:dyDescent="0.15"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10"/>
      <c r="V119" s="8"/>
      <c r="W119" s="8"/>
      <c r="X119" s="8"/>
      <c r="Y119" s="8"/>
      <c r="Z119" s="8"/>
      <c r="AA119" s="8"/>
      <c r="AB119" s="8"/>
      <c r="AC119" s="18"/>
      <c r="AD119" s="8"/>
      <c r="AE119" s="8"/>
      <c r="AF119" s="8"/>
      <c r="AG119" s="8"/>
      <c r="AH119" s="8"/>
      <c r="AI119" s="8"/>
      <c r="AJ119" s="8"/>
      <c r="AK119" s="50">
        <f t="shared" si="108"/>
        <v>0</v>
      </c>
      <c r="AL119" s="8"/>
      <c r="AM119" s="8"/>
      <c r="AN119" s="8"/>
      <c r="AO119" s="8"/>
      <c r="AP119" s="8"/>
      <c r="AQ119" s="8"/>
      <c r="AR119" s="50">
        <f t="shared" si="109"/>
        <v>0</v>
      </c>
      <c r="AS119" s="8"/>
      <c r="AT119" s="8"/>
      <c r="AU119" s="8"/>
      <c r="AV119" s="8"/>
    </row>
    <row r="120" spans="2:50" s="51" customFormat="1" x14ac:dyDescent="0.15">
      <c r="B120" s="45" t="s">
        <v>54</v>
      </c>
      <c r="C120" s="45" t="s">
        <v>55</v>
      </c>
      <c r="D120" s="45" t="s">
        <v>158</v>
      </c>
      <c r="E120" s="45" t="s">
        <v>159</v>
      </c>
      <c r="F120" s="45" t="s">
        <v>58</v>
      </c>
      <c r="G120" s="45" t="s">
        <v>59</v>
      </c>
      <c r="H120" s="45">
        <v>-20</v>
      </c>
      <c r="I120" s="45" t="s">
        <v>150</v>
      </c>
      <c r="J120" s="45" t="s">
        <v>61</v>
      </c>
      <c r="K120" s="45" t="s">
        <v>62</v>
      </c>
      <c r="L120" s="45" t="s">
        <v>123</v>
      </c>
      <c r="M120" s="45" t="s">
        <v>150</v>
      </c>
      <c r="N120" s="45" t="s">
        <v>91</v>
      </c>
      <c r="O120" s="45" t="s">
        <v>126</v>
      </c>
      <c r="P120" s="45" t="s">
        <v>65</v>
      </c>
      <c r="Q120" s="45">
        <v>7.58</v>
      </c>
      <c r="R120" s="45">
        <v>4.32</v>
      </c>
      <c r="S120" s="45">
        <v>220</v>
      </c>
      <c r="T120" s="45">
        <v>231480</v>
      </c>
      <c r="U120" s="53">
        <f t="shared" ref="U120:U129" si="114">T120*1000000</f>
        <v>231480000000</v>
      </c>
      <c r="V120" s="45" t="s">
        <v>160</v>
      </c>
      <c r="W120" s="45" t="s">
        <v>66</v>
      </c>
      <c r="X120" s="45" t="s">
        <v>161</v>
      </c>
      <c r="Y120" s="45">
        <v>19.309999999999999</v>
      </c>
      <c r="Z120" s="45">
        <v>19.170000000000002</v>
      </c>
      <c r="AA120" s="45"/>
      <c r="AB120" s="49">
        <f t="shared" ref="AB120:AB130" si="115">AVERAGE(Y120:AA120)</f>
        <v>19.240000000000002</v>
      </c>
      <c r="AC120" s="49">
        <f t="shared" ref="AC120:AC156" si="116">EXP((AB120-21.179)/-1.494)</f>
        <v>3.6614458085311248</v>
      </c>
      <c r="AD120" s="50">
        <f t="shared" ref="AD120:AD156" si="117">(AC120*(6.0221*10^23))/(15123*340*10^9)</f>
        <v>428828562.7181676</v>
      </c>
      <c r="AE120" s="49">
        <f>AD120*100/AD$130</f>
        <v>44.938911927666283</v>
      </c>
      <c r="AF120" s="45">
        <v>25.1</v>
      </c>
      <c r="AG120" s="45">
        <v>24.93</v>
      </c>
      <c r="AH120" s="45"/>
      <c r="AI120" s="49">
        <f>AVERAGE(AF120:AH120)</f>
        <v>25.015000000000001</v>
      </c>
      <c r="AJ120" s="45">
        <f t="shared" ref="AJ120:AJ156" si="118">EXP((AI120-31.794)/-1.377)</f>
        <v>137.41713216701308</v>
      </c>
      <c r="AK120" s="50">
        <f t="shared" si="108"/>
        <v>27.483426433402617</v>
      </c>
      <c r="AL120" s="45">
        <v>26.92</v>
      </c>
      <c r="AM120" s="45">
        <v>26.85</v>
      </c>
      <c r="AN120" s="45"/>
      <c r="AO120" s="49">
        <f t="shared" ref="AO120:AO130" si="119">AVERAGE(AL120:AN120)</f>
        <v>26.885000000000002</v>
      </c>
      <c r="AP120" s="50">
        <f t="shared" ref="AP120:AP156" si="120">EXP((AO120-15.746)/-1.512)</f>
        <v>6.3172051036611645E-4</v>
      </c>
      <c r="AQ120" s="45">
        <f t="shared" ref="AQ120:AQ156" si="121">(AP120*(6.0221*10^23))/(29903*340*10^9)</f>
        <v>37417.887301055664</v>
      </c>
      <c r="AR120" s="50">
        <f t="shared" si="109"/>
        <v>7483.5774602111323</v>
      </c>
      <c r="AS120" s="50">
        <f t="shared" ref="AS120:AS156" si="122">AR120/AK120</f>
        <v>272.29419440640754</v>
      </c>
      <c r="AT120" s="50">
        <f t="shared" ref="AT120:AT129" si="123">AS120*U120</f>
        <v>63030660121195.219</v>
      </c>
      <c r="AU120" s="45"/>
      <c r="AV120" s="45"/>
    </row>
    <row r="121" spans="2:50" s="51" customFormat="1" x14ac:dyDescent="0.15">
      <c r="B121" s="45" t="s">
        <v>54</v>
      </c>
      <c r="C121" s="45" t="s">
        <v>55</v>
      </c>
      <c r="D121" s="45" t="s">
        <v>90</v>
      </c>
      <c r="E121" s="45" t="s">
        <v>159</v>
      </c>
      <c r="F121" s="45" t="s">
        <v>58</v>
      </c>
      <c r="G121" s="45" t="s">
        <v>59</v>
      </c>
      <c r="H121" s="45">
        <v>-20</v>
      </c>
      <c r="I121" s="45" t="s">
        <v>150</v>
      </c>
      <c r="J121" s="45" t="s">
        <v>61</v>
      </c>
      <c r="K121" s="45" t="s">
        <v>62</v>
      </c>
      <c r="L121" s="45" t="s">
        <v>123</v>
      </c>
      <c r="M121" s="45" t="s">
        <v>150</v>
      </c>
      <c r="N121" s="45" t="s">
        <v>91</v>
      </c>
      <c r="O121" s="45" t="s">
        <v>126</v>
      </c>
      <c r="P121" s="45" t="s">
        <v>65</v>
      </c>
      <c r="Q121" s="45">
        <v>8.33</v>
      </c>
      <c r="R121" s="49">
        <v>4.2</v>
      </c>
      <c r="S121" s="45">
        <v>210</v>
      </c>
      <c r="T121" s="45">
        <v>221904</v>
      </c>
      <c r="U121" s="53">
        <f t="shared" si="114"/>
        <v>221904000000</v>
      </c>
      <c r="V121" s="45" t="s">
        <v>160</v>
      </c>
      <c r="W121" s="45" t="s">
        <v>66</v>
      </c>
      <c r="X121" s="45" t="s">
        <v>161</v>
      </c>
      <c r="Y121" s="45">
        <v>19.25</v>
      </c>
      <c r="Z121" s="45">
        <v>19.18</v>
      </c>
      <c r="AA121" s="45"/>
      <c r="AB121" s="49">
        <f t="shared" si="115"/>
        <v>19.215</v>
      </c>
      <c r="AC121" s="49">
        <f t="shared" si="116"/>
        <v>3.7232304803546588</v>
      </c>
      <c r="AD121" s="50">
        <f t="shared" si="117"/>
        <v>436064783.98201001</v>
      </c>
      <c r="AE121" s="49">
        <f t="shared" ref="AE121:AE130" si="124">AD121*100/AD$130</f>
        <v>45.697228743140727</v>
      </c>
      <c r="AF121" s="45">
        <v>24.63</v>
      </c>
      <c r="AG121" s="45">
        <v>24.38</v>
      </c>
      <c r="AH121" s="45"/>
      <c r="AI121" s="49">
        <f>AVERAGE(AF121:AH121)</f>
        <v>24.504999999999999</v>
      </c>
      <c r="AJ121" s="45">
        <f t="shared" si="118"/>
        <v>199.01723532477618</v>
      </c>
      <c r="AK121" s="50">
        <f t="shared" si="108"/>
        <v>39.803447064955236</v>
      </c>
      <c r="AL121" s="45">
        <v>26.96</v>
      </c>
      <c r="AM121" s="45">
        <v>26.63</v>
      </c>
      <c r="AN121" s="45"/>
      <c r="AO121" s="49">
        <f t="shared" si="119"/>
        <v>26.795000000000002</v>
      </c>
      <c r="AP121" s="50">
        <f t="shared" si="120"/>
        <v>6.7046458023283927E-4</v>
      </c>
      <c r="AQ121" s="45">
        <f t="shared" si="121"/>
        <v>39712.764887058162</v>
      </c>
      <c r="AR121" s="50">
        <f t="shared" si="109"/>
        <v>7942.5529774116321</v>
      </c>
      <c r="AS121" s="50">
        <f t="shared" si="122"/>
        <v>199.54435012751989</v>
      </c>
      <c r="AT121" s="50">
        <f t="shared" si="123"/>
        <v>44279689470697.172</v>
      </c>
      <c r="AU121" s="45"/>
      <c r="AV121" s="69"/>
    </row>
    <row r="122" spans="2:50" s="51" customFormat="1" ht="16" x14ac:dyDescent="0.2">
      <c r="B122" s="45" t="s">
        <v>54</v>
      </c>
      <c r="C122" s="45" t="s">
        <v>55</v>
      </c>
      <c r="D122" s="45" t="s">
        <v>162</v>
      </c>
      <c r="E122" s="45" t="s">
        <v>159</v>
      </c>
      <c r="F122" s="45" t="s">
        <v>58</v>
      </c>
      <c r="G122" s="45" t="s">
        <v>59</v>
      </c>
      <c r="H122" s="45">
        <v>-20</v>
      </c>
      <c r="I122" s="45" t="s">
        <v>150</v>
      </c>
      <c r="J122" s="45" t="s">
        <v>61</v>
      </c>
      <c r="K122" s="45" t="s">
        <v>62</v>
      </c>
      <c r="L122" s="45" t="s">
        <v>123</v>
      </c>
      <c r="M122" s="45" t="s">
        <v>150</v>
      </c>
      <c r="N122" s="45" t="s">
        <v>91</v>
      </c>
      <c r="O122" s="45" t="s">
        <v>126</v>
      </c>
      <c r="P122" s="45" t="s">
        <v>65</v>
      </c>
      <c r="Q122" s="45">
        <v>7.57</v>
      </c>
      <c r="R122" s="45">
        <v>4.49</v>
      </c>
      <c r="S122" s="45">
        <v>230</v>
      </c>
      <c r="T122" s="45">
        <v>215040</v>
      </c>
      <c r="U122" s="53">
        <f t="shared" si="114"/>
        <v>215040000000</v>
      </c>
      <c r="V122" s="45" t="s">
        <v>160</v>
      </c>
      <c r="W122" s="45" t="s">
        <v>66</v>
      </c>
      <c r="X122" s="45" t="s">
        <v>161</v>
      </c>
      <c r="Y122" s="45">
        <v>19.36</v>
      </c>
      <c r="Z122" s="45">
        <v>19.25</v>
      </c>
      <c r="AA122" s="45"/>
      <c r="AB122" s="49">
        <f t="shared" si="115"/>
        <v>19.305</v>
      </c>
      <c r="AC122" s="49">
        <f t="shared" si="116"/>
        <v>3.5055616013380848</v>
      </c>
      <c r="AD122" s="50">
        <f t="shared" si="117"/>
        <v>410571403.11053437</v>
      </c>
      <c r="AE122" s="49">
        <f t="shared" si="124"/>
        <v>43.02566043514387</v>
      </c>
      <c r="AF122" s="45">
        <v>25.36</v>
      </c>
      <c r="AG122" s="45">
        <v>25.19</v>
      </c>
      <c r="AH122" s="45"/>
      <c r="AI122" s="49">
        <f>AVERAGE(AF122:AH122)</f>
        <v>25.274999999999999</v>
      </c>
      <c r="AJ122" s="45">
        <f t="shared" si="118"/>
        <v>113.77294969349144</v>
      </c>
      <c r="AK122" s="50">
        <f t="shared" si="108"/>
        <v>22.754589938698288</v>
      </c>
      <c r="AL122" s="49">
        <v>27</v>
      </c>
      <c r="AM122" s="45">
        <v>27.03</v>
      </c>
      <c r="AN122" s="45"/>
      <c r="AO122" s="49">
        <f t="shared" si="119"/>
        <v>27.015000000000001</v>
      </c>
      <c r="AP122" s="50">
        <f t="shared" si="120"/>
        <v>5.7967536418725239E-4</v>
      </c>
      <c r="AQ122" s="45">
        <f t="shared" si="121"/>
        <v>34335.164194346544</v>
      </c>
      <c r="AR122" s="50">
        <f t="shared" si="109"/>
        <v>6867.0328388693088</v>
      </c>
      <c r="AS122" s="50">
        <f t="shared" si="122"/>
        <v>301.78671017009538</v>
      </c>
      <c r="AT122" s="50">
        <f t="shared" si="123"/>
        <v>64896214154977.312</v>
      </c>
      <c r="AU122" s="45"/>
      <c r="AV122" s="70" t="s">
        <v>163</v>
      </c>
    </row>
    <row r="123" spans="2:50" s="51" customFormat="1" ht="16" x14ac:dyDescent="0.2">
      <c r="B123" s="45" t="s">
        <v>54</v>
      </c>
      <c r="C123" s="45" t="s">
        <v>55</v>
      </c>
      <c r="D123" s="45" t="s">
        <v>164</v>
      </c>
      <c r="E123" s="45" t="s">
        <v>159</v>
      </c>
      <c r="F123" s="45" t="s">
        <v>58</v>
      </c>
      <c r="G123" s="45" t="s">
        <v>59</v>
      </c>
      <c r="H123" s="45">
        <v>-20</v>
      </c>
      <c r="I123" s="45" t="s">
        <v>150</v>
      </c>
      <c r="J123" s="45" t="s">
        <v>61</v>
      </c>
      <c r="K123" s="45" t="s">
        <v>62</v>
      </c>
      <c r="L123" s="45" t="s">
        <v>123</v>
      </c>
      <c r="M123" s="45" t="s">
        <v>150</v>
      </c>
      <c r="N123" s="45" t="s">
        <v>91</v>
      </c>
      <c r="O123" s="45" t="s">
        <v>126</v>
      </c>
      <c r="P123" s="45" t="s">
        <v>65</v>
      </c>
      <c r="Q123" s="45">
        <v>8.39</v>
      </c>
      <c r="R123" s="45">
        <v>4.34</v>
      </c>
      <c r="S123" s="45">
        <v>280</v>
      </c>
      <c r="T123" s="45">
        <v>208104</v>
      </c>
      <c r="U123" s="53">
        <f t="shared" si="114"/>
        <v>208104000000</v>
      </c>
      <c r="V123" s="45" t="s">
        <v>160</v>
      </c>
      <c r="W123" s="45" t="s">
        <v>66</v>
      </c>
      <c r="X123" s="45" t="s">
        <v>161</v>
      </c>
      <c r="Y123" s="45">
        <v>19.73</v>
      </c>
      <c r="Z123" s="45">
        <v>19.52</v>
      </c>
      <c r="AA123" s="45"/>
      <c r="AB123" s="49">
        <f t="shared" si="115"/>
        <v>19.625</v>
      </c>
      <c r="AC123" s="49">
        <f t="shared" si="116"/>
        <v>2.829671543552017</v>
      </c>
      <c r="AD123" s="50">
        <f t="shared" si="117"/>
        <v>331411154.07432777</v>
      </c>
      <c r="AE123" s="49">
        <f t="shared" si="124"/>
        <v>34.73009486679301</v>
      </c>
      <c r="AF123" s="49">
        <v>25.4</v>
      </c>
      <c r="AG123" s="45">
        <v>25.24</v>
      </c>
      <c r="AH123" s="45"/>
      <c r="AI123" s="49">
        <f>AVERAGE(AF123:AH123)</f>
        <v>25.32</v>
      </c>
      <c r="AJ123" s="45">
        <f t="shared" si="118"/>
        <v>110.11497580062114</v>
      </c>
      <c r="AK123" s="50">
        <f t="shared" si="108"/>
        <v>22.022995160124228</v>
      </c>
      <c r="AL123" s="45">
        <v>27.01</v>
      </c>
      <c r="AM123" s="45">
        <v>26.93</v>
      </c>
      <c r="AN123" s="45"/>
      <c r="AO123" s="49">
        <f t="shared" si="119"/>
        <v>26.97</v>
      </c>
      <c r="AP123" s="50">
        <f t="shared" si="120"/>
        <v>5.9718690296165313E-4</v>
      </c>
      <c r="AQ123" s="45">
        <f t="shared" si="121"/>
        <v>35372.402614781626</v>
      </c>
      <c r="AR123" s="50">
        <f t="shared" si="109"/>
        <v>7074.4805229563253</v>
      </c>
      <c r="AS123" s="50">
        <f t="shared" si="122"/>
        <v>321.23153419956611</v>
      </c>
      <c r="AT123" s="50">
        <f t="shared" si="123"/>
        <v>66849567193066.508</v>
      </c>
      <c r="AU123" s="45"/>
      <c r="AV123" s="70" t="s">
        <v>163</v>
      </c>
    </row>
    <row r="124" spans="2:50" s="51" customFormat="1" ht="16" x14ac:dyDescent="0.2">
      <c r="B124" s="45" t="s">
        <v>54</v>
      </c>
      <c r="C124" s="45" t="s">
        <v>55</v>
      </c>
      <c r="D124" s="69" t="s">
        <v>165</v>
      </c>
      <c r="E124" s="45" t="s">
        <v>159</v>
      </c>
      <c r="F124" s="45" t="s">
        <v>58</v>
      </c>
      <c r="G124" s="45" t="s">
        <v>59</v>
      </c>
      <c r="H124" s="45">
        <v>-20</v>
      </c>
      <c r="I124" s="45" t="s">
        <v>150</v>
      </c>
      <c r="J124" s="45" t="s">
        <v>61</v>
      </c>
      <c r="K124" s="45" t="s">
        <v>62</v>
      </c>
      <c r="L124" s="45" t="s">
        <v>123</v>
      </c>
      <c r="M124" s="45" t="s">
        <v>150</v>
      </c>
      <c r="N124" s="45" t="s">
        <v>91</v>
      </c>
      <c r="O124" s="45" t="s">
        <v>126</v>
      </c>
      <c r="P124" s="45" t="s">
        <v>65</v>
      </c>
      <c r="Q124" s="72">
        <v>7.6</v>
      </c>
      <c r="R124" s="69">
        <v>4.45</v>
      </c>
      <c r="S124" s="69">
        <v>240</v>
      </c>
      <c r="T124" s="69">
        <v>200712</v>
      </c>
      <c r="U124" s="53">
        <f t="shared" si="114"/>
        <v>200712000000</v>
      </c>
      <c r="V124" s="45" t="s">
        <v>160</v>
      </c>
      <c r="W124" s="45" t="s">
        <v>66</v>
      </c>
      <c r="X124" s="45" t="s">
        <v>161</v>
      </c>
      <c r="Y124" s="69">
        <v>19.55</v>
      </c>
      <c r="Z124" s="69">
        <v>19.72</v>
      </c>
      <c r="AA124" s="69"/>
      <c r="AB124" s="49">
        <f t="shared" si="115"/>
        <v>19.634999999999998</v>
      </c>
      <c r="AC124" s="49">
        <f t="shared" si="116"/>
        <v>2.8107945521295723</v>
      </c>
      <c r="AD124" s="50">
        <f t="shared" si="117"/>
        <v>329200280.68620634</v>
      </c>
      <c r="AE124" s="49">
        <f t="shared" si="124"/>
        <v>34.498407304187005</v>
      </c>
      <c r="AF124" s="72">
        <v>25.2</v>
      </c>
      <c r="AG124" s="69">
        <v>25.15</v>
      </c>
      <c r="AH124" s="69"/>
      <c r="AI124" s="72">
        <v>18.7</v>
      </c>
      <c r="AJ124" s="45">
        <f t="shared" si="118"/>
        <v>13481.554612536807</v>
      </c>
      <c r="AK124" s="50">
        <f t="shared" si="108"/>
        <v>2696.3109225073613</v>
      </c>
      <c r="AL124" s="69">
        <v>30.79</v>
      </c>
      <c r="AM124" s="69">
        <v>30.33</v>
      </c>
      <c r="AN124" s="69"/>
      <c r="AO124" s="49">
        <f t="shared" si="119"/>
        <v>30.56</v>
      </c>
      <c r="AP124" s="50">
        <f t="shared" si="120"/>
        <v>5.5583784350425036E-5</v>
      </c>
      <c r="AQ124" s="45">
        <f t="shared" si="121"/>
        <v>3292.3227035718883</v>
      </c>
      <c r="AR124" s="50">
        <f t="shared" si="109"/>
        <v>658.46454071437768</v>
      </c>
      <c r="AS124" s="50">
        <f t="shared" si="122"/>
        <v>0.24420942526244577</v>
      </c>
      <c r="AT124" s="50">
        <f t="shared" si="123"/>
        <v>49015762163.276016</v>
      </c>
      <c r="AU124" s="71"/>
      <c r="AV124" s="70" t="s">
        <v>163</v>
      </c>
    </row>
    <row r="125" spans="2:50" s="102" customFormat="1" ht="16" x14ac:dyDescent="0.2">
      <c r="B125" s="103" t="s">
        <v>54</v>
      </c>
      <c r="C125" s="103" t="s">
        <v>140</v>
      </c>
      <c r="D125" s="103" t="s">
        <v>158</v>
      </c>
      <c r="E125" s="103" t="s">
        <v>159</v>
      </c>
      <c r="F125" s="103" t="s">
        <v>58</v>
      </c>
      <c r="G125" s="103" t="s">
        <v>59</v>
      </c>
      <c r="H125" s="103">
        <v>-20</v>
      </c>
      <c r="I125" s="103" t="s">
        <v>150</v>
      </c>
      <c r="J125" s="103" t="s">
        <v>61</v>
      </c>
      <c r="K125" s="103" t="s">
        <v>62</v>
      </c>
      <c r="L125" s="103" t="s">
        <v>123</v>
      </c>
      <c r="M125" s="103" t="s">
        <v>150</v>
      </c>
      <c r="N125" s="103" t="s">
        <v>91</v>
      </c>
      <c r="O125" s="103" t="s">
        <v>126</v>
      </c>
      <c r="P125" s="103" t="s">
        <v>65</v>
      </c>
      <c r="Q125" s="103">
        <v>7.72</v>
      </c>
      <c r="R125" s="103">
        <v>4.34</v>
      </c>
      <c r="S125" s="103">
        <v>170</v>
      </c>
      <c r="T125" s="103">
        <v>215448</v>
      </c>
      <c r="U125" s="111">
        <f t="shared" si="114"/>
        <v>215448000000</v>
      </c>
      <c r="V125" s="103" t="s">
        <v>160</v>
      </c>
      <c r="W125" s="103" t="s">
        <v>66</v>
      </c>
      <c r="X125" s="103" t="s">
        <v>161</v>
      </c>
      <c r="Y125" s="103">
        <v>19.510000000000002</v>
      </c>
      <c r="Z125" s="107">
        <v>19.399999999999999</v>
      </c>
      <c r="AA125" s="103"/>
      <c r="AB125" s="107">
        <f t="shared" si="115"/>
        <v>19.454999999999998</v>
      </c>
      <c r="AC125" s="107">
        <f t="shared" si="116"/>
        <v>3.1706896830392512</v>
      </c>
      <c r="AD125" s="108">
        <f t="shared" si="117"/>
        <v>371351201.33008689</v>
      </c>
      <c r="AE125" s="107">
        <f t="shared" si="124"/>
        <v>38.915595605448331</v>
      </c>
      <c r="AF125" s="103">
        <v>26.16</v>
      </c>
      <c r="AG125" s="103">
        <v>26.05</v>
      </c>
      <c r="AH125" s="103"/>
      <c r="AI125" s="107">
        <f t="shared" ref="AI125:AI130" si="125">AVERAGE(AF125:AH125)</f>
        <v>26.105</v>
      </c>
      <c r="AJ125" s="103">
        <f t="shared" si="118"/>
        <v>62.267845605891765</v>
      </c>
      <c r="AK125" s="108">
        <f t="shared" si="108"/>
        <v>12.453569121178353</v>
      </c>
      <c r="AL125" s="103">
        <v>30.08</v>
      </c>
      <c r="AM125" s="103">
        <v>29.36</v>
      </c>
      <c r="AN125" s="103"/>
      <c r="AO125" s="107">
        <f t="shared" si="119"/>
        <v>29.72</v>
      </c>
      <c r="AP125" s="108">
        <f t="shared" si="120"/>
        <v>9.6877477922457348E-5</v>
      </c>
      <c r="AQ125" s="103">
        <f t="shared" si="121"/>
        <v>5738.2188664606765</v>
      </c>
      <c r="AR125" s="108">
        <f t="shared" si="109"/>
        <v>1147.6437732921354</v>
      </c>
      <c r="AS125" s="108">
        <f t="shared" si="122"/>
        <v>92.153804433499275</v>
      </c>
      <c r="AT125" s="108">
        <f t="shared" si="123"/>
        <v>19854352857588.551</v>
      </c>
      <c r="AU125" s="103"/>
      <c r="AV125" s="119" t="s">
        <v>166</v>
      </c>
      <c r="AW125" s="120"/>
      <c r="AX125" s="120"/>
    </row>
    <row r="126" spans="2:50" s="102" customFormat="1" ht="16" x14ac:dyDescent="0.2">
      <c r="B126" s="103" t="s">
        <v>54</v>
      </c>
      <c r="C126" s="103" t="s">
        <v>140</v>
      </c>
      <c r="D126" s="103" t="s">
        <v>90</v>
      </c>
      <c r="E126" s="103" t="s">
        <v>159</v>
      </c>
      <c r="F126" s="103" t="s">
        <v>58</v>
      </c>
      <c r="G126" s="103" t="s">
        <v>59</v>
      </c>
      <c r="H126" s="103">
        <v>-20</v>
      </c>
      <c r="I126" s="103" t="s">
        <v>150</v>
      </c>
      <c r="J126" s="103" t="s">
        <v>61</v>
      </c>
      <c r="K126" s="103" t="s">
        <v>62</v>
      </c>
      <c r="L126" s="103" t="s">
        <v>123</v>
      </c>
      <c r="M126" s="103" t="s">
        <v>150</v>
      </c>
      <c r="N126" s="103" t="s">
        <v>91</v>
      </c>
      <c r="O126" s="103" t="s">
        <v>126</v>
      </c>
      <c r="P126" s="103" t="s">
        <v>65</v>
      </c>
      <c r="Q126" s="103">
        <v>7.99</v>
      </c>
      <c r="R126" s="103">
        <v>3.96</v>
      </c>
      <c r="S126" s="103">
        <v>230</v>
      </c>
      <c r="T126" s="103">
        <v>202104</v>
      </c>
      <c r="U126" s="111">
        <f t="shared" si="114"/>
        <v>202104000000</v>
      </c>
      <c r="V126" s="103" t="s">
        <v>160</v>
      </c>
      <c r="W126" s="103" t="s">
        <v>66</v>
      </c>
      <c r="X126" s="103" t="s">
        <v>161</v>
      </c>
      <c r="Y126" s="103">
        <v>19.38</v>
      </c>
      <c r="Z126" s="107">
        <v>19.2</v>
      </c>
      <c r="AA126" s="103"/>
      <c r="AB126" s="107">
        <f t="shared" si="115"/>
        <v>19.29</v>
      </c>
      <c r="AC126" s="107">
        <f t="shared" si="116"/>
        <v>3.5409352845361957</v>
      </c>
      <c r="AD126" s="108">
        <f t="shared" si="117"/>
        <v>414714369.17288864</v>
      </c>
      <c r="AE126" s="107">
        <f t="shared" si="124"/>
        <v>43.459820850707906</v>
      </c>
      <c r="AF126" s="103">
        <v>25.28</v>
      </c>
      <c r="AG126" s="103">
        <v>25.17</v>
      </c>
      <c r="AH126" s="103"/>
      <c r="AI126" s="107">
        <f t="shared" si="125"/>
        <v>25.225000000000001</v>
      </c>
      <c r="AJ126" s="103">
        <f t="shared" si="118"/>
        <v>117.98005840930963</v>
      </c>
      <c r="AK126" s="108">
        <f t="shared" si="108"/>
        <v>23.596011681861928</v>
      </c>
      <c r="AL126" s="103">
        <v>30.69</v>
      </c>
      <c r="AM126" s="103">
        <v>29.61</v>
      </c>
      <c r="AN126" s="103"/>
      <c r="AO126" s="107">
        <f t="shared" si="119"/>
        <v>30.15</v>
      </c>
      <c r="AP126" s="108">
        <f t="shared" si="120"/>
        <v>7.2897586502811653E-5</v>
      </c>
      <c r="AQ126" s="103">
        <f t="shared" si="121"/>
        <v>4317.8488453704422</v>
      </c>
      <c r="AR126" s="108">
        <f t="shared" si="109"/>
        <v>863.56976907408841</v>
      </c>
      <c r="AS126" s="108">
        <f t="shared" si="122"/>
        <v>36.598124323607955</v>
      </c>
      <c r="AT126" s="108">
        <f t="shared" si="123"/>
        <v>7396627318298.4619</v>
      </c>
      <c r="AU126" s="103"/>
      <c r="AV126" s="121" t="s">
        <v>163</v>
      </c>
      <c r="AW126" s="122"/>
      <c r="AX126" s="122"/>
    </row>
    <row r="127" spans="2:50" s="102" customFormat="1" ht="16" x14ac:dyDescent="0.2">
      <c r="B127" s="103" t="s">
        <v>54</v>
      </c>
      <c r="C127" s="103" t="s">
        <v>140</v>
      </c>
      <c r="D127" s="123" t="s">
        <v>162</v>
      </c>
      <c r="E127" s="103" t="s">
        <v>159</v>
      </c>
      <c r="F127" s="103" t="s">
        <v>58</v>
      </c>
      <c r="G127" s="103" t="s">
        <v>59</v>
      </c>
      <c r="H127" s="103">
        <v>-20</v>
      </c>
      <c r="I127" s="103" t="s">
        <v>150</v>
      </c>
      <c r="J127" s="103" t="s">
        <v>61</v>
      </c>
      <c r="K127" s="103" t="s">
        <v>62</v>
      </c>
      <c r="L127" s="103" t="s">
        <v>123</v>
      </c>
      <c r="M127" s="103" t="s">
        <v>150</v>
      </c>
      <c r="N127" s="103" t="s">
        <v>91</v>
      </c>
      <c r="O127" s="103" t="s">
        <v>126</v>
      </c>
      <c r="P127" s="103" t="s">
        <v>65</v>
      </c>
      <c r="Q127" s="103">
        <v>7.63</v>
      </c>
      <c r="R127" s="103">
        <v>4.55</v>
      </c>
      <c r="S127" s="103">
        <v>200</v>
      </c>
      <c r="T127" s="103">
        <v>187512</v>
      </c>
      <c r="U127" s="111">
        <f t="shared" si="114"/>
        <v>187512000000</v>
      </c>
      <c r="V127" s="103" t="s">
        <v>160</v>
      </c>
      <c r="W127" s="103" t="s">
        <v>66</v>
      </c>
      <c r="X127" s="103" t="s">
        <v>161</v>
      </c>
      <c r="Y127" s="107">
        <v>19.3</v>
      </c>
      <c r="Z127" s="103">
        <v>19.68</v>
      </c>
      <c r="AA127" s="103"/>
      <c r="AB127" s="107">
        <f t="shared" si="115"/>
        <v>19.490000000000002</v>
      </c>
      <c r="AC127" s="107">
        <f t="shared" si="116"/>
        <v>3.0972731283042396</v>
      </c>
      <c r="AD127" s="108">
        <f t="shared" si="117"/>
        <v>362752653.84554416</v>
      </c>
      <c r="AE127" s="107">
        <f t="shared" si="124"/>
        <v>38.014514376939587</v>
      </c>
      <c r="AF127" s="107">
        <v>26</v>
      </c>
      <c r="AG127" s="107">
        <v>26</v>
      </c>
      <c r="AH127" s="103"/>
      <c r="AI127" s="107">
        <f t="shared" si="125"/>
        <v>26</v>
      </c>
      <c r="AJ127" s="103">
        <f t="shared" si="118"/>
        <v>67.201656261400174</v>
      </c>
      <c r="AK127" s="108">
        <f t="shared" si="108"/>
        <v>13.440331252280036</v>
      </c>
      <c r="AL127" s="107">
        <v>28.9</v>
      </c>
      <c r="AM127" s="103">
        <v>29.85</v>
      </c>
      <c r="AN127" s="103"/>
      <c r="AO127" s="107">
        <f t="shared" si="119"/>
        <v>29.375</v>
      </c>
      <c r="AP127" s="108">
        <f t="shared" si="120"/>
        <v>1.2170762706625576E-4</v>
      </c>
      <c r="AQ127" s="103">
        <f t="shared" si="121"/>
        <v>7208.9511081486889</v>
      </c>
      <c r="AR127" s="108">
        <f t="shared" si="109"/>
        <v>1441.7902216297377</v>
      </c>
      <c r="AS127" s="108">
        <f t="shared" si="122"/>
        <v>107.27341421627168</v>
      </c>
      <c r="AT127" s="108">
        <f t="shared" si="123"/>
        <v>20115052446521.535</v>
      </c>
      <c r="AU127" s="103"/>
      <c r="AV127" s="121" t="s">
        <v>163</v>
      </c>
      <c r="AW127" s="122"/>
      <c r="AX127" s="122"/>
    </row>
    <row r="128" spans="2:50" s="102" customFormat="1" ht="16" x14ac:dyDescent="0.2">
      <c r="B128" s="103" t="s">
        <v>54</v>
      </c>
      <c r="C128" s="103" t="s">
        <v>140</v>
      </c>
      <c r="D128" s="103" t="s">
        <v>164</v>
      </c>
      <c r="E128" s="103" t="s">
        <v>159</v>
      </c>
      <c r="F128" s="103" t="s">
        <v>58</v>
      </c>
      <c r="G128" s="103" t="s">
        <v>59</v>
      </c>
      <c r="H128" s="103">
        <v>-20</v>
      </c>
      <c r="I128" s="103" t="s">
        <v>150</v>
      </c>
      <c r="J128" s="103" t="s">
        <v>61</v>
      </c>
      <c r="K128" s="103" t="s">
        <v>62</v>
      </c>
      <c r="L128" s="103" t="s">
        <v>123</v>
      </c>
      <c r="M128" s="103" t="s">
        <v>150</v>
      </c>
      <c r="N128" s="103" t="s">
        <v>91</v>
      </c>
      <c r="O128" s="103" t="s">
        <v>126</v>
      </c>
      <c r="P128" s="103" t="s">
        <v>65</v>
      </c>
      <c r="Q128" s="103">
        <v>7.64</v>
      </c>
      <c r="R128" s="103">
        <v>4.25</v>
      </c>
      <c r="S128" s="103">
        <v>270</v>
      </c>
      <c r="T128" s="103">
        <v>178920</v>
      </c>
      <c r="U128" s="111">
        <f t="shared" si="114"/>
        <v>178920000000</v>
      </c>
      <c r="V128" s="103" t="s">
        <v>160</v>
      </c>
      <c r="W128" s="103" t="s">
        <v>66</v>
      </c>
      <c r="X128" s="103" t="s">
        <v>161</v>
      </c>
      <c r="Y128" s="103">
        <v>19.940000000000001</v>
      </c>
      <c r="Z128" s="103">
        <v>19.73</v>
      </c>
      <c r="AA128" s="103"/>
      <c r="AB128" s="107">
        <f t="shared" si="115"/>
        <v>19.835000000000001</v>
      </c>
      <c r="AC128" s="107">
        <f t="shared" si="116"/>
        <v>2.4586155170681665</v>
      </c>
      <c r="AD128" s="108">
        <f t="shared" si="117"/>
        <v>287953069.25050277</v>
      </c>
      <c r="AE128" s="107">
        <f t="shared" si="124"/>
        <v>30.175922835751237</v>
      </c>
      <c r="AF128" s="103">
        <v>25.99</v>
      </c>
      <c r="AG128" s="103">
        <v>25.72</v>
      </c>
      <c r="AH128" s="103"/>
      <c r="AI128" s="107">
        <f t="shared" si="125"/>
        <v>25.854999999999997</v>
      </c>
      <c r="AJ128" s="103">
        <f t="shared" si="118"/>
        <v>74.664091502292138</v>
      </c>
      <c r="AK128" s="108">
        <f t="shared" si="108"/>
        <v>14.932818300458427</v>
      </c>
      <c r="AL128" s="103">
        <v>29.28</v>
      </c>
      <c r="AM128" s="103">
        <v>29.66</v>
      </c>
      <c r="AN128" s="103"/>
      <c r="AO128" s="107">
        <f t="shared" si="119"/>
        <v>29.47</v>
      </c>
      <c r="AP128" s="108">
        <f t="shared" si="120"/>
        <v>1.1429593218612785E-4</v>
      </c>
      <c r="AQ128" s="103">
        <f t="shared" si="121"/>
        <v>6769.9437319694507</v>
      </c>
      <c r="AR128" s="108">
        <f t="shared" si="109"/>
        <v>1353.9887463938901</v>
      </c>
      <c r="AS128" s="108">
        <f t="shared" si="122"/>
        <v>90.672016437267146</v>
      </c>
      <c r="AT128" s="108">
        <f t="shared" si="123"/>
        <v>16223037180955.838</v>
      </c>
      <c r="AU128" s="103"/>
      <c r="AV128" s="121" t="s">
        <v>163</v>
      </c>
      <c r="AW128" s="122"/>
      <c r="AX128" s="122"/>
    </row>
    <row r="129" spans="2:50" s="102" customFormat="1" ht="16" x14ac:dyDescent="0.2">
      <c r="B129" s="103" t="s">
        <v>54</v>
      </c>
      <c r="C129" s="103" t="s">
        <v>140</v>
      </c>
      <c r="D129" s="103" t="s">
        <v>165</v>
      </c>
      <c r="E129" s="103" t="s">
        <v>159</v>
      </c>
      <c r="F129" s="103" t="s">
        <v>58</v>
      </c>
      <c r="G129" s="124" t="s">
        <v>167</v>
      </c>
      <c r="H129" s="103">
        <v>-80</v>
      </c>
      <c r="I129" s="103" t="s">
        <v>150</v>
      </c>
      <c r="J129" s="103" t="s">
        <v>61</v>
      </c>
      <c r="K129" s="103" t="s">
        <v>62</v>
      </c>
      <c r="L129" s="103" t="s">
        <v>123</v>
      </c>
      <c r="M129" s="103" t="s">
        <v>150</v>
      </c>
      <c r="N129" s="103" t="s">
        <v>91</v>
      </c>
      <c r="O129" s="103" t="s">
        <v>126</v>
      </c>
      <c r="P129" s="103" t="s">
        <v>65</v>
      </c>
      <c r="Q129" s="103">
        <v>7.39</v>
      </c>
      <c r="R129" s="103">
        <v>4.08</v>
      </c>
      <c r="S129" s="103">
        <v>180</v>
      </c>
      <c r="T129" s="103">
        <v>171240</v>
      </c>
      <c r="U129" s="111">
        <f t="shared" si="114"/>
        <v>171240000000</v>
      </c>
      <c r="V129" s="103" t="s">
        <v>160</v>
      </c>
      <c r="W129" s="103" t="s">
        <v>66</v>
      </c>
      <c r="X129" s="103" t="s">
        <v>161</v>
      </c>
      <c r="Y129" s="107">
        <v>19.8</v>
      </c>
      <c r="Z129" s="103">
        <v>19.809999999999999</v>
      </c>
      <c r="AA129" s="103"/>
      <c r="AB129" s="107">
        <f t="shared" si="115"/>
        <v>19.805</v>
      </c>
      <c r="AC129" s="107">
        <f t="shared" si="116"/>
        <v>2.5084843217164581</v>
      </c>
      <c r="AD129" s="108">
        <f t="shared" si="117"/>
        <v>293793704.05437529</v>
      </c>
      <c r="AE129" s="107">
        <f t="shared" si="124"/>
        <v>30.787989745168812</v>
      </c>
      <c r="AF129" s="103">
        <v>26.21</v>
      </c>
      <c r="AG129" s="125">
        <v>26.06</v>
      </c>
      <c r="AH129" s="103"/>
      <c r="AI129" s="107">
        <f t="shared" si="125"/>
        <v>26.134999999999998</v>
      </c>
      <c r="AJ129" s="103">
        <f t="shared" si="118"/>
        <v>60.925918681284678</v>
      </c>
      <c r="AK129" s="108">
        <f t="shared" si="108"/>
        <v>12.185183736256935</v>
      </c>
      <c r="AL129" s="103">
        <v>30.58</v>
      </c>
      <c r="AM129" s="103">
        <v>29.94</v>
      </c>
      <c r="AN129" s="103"/>
      <c r="AO129" s="107">
        <f t="shared" si="119"/>
        <v>30.259999999999998</v>
      </c>
      <c r="AP129" s="108">
        <f t="shared" si="120"/>
        <v>6.7782510792508858E-5</v>
      </c>
      <c r="AQ129" s="103">
        <f t="shared" si="121"/>
        <v>4014.8741543103833</v>
      </c>
      <c r="AR129" s="108">
        <f t="shared" si="109"/>
        <v>802.97483086207671</v>
      </c>
      <c r="AS129" s="108">
        <f t="shared" si="122"/>
        <v>65.897638332102474</v>
      </c>
      <c r="AT129" s="108">
        <f t="shared" si="123"/>
        <v>11284311587989.229</v>
      </c>
      <c r="AU129" s="103"/>
      <c r="AV129" s="121" t="s">
        <v>163</v>
      </c>
      <c r="AW129" s="122"/>
      <c r="AX129" s="122"/>
    </row>
    <row r="130" spans="2:50" ht="15" x14ac:dyDescent="0.2">
      <c r="B130" s="8"/>
      <c r="C130" s="8"/>
      <c r="D130" s="8"/>
      <c r="E130" s="8" t="s">
        <v>154</v>
      </c>
      <c r="F130" s="8"/>
      <c r="G130" s="8" t="s">
        <v>106</v>
      </c>
      <c r="H130" s="8"/>
      <c r="I130" s="8"/>
      <c r="J130" s="8"/>
      <c r="K130" s="8"/>
      <c r="L130" s="8"/>
      <c r="M130" s="8" t="s">
        <v>108</v>
      </c>
      <c r="N130" s="8" t="s">
        <v>107</v>
      </c>
      <c r="O130" s="8" t="s">
        <v>108</v>
      </c>
      <c r="P130" s="8" t="s">
        <v>108</v>
      </c>
      <c r="Q130" s="8" t="s">
        <v>108</v>
      </c>
      <c r="R130" s="8" t="s">
        <v>108</v>
      </c>
      <c r="S130" s="8" t="s">
        <v>108</v>
      </c>
      <c r="T130" s="8"/>
      <c r="U130" s="10"/>
      <c r="V130" s="8" t="s">
        <v>108</v>
      </c>
      <c r="W130" s="8" t="s">
        <v>108</v>
      </c>
      <c r="X130" s="11" t="s">
        <v>108</v>
      </c>
      <c r="Y130" s="8">
        <v>17.940000000000001</v>
      </c>
      <c r="Z130" s="8">
        <v>18.149999999999999</v>
      </c>
      <c r="AA130" s="8"/>
      <c r="AB130" s="18">
        <f t="shared" si="115"/>
        <v>18.045000000000002</v>
      </c>
      <c r="AC130" s="18">
        <f t="shared" si="116"/>
        <v>8.1476067209294953</v>
      </c>
      <c r="AD130" s="19">
        <f t="shared" si="117"/>
        <v>954247765.07364142</v>
      </c>
      <c r="AE130" s="18">
        <f t="shared" si="124"/>
        <v>100</v>
      </c>
      <c r="AF130" s="18">
        <v>30.5</v>
      </c>
      <c r="AG130" s="8">
        <v>30.98</v>
      </c>
      <c r="AH130" s="8"/>
      <c r="AI130" s="18">
        <f t="shared" si="125"/>
        <v>30.740000000000002</v>
      </c>
      <c r="AJ130" s="8">
        <f t="shared" si="118"/>
        <v>2.1499231531189897</v>
      </c>
      <c r="AK130" s="50">
        <f t="shared" si="108"/>
        <v>0.42998463062379794</v>
      </c>
      <c r="AL130" s="8">
        <v>29.75</v>
      </c>
      <c r="AM130" s="8">
        <v>29.96</v>
      </c>
      <c r="AN130" s="8"/>
      <c r="AO130" s="18">
        <f t="shared" si="119"/>
        <v>29.855</v>
      </c>
      <c r="AP130" s="19">
        <f t="shared" si="120"/>
        <v>8.8602613207294122E-5</v>
      </c>
      <c r="AQ130" s="8">
        <f t="shared" si="121"/>
        <v>5248.0844632512362</v>
      </c>
      <c r="AR130" s="50">
        <f t="shared" si="109"/>
        <v>1049.6168926502473</v>
      </c>
      <c r="AS130" s="19">
        <f t="shared" si="122"/>
        <v>2441.0567678373091</v>
      </c>
      <c r="AT130" s="19" t="s">
        <v>108</v>
      </c>
      <c r="AU130" s="8"/>
      <c r="AV130" s="43"/>
      <c r="AW130" s="28"/>
      <c r="AX130" s="28"/>
    </row>
    <row r="131" spans="2:50" ht="15" x14ac:dyDescent="0.2">
      <c r="B131" s="8"/>
      <c r="C131" s="8"/>
      <c r="D131" s="8"/>
      <c r="E131" s="4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10"/>
      <c r="V131" s="8"/>
      <c r="W131" s="8"/>
      <c r="X131" s="11"/>
      <c r="Y131" s="8"/>
      <c r="Z131" s="8"/>
      <c r="AA131" s="8"/>
      <c r="AB131" s="18"/>
      <c r="AC131" s="18"/>
      <c r="AD131" s="8"/>
      <c r="AE131" s="8"/>
      <c r="AF131" s="18"/>
      <c r="AG131" s="8"/>
      <c r="AH131" s="8"/>
      <c r="AI131" s="18"/>
      <c r="AJ131" s="8"/>
      <c r="AK131" s="50">
        <f t="shared" si="108"/>
        <v>0</v>
      </c>
      <c r="AL131" s="8"/>
      <c r="AM131" s="8"/>
      <c r="AN131" s="8"/>
      <c r="AO131" s="18"/>
      <c r="AP131" s="8"/>
      <c r="AQ131" s="8"/>
      <c r="AR131" s="50">
        <f t="shared" si="109"/>
        <v>0</v>
      </c>
      <c r="AS131" s="8"/>
      <c r="AT131" s="8"/>
      <c r="AU131" s="8"/>
      <c r="AV131" s="44"/>
      <c r="AW131" s="28"/>
      <c r="AX131" s="28"/>
    </row>
    <row r="132" spans="2:50" s="102" customFormat="1" x14ac:dyDescent="0.15">
      <c r="B132" s="103" t="s">
        <v>54</v>
      </c>
      <c r="C132" s="103" t="s">
        <v>140</v>
      </c>
      <c r="D132" s="126" t="s">
        <v>168</v>
      </c>
      <c r="E132" s="109" t="s">
        <v>57</v>
      </c>
      <c r="F132" s="127" t="s">
        <v>58</v>
      </c>
      <c r="G132" s="103" t="s">
        <v>59</v>
      </c>
      <c r="H132" s="103">
        <v>-20</v>
      </c>
      <c r="I132" s="103" t="s">
        <v>161</v>
      </c>
      <c r="J132" s="103" t="s">
        <v>61</v>
      </c>
      <c r="K132" s="103" t="s">
        <v>62</v>
      </c>
      <c r="L132" s="103" t="s">
        <v>123</v>
      </c>
      <c r="M132" s="103" t="s">
        <v>169</v>
      </c>
      <c r="N132" s="103" t="s">
        <v>91</v>
      </c>
      <c r="O132" s="103" t="s">
        <v>126</v>
      </c>
      <c r="P132" s="103" t="s">
        <v>65</v>
      </c>
      <c r="Q132" s="103">
        <v>7.02</v>
      </c>
      <c r="R132" s="107">
        <v>3.7</v>
      </c>
      <c r="S132" s="103"/>
      <c r="T132" s="103"/>
      <c r="U132" s="111"/>
      <c r="V132" s="103" t="s">
        <v>169</v>
      </c>
      <c r="W132" s="103" t="s">
        <v>66</v>
      </c>
      <c r="X132" s="126" t="s">
        <v>170</v>
      </c>
      <c r="Y132" s="103">
        <v>18.47</v>
      </c>
      <c r="Z132" s="103">
        <v>17.59</v>
      </c>
      <c r="AA132" s="103"/>
      <c r="AB132" s="107">
        <f>AVERAGE(Y132:AA132)</f>
        <v>18.03</v>
      </c>
      <c r="AC132" s="107">
        <f t="shared" si="116"/>
        <v>8.229822038115465</v>
      </c>
      <c r="AD132" s="108">
        <f t="shared" si="117"/>
        <v>963876823.68762696</v>
      </c>
      <c r="AE132" s="107">
        <f>AD132*100/AD$138</f>
        <v>20.060335017697195</v>
      </c>
      <c r="AF132" s="103">
        <v>21.09</v>
      </c>
      <c r="AG132" s="103">
        <v>20.69</v>
      </c>
      <c r="AH132" s="103"/>
      <c r="AI132" s="107">
        <f>AVERAGE(AF132:AH132)</f>
        <v>20.89</v>
      </c>
      <c r="AJ132" s="103">
        <f t="shared" si="118"/>
        <v>2748.0964797383353</v>
      </c>
      <c r="AK132" s="108">
        <f t="shared" si="108"/>
        <v>549.61929594766707</v>
      </c>
      <c r="AL132" s="103">
        <v>28.51</v>
      </c>
      <c r="AM132" s="103">
        <v>28.21</v>
      </c>
      <c r="AN132" s="103"/>
      <c r="AO132" s="107">
        <f>AVERAGE(AL132:AN132)</f>
        <v>28.36</v>
      </c>
      <c r="AP132" s="108">
        <f t="shared" si="120"/>
        <v>2.3815410529480792E-4</v>
      </c>
      <c r="AQ132" s="103">
        <f t="shared" si="121"/>
        <v>14106.275363831905</v>
      </c>
      <c r="AR132" s="108">
        <f t="shared" si="109"/>
        <v>2821.2550727663811</v>
      </c>
      <c r="AS132" s="108">
        <f t="shared" si="122"/>
        <v>5.13310775943902</v>
      </c>
      <c r="AT132" s="108"/>
      <c r="AU132" s="103"/>
      <c r="AV132" s="111"/>
      <c r="AW132" s="109"/>
      <c r="AX132" s="109"/>
    </row>
    <row r="133" spans="2:50" s="102" customFormat="1" x14ac:dyDescent="0.15">
      <c r="B133" s="103" t="s">
        <v>54</v>
      </c>
      <c r="C133" s="103" t="s">
        <v>140</v>
      </c>
      <c r="D133" s="103" t="s">
        <v>171</v>
      </c>
      <c r="E133" s="109" t="s">
        <v>57</v>
      </c>
      <c r="F133" s="127" t="s">
        <v>58</v>
      </c>
      <c r="G133" s="103" t="s">
        <v>59</v>
      </c>
      <c r="H133" s="103">
        <v>-20</v>
      </c>
      <c r="I133" s="103" t="s">
        <v>161</v>
      </c>
      <c r="J133" s="103" t="s">
        <v>61</v>
      </c>
      <c r="K133" s="103" t="s">
        <v>62</v>
      </c>
      <c r="L133" s="103" t="s">
        <v>123</v>
      </c>
      <c r="M133" s="103" t="s">
        <v>169</v>
      </c>
      <c r="N133" s="103" t="s">
        <v>91</v>
      </c>
      <c r="O133" s="103" t="s">
        <v>126</v>
      </c>
      <c r="P133" s="103" t="s">
        <v>65</v>
      </c>
      <c r="Q133" s="103">
        <v>7.08</v>
      </c>
      <c r="R133" s="107">
        <v>3.8</v>
      </c>
      <c r="S133" s="103"/>
      <c r="T133" s="103"/>
      <c r="U133" s="111"/>
      <c r="V133" s="103" t="s">
        <v>169</v>
      </c>
      <c r="W133" s="103" t="s">
        <v>66</v>
      </c>
      <c r="X133" s="126" t="s">
        <v>170</v>
      </c>
      <c r="Y133" s="103">
        <v>18.510000000000002</v>
      </c>
      <c r="Z133" s="103">
        <v>16.940000000000001</v>
      </c>
      <c r="AA133" s="103"/>
      <c r="AB133" s="107">
        <f t="shared" ref="AB133:AB156" si="126">AVERAGE(Y133:AA133)</f>
        <v>17.725000000000001</v>
      </c>
      <c r="AC133" s="107">
        <f t="shared" si="116"/>
        <v>10.093728838874867</v>
      </c>
      <c r="AD133" s="108">
        <f t="shared" si="117"/>
        <v>1182177603.2725441</v>
      </c>
      <c r="AE133" s="107">
        <f t="shared" ref="AE133:AE138" si="127">AD133*100/AD$138</f>
        <v>24.603640412616738</v>
      </c>
      <c r="AF133" s="103">
        <v>20.55</v>
      </c>
      <c r="AG133" s="103">
        <v>20.420000000000002</v>
      </c>
      <c r="AH133" s="103"/>
      <c r="AI133" s="107">
        <f t="shared" ref="AI133:AI156" si="128">AVERAGE(AF133:AH133)</f>
        <v>20.484999999999999</v>
      </c>
      <c r="AJ133" s="103">
        <f t="shared" si="118"/>
        <v>3687.7854538289812</v>
      </c>
      <c r="AK133" s="108">
        <f t="shared" si="108"/>
        <v>737.55709076579626</v>
      </c>
      <c r="AL133" s="103">
        <v>26.64</v>
      </c>
      <c r="AM133" s="103">
        <v>27.56</v>
      </c>
      <c r="AN133" s="103"/>
      <c r="AO133" s="107">
        <f t="shared" ref="AO133:AO156" si="129">AVERAGE(AL133:AN133)</f>
        <v>27.1</v>
      </c>
      <c r="AP133" s="108">
        <f t="shared" si="120"/>
        <v>5.4798685460050363E-4</v>
      </c>
      <c r="AQ133" s="103">
        <f t="shared" si="121"/>
        <v>32458.199522472587</v>
      </c>
      <c r="AR133" s="108">
        <f t="shared" si="109"/>
        <v>6491.6399044945174</v>
      </c>
      <c r="AS133" s="108">
        <f t="shared" si="122"/>
        <v>8.8015422612971275</v>
      </c>
      <c r="AT133" s="103"/>
      <c r="AU133" s="103"/>
      <c r="AV133" s="103"/>
      <c r="AW133" s="109"/>
      <c r="AX133" s="109"/>
    </row>
    <row r="134" spans="2:50" s="79" customFormat="1" x14ac:dyDescent="0.15">
      <c r="B134" s="80" t="s">
        <v>54</v>
      </c>
      <c r="C134" s="80" t="s">
        <v>140</v>
      </c>
      <c r="D134" s="80" t="s">
        <v>172</v>
      </c>
      <c r="E134" s="81" t="s">
        <v>57</v>
      </c>
      <c r="F134" s="82" t="s">
        <v>58</v>
      </c>
      <c r="G134" s="80" t="s">
        <v>59</v>
      </c>
      <c r="H134" s="80">
        <v>-20</v>
      </c>
      <c r="I134" s="80" t="s">
        <v>161</v>
      </c>
      <c r="J134" s="80" t="s">
        <v>61</v>
      </c>
      <c r="K134" s="80" t="s">
        <v>62</v>
      </c>
      <c r="L134" s="80" t="s">
        <v>123</v>
      </c>
      <c r="M134" s="80" t="s">
        <v>169</v>
      </c>
      <c r="N134" s="80" t="s">
        <v>91</v>
      </c>
      <c r="O134" s="80" t="s">
        <v>126</v>
      </c>
      <c r="P134" s="80" t="s">
        <v>65</v>
      </c>
      <c r="Q134" s="80">
        <v>7.24</v>
      </c>
      <c r="R134" s="80">
        <v>3.63</v>
      </c>
      <c r="S134" s="80"/>
      <c r="T134" s="80"/>
      <c r="U134" s="178"/>
      <c r="V134" s="80" t="s">
        <v>169</v>
      </c>
      <c r="W134" s="80" t="s">
        <v>66</v>
      </c>
      <c r="X134" s="83" t="s">
        <v>170</v>
      </c>
      <c r="Y134" s="80">
        <v>19.12</v>
      </c>
      <c r="Z134" s="80">
        <v>18.62</v>
      </c>
      <c r="AA134" s="80"/>
      <c r="AB134" s="84">
        <f t="shared" si="126"/>
        <v>18.87</v>
      </c>
      <c r="AC134" s="84">
        <f t="shared" si="116"/>
        <v>4.6903884064952175</v>
      </c>
      <c r="AD134" s="85">
        <f t="shared" si="117"/>
        <v>549338328.11640322</v>
      </c>
      <c r="AE134" s="84">
        <f t="shared" si="127"/>
        <v>11.432903696051566</v>
      </c>
      <c r="AF134" s="80">
        <v>21.25</v>
      </c>
      <c r="AG134" s="80">
        <v>21.61</v>
      </c>
      <c r="AH134" s="80"/>
      <c r="AI134" s="84">
        <f t="shared" si="128"/>
        <v>21.43</v>
      </c>
      <c r="AJ134" s="80">
        <f t="shared" si="118"/>
        <v>1856.6088413175066</v>
      </c>
      <c r="AK134" s="85">
        <f t="shared" si="108"/>
        <v>371.32176826350133</v>
      </c>
      <c r="AL134" s="80">
        <v>26.82</v>
      </c>
      <c r="AM134" s="80">
        <v>27.32</v>
      </c>
      <c r="AN134" s="80"/>
      <c r="AO134" s="84">
        <f t="shared" si="129"/>
        <v>27.07</v>
      </c>
      <c r="AP134" s="85">
        <f t="shared" si="120"/>
        <v>5.5896819122871447E-4</v>
      </c>
      <c r="AQ134" s="80">
        <f t="shared" si="121"/>
        <v>33108.642890428477</v>
      </c>
      <c r="AR134" s="85">
        <f t="shared" si="109"/>
        <v>6621.7285780856955</v>
      </c>
      <c r="AS134" s="85">
        <f t="shared" si="122"/>
        <v>17.832858571832272</v>
      </c>
      <c r="AT134" s="80"/>
      <c r="AU134" s="80"/>
      <c r="AV134" s="80"/>
      <c r="AW134" s="81"/>
      <c r="AX134" s="81"/>
    </row>
    <row r="135" spans="2:50" s="51" customFormat="1" x14ac:dyDescent="0.15">
      <c r="B135" s="45" t="s">
        <v>54</v>
      </c>
      <c r="C135" s="45" t="s">
        <v>55</v>
      </c>
      <c r="D135" s="45" t="s">
        <v>168</v>
      </c>
      <c r="E135" s="46" t="s">
        <v>57</v>
      </c>
      <c r="F135" s="47" t="s">
        <v>58</v>
      </c>
      <c r="G135" s="45" t="s">
        <v>59</v>
      </c>
      <c r="H135" s="45">
        <v>-20</v>
      </c>
      <c r="I135" s="45" t="s">
        <v>161</v>
      </c>
      <c r="J135" s="45" t="s">
        <v>61</v>
      </c>
      <c r="K135" s="45" t="s">
        <v>62</v>
      </c>
      <c r="L135" s="45" t="s">
        <v>123</v>
      </c>
      <c r="M135" s="45" t="s">
        <v>169</v>
      </c>
      <c r="N135" s="45" t="s">
        <v>91</v>
      </c>
      <c r="O135" s="45" t="s">
        <v>126</v>
      </c>
      <c r="P135" s="45" t="s">
        <v>65</v>
      </c>
      <c r="Q135" s="45">
        <v>7.02</v>
      </c>
      <c r="R135" s="45">
        <v>4.33</v>
      </c>
      <c r="S135" s="45"/>
      <c r="T135" s="45"/>
      <c r="U135" s="53"/>
      <c r="V135" s="45" t="s">
        <v>169</v>
      </c>
      <c r="W135" s="45" t="s">
        <v>66</v>
      </c>
      <c r="X135" s="48" t="s">
        <v>170</v>
      </c>
      <c r="Y135" s="45">
        <v>18.829999999999998</v>
      </c>
      <c r="Z135" s="45">
        <v>19.079999999999998</v>
      </c>
      <c r="AA135" s="45"/>
      <c r="AB135" s="49">
        <f t="shared" si="126"/>
        <v>18.954999999999998</v>
      </c>
      <c r="AC135" s="49">
        <f t="shared" si="116"/>
        <v>4.4309816515080422</v>
      </c>
      <c r="AD135" s="50">
        <f t="shared" si="117"/>
        <v>518956606.87356967</v>
      </c>
      <c r="AE135" s="49">
        <f t="shared" si="127"/>
        <v>10.800595198152623</v>
      </c>
      <c r="AF135" s="45">
        <v>19.54</v>
      </c>
      <c r="AG135" s="45">
        <v>19.18</v>
      </c>
      <c r="AH135" s="45"/>
      <c r="AI135" s="49">
        <f t="shared" si="128"/>
        <v>19.36</v>
      </c>
      <c r="AJ135" s="128">
        <f t="shared" si="118"/>
        <v>8347.980004185074</v>
      </c>
      <c r="AK135" s="50">
        <f t="shared" si="108"/>
        <v>1669.5960008370148</v>
      </c>
      <c r="AL135" s="45">
        <v>26.87</v>
      </c>
      <c r="AM135" s="45">
        <v>28.14</v>
      </c>
      <c r="AN135" s="45"/>
      <c r="AO135" s="49">
        <f t="shared" si="129"/>
        <v>27.505000000000003</v>
      </c>
      <c r="AP135" s="50">
        <f t="shared" si="120"/>
        <v>4.192192932189241E-4</v>
      </c>
      <c r="AQ135" s="45">
        <f t="shared" si="121"/>
        <v>24831.076418593475</v>
      </c>
      <c r="AR135" s="50">
        <f t="shared" si="109"/>
        <v>4966.215283718695</v>
      </c>
      <c r="AS135" s="50">
        <f t="shared" si="122"/>
        <v>2.9745011854538426</v>
      </c>
      <c r="AT135" s="45"/>
      <c r="AU135" s="45"/>
      <c r="AV135" s="45"/>
      <c r="AW135" s="46"/>
      <c r="AX135" s="46"/>
    </row>
    <row r="136" spans="2:50" s="51" customFormat="1" x14ac:dyDescent="0.15">
      <c r="B136" s="45" t="s">
        <v>54</v>
      </c>
      <c r="C136" s="45" t="s">
        <v>55</v>
      </c>
      <c r="D136" s="45" t="s">
        <v>171</v>
      </c>
      <c r="E136" s="46" t="s">
        <v>57</v>
      </c>
      <c r="F136" s="47" t="s">
        <v>58</v>
      </c>
      <c r="G136" s="45" t="s">
        <v>59</v>
      </c>
      <c r="H136" s="45">
        <v>-20</v>
      </c>
      <c r="I136" s="45" t="s">
        <v>161</v>
      </c>
      <c r="J136" s="45" t="s">
        <v>61</v>
      </c>
      <c r="K136" s="45" t="s">
        <v>62</v>
      </c>
      <c r="L136" s="45" t="s">
        <v>123</v>
      </c>
      <c r="M136" s="45" t="s">
        <v>169</v>
      </c>
      <c r="N136" s="45" t="s">
        <v>91</v>
      </c>
      <c r="O136" s="45" t="s">
        <v>126</v>
      </c>
      <c r="P136" s="45" t="s">
        <v>65</v>
      </c>
      <c r="Q136" s="45">
        <v>7.13</v>
      </c>
      <c r="R136" s="45">
        <v>4.54</v>
      </c>
      <c r="S136" s="45"/>
      <c r="T136" s="45"/>
      <c r="U136" s="53"/>
      <c r="V136" s="45" t="s">
        <v>169</v>
      </c>
      <c r="W136" s="45" t="s">
        <v>66</v>
      </c>
      <c r="X136" s="48" t="s">
        <v>170</v>
      </c>
      <c r="Y136" s="45">
        <v>17.87</v>
      </c>
      <c r="Z136" s="45">
        <v>19.47</v>
      </c>
      <c r="AA136" s="45"/>
      <c r="AB136" s="49">
        <f t="shared" si="126"/>
        <v>18.670000000000002</v>
      </c>
      <c r="AC136" s="49">
        <f t="shared" si="116"/>
        <v>5.3622528975452255</v>
      </c>
      <c r="AD136" s="50">
        <f t="shared" si="117"/>
        <v>628027102.74391365</v>
      </c>
      <c r="AE136" s="49">
        <f t="shared" si="127"/>
        <v>13.070585132483219</v>
      </c>
      <c r="AF136" s="45">
        <v>21.05</v>
      </c>
      <c r="AG136" s="45">
        <v>20.92</v>
      </c>
      <c r="AH136" s="45"/>
      <c r="AI136" s="49">
        <f t="shared" si="128"/>
        <v>20.984999999999999</v>
      </c>
      <c r="AJ136" s="45">
        <f t="shared" si="118"/>
        <v>2564.8959785587008</v>
      </c>
      <c r="AK136" s="50">
        <f t="shared" si="108"/>
        <v>512.9791957117402</v>
      </c>
      <c r="AL136" s="45">
        <v>28.02</v>
      </c>
      <c r="AM136" s="45">
        <v>26.79</v>
      </c>
      <c r="AN136" s="45"/>
      <c r="AO136" s="49">
        <f t="shared" si="129"/>
        <v>27.405000000000001</v>
      </c>
      <c r="AP136" s="50">
        <f t="shared" si="120"/>
        <v>4.4788285864507342E-4</v>
      </c>
      <c r="AQ136" s="45">
        <f t="shared" si="121"/>
        <v>26528.868469290868</v>
      </c>
      <c r="AR136" s="50">
        <f t="shared" si="109"/>
        <v>5305.7736938581738</v>
      </c>
      <c r="AS136" s="50">
        <f t="shared" si="122"/>
        <v>10.343058233573398</v>
      </c>
      <c r="AT136" s="45"/>
      <c r="AU136" s="45"/>
      <c r="AV136" s="45"/>
      <c r="AW136" s="46"/>
      <c r="AX136" s="46"/>
    </row>
    <row r="137" spans="2:50" s="79" customFormat="1" x14ac:dyDescent="0.15">
      <c r="B137" s="80" t="s">
        <v>54</v>
      </c>
      <c r="C137" s="80" t="s">
        <v>55</v>
      </c>
      <c r="D137" s="80" t="s">
        <v>172</v>
      </c>
      <c r="E137" s="81" t="s">
        <v>57</v>
      </c>
      <c r="F137" s="82" t="s">
        <v>58</v>
      </c>
      <c r="G137" s="80" t="s">
        <v>59</v>
      </c>
      <c r="H137" s="80">
        <v>-20</v>
      </c>
      <c r="I137" s="80" t="s">
        <v>161</v>
      </c>
      <c r="J137" s="80" t="s">
        <v>61</v>
      </c>
      <c r="K137" s="80" t="s">
        <v>62</v>
      </c>
      <c r="L137" s="80" t="s">
        <v>123</v>
      </c>
      <c r="M137" s="80" t="s">
        <v>169</v>
      </c>
      <c r="N137" s="80" t="s">
        <v>91</v>
      </c>
      <c r="O137" s="80" t="s">
        <v>126</v>
      </c>
      <c r="P137" s="80" t="s">
        <v>65</v>
      </c>
      <c r="Q137" s="80">
        <v>7.27</v>
      </c>
      <c r="R137" s="84">
        <v>4.3</v>
      </c>
      <c r="S137" s="80"/>
      <c r="T137" s="80"/>
      <c r="U137" s="178"/>
      <c r="V137" s="80" t="s">
        <v>169</v>
      </c>
      <c r="W137" s="80" t="s">
        <v>66</v>
      </c>
      <c r="X137" s="83" t="s">
        <v>170</v>
      </c>
      <c r="Y137" s="80">
        <v>18.850000000000001</v>
      </c>
      <c r="Z137" s="80">
        <v>18.57</v>
      </c>
      <c r="AA137" s="80"/>
      <c r="AB137" s="84">
        <f t="shared" si="126"/>
        <v>18.71</v>
      </c>
      <c r="AC137" s="84">
        <f t="shared" si="116"/>
        <v>5.2205901014864207</v>
      </c>
      <c r="AD137" s="85">
        <f t="shared" si="117"/>
        <v>611435554.92338073</v>
      </c>
      <c r="AE137" s="84">
        <f t="shared" si="127"/>
        <v>12.725279591813949</v>
      </c>
      <c r="AF137" s="84">
        <v>18.899999999999999</v>
      </c>
      <c r="AG137" s="80">
        <v>19.13</v>
      </c>
      <c r="AH137" s="80"/>
      <c r="AI137" s="84">
        <f t="shared" si="128"/>
        <v>19.015000000000001</v>
      </c>
      <c r="AJ137" s="80">
        <f t="shared" si="118"/>
        <v>10724.858338971682</v>
      </c>
      <c r="AK137" s="85">
        <f t="shared" si="108"/>
        <v>2144.9716677943366</v>
      </c>
      <c r="AL137" s="80">
        <v>24.55</v>
      </c>
      <c r="AM137" s="80">
        <v>24.53</v>
      </c>
      <c r="AN137" s="80"/>
      <c r="AO137" s="84">
        <f t="shared" si="129"/>
        <v>24.54</v>
      </c>
      <c r="AP137" s="85">
        <f t="shared" si="120"/>
        <v>2.9790894878629578E-3</v>
      </c>
      <c r="AQ137" s="80">
        <f t="shared" si="121"/>
        <v>176456.57040961381</v>
      </c>
      <c r="AR137" s="85">
        <f t="shared" si="109"/>
        <v>35291.314081922763</v>
      </c>
      <c r="AS137" s="85">
        <f t="shared" si="122"/>
        <v>16.453044397650547</v>
      </c>
      <c r="AT137" s="80"/>
      <c r="AU137" s="80"/>
      <c r="AV137" s="80"/>
      <c r="AW137" s="81"/>
      <c r="AX137" s="81"/>
    </row>
    <row r="138" spans="2:50" x14ac:dyDescent="0.15">
      <c r="B138" s="8"/>
      <c r="C138" s="8"/>
      <c r="D138" s="8"/>
      <c r="E138" s="8" t="s">
        <v>173</v>
      </c>
      <c r="F138" s="8"/>
      <c r="G138" s="8" t="s">
        <v>106</v>
      </c>
      <c r="H138" s="8">
        <v>-80</v>
      </c>
      <c r="I138" s="8"/>
      <c r="J138" s="8"/>
      <c r="K138" s="8"/>
      <c r="L138" s="8"/>
      <c r="M138" s="8"/>
      <c r="N138" s="8" t="s">
        <v>107</v>
      </c>
      <c r="O138" s="8" t="s">
        <v>108</v>
      </c>
      <c r="P138" s="8" t="s">
        <v>108</v>
      </c>
      <c r="Q138" s="8" t="s">
        <v>108</v>
      </c>
      <c r="R138" s="8" t="s">
        <v>108</v>
      </c>
      <c r="S138" s="8"/>
      <c r="T138" s="8"/>
      <c r="U138" s="10"/>
      <c r="V138" s="8" t="s">
        <v>108</v>
      </c>
      <c r="W138" s="8" t="s">
        <v>108</v>
      </c>
      <c r="X138" s="11" t="s">
        <v>170</v>
      </c>
      <c r="Y138" s="8">
        <v>15.6</v>
      </c>
      <c r="Z138" s="8">
        <v>15.66</v>
      </c>
      <c r="AA138" s="8"/>
      <c r="AB138" s="18">
        <f t="shared" si="126"/>
        <v>15.629999999999999</v>
      </c>
      <c r="AC138" s="18">
        <f t="shared" si="116"/>
        <v>41.025346938897734</v>
      </c>
      <c r="AD138" s="19">
        <f t="shared" si="117"/>
        <v>4804888965.4001112</v>
      </c>
      <c r="AE138" s="18">
        <f t="shared" si="127"/>
        <v>100</v>
      </c>
      <c r="AF138" s="18">
        <v>24.1</v>
      </c>
      <c r="AG138" s="8">
        <v>24.66</v>
      </c>
      <c r="AH138" s="8"/>
      <c r="AI138" s="18">
        <f t="shared" si="128"/>
        <v>24.380000000000003</v>
      </c>
      <c r="AJ138" s="8">
        <f t="shared" si="118"/>
        <v>217.92881705737256</v>
      </c>
      <c r="AK138" s="50">
        <f t="shared" si="108"/>
        <v>43.58576341147451</v>
      </c>
      <c r="AL138" s="8">
        <v>26.97</v>
      </c>
      <c r="AM138" s="8">
        <v>28.35</v>
      </c>
      <c r="AN138" s="8"/>
      <c r="AO138" s="18">
        <f t="shared" si="129"/>
        <v>27.66</v>
      </c>
      <c r="AP138" s="19">
        <f t="shared" si="120"/>
        <v>3.7837316904506618E-4</v>
      </c>
      <c r="AQ138" s="8">
        <f t="shared" si="121"/>
        <v>22411.690557373673</v>
      </c>
      <c r="AR138" s="50">
        <f t="shared" si="109"/>
        <v>4482.3381114747344</v>
      </c>
      <c r="AS138" s="19">
        <f t="shared" si="122"/>
        <v>102.83949988804605</v>
      </c>
      <c r="AT138" s="8"/>
      <c r="AU138" s="8"/>
      <c r="AV138" s="8"/>
      <c r="AW138" s="9"/>
      <c r="AX138" s="9"/>
    </row>
    <row r="139" spans="2:50" x14ac:dyDescent="0.15"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11"/>
      <c r="Y139" s="8"/>
      <c r="Z139" s="8"/>
      <c r="AA139" s="8"/>
      <c r="AB139" s="8"/>
      <c r="AC139" s="18"/>
      <c r="AD139" s="8"/>
      <c r="AE139" s="8"/>
      <c r="AF139" s="8"/>
      <c r="AG139" s="8"/>
      <c r="AH139" s="8"/>
      <c r="AI139" s="8"/>
      <c r="AJ139" s="8"/>
      <c r="AK139" s="50">
        <f t="shared" si="108"/>
        <v>0</v>
      </c>
      <c r="AL139" s="8"/>
      <c r="AM139" s="8"/>
      <c r="AN139" s="8"/>
      <c r="AO139" s="8"/>
      <c r="AP139" s="8"/>
      <c r="AQ139" s="8"/>
      <c r="AR139" s="50">
        <f t="shared" si="109"/>
        <v>0</v>
      </c>
      <c r="AS139" s="19"/>
      <c r="AT139" s="8"/>
      <c r="AU139" s="8"/>
      <c r="AV139" s="8"/>
      <c r="AW139" s="9"/>
      <c r="AX139" s="9"/>
    </row>
    <row r="140" spans="2:50" s="102" customFormat="1" x14ac:dyDescent="0.15">
      <c r="B140" s="103" t="s">
        <v>54</v>
      </c>
      <c r="C140" s="103" t="s">
        <v>140</v>
      </c>
      <c r="D140" s="103" t="s">
        <v>161</v>
      </c>
      <c r="E140" s="103" t="s">
        <v>57</v>
      </c>
      <c r="F140" s="127" t="s">
        <v>58</v>
      </c>
      <c r="G140" s="103" t="s">
        <v>59</v>
      </c>
      <c r="H140" s="103">
        <v>-20</v>
      </c>
      <c r="I140" s="103" t="s">
        <v>170</v>
      </c>
      <c r="J140" s="103" t="s">
        <v>61</v>
      </c>
      <c r="K140" s="103" t="s">
        <v>62</v>
      </c>
      <c r="L140" s="103" t="s">
        <v>123</v>
      </c>
      <c r="M140" s="103" t="s">
        <v>174</v>
      </c>
      <c r="N140" s="103" t="s">
        <v>91</v>
      </c>
      <c r="O140" s="103" t="s">
        <v>92</v>
      </c>
      <c r="P140" s="103" t="s">
        <v>65</v>
      </c>
      <c r="Q140" s="107">
        <v>7.3</v>
      </c>
      <c r="R140" s="103">
        <v>3.73</v>
      </c>
      <c r="S140" s="103"/>
      <c r="T140" s="103"/>
      <c r="U140" s="103"/>
      <c r="V140" s="103" t="s">
        <v>175</v>
      </c>
      <c r="W140" s="103" t="s">
        <v>66</v>
      </c>
      <c r="X140" s="126" t="s">
        <v>175</v>
      </c>
      <c r="Y140" s="103">
        <v>18.07</v>
      </c>
      <c r="Z140" s="103">
        <v>18.43</v>
      </c>
      <c r="AA140" s="103"/>
      <c r="AB140" s="107">
        <f t="shared" si="126"/>
        <v>18.25</v>
      </c>
      <c r="AC140" s="107">
        <f t="shared" si="116"/>
        <v>7.1029394220165614</v>
      </c>
      <c r="AD140" s="108">
        <f t="shared" si="117"/>
        <v>831896322.57305634</v>
      </c>
      <c r="AE140" s="107">
        <f>AD140*100/AD$144</f>
        <v>39.046053397005849</v>
      </c>
      <c r="AF140" s="103">
        <v>18.670000000000002</v>
      </c>
      <c r="AG140" s="103">
        <v>18.93</v>
      </c>
      <c r="AH140" s="103"/>
      <c r="AI140" s="107">
        <f t="shared" si="128"/>
        <v>18.8</v>
      </c>
      <c r="AJ140" s="103">
        <f t="shared" si="118"/>
        <v>12537.207022570268</v>
      </c>
      <c r="AK140" s="108">
        <f t="shared" si="108"/>
        <v>2507.4414045140538</v>
      </c>
      <c r="AL140" s="103">
        <v>30.48</v>
      </c>
      <c r="AM140" s="103">
        <v>30.55</v>
      </c>
      <c r="AN140" s="103"/>
      <c r="AO140" s="107">
        <f t="shared" si="129"/>
        <v>30.515000000000001</v>
      </c>
      <c r="AP140" s="108">
        <f t="shared" si="120"/>
        <v>5.7262926944737332E-5</v>
      </c>
      <c r="AQ140" s="103">
        <f t="shared" si="121"/>
        <v>3391.781194036233</v>
      </c>
      <c r="AR140" s="108">
        <f t="shared" si="109"/>
        <v>678.35623880724665</v>
      </c>
      <c r="AS140" s="108">
        <f t="shared" si="122"/>
        <v>0.27053722475270092</v>
      </c>
      <c r="AT140" s="103"/>
      <c r="AU140" s="103"/>
      <c r="AV140" s="103"/>
      <c r="AW140" s="109"/>
      <c r="AX140" s="109"/>
    </row>
    <row r="141" spans="2:50" s="102" customFormat="1" x14ac:dyDescent="0.15">
      <c r="B141" s="103" t="s">
        <v>54</v>
      </c>
      <c r="C141" s="103" t="s">
        <v>140</v>
      </c>
      <c r="D141" s="103" t="s">
        <v>169</v>
      </c>
      <c r="E141" s="103" t="s">
        <v>57</v>
      </c>
      <c r="F141" s="127" t="s">
        <v>58</v>
      </c>
      <c r="G141" s="103" t="s">
        <v>59</v>
      </c>
      <c r="H141" s="103">
        <v>-20</v>
      </c>
      <c r="I141" s="103" t="s">
        <v>170</v>
      </c>
      <c r="J141" s="103" t="s">
        <v>61</v>
      </c>
      <c r="K141" s="103" t="s">
        <v>62</v>
      </c>
      <c r="L141" s="103" t="s">
        <v>123</v>
      </c>
      <c r="M141" s="103" t="s">
        <v>174</v>
      </c>
      <c r="N141" s="103" t="s">
        <v>91</v>
      </c>
      <c r="O141" s="103" t="s">
        <v>92</v>
      </c>
      <c r="P141" s="103" t="s">
        <v>65</v>
      </c>
      <c r="Q141" s="103">
        <v>7.31</v>
      </c>
      <c r="R141" s="103">
        <v>3.74</v>
      </c>
      <c r="S141" s="103"/>
      <c r="T141" s="103"/>
      <c r="U141" s="103"/>
      <c r="V141" s="103" t="s">
        <v>175</v>
      </c>
      <c r="W141" s="103" t="s">
        <v>66</v>
      </c>
      <c r="X141" s="126" t="s">
        <v>175</v>
      </c>
      <c r="Y141" s="103">
        <v>18.670000000000002</v>
      </c>
      <c r="Z141" s="103">
        <v>18.55</v>
      </c>
      <c r="AA141" s="103"/>
      <c r="AB141" s="107">
        <f t="shared" si="126"/>
        <v>18.61</v>
      </c>
      <c r="AC141" s="107">
        <f t="shared" si="116"/>
        <v>5.5819872224635017</v>
      </c>
      <c r="AD141" s="108">
        <f t="shared" si="117"/>
        <v>653762388.65610719</v>
      </c>
      <c r="AE141" s="107">
        <f t="shared" ref="AE141:AE144" si="130">AD141*100/AD$144</f>
        <v>30.685123186343581</v>
      </c>
      <c r="AF141" s="103">
        <v>19.25</v>
      </c>
      <c r="AG141" s="103">
        <v>18.84</v>
      </c>
      <c r="AH141" s="103"/>
      <c r="AI141" s="107">
        <f t="shared" si="128"/>
        <v>19.045000000000002</v>
      </c>
      <c r="AJ141" s="103">
        <f t="shared" si="118"/>
        <v>10493.728194229652</v>
      </c>
      <c r="AK141" s="108">
        <f t="shared" si="108"/>
        <v>2098.7456388459304</v>
      </c>
      <c r="AL141" s="103">
        <v>31.09</v>
      </c>
      <c r="AM141" s="103">
        <v>31.11</v>
      </c>
      <c r="AN141" s="103"/>
      <c r="AO141" s="107">
        <f t="shared" si="129"/>
        <v>31.1</v>
      </c>
      <c r="AP141" s="108">
        <f t="shared" si="120"/>
        <v>3.8890447433373855E-5</v>
      </c>
      <c r="AQ141" s="103">
        <f t="shared" si="121"/>
        <v>2303.5477798658867</v>
      </c>
      <c r="AR141" s="108">
        <f t="shared" si="109"/>
        <v>460.70955597317732</v>
      </c>
      <c r="AS141" s="108">
        <f t="shared" si="122"/>
        <v>0.21951662338010372</v>
      </c>
      <c r="AT141" s="103"/>
      <c r="AU141" s="103"/>
      <c r="AV141" s="103"/>
      <c r="AW141" s="109"/>
      <c r="AX141" s="109"/>
    </row>
    <row r="142" spans="2:50" s="51" customFormat="1" x14ac:dyDescent="0.15">
      <c r="B142" s="45" t="s">
        <v>54</v>
      </c>
      <c r="C142" s="45" t="s">
        <v>55</v>
      </c>
      <c r="D142" s="45" t="s">
        <v>161</v>
      </c>
      <c r="E142" s="45" t="s">
        <v>57</v>
      </c>
      <c r="F142" s="47" t="s">
        <v>58</v>
      </c>
      <c r="G142" s="45" t="s">
        <v>59</v>
      </c>
      <c r="H142" s="45">
        <v>-20</v>
      </c>
      <c r="I142" s="45" t="s">
        <v>170</v>
      </c>
      <c r="J142" s="45" t="s">
        <v>61</v>
      </c>
      <c r="K142" s="45" t="s">
        <v>62</v>
      </c>
      <c r="L142" s="45" t="s">
        <v>123</v>
      </c>
      <c r="M142" s="45" t="s">
        <v>174</v>
      </c>
      <c r="N142" s="45" t="s">
        <v>91</v>
      </c>
      <c r="O142" s="45" t="s">
        <v>92</v>
      </c>
      <c r="P142" s="45" t="s">
        <v>65</v>
      </c>
      <c r="Q142" s="45">
        <v>7.46</v>
      </c>
      <c r="R142" s="45">
        <v>4.26</v>
      </c>
      <c r="S142" s="45"/>
      <c r="T142" s="45"/>
      <c r="U142" s="45"/>
      <c r="V142" s="45" t="s">
        <v>175</v>
      </c>
      <c r="W142" s="45" t="s">
        <v>66</v>
      </c>
      <c r="X142" s="48" t="s">
        <v>175</v>
      </c>
      <c r="Y142" s="45">
        <v>19.22</v>
      </c>
      <c r="Z142" s="45">
        <v>19.25</v>
      </c>
      <c r="AA142" s="45"/>
      <c r="AB142" s="49">
        <f t="shared" si="126"/>
        <v>19.234999999999999</v>
      </c>
      <c r="AC142" s="49">
        <f t="shared" si="116"/>
        <v>3.673720171203922</v>
      </c>
      <c r="AD142" s="50">
        <f t="shared" si="117"/>
        <v>430266136.1737116</v>
      </c>
      <c r="AE142" s="49">
        <f t="shared" si="130"/>
        <v>20.195058052425463</v>
      </c>
      <c r="AF142" s="45">
        <v>20.04</v>
      </c>
      <c r="AG142" s="45">
        <v>19.510000000000002</v>
      </c>
      <c r="AH142" s="45"/>
      <c r="AI142" s="49">
        <f t="shared" si="128"/>
        <v>19.774999999999999</v>
      </c>
      <c r="AJ142" s="45">
        <f t="shared" si="118"/>
        <v>6175.8083618401661</v>
      </c>
      <c r="AK142" s="50">
        <f t="shared" si="108"/>
        <v>1235.1616723680331</v>
      </c>
      <c r="AL142" s="45">
        <v>31.36</v>
      </c>
      <c r="AM142" s="45">
        <v>31.15</v>
      </c>
      <c r="AN142" s="45"/>
      <c r="AO142" s="49">
        <f t="shared" si="129"/>
        <v>31.254999999999999</v>
      </c>
      <c r="AP142" s="50">
        <f t="shared" si="120"/>
        <v>3.510120378276991E-5</v>
      </c>
      <c r="AQ142" s="45">
        <f t="shared" si="121"/>
        <v>2079.1043914560869</v>
      </c>
      <c r="AR142" s="50">
        <f t="shared" si="109"/>
        <v>415.82087829121735</v>
      </c>
      <c r="AS142" s="50">
        <f t="shared" si="122"/>
        <v>0.33665299660247061</v>
      </c>
      <c r="AT142" s="45"/>
      <c r="AU142" s="45"/>
      <c r="AV142" s="45"/>
      <c r="AW142" s="46"/>
      <c r="AX142" s="46"/>
    </row>
    <row r="143" spans="2:50" s="51" customFormat="1" x14ac:dyDescent="0.15">
      <c r="B143" s="45" t="s">
        <v>54</v>
      </c>
      <c r="C143" s="45" t="s">
        <v>55</v>
      </c>
      <c r="D143" s="45" t="s">
        <v>169</v>
      </c>
      <c r="E143" s="45" t="s">
        <v>57</v>
      </c>
      <c r="F143" s="47" t="s">
        <v>58</v>
      </c>
      <c r="G143" s="45" t="s">
        <v>59</v>
      </c>
      <c r="H143" s="45">
        <v>-20</v>
      </c>
      <c r="I143" s="45" t="s">
        <v>170</v>
      </c>
      <c r="J143" s="45" t="s">
        <v>61</v>
      </c>
      <c r="K143" s="45" t="s">
        <v>62</v>
      </c>
      <c r="L143" s="45" t="s">
        <v>123</v>
      </c>
      <c r="M143" s="45" t="s">
        <v>174</v>
      </c>
      <c r="N143" s="45" t="s">
        <v>91</v>
      </c>
      <c r="O143" s="45" t="s">
        <v>92</v>
      </c>
      <c r="P143" s="45" t="s">
        <v>65</v>
      </c>
      <c r="Q143" s="45">
        <v>6.79</v>
      </c>
      <c r="R143" s="45">
        <v>4.4800000000000004</v>
      </c>
      <c r="S143" s="45"/>
      <c r="T143" s="45"/>
      <c r="U143" s="45"/>
      <c r="V143" s="45" t="s">
        <v>175</v>
      </c>
      <c r="W143" s="45" t="s">
        <v>66</v>
      </c>
      <c r="X143" s="48" t="s">
        <v>175</v>
      </c>
      <c r="Y143" s="49">
        <v>23.5</v>
      </c>
      <c r="Z143" s="45">
        <v>23.26</v>
      </c>
      <c r="AA143" s="45"/>
      <c r="AB143" s="49">
        <f t="shared" si="126"/>
        <v>23.380000000000003</v>
      </c>
      <c r="AC143" s="49">
        <f t="shared" si="116"/>
        <v>0.22918488610032423</v>
      </c>
      <c r="AD143" s="50">
        <f t="shared" si="117"/>
        <v>26842135.714294985</v>
      </c>
      <c r="AE143" s="49">
        <f t="shared" si="130"/>
        <v>1.2598678897249223</v>
      </c>
      <c r="AF143" s="45">
        <v>21.31</v>
      </c>
      <c r="AG143" s="45">
        <v>21.46</v>
      </c>
      <c r="AH143" s="45"/>
      <c r="AI143" s="49">
        <f t="shared" si="128"/>
        <v>21.384999999999998</v>
      </c>
      <c r="AJ143" s="45">
        <f t="shared" si="118"/>
        <v>1918.2846181265438</v>
      </c>
      <c r="AK143" s="50">
        <f t="shared" si="108"/>
        <v>383.65692362530876</v>
      </c>
      <c r="AL143" s="45">
        <v>32.26</v>
      </c>
      <c r="AM143" s="45">
        <v>32.11</v>
      </c>
      <c r="AN143" s="45"/>
      <c r="AO143" s="49">
        <f t="shared" si="129"/>
        <v>32.185000000000002</v>
      </c>
      <c r="AP143" s="50">
        <f t="shared" si="120"/>
        <v>1.8975640176599252E-5</v>
      </c>
      <c r="AQ143" s="45">
        <f t="shared" si="121"/>
        <v>1123.9596529513894</v>
      </c>
      <c r="AR143" s="50">
        <f t="shared" si="109"/>
        <v>224.7919305902779</v>
      </c>
      <c r="AS143" s="50">
        <f t="shared" si="122"/>
        <v>0.58591912916920708</v>
      </c>
      <c r="AT143" s="45"/>
      <c r="AU143" s="45"/>
      <c r="AV143" s="45"/>
      <c r="AW143" s="46"/>
      <c r="AX143" s="46"/>
    </row>
    <row r="144" spans="2:50" x14ac:dyDescent="0.15">
      <c r="B144" s="8"/>
      <c r="C144" s="8"/>
      <c r="D144" s="8"/>
      <c r="E144" s="8" t="s">
        <v>173</v>
      </c>
      <c r="F144" s="8"/>
      <c r="G144" s="8" t="s">
        <v>106</v>
      </c>
      <c r="H144" s="8">
        <v>-80</v>
      </c>
      <c r="I144" s="8"/>
      <c r="J144" s="8"/>
      <c r="K144" s="8"/>
      <c r="L144" s="8"/>
      <c r="M144" s="8"/>
      <c r="N144" s="8" t="s">
        <v>107</v>
      </c>
      <c r="O144" s="8" t="s">
        <v>108</v>
      </c>
      <c r="P144" s="8" t="s">
        <v>108</v>
      </c>
      <c r="Q144" s="8" t="s">
        <v>108</v>
      </c>
      <c r="R144" s="8" t="s">
        <v>108</v>
      </c>
      <c r="S144" s="8"/>
      <c r="T144" s="8"/>
      <c r="U144" s="8"/>
      <c r="V144" s="8" t="s">
        <v>175</v>
      </c>
      <c r="W144" s="8" t="s">
        <v>66</v>
      </c>
      <c r="X144" s="11" t="s">
        <v>175</v>
      </c>
      <c r="Y144" s="8">
        <v>16.91</v>
      </c>
      <c r="Z144" s="8">
        <v>16.78</v>
      </c>
      <c r="AA144" s="8"/>
      <c r="AB144" s="18">
        <f t="shared" si="126"/>
        <v>16.844999999999999</v>
      </c>
      <c r="AC144" s="18">
        <f t="shared" si="116"/>
        <v>18.19118400980631</v>
      </c>
      <c r="AD144" s="19">
        <f t="shared" si="117"/>
        <v>2130551618.4046614</v>
      </c>
      <c r="AE144" s="18">
        <f t="shared" si="130"/>
        <v>100</v>
      </c>
      <c r="AF144" s="8">
        <v>26.75</v>
      </c>
      <c r="AG144" s="8">
        <v>26.82</v>
      </c>
      <c r="AH144" s="8"/>
      <c r="AI144" s="18">
        <f t="shared" si="128"/>
        <v>26.785</v>
      </c>
      <c r="AJ144" s="8">
        <f t="shared" si="118"/>
        <v>38.001210336019248</v>
      </c>
      <c r="AK144" s="50">
        <f t="shared" si="108"/>
        <v>7.6002420672038493</v>
      </c>
      <c r="AL144" s="18">
        <v>31.9</v>
      </c>
      <c r="AM144" s="8">
        <v>32.32</v>
      </c>
      <c r="AN144" s="8"/>
      <c r="AO144" s="18">
        <f t="shared" si="129"/>
        <v>32.11</v>
      </c>
      <c r="AP144" s="19">
        <f t="shared" si="120"/>
        <v>1.994062753521889E-5</v>
      </c>
      <c r="AQ144" s="8">
        <f t="shared" si="121"/>
        <v>1181.1175062097022</v>
      </c>
      <c r="AR144" s="50">
        <f t="shared" si="109"/>
        <v>236.22350124194045</v>
      </c>
      <c r="AS144" s="19">
        <f t="shared" si="122"/>
        <v>31.081049676204294</v>
      </c>
      <c r="AT144" s="8"/>
      <c r="AU144" s="8"/>
      <c r="AV144" s="8"/>
      <c r="AW144" s="9"/>
      <c r="AX144" s="9"/>
    </row>
    <row r="145" spans="2:50" x14ac:dyDescent="0.15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11"/>
      <c r="Y145" s="8"/>
      <c r="Z145" s="8"/>
      <c r="AA145" s="8"/>
      <c r="AB145" s="8"/>
      <c r="AC145" s="18"/>
      <c r="AD145" s="19"/>
      <c r="AE145" s="8"/>
      <c r="AF145" s="8"/>
      <c r="AG145" s="8"/>
      <c r="AH145" s="8"/>
      <c r="AI145" s="8"/>
      <c r="AJ145" s="8"/>
      <c r="AK145" s="50">
        <f t="shared" si="108"/>
        <v>0</v>
      </c>
      <c r="AL145" s="8"/>
      <c r="AM145" s="8"/>
      <c r="AN145" s="8"/>
      <c r="AO145" s="8"/>
      <c r="AP145" s="19"/>
      <c r="AQ145" s="8"/>
      <c r="AR145" s="50">
        <f t="shared" si="109"/>
        <v>0</v>
      </c>
      <c r="AS145" s="19"/>
      <c r="AT145" s="8"/>
      <c r="AU145" s="8"/>
      <c r="AV145" s="8"/>
      <c r="AW145" s="9"/>
      <c r="AX145" s="9"/>
    </row>
    <row r="146" spans="2:50" s="51" customFormat="1" x14ac:dyDescent="0.15">
      <c r="B146" s="45" t="s">
        <v>54</v>
      </c>
      <c r="C146" s="45" t="s">
        <v>55</v>
      </c>
      <c r="D146" s="45" t="s">
        <v>170</v>
      </c>
      <c r="E146" s="45" t="s">
        <v>57</v>
      </c>
      <c r="F146" s="47" t="s">
        <v>58</v>
      </c>
      <c r="G146" s="45" t="s">
        <v>59</v>
      </c>
      <c r="H146" s="45">
        <v>-20</v>
      </c>
      <c r="I146" s="45" t="s">
        <v>176</v>
      </c>
      <c r="J146" s="45" t="s">
        <v>61</v>
      </c>
      <c r="K146" s="45" t="s">
        <v>62</v>
      </c>
      <c r="L146" s="45" t="s">
        <v>123</v>
      </c>
      <c r="M146" s="45" t="s">
        <v>176</v>
      </c>
      <c r="N146" s="45" t="s">
        <v>91</v>
      </c>
      <c r="O146" s="45" t="s">
        <v>92</v>
      </c>
      <c r="P146" s="45" t="s">
        <v>65</v>
      </c>
      <c r="Q146" s="49">
        <v>7</v>
      </c>
      <c r="R146" s="45">
        <v>4.4800000000000004</v>
      </c>
      <c r="S146" s="45"/>
      <c r="T146" s="45"/>
      <c r="U146" s="45"/>
      <c r="V146" s="45" t="s">
        <v>175</v>
      </c>
      <c r="W146" s="45" t="s">
        <v>66</v>
      </c>
      <c r="X146" s="48" t="s">
        <v>175</v>
      </c>
      <c r="Y146" s="45">
        <v>20.16</v>
      </c>
      <c r="Z146" s="45">
        <v>20.03</v>
      </c>
      <c r="AA146" s="45"/>
      <c r="AB146" s="49">
        <f t="shared" si="126"/>
        <v>20.094999999999999</v>
      </c>
      <c r="AC146" s="49">
        <f t="shared" si="116"/>
        <v>2.0659061473445002</v>
      </c>
      <c r="AD146" s="50">
        <f t="shared" si="117"/>
        <v>241958944.69124383</v>
      </c>
      <c r="AE146" s="49">
        <f>AD146*100/AD$150</f>
        <v>10.909581111492347</v>
      </c>
      <c r="AF146" s="45">
        <v>19.829999999999998</v>
      </c>
      <c r="AG146" s="45">
        <v>20.47</v>
      </c>
      <c r="AH146" s="45"/>
      <c r="AI146" s="49">
        <f t="shared" si="128"/>
        <v>20.149999999999999</v>
      </c>
      <c r="AJ146" s="45">
        <f t="shared" si="118"/>
        <v>4703.5080694834223</v>
      </c>
      <c r="AK146" s="50">
        <f t="shared" si="108"/>
        <v>940.70161389668442</v>
      </c>
      <c r="AL146" s="45">
        <v>31.44</v>
      </c>
      <c r="AM146" s="45">
        <v>31.69</v>
      </c>
      <c r="AN146" s="45"/>
      <c r="AO146" s="49">
        <f t="shared" si="129"/>
        <v>31.565000000000001</v>
      </c>
      <c r="AP146" s="50">
        <f t="shared" si="120"/>
        <v>2.8594344990284266E-5</v>
      </c>
      <c r="AQ146" s="45">
        <f t="shared" si="121"/>
        <v>1693.6920057793814</v>
      </c>
      <c r="AR146" s="50">
        <f t="shared" si="109"/>
        <v>338.73840115587626</v>
      </c>
      <c r="AS146" s="50">
        <f t="shared" si="122"/>
        <v>0.36009122994135662</v>
      </c>
      <c r="AT146" s="45"/>
      <c r="AU146" s="45"/>
      <c r="AV146" s="45"/>
      <c r="AW146" s="46"/>
      <c r="AX146" s="46"/>
    </row>
    <row r="147" spans="2:50" s="51" customFormat="1" x14ac:dyDescent="0.15">
      <c r="B147" s="45" t="s">
        <v>54</v>
      </c>
      <c r="C147" s="45" t="s">
        <v>55</v>
      </c>
      <c r="D147" s="45" t="s">
        <v>174</v>
      </c>
      <c r="E147" s="45" t="s">
        <v>57</v>
      </c>
      <c r="F147" s="47" t="s">
        <v>58</v>
      </c>
      <c r="G147" s="45" t="s">
        <v>59</v>
      </c>
      <c r="H147" s="45">
        <v>-20</v>
      </c>
      <c r="I147" s="45" t="s">
        <v>176</v>
      </c>
      <c r="J147" s="45" t="s">
        <v>61</v>
      </c>
      <c r="K147" s="45" t="s">
        <v>62</v>
      </c>
      <c r="L147" s="45" t="s">
        <v>123</v>
      </c>
      <c r="M147" s="45" t="s">
        <v>176</v>
      </c>
      <c r="N147" s="45" t="s">
        <v>91</v>
      </c>
      <c r="O147" s="45" t="s">
        <v>92</v>
      </c>
      <c r="P147" s="45" t="s">
        <v>65</v>
      </c>
      <c r="Q147" s="49">
        <v>7</v>
      </c>
      <c r="R147" s="45">
        <v>4.2699999999999996</v>
      </c>
      <c r="S147" s="45"/>
      <c r="T147" s="45"/>
      <c r="U147" s="45"/>
      <c r="V147" s="45" t="s">
        <v>175</v>
      </c>
      <c r="W147" s="45" t="s">
        <v>66</v>
      </c>
      <c r="X147" s="48" t="s">
        <v>175</v>
      </c>
      <c r="Y147" s="45">
        <v>19.260000000000002</v>
      </c>
      <c r="Z147" s="45">
        <v>19.22</v>
      </c>
      <c r="AA147" s="45"/>
      <c r="AB147" s="49">
        <f t="shared" si="126"/>
        <v>19.240000000000002</v>
      </c>
      <c r="AC147" s="49">
        <f t="shared" si="116"/>
        <v>3.6614458085311248</v>
      </c>
      <c r="AD147" s="50">
        <f t="shared" si="117"/>
        <v>428828562.7181676</v>
      </c>
      <c r="AE147" s="49">
        <f t="shared" ref="AE147:AE150" si="131">AD147*100/AD$150</f>
        <v>19.335263649246009</v>
      </c>
      <c r="AF147" s="45">
        <v>19.68</v>
      </c>
      <c r="AG147" s="45">
        <v>19.28</v>
      </c>
      <c r="AH147" s="45"/>
      <c r="AI147" s="49">
        <f t="shared" si="128"/>
        <v>19.48</v>
      </c>
      <c r="AJ147" s="45">
        <f t="shared" si="118"/>
        <v>7651.2851288664251</v>
      </c>
      <c r="AK147" s="50">
        <f t="shared" si="108"/>
        <v>1530.257025773285</v>
      </c>
      <c r="AL147" s="49">
        <v>30.6</v>
      </c>
      <c r="AM147" s="45">
        <v>30.13</v>
      </c>
      <c r="AN147" s="45"/>
      <c r="AO147" s="49">
        <f t="shared" si="129"/>
        <v>30.365000000000002</v>
      </c>
      <c r="AP147" s="50">
        <f t="shared" si="120"/>
        <v>6.3235115023402302E-5</v>
      </c>
      <c r="AQ147" s="45">
        <f t="shared" si="121"/>
        <v>3745.5241180053836</v>
      </c>
      <c r="AR147" s="50">
        <f t="shared" si="109"/>
        <v>749.10482360107676</v>
      </c>
      <c r="AS147" s="50">
        <f t="shared" si="122"/>
        <v>0.4895287595379812</v>
      </c>
      <c r="AT147" s="45"/>
      <c r="AU147" s="45"/>
      <c r="AV147" s="45"/>
      <c r="AW147" s="46"/>
      <c r="AX147" s="46"/>
    </row>
    <row r="148" spans="2:50" s="102" customFormat="1" x14ac:dyDescent="0.15">
      <c r="B148" s="103" t="s">
        <v>54</v>
      </c>
      <c r="C148" s="103" t="s">
        <v>140</v>
      </c>
      <c r="D148" s="103" t="s">
        <v>170</v>
      </c>
      <c r="E148" s="103" t="s">
        <v>57</v>
      </c>
      <c r="F148" s="127" t="s">
        <v>58</v>
      </c>
      <c r="G148" s="103" t="s">
        <v>59</v>
      </c>
      <c r="H148" s="103">
        <v>-20</v>
      </c>
      <c r="I148" s="103" t="s">
        <v>176</v>
      </c>
      <c r="J148" s="103" t="s">
        <v>61</v>
      </c>
      <c r="K148" s="103" t="s">
        <v>62</v>
      </c>
      <c r="L148" s="103" t="s">
        <v>123</v>
      </c>
      <c r="M148" s="103" t="s">
        <v>176</v>
      </c>
      <c r="N148" s="103" t="s">
        <v>91</v>
      </c>
      <c r="O148" s="103" t="s">
        <v>92</v>
      </c>
      <c r="P148" s="103" t="s">
        <v>65</v>
      </c>
      <c r="Q148" s="107">
        <v>7</v>
      </c>
      <c r="R148" s="103">
        <v>3.85</v>
      </c>
      <c r="S148" s="103"/>
      <c r="T148" s="103"/>
      <c r="U148" s="103"/>
      <c r="V148" s="103" t="s">
        <v>175</v>
      </c>
      <c r="W148" s="103" t="s">
        <v>66</v>
      </c>
      <c r="X148" s="126" t="s">
        <v>175</v>
      </c>
      <c r="Y148" s="103" t="s">
        <v>95</v>
      </c>
      <c r="Z148" s="179">
        <v>18.84</v>
      </c>
      <c r="AA148" s="103"/>
      <c r="AB148" s="107">
        <f t="shared" si="126"/>
        <v>18.84</v>
      </c>
      <c r="AC148" s="107">
        <f t="shared" si="116"/>
        <v>4.7855249016260393</v>
      </c>
      <c r="AD148" s="108">
        <f t="shared" si="117"/>
        <v>560480715.19582891</v>
      </c>
      <c r="AE148" s="107">
        <f t="shared" si="131"/>
        <v>25.271270015079615</v>
      </c>
      <c r="AF148" s="103">
        <v>19.22</v>
      </c>
      <c r="AG148" s="103">
        <v>19.05</v>
      </c>
      <c r="AH148" s="103"/>
      <c r="AI148" s="107">
        <f t="shared" si="128"/>
        <v>19.134999999999998</v>
      </c>
      <c r="AJ148" s="103">
        <f t="shared" si="118"/>
        <v>9829.7970379702401</v>
      </c>
      <c r="AK148" s="108">
        <f t="shared" si="108"/>
        <v>1965.9594075940481</v>
      </c>
      <c r="AL148" s="103">
        <v>34.26</v>
      </c>
      <c r="AM148" s="103">
        <v>30.79</v>
      </c>
      <c r="AN148" s="103"/>
      <c r="AO148" s="107">
        <f t="shared" si="129"/>
        <v>32.524999999999999</v>
      </c>
      <c r="AP148" s="108">
        <f t="shared" si="120"/>
        <v>1.5154360854873317E-5</v>
      </c>
      <c r="AQ148" s="103">
        <f t="shared" si="121"/>
        <v>897.61873689766117</v>
      </c>
      <c r="AR148" s="108">
        <f t="shared" si="109"/>
        <v>179.52374737953224</v>
      </c>
      <c r="AS148" s="108">
        <f t="shared" si="122"/>
        <v>9.1316100773023781E-2</v>
      </c>
      <c r="AT148" s="103"/>
      <c r="AU148" s="103"/>
      <c r="AV148" s="103"/>
      <c r="AW148" s="109"/>
      <c r="AX148" s="109"/>
    </row>
    <row r="149" spans="2:50" s="102" customFormat="1" x14ac:dyDescent="0.15">
      <c r="B149" s="103" t="s">
        <v>54</v>
      </c>
      <c r="C149" s="103" t="s">
        <v>140</v>
      </c>
      <c r="D149" s="103" t="s">
        <v>170</v>
      </c>
      <c r="E149" s="103" t="s">
        <v>57</v>
      </c>
      <c r="F149" s="127" t="s">
        <v>58</v>
      </c>
      <c r="G149" s="103" t="s">
        <v>59</v>
      </c>
      <c r="H149" s="103">
        <v>-20</v>
      </c>
      <c r="I149" s="103" t="s">
        <v>176</v>
      </c>
      <c r="J149" s="103" t="s">
        <v>61</v>
      </c>
      <c r="K149" s="103" t="s">
        <v>62</v>
      </c>
      <c r="L149" s="103" t="s">
        <v>123</v>
      </c>
      <c r="M149" s="103" t="s">
        <v>176</v>
      </c>
      <c r="N149" s="103" t="s">
        <v>91</v>
      </c>
      <c r="O149" s="103" t="s">
        <v>92</v>
      </c>
      <c r="P149" s="103" t="s">
        <v>65</v>
      </c>
      <c r="Q149" s="107">
        <v>7</v>
      </c>
      <c r="R149" s="103">
        <v>3.83</v>
      </c>
      <c r="S149" s="103"/>
      <c r="T149" s="103"/>
      <c r="U149" s="103"/>
      <c r="V149" s="103" t="s">
        <v>175</v>
      </c>
      <c r="W149" s="103" t="s">
        <v>66</v>
      </c>
      <c r="X149" s="126" t="s">
        <v>175</v>
      </c>
      <c r="Y149" s="107">
        <v>18.600000000000001</v>
      </c>
      <c r="Z149" s="103">
        <v>18.46</v>
      </c>
      <c r="AA149" s="103"/>
      <c r="AB149" s="107">
        <f t="shared" si="126"/>
        <v>18.53</v>
      </c>
      <c r="AC149" s="107">
        <f t="shared" si="116"/>
        <v>5.889036308832571</v>
      </c>
      <c r="AD149" s="108">
        <f t="shared" si="117"/>
        <v>689723980.13583958</v>
      </c>
      <c r="AE149" s="107">
        <f t="shared" si="131"/>
        <v>31.098663103507835</v>
      </c>
      <c r="AF149" s="103">
        <v>18.11</v>
      </c>
      <c r="AG149" s="103">
        <v>18.260000000000002</v>
      </c>
      <c r="AH149" s="103"/>
      <c r="AI149" s="107">
        <f t="shared" si="128"/>
        <v>18.185000000000002</v>
      </c>
      <c r="AJ149" s="103">
        <f t="shared" si="118"/>
        <v>19595.96893704301</v>
      </c>
      <c r="AK149" s="108">
        <f t="shared" si="108"/>
        <v>3919.193787408602</v>
      </c>
      <c r="AL149" s="103">
        <v>32.17</v>
      </c>
      <c r="AM149" s="103">
        <v>31.54</v>
      </c>
      <c r="AN149" s="103"/>
      <c r="AO149" s="107">
        <f t="shared" si="129"/>
        <v>31.855</v>
      </c>
      <c r="AP149" s="108">
        <f t="shared" si="120"/>
        <v>2.3603854591990748E-5</v>
      </c>
      <c r="AQ149" s="103">
        <f t="shared" si="121"/>
        <v>1398.0967160330902</v>
      </c>
      <c r="AR149" s="108">
        <f t="shared" si="109"/>
        <v>279.61934320661805</v>
      </c>
      <c r="AS149" s="108">
        <f t="shared" si="122"/>
        <v>7.1346138612733492E-2</v>
      </c>
      <c r="AT149" s="103"/>
      <c r="AU149" s="103"/>
      <c r="AV149" s="103"/>
      <c r="AW149" s="109"/>
      <c r="AX149" s="109"/>
    </row>
    <row r="150" spans="2:50" x14ac:dyDescent="0.15">
      <c r="B150" s="8"/>
      <c r="C150" s="8"/>
      <c r="D150" s="8"/>
      <c r="E150" s="8" t="s">
        <v>105</v>
      </c>
      <c r="F150" s="8" t="s">
        <v>108</v>
      </c>
      <c r="G150" s="8" t="s">
        <v>106</v>
      </c>
      <c r="H150" s="8">
        <v>-80</v>
      </c>
      <c r="I150" s="8"/>
      <c r="J150" s="8"/>
      <c r="K150" s="8"/>
      <c r="L150" s="8"/>
      <c r="M150" s="8"/>
      <c r="N150" s="8" t="s">
        <v>91</v>
      </c>
      <c r="O150" s="8"/>
      <c r="P150" s="8" t="s">
        <v>108</v>
      </c>
      <c r="Q150" s="8" t="s">
        <v>108</v>
      </c>
      <c r="R150" s="8" t="s">
        <v>108</v>
      </c>
      <c r="S150" s="8"/>
      <c r="T150" s="8"/>
      <c r="U150" s="8"/>
      <c r="V150" s="8" t="s">
        <v>175</v>
      </c>
      <c r="W150" s="8" t="s">
        <v>66</v>
      </c>
      <c r="X150" s="11" t="s">
        <v>175</v>
      </c>
      <c r="Y150" s="8">
        <v>16.93</v>
      </c>
      <c r="Z150" s="8">
        <v>16.64</v>
      </c>
      <c r="AA150" s="8"/>
      <c r="AB150" s="18">
        <f t="shared" si="126"/>
        <v>16.785</v>
      </c>
      <c r="AC150" s="18">
        <f t="shared" si="116"/>
        <v>18.936622096042147</v>
      </c>
      <c r="AD150" s="19">
        <f t="shared" si="117"/>
        <v>2217857333.0955849</v>
      </c>
      <c r="AE150" s="18">
        <f t="shared" si="131"/>
        <v>100</v>
      </c>
      <c r="AF150" s="8">
        <v>28.18</v>
      </c>
      <c r="AG150" s="8">
        <v>28.35</v>
      </c>
      <c r="AH150" s="8"/>
      <c r="AI150" s="18">
        <f t="shared" si="128"/>
        <v>28.265000000000001</v>
      </c>
      <c r="AJ150" s="8">
        <f t="shared" si="118"/>
        <v>12.97231822308871</v>
      </c>
      <c r="AK150" s="50">
        <f t="shared" si="108"/>
        <v>2.594463644617742</v>
      </c>
      <c r="AL150" s="8">
        <v>32.03</v>
      </c>
      <c r="AM150" s="8">
        <v>32.03</v>
      </c>
      <c r="AN150" s="8"/>
      <c r="AO150" s="18">
        <f t="shared" si="129"/>
        <v>32.03</v>
      </c>
      <c r="AP150" s="19">
        <f t="shared" si="120"/>
        <v>2.1024097673963495E-5</v>
      </c>
      <c r="AQ150" s="8">
        <f t="shared" si="121"/>
        <v>1245.293297371064</v>
      </c>
      <c r="AR150" s="50">
        <f t="shared" si="109"/>
        <v>249.05865947421279</v>
      </c>
      <c r="AS150" s="19">
        <f t="shared" si="122"/>
        <v>95.996203296542276</v>
      </c>
      <c r="AT150" s="8"/>
      <c r="AU150" s="8"/>
      <c r="AV150" s="8"/>
      <c r="AW150" s="9"/>
      <c r="AX150" s="9"/>
    </row>
    <row r="151" spans="2:50" s="51" customFormat="1" x14ac:dyDescent="0.15">
      <c r="B151" s="45" t="s">
        <v>177</v>
      </c>
      <c r="C151" s="45" t="s">
        <v>55</v>
      </c>
      <c r="D151" s="45" t="s">
        <v>172</v>
      </c>
      <c r="E151" s="45" t="s">
        <v>57</v>
      </c>
      <c r="F151" s="47" t="s">
        <v>58</v>
      </c>
      <c r="G151" s="45" t="s">
        <v>178</v>
      </c>
      <c r="H151" s="45">
        <v>-20</v>
      </c>
      <c r="I151" s="45" t="s">
        <v>161</v>
      </c>
      <c r="J151" s="45" t="s">
        <v>61</v>
      </c>
      <c r="K151" s="45" t="s">
        <v>62</v>
      </c>
      <c r="L151" s="45" t="s">
        <v>63</v>
      </c>
      <c r="M151" s="45" t="s">
        <v>170</v>
      </c>
      <c r="N151" s="45" t="s">
        <v>91</v>
      </c>
      <c r="O151" s="45" t="s">
        <v>92</v>
      </c>
      <c r="P151" s="45" t="s">
        <v>65</v>
      </c>
      <c r="Q151" s="129">
        <v>7.27</v>
      </c>
      <c r="R151" s="49">
        <v>4.3</v>
      </c>
      <c r="S151" s="45"/>
      <c r="T151" s="45"/>
      <c r="U151" s="45"/>
      <c r="V151" s="45" t="s">
        <v>175</v>
      </c>
      <c r="W151" s="45" t="s">
        <v>66</v>
      </c>
      <c r="X151" s="48" t="s">
        <v>175</v>
      </c>
      <c r="Y151" s="45">
        <v>18.29</v>
      </c>
      <c r="Z151" s="45">
        <v>18.13</v>
      </c>
      <c r="AA151" s="45"/>
      <c r="AB151" s="49">
        <f t="shared" si="126"/>
        <v>18.21</v>
      </c>
      <c r="AC151" s="49">
        <f t="shared" si="116"/>
        <v>7.2956805181759181</v>
      </c>
      <c r="AD151" s="50">
        <f t="shared" si="117"/>
        <v>854470161.31461608</v>
      </c>
      <c r="AE151" s="49">
        <f>AD151*100/AD$155</f>
        <v>52.593887452499615</v>
      </c>
      <c r="AF151" s="45">
        <v>18.37</v>
      </c>
      <c r="AG151" s="45">
        <v>18.21</v>
      </c>
      <c r="AH151" s="45"/>
      <c r="AI151" s="49">
        <f t="shared" si="128"/>
        <v>18.29</v>
      </c>
      <c r="AJ151" s="45">
        <f t="shared" si="118"/>
        <v>18157.272248221565</v>
      </c>
      <c r="AK151" s="50">
        <f t="shared" si="108"/>
        <v>3631.4544496443132</v>
      </c>
      <c r="AL151" s="49">
        <v>29.3</v>
      </c>
      <c r="AM151" s="45">
        <v>29.51</v>
      </c>
      <c r="AN151" s="45"/>
      <c r="AO151" s="49">
        <f t="shared" si="129"/>
        <v>29.405000000000001</v>
      </c>
      <c r="AP151" s="50">
        <f t="shared" si="120"/>
        <v>1.1931659222025245E-4</v>
      </c>
      <c r="AQ151" s="45">
        <f t="shared" si="121"/>
        <v>7067.3260208948359</v>
      </c>
      <c r="AR151" s="50">
        <f t="shared" si="109"/>
        <v>1413.4652041789673</v>
      </c>
      <c r="AS151" s="50">
        <f t="shared" si="122"/>
        <v>0.3892283997441881</v>
      </c>
      <c r="AT151" s="45"/>
      <c r="AU151" s="45"/>
      <c r="AV151" s="45"/>
      <c r="AW151" s="46"/>
      <c r="AX151" s="46"/>
    </row>
    <row r="152" spans="2:50" s="51" customFormat="1" x14ac:dyDescent="0.15">
      <c r="B152" s="45" t="s">
        <v>177</v>
      </c>
      <c r="C152" s="45" t="s">
        <v>55</v>
      </c>
      <c r="D152" s="45" t="s">
        <v>172</v>
      </c>
      <c r="E152" s="45" t="s">
        <v>57</v>
      </c>
      <c r="F152" s="47" t="s">
        <v>58</v>
      </c>
      <c r="G152" s="45" t="s">
        <v>146</v>
      </c>
      <c r="H152" s="45">
        <v>-20</v>
      </c>
      <c r="I152" s="45" t="s">
        <v>161</v>
      </c>
      <c r="J152" s="45" t="s">
        <v>61</v>
      </c>
      <c r="K152" s="45" t="s">
        <v>62</v>
      </c>
      <c r="L152" s="45" t="s">
        <v>63</v>
      </c>
      <c r="M152" s="45" t="s">
        <v>176</v>
      </c>
      <c r="N152" s="45" t="s">
        <v>91</v>
      </c>
      <c r="O152" s="45" t="s">
        <v>92</v>
      </c>
      <c r="P152" s="45" t="s">
        <v>65</v>
      </c>
      <c r="Q152" s="51">
        <v>7.27</v>
      </c>
      <c r="R152" s="49">
        <v>4.3</v>
      </c>
      <c r="S152" s="45"/>
      <c r="T152" s="45"/>
      <c r="U152" s="45"/>
      <c r="V152" s="45" t="s">
        <v>175</v>
      </c>
      <c r="W152" s="45" t="s">
        <v>66</v>
      </c>
      <c r="X152" s="48" t="s">
        <v>175</v>
      </c>
      <c r="Y152" s="45">
        <v>18.82</v>
      </c>
      <c r="Z152" s="45">
        <v>19.05</v>
      </c>
      <c r="AA152" s="45"/>
      <c r="AB152" s="49">
        <f t="shared" si="126"/>
        <v>18.935000000000002</v>
      </c>
      <c r="AC152" s="49">
        <f t="shared" si="116"/>
        <v>4.4906974875499248</v>
      </c>
      <c r="AD152" s="50">
        <f t="shared" si="117"/>
        <v>525950526.07392716</v>
      </c>
      <c r="AE152" s="49">
        <f>AD152*100/AD$156</f>
        <v>23.714353408829467</v>
      </c>
      <c r="AF152" s="45">
        <v>19.05</v>
      </c>
      <c r="AG152" s="45">
        <v>18.84</v>
      </c>
      <c r="AH152" s="45"/>
      <c r="AI152" s="49">
        <f t="shared" si="128"/>
        <v>18.945</v>
      </c>
      <c r="AJ152" s="45">
        <f t="shared" si="118"/>
        <v>11284.153598559706</v>
      </c>
      <c r="AK152" s="50">
        <f t="shared" si="108"/>
        <v>2256.8307197119411</v>
      </c>
      <c r="AL152" s="45">
        <v>29.77</v>
      </c>
      <c r="AM152" s="45">
        <v>30.32</v>
      </c>
      <c r="AN152" s="45"/>
      <c r="AO152" s="49">
        <f t="shared" si="129"/>
        <v>30.045000000000002</v>
      </c>
      <c r="AP152" s="50">
        <f t="shared" si="120"/>
        <v>7.8139834837748145E-5</v>
      </c>
      <c r="AQ152" s="45">
        <f t="shared" si="121"/>
        <v>4628.3561887003571</v>
      </c>
      <c r="AR152" s="50">
        <f t="shared" si="109"/>
        <v>925.67123774007143</v>
      </c>
      <c r="AS152" s="50">
        <f t="shared" si="122"/>
        <v>0.41016423148397363</v>
      </c>
      <c r="AT152" s="45"/>
      <c r="AU152" s="45"/>
      <c r="AV152" s="45"/>
      <c r="AW152" s="46"/>
      <c r="AX152" s="46"/>
    </row>
    <row r="153" spans="2:50" s="102" customFormat="1" x14ac:dyDescent="0.15">
      <c r="B153" s="103" t="s">
        <v>177</v>
      </c>
      <c r="C153" s="103" t="s">
        <v>140</v>
      </c>
      <c r="D153" s="103" t="s">
        <v>172</v>
      </c>
      <c r="E153" s="103" t="s">
        <v>57</v>
      </c>
      <c r="F153" s="103" t="s">
        <v>58</v>
      </c>
      <c r="G153" s="103" t="s">
        <v>178</v>
      </c>
      <c r="H153" s="103">
        <v>-20</v>
      </c>
      <c r="I153" s="103" t="s">
        <v>161</v>
      </c>
      <c r="J153" s="103" t="s">
        <v>61</v>
      </c>
      <c r="K153" s="103" t="s">
        <v>62</v>
      </c>
      <c r="L153" s="103" t="s">
        <v>63</v>
      </c>
      <c r="M153" s="103" t="s">
        <v>170</v>
      </c>
      <c r="N153" s="103" t="s">
        <v>91</v>
      </c>
      <c r="O153" s="103" t="s">
        <v>92</v>
      </c>
      <c r="P153" s="103" t="s">
        <v>65</v>
      </c>
      <c r="Q153" s="103">
        <v>7.24</v>
      </c>
      <c r="R153" s="103">
        <v>3.63</v>
      </c>
      <c r="S153" s="103"/>
      <c r="T153" s="103"/>
      <c r="U153" s="103"/>
      <c r="V153" s="103" t="s">
        <v>175</v>
      </c>
      <c r="W153" s="103" t="s">
        <v>66</v>
      </c>
      <c r="X153" s="126" t="s">
        <v>175</v>
      </c>
      <c r="Y153" s="103">
        <v>18.23</v>
      </c>
      <c r="Z153" s="103">
        <v>18.05</v>
      </c>
      <c r="AA153" s="103"/>
      <c r="AB153" s="107">
        <f t="shared" si="126"/>
        <v>18.14</v>
      </c>
      <c r="AC153" s="107">
        <f t="shared" si="116"/>
        <v>7.6456476109425173</v>
      </c>
      <c r="AD153" s="108">
        <f t="shared" si="117"/>
        <v>895458310.05085611</v>
      </c>
      <c r="AE153" s="107">
        <f>AD153*100/AD$155</f>
        <v>55.116767921729227</v>
      </c>
      <c r="AF153" s="103">
        <v>18.66</v>
      </c>
      <c r="AG153" s="103">
        <v>19.059999999999999</v>
      </c>
      <c r="AH153" s="103"/>
      <c r="AI153" s="107">
        <f t="shared" si="128"/>
        <v>18.86</v>
      </c>
      <c r="AJ153" s="103">
        <f t="shared" si="118"/>
        <v>12002.654098116029</v>
      </c>
      <c r="AK153" s="108">
        <f t="shared" si="108"/>
        <v>2400.5308196232058</v>
      </c>
      <c r="AL153" s="103">
        <v>29.91</v>
      </c>
      <c r="AM153" s="103">
        <v>29.47</v>
      </c>
      <c r="AN153" s="103"/>
      <c r="AO153" s="107">
        <f t="shared" si="129"/>
        <v>29.689999999999998</v>
      </c>
      <c r="AP153" s="108">
        <f t="shared" si="120"/>
        <v>9.8818846018840123E-5</v>
      </c>
      <c r="AQ153" s="103">
        <f t="shared" si="121"/>
        <v>5853.2094223288341</v>
      </c>
      <c r="AR153" s="108">
        <f t="shared" si="109"/>
        <v>1170.6418844657669</v>
      </c>
      <c r="AS153" s="108">
        <f t="shared" si="122"/>
        <v>0.48765959382663299</v>
      </c>
      <c r="AT153" s="103"/>
      <c r="AU153" s="103"/>
      <c r="AV153" s="103"/>
      <c r="AW153" s="109"/>
      <c r="AX153" s="109"/>
    </row>
    <row r="154" spans="2:50" s="102" customFormat="1" x14ac:dyDescent="0.15">
      <c r="B154" s="103" t="s">
        <v>177</v>
      </c>
      <c r="C154" s="103" t="s">
        <v>140</v>
      </c>
      <c r="D154" s="103" t="s">
        <v>172</v>
      </c>
      <c r="E154" s="103" t="s">
        <v>57</v>
      </c>
      <c r="F154" s="127" t="s">
        <v>58</v>
      </c>
      <c r="G154" s="103" t="s">
        <v>146</v>
      </c>
      <c r="H154" s="103">
        <v>-20</v>
      </c>
      <c r="I154" s="103" t="s">
        <v>161</v>
      </c>
      <c r="J154" s="103" t="s">
        <v>61</v>
      </c>
      <c r="K154" s="103" t="s">
        <v>62</v>
      </c>
      <c r="L154" s="103" t="s">
        <v>63</v>
      </c>
      <c r="M154" s="103" t="s">
        <v>176</v>
      </c>
      <c r="N154" s="103" t="s">
        <v>91</v>
      </c>
      <c r="O154" s="103" t="s">
        <v>92</v>
      </c>
      <c r="P154" s="103" t="s">
        <v>65</v>
      </c>
      <c r="Q154" s="103">
        <v>7.24</v>
      </c>
      <c r="R154" s="103">
        <v>3.63</v>
      </c>
      <c r="S154" s="103"/>
      <c r="T154" s="103"/>
      <c r="U154" s="103"/>
      <c r="V154" s="103" t="s">
        <v>175</v>
      </c>
      <c r="W154" s="103" t="s">
        <v>66</v>
      </c>
      <c r="X154" s="126" t="s">
        <v>175</v>
      </c>
      <c r="Y154" s="103">
        <v>19.57</v>
      </c>
      <c r="Z154" s="103">
        <v>19.84</v>
      </c>
      <c r="AA154" s="103"/>
      <c r="AB154" s="107">
        <f t="shared" si="126"/>
        <v>19.704999999999998</v>
      </c>
      <c r="AC154" s="107">
        <f t="shared" si="116"/>
        <v>2.6821349999465598</v>
      </c>
      <c r="AD154" s="108">
        <f t="shared" si="117"/>
        <v>314131672.89360923</v>
      </c>
      <c r="AE154" s="107">
        <f>AD154*100/AD$156</f>
        <v>14.163745711053402</v>
      </c>
      <c r="AF154" s="103">
        <v>19.850000000000001</v>
      </c>
      <c r="AG154" s="103">
        <v>19.760000000000002</v>
      </c>
      <c r="AH154" s="103"/>
      <c r="AI154" s="107">
        <f t="shared" si="128"/>
        <v>19.805</v>
      </c>
      <c r="AJ154" s="103">
        <f t="shared" si="118"/>
        <v>6042.7142513674662</v>
      </c>
      <c r="AK154" s="108">
        <f t="shared" si="108"/>
        <v>1208.5428502734933</v>
      </c>
      <c r="AL154" s="103">
        <v>30.55</v>
      </c>
      <c r="AM154" s="103">
        <v>30.88</v>
      </c>
      <c r="AN154" s="103"/>
      <c r="AO154" s="107">
        <f t="shared" si="129"/>
        <v>30.715</v>
      </c>
      <c r="AP154" s="108">
        <f t="shared" si="120"/>
        <v>5.016804563239604E-5</v>
      </c>
      <c r="AQ154" s="103">
        <f t="shared" si="121"/>
        <v>2971.5392278450536</v>
      </c>
      <c r="AR154" s="108">
        <f t="shared" si="109"/>
        <v>594.30784556901074</v>
      </c>
      <c r="AS154" s="108">
        <f t="shared" si="122"/>
        <v>0.49175570848358324</v>
      </c>
      <c r="AT154" s="103"/>
      <c r="AU154" s="103"/>
      <c r="AV154" s="103"/>
      <c r="AW154" s="109"/>
      <c r="AX154" s="109"/>
    </row>
    <row r="155" spans="2:50" x14ac:dyDescent="0.15">
      <c r="B155" s="8"/>
      <c r="C155" s="8"/>
      <c r="D155" s="8"/>
      <c r="E155" s="8" t="s">
        <v>179</v>
      </c>
      <c r="F155" s="8" t="s">
        <v>108</v>
      </c>
      <c r="G155" s="8" t="s">
        <v>106</v>
      </c>
      <c r="H155" s="8">
        <v>-80</v>
      </c>
      <c r="I155" s="8" t="s">
        <v>108</v>
      </c>
      <c r="J155" s="8" t="s">
        <v>61</v>
      </c>
      <c r="K155" s="8" t="s">
        <v>62</v>
      </c>
      <c r="L155" s="8" t="s">
        <v>63</v>
      </c>
      <c r="M155" s="8" t="s">
        <v>170</v>
      </c>
      <c r="N155" s="8" t="s">
        <v>107</v>
      </c>
      <c r="O155" s="8" t="s">
        <v>92</v>
      </c>
      <c r="P155" s="8" t="s">
        <v>108</v>
      </c>
      <c r="Q155" s="8" t="s">
        <v>108</v>
      </c>
      <c r="R155" s="8" t="s">
        <v>108</v>
      </c>
      <c r="S155" s="8"/>
      <c r="T155" s="8"/>
      <c r="U155" s="8"/>
      <c r="V155" s="8" t="s">
        <v>175</v>
      </c>
      <c r="W155" s="8" t="s">
        <v>66</v>
      </c>
      <c r="X155" s="11" t="s">
        <v>175</v>
      </c>
      <c r="Y155" s="8">
        <v>17.25</v>
      </c>
      <c r="Z155" s="8">
        <v>17.25</v>
      </c>
      <c r="AA155" s="8"/>
      <c r="AB155" s="18">
        <f t="shared" si="126"/>
        <v>17.25</v>
      </c>
      <c r="AC155" s="18">
        <f t="shared" si="116"/>
        <v>13.87172706099172</v>
      </c>
      <c r="AD155" s="19">
        <f t="shared" si="117"/>
        <v>1624656785.6128421</v>
      </c>
      <c r="AE155" s="18">
        <f>AD156*100/AD$156</f>
        <v>100</v>
      </c>
      <c r="AF155" s="8">
        <v>26.92</v>
      </c>
      <c r="AG155" s="8">
        <v>26.59</v>
      </c>
      <c r="AH155" s="8"/>
      <c r="AI155" s="18">
        <f t="shared" si="128"/>
        <v>26.755000000000003</v>
      </c>
      <c r="AJ155" s="8">
        <f t="shared" si="118"/>
        <v>38.838207929511839</v>
      </c>
      <c r="AK155" s="50">
        <f t="shared" si="108"/>
        <v>7.7676415859023678</v>
      </c>
      <c r="AL155" s="8">
        <v>31.42</v>
      </c>
      <c r="AM155" s="8">
        <v>31.43</v>
      </c>
      <c r="AN155" s="8"/>
      <c r="AO155" s="18">
        <f t="shared" si="129"/>
        <v>31.425000000000001</v>
      </c>
      <c r="AP155" s="19">
        <f t="shared" si="120"/>
        <v>3.1368417142757939E-5</v>
      </c>
      <c r="AQ155" s="8">
        <f t="shared" si="121"/>
        <v>1858.0050484350631</v>
      </c>
      <c r="AR155" s="50">
        <f t="shared" si="109"/>
        <v>371.60100968701261</v>
      </c>
      <c r="AS155" s="19">
        <f t="shared" si="122"/>
        <v>47.839618444990812</v>
      </c>
      <c r="AT155" s="8"/>
      <c r="AU155" s="8"/>
      <c r="AV155" s="8"/>
      <c r="AW155" s="9"/>
      <c r="AX155" s="9"/>
    </row>
    <row r="156" spans="2:50" x14ac:dyDescent="0.15">
      <c r="B156" s="8"/>
      <c r="C156" s="8"/>
      <c r="D156" s="8"/>
      <c r="E156" s="8" t="s">
        <v>180</v>
      </c>
      <c r="F156" s="34"/>
      <c r="G156" s="8" t="s">
        <v>106</v>
      </c>
      <c r="H156" s="8">
        <v>-80</v>
      </c>
      <c r="I156" s="8" t="s">
        <v>108</v>
      </c>
      <c r="J156" s="8" t="s">
        <v>61</v>
      </c>
      <c r="K156" s="8" t="s">
        <v>62</v>
      </c>
      <c r="L156" s="8" t="s">
        <v>63</v>
      </c>
      <c r="M156" s="8" t="s">
        <v>176</v>
      </c>
      <c r="N156" s="8" t="s">
        <v>107</v>
      </c>
      <c r="O156" s="8" t="s">
        <v>92</v>
      </c>
      <c r="P156" s="8" t="s">
        <v>108</v>
      </c>
      <c r="Q156" s="2" t="s">
        <v>108</v>
      </c>
      <c r="R156" s="18" t="s">
        <v>108</v>
      </c>
      <c r="S156" s="8"/>
      <c r="T156" s="8"/>
      <c r="U156" s="8"/>
      <c r="V156" s="8" t="s">
        <v>175</v>
      </c>
      <c r="W156" s="8" t="s">
        <v>66</v>
      </c>
      <c r="X156" s="11" t="s">
        <v>181</v>
      </c>
      <c r="Y156" s="8">
        <v>16.93</v>
      </c>
      <c r="Z156" s="8">
        <v>16.64</v>
      </c>
      <c r="AA156" s="8"/>
      <c r="AB156" s="18">
        <f t="shared" si="126"/>
        <v>16.785</v>
      </c>
      <c r="AC156" s="18">
        <f t="shared" si="116"/>
        <v>18.936622096042147</v>
      </c>
      <c r="AD156" s="19">
        <f t="shared" si="117"/>
        <v>2217857333.0955849</v>
      </c>
      <c r="AE156" s="18">
        <f t="shared" ref="AE156" si="132">AD156*100/AD$156</f>
        <v>100</v>
      </c>
      <c r="AF156" s="8">
        <v>28.18</v>
      </c>
      <c r="AG156" s="8">
        <v>28.35</v>
      </c>
      <c r="AH156" s="8"/>
      <c r="AI156" s="18">
        <f t="shared" si="128"/>
        <v>28.265000000000001</v>
      </c>
      <c r="AJ156" s="8">
        <f t="shared" si="118"/>
        <v>12.97231822308871</v>
      </c>
      <c r="AK156" s="50">
        <f t="shared" si="108"/>
        <v>2.594463644617742</v>
      </c>
      <c r="AL156" s="8">
        <v>32.03</v>
      </c>
      <c r="AM156" s="8">
        <v>32.03</v>
      </c>
      <c r="AN156" s="8"/>
      <c r="AO156" s="18">
        <f t="shared" si="129"/>
        <v>32.03</v>
      </c>
      <c r="AP156" s="19">
        <f t="shared" si="120"/>
        <v>2.1024097673963495E-5</v>
      </c>
      <c r="AQ156" s="8">
        <f t="shared" si="121"/>
        <v>1245.293297371064</v>
      </c>
      <c r="AR156" s="50">
        <f t="shared" si="109"/>
        <v>249.05865947421279</v>
      </c>
      <c r="AS156" s="19">
        <f t="shared" si="122"/>
        <v>95.996203296542276</v>
      </c>
      <c r="AT156" s="8"/>
      <c r="AU156" s="8"/>
      <c r="AV156" s="8"/>
      <c r="AW156" s="9"/>
      <c r="AX156" s="9"/>
    </row>
    <row r="157" spans="2:50" x14ac:dyDescent="0.15"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11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50">
        <f t="shared" si="109"/>
        <v>0</v>
      </c>
      <c r="AS157" s="8"/>
      <c r="AT157" s="8"/>
      <c r="AU157" s="8"/>
      <c r="AV157" s="8"/>
      <c r="AW157" s="9"/>
      <c r="AX157" s="9"/>
    </row>
    <row r="158" spans="2:50" x14ac:dyDescent="0.15"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11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9"/>
      <c r="AX158" s="9"/>
    </row>
    <row r="159" spans="2:50" x14ac:dyDescent="0.15"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11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9"/>
      <c r="AX159" s="9"/>
    </row>
    <row r="160" spans="2:50" x14ac:dyDescent="0.15"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11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9"/>
      <c r="AX160" s="9"/>
    </row>
    <row r="161" spans="2:50" x14ac:dyDescent="0.15"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11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9"/>
      <c r="AX161" s="9"/>
    </row>
    <row r="162" spans="2:50" x14ac:dyDescent="0.15"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11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9"/>
      <c r="AX162" s="9"/>
    </row>
    <row r="163" spans="2:50" x14ac:dyDescent="0.15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11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9"/>
      <c r="AX163" s="9"/>
    </row>
    <row r="164" spans="2:50" x14ac:dyDescent="0.15"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11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9"/>
      <c r="AX164" s="9"/>
    </row>
    <row r="165" spans="2:50" x14ac:dyDescent="0.15"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11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9"/>
      <c r="AX165" s="9"/>
    </row>
    <row r="166" spans="2:50" x14ac:dyDescent="0.15"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11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9"/>
      <c r="AX166" s="9"/>
    </row>
    <row r="167" spans="2:50" x14ac:dyDescent="0.15"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11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9"/>
      <c r="AX167" s="9"/>
    </row>
    <row r="168" spans="2:50" x14ac:dyDescent="0.15"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257"/>
      <c r="Z168" s="257"/>
      <c r="AA168" s="257"/>
      <c r="AB168" s="257"/>
      <c r="AC168" s="257"/>
      <c r="AD168" s="257"/>
      <c r="AE168" s="257"/>
      <c r="AF168" s="257"/>
      <c r="AG168" s="257"/>
      <c r="AH168" s="257"/>
      <c r="AI168" s="257"/>
      <c r="AJ168" s="257"/>
      <c r="AK168" s="257"/>
      <c r="AL168" s="257"/>
      <c r="AM168" s="257"/>
      <c r="AN168" s="257"/>
      <c r="AO168" s="257"/>
      <c r="AP168" s="257"/>
      <c r="AQ168" s="257"/>
      <c r="AR168" s="257"/>
      <c r="AS168" s="257"/>
      <c r="AT168" s="257"/>
      <c r="AU168" s="257"/>
      <c r="AV168" s="257"/>
    </row>
    <row r="169" spans="2:50" x14ac:dyDescent="0.15"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257"/>
      <c r="Z169" s="257"/>
      <c r="AA169" s="257"/>
      <c r="AB169" s="257"/>
      <c r="AC169" s="257"/>
      <c r="AD169" s="257"/>
      <c r="AE169" s="257"/>
      <c r="AF169" s="257"/>
      <c r="AG169" s="257"/>
      <c r="AH169" s="257"/>
      <c r="AI169" s="257"/>
      <c r="AJ169" s="257"/>
      <c r="AK169" s="257"/>
      <c r="AL169" s="257"/>
      <c r="AM169" s="257"/>
      <c r="AN169" s="257"/>
      <c r="AO169" s="257"/>
      <c r="AP169" s="257"/>
      <c r="AQ169" s="257"/>
      <c r="AR169" s="257"/>
      <c r="AS169" s="257"/>
      <c r="AT169" s="257"/>
      <c r="AU169" s="257"/>
      <c r="AV169" s="257"/>
    </row>
    <row r="170" spans="2:50" x14ac:dyDescent="0.15"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257"/>
      <c r="Z170" s="257"/>
      <c r="AA170" s="257"/>
      <c r="AB170" s="257"/>
      <c r="AC170" s="257"/>
      <c r="AD170" s="257"/>
      <c r="AE170" s="257"/>
      <c r="AF170" s="257"/>
      <c r="AG170" s="257"/>
      <c r="AH170" s="257"/>
      <c r="AI170" s="257"/>
      <c r="AJ170" s="257"/>
      <c r="AK170" s="257"/>
      <c r="AL170" s="257"/>
      <c r="AM170" s="257"/>
      <c r="AN170" s="257"/>
      <c r="AO170" s="257"/>
      <c r="AP170" s="257"/>
      <c r="AQ170" s="257"/>
      <c r="AR170" s="257"/>
      <c r="AS170" s="257"/>
      <c r="AT170" s="257"/>
      <c r="AU170" s="257"/>
      <c r="AV170" s="257"/>
    </row>
    <row r="171" spans="2:50" x14ac:dyDescent="0.15"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257"/>
      <c r="Z171" s="257"/>
      <c r="AA171" s="257"/>
      <c r="AB171" s="257"/>
      <c r="AC171" s="257"/>
      <c r="AD171" s="257"/>
      <c r="AE171" s="257"/>
      <c r="AF171" s="257"/>
      <c r="AG171" s="257"/>
      <c r="AH171" s="257"/>
      <c r="AI171" s="257"/>
      <c r="AJ171" s="257"/>
      <c r="AK171" s="257"/>
      <c r="AL171" s="257"/>
      <c r="AM171" s="257"/>
      <c r="AN171" s="257"/>
      <c r="AO171" s="257"/>
      <c r="AP171" s="257"/>
      <c r="AQ171" s="257"/>
      <c r="AR171" s="257"/>
      <c r="AS171" s="257"/>
      <c r="AT171" s="257"/>
      <c r="AU171" s="257"/>
      <c r="AV171" s="257"/>
    </row>
    <row r="172" spans="2:50" x14ac:dyDescent="0.15"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257"/>
      <c r="Z172" s="257"/>
      <c r="AA172" s="257"/>
      <c r="AB172" s="257"/>
      <c r="AC172" s="257"/>
      <c r="AD172" s="257"/>
      <c r="AE172" s="257"/>
      <c r="AF172" s="257"/>
      <c r="AG172" s="257"/>
      <c r="AH172" s="257"/>
      <c r="AI172" s="257"/>
      <c r="AJ172" s="257"/>
      <c r="AK172" s="257"/>
      <c r="AL172" s="257"/>
      <c r="AM172" s="257"/>
      <c r="AN172" s="257"/>
      <c r="AO172" s="257"/>
      <c r="AP172" s="257"/>
      <c r="AQ172" s="257"/>
      <c r="AR172" s="257"/>
      <c r="AS172" s="257"/>
      <c r="AT172" s="257"/>
      <c r="AU172" s="257"/>
      <c r="AV172" s="257"/>
    </row>
    <row r="173" spans="2:50" x14ac:dyDescent="0.15"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257"/>
      <c r="Z173" s="257"/>
      <c r="AA173" s="257"/>
      <c r="AB173" s="257"/>
      <c r="AC173" s="257"/>
      <c r="AD173" s="257"/>
      <c r="AE173" s="257"/>
      <c r="AF173" s="257"/>
      <c r="AG173" s="257"/>
      <c r="AH173" s="257"/>
      <c r="AI173" s="257"/>
      <c r="AJ173" s="257"/>
      <c r="AK173" s="257"/>
      <c r="AL173" s="257"/>
      <c r="AM173" s="257"/>
      <c r="AN173" s="257"/>
      <c r="AO173" s="257"/>
      <c r="AP173" s="257"/>
      <c r="AQ173" s="257"/>
      <c r="AR173" s="257"/>
      <c r="AS173" s="257"/>
      <c r="AT173" s="257"/>
      <c r="AU173" s="257"/>
      <c r="AV173" s="257"/>
    </row>
    <row r="174" spans="2:50" x14ac:dyDescent="0.15"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257"/>
      <c r="Z174" s="257"/>
      <c r="AA174" s="257"/>
      <c r="AB174" s="257"/>
      <c r="AC174" s="257"/>
      <c r="AD174" s="257"/>
      <c r="AE174" s="257"/>
      <c r="AF174" s="257"/>
      <c r="AG174" s="257"/>
      <c r="AH174" s="257"/>
      <c r="AI174" s="257"/>
      <c r="AJ174" s="257"/>
      <c r="AK174" s="257"/>
      <c r="AL174" s="257"/>
      <c r="AM174" s="257"/>
      <c r="AN174" s="257"/>
      <c r="AO174" s="257"/>
      <c r="AP174" s="257"/>
      <c r="AQ174" s="257"/>
      <c r="AR174" s="257"/>
      <c r="AS174" s="257"/>
      <c r="AT174" s="257"/>
      <c r="AU174" s="257"/>
      <c r="AV174" s="257"/>
    </row>
    <row r="175" spans="2:50" x14ac:dyDescent="0.15"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257"/>
      <c r="Z175" s="257"/>
      <c r="AA175" s="257"/>
      <c r="AB175" s="257"/>
      <c r="AC175" s="257"/>
      <c r="AD175" s="257"/>
      <c r="AE175" s="257"/>
      <c r="AF175" s="257"/>
      <c r="AG175" s="257"/>
      <c r="AH175" s="257"/>
      <c r="AI175" s="257"/>
      <c r="AJ175" s="257"/>
      <c r="AK175" s="257"/>
      <c r="AL175" s="257"/>
      <c r="AM175" s="257"/>
      <c r="AN175" s="257"/>
      <c r="AO175" s="257"/>
      <c r="AP175" s="257"/>
      <c r="AQ175" s="257"/>
      <c r="AR175" s="257"/>
      <c r="AS175" s="257"/>
      <c r="AT175" s="257"/>
      <c r="AU175" s="257"/>
      <c r="AV175" s="257"/>
    </row>
    <row r="176" spans="2:50" x14ac:dyDescent="0.15"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257"/>
      <c r="Z176" s="257"/>
      <c r="AA176" s="257"/>
      <c r="AB176" s="257"/>
      <c r="AC176" s="257"/>
      <c r="AD176" s="257"/>
      <c r="AE176" s="257"/>
      <c r="AF176" s="257"/>
      <c r="AG176" s="257"/>
      <c r="AH176" s="257"/>
      <c r="AI176" s="257"/>
      <c r="AJ176" s="257"/>
      <c r="AK176" s="257"/>
      <c r="AL176" s="257"/>
      <c r="AM176" s="257"/>
      <c r="AN176" s="257"/>
      <c r="AO176" s="257"/>
      <c r="AP176" s="257"/>
      <c r="AQ176" s="257"/>
      <c r="AR176" s="257"/>
      <c r="AS176" s="257"/>
      <c r="AT176" s="257"/>
      <c r="AU176" s="257"/>
      <c r="AV176" s="257"/>
    </row>
    <row r="177" spans="2:24" x14ac:dyDescent="0.15"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</row>
  </sheetData>
  <autoFilter ref="B18:BB18" xr:uid="{00000000-0009-0000-0000-000000000000}"/>
  <mergeCells count="53">
    <mergeCell ref="P3:P4"/>
    <mergeCell ref="Q3:Q4"/>
    <mergeCell ref="Y16:AE16"/>
    <mergeCell ref="AC17:AC18"/>
    <mergeCell ref="W16:W18"/>
    <mergeCell ref="I15:U15"/>
    <mergeCell ref="S17:S18"/>
    <mergeCell ref="T17:U17"/>
    <mergeCell ref="G3:O3"/>
    <mergeCell ref="B15:H15"/>
    <mergeCell ref="AC3:AC4"/>
    <mergeCell ref="AD3:AD4"/>
    <mergeCell ref="H17:H18"/>
    <mergeCell ref="N17:N18"/>
    <mergeCell ref="G17:G18"/>
    <mergeCell ref="B16:H16"/>
    <mergeCell ref="I16:P16"/>
    <mergeCell ref="M17:M18"/>
    <mergeCell ref="J17:J18"/>
    <mergeCell ref="L17:L18"/>
    <mergeCell ref="K17:K18"/>
    <mergeCell ref="B17:B18"/>
    <mergeCell ref="I17:I18"/>
    <mergeCell ref="AU15:AV15"/>
    <mergeCell ref="AT17:AT18"/>
    <mergeCell ref="AL17:AO17"/>
    <mergeCell ref="AP17:AP18"/>
    <mergeCell ref="AQ17:AQ18"/>
    <mergeCell ref="AR17:AR18"/>
    <mergeCell ref="V15:AT15"/>
    <mergeCell ref="AU16:AV18"/>
    <mergeCell ref="AL16:AT16"/>
    <mergeCell ref="AF17:AI17"/>
    <mergeCell ref="AF16:AK16"/>
    <mergeCell ref="AJ17:AJ18"/>
    <mergeCell ref="AK17:AK18"/>
    <mergeCell ref="Y17:AB17"/>
    <mergeCell ref="X2:AB2"/>
    <mergeCell ref="X3:AB3"/>
    <mergeCell ref="G2:O2"/>
    <mergeCell ref="AS17:AS18"/>
    <mergeCell ref="C17:C18"/>
    <mergeCell ref="D17:D18"/>
    <mergeCell ref="E17:E18"/>
    <mergeCell ref="F17:F18"/>
    <mergeCell ref="V16:V18"/>
    <mergeCell ref="X16:X18"/>
    <mergeCell ref="O17:O18"/>
    <mergeCell ref="AE17:AE18"/>
    <mergeCell ref="Q17:R17"/>
    <mergeCell ref="P17:P18"/>
    <mergeCell ref="Q16:U16"/>
    <mergeCell ref="AD17:AD18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BS285"/>
  <sheetViews>
    <sheetView showGridLines="0" tabSelected="1" topLeftCell="AY1" zoomScale="90" zoomScaleNormal="90" workbookViewId="0">
      <pane ySplit="4" topLeftCell="A5" activePane="bottomLeft" state="frozen"/>
      <selection activeCell="AM1" sqref="AM1"/>
      <selection pane="bottomLeft" activeCell="BB5" sqref="BB5"/>
    </sheetView>
  </sheetViews>
  <sheetFormatPr baseColWidth="10" defaultColWidth="8.6640625" defaultRowHeight="13" x14ac:dyDescent="0.2"/>
  <cols>
    <col min="1" max="1" width="33" style="347" customWidth="1"/>
    <col min="2" max="2" width="26" style="347" customWidth="1"/>
    <col min="3" max="3" width="22.1640625" style="223" customWidth="1"/>
    <col min="4" max="4" width="14.33203125" style="164" customWidth="1"/>
    <col min="5" max="5" width="15.1640625" style="250" customWidth="1"/>
    <col min="6" max="6" width="12.33203125" style="658" customWidth="1"/>
    <col min="7" max="7" width="11.33203125" style="1" customWidth="1"/>
    <col min="8" max="8" width="16" style="1" bestFit="1" customWidth="1"/>
    <col min="9" max="9" width="12.33203125" style="1" bestFit="1" customWidth="1"/>
    <col min="10" max="10" width="12.33203125" style="1" customWidth="1"/>
    <col min="11" max="11" width="12.33203125" style="658" customWidth="1"/>
    <col min="12" max="13" width="15.6640625" style="1" customWidth="1"/>
    <col min="14" max="14" width="18.33203125" style="288" customWidth="1"/>
    <col min="15" max="15" width="15.83203125" style="1" customWidth="1"/>
    <col min="16" max="16" width="14.1640625" style="1" customWidth="1"/>
    <col min="17" max="17" width="12.33203125" style="1" customWidth="1"/>
    <col min="18" max="18" width="18" style="1" bestFit="1" customWidth="1"/>
    <col min="19" max="19" width="11.6640625" style="1" bestFit="1" customWidth="1"/>
    <col min="20" max="20" width="17.33203125" style="1" bestFit="1" customWidth="1"/>
    <col min="21" max="21" width="9.6640625" style="1" bestFit="1" customWidth="1"/>
    <col min="22" max="22" width="12.33203125" style="493" customWidth="1"/>
    <col min="23" max="23" width="9.6640625" style="1" bestFit="1" customWidth="1"/>
    <col min="24" max="24" width="12.6640625" style="1" customWidth="1"/>
    <col min="25" max="25" width="12.33203125" style="1" customWidth="1"/>
    <col min="26" max="26" width="12.83203125" style="164" bestFit="1" customWidth="1"/>
    <col min="27" max="27" width="22" style="280" customWidth="1"/>
    <col min="28" max="28" width="16.6640625" style="1" customWidth="1"/>
    <col min="29" max="29" width="18.1640625" style="1" customWidth="1"/>
    <col min="30" max="31" width="16.83203125" style="1" customWidth="1"/>
    <col min="32" max="32" width="23.33203125" style="1" bestFit="1" customWidth="1"/>
    <col min="33" max="33" width="14.33203125" style="280" customWidth="1"/>
    <col min="34" max="34" width="17.6640625" style="1" customWidth="1"/>
    <col min="35" max="35" width="16.83203125" style="1" customWidth="1"/>
    <col min="36" max="38" width="8.33203125" style="1" bestFit="1" customWidth="1"/>
    <col min="39" max="39" width="11.83203125" style="1" bestFit="1" customWidth="1"/>
    <col min="40" max="41" width="11.83203125" style="1" customWidth="1"/>
    <col min="42" max="42" width="14.6640625" style="1" customWidth="1"/>
    <col min="43" max="43" width="21.33203125" style="1" bestFit="1" customWidth="1"/>
    <col min="44" max="46" width="8.33203125" style="1" bestFit="1" customWidth="1"/>
    <col min="47" max="47" width="11.83203125" style="1" bestFit="1" customWidth="1"/>
    <col min="48" max="49" width="11.83203125" style="1" customWidth="1"/>
    <col min="50" max="50" width="15.33203125" style="29" bestFit="1" customWidth="1"/>
    <col min="51" max="51" width="15.33203125" style="1" customWidth="1"/>
    <col min="52" max="54" width="8.33203125" style="1" bestFit="1" customWidth="1"/>
    <col min="55" max="55" width="11.83203125" style="1" bestFit="1" customWidth="1"/>
    <col min="56" max="57" width="11.83203125" style="1" customWidth="1"/>
    <col min="58" max="58" width="19.33203125" style="1" customWidth="1"/>
    <col min="59" max="59" width="19.1640625" style="1" customWidth="1"/>
    <col min="60" max="60" width="20.33203125" style="1" bestFit="1" customWidth="1"/>
    <col min="61" max="61" width="20.33203125" style="252" customWidth="1"/>
    <col min="62" max="62" width="20.33203125" style="154" customWidth="1"/>
    <col min="63" max="63" width="114.83203125" style="1" customWidth="1"/>
    <col min="64" max="64" width="20.33203125" style="154" customWidth="1"/>
    <col min="65" max="70" width="8.6640625" style="252"/>
    <col min="71" max="71" width="8.6640625" style="274"/>
    <col min="72" max="16384" width="8.6640625" style="187"/>
  </cols>
  <sheetData>
    <row r="1" spans="1:71" ht="14.5" customHeight="1" x14ac:dyDescent="0.2">
      <c r="A1" s="788"/>
      <c r="B1" s="788"/>
      <c r="C1" s="788"/>
      <c r="D1" s="788"/>
      <c r="E1" s="788"/>
      <c r="F1" s="788"/>
      <c r="G1" s="788"/>
      <c r="H1" s="788"/>
      <c r="I1" s="788"/>
      <c r="J1" s="788"/>
      <c r="K1" s="788"/>
      <c r="L1" s="789"/>
      <c r="M1" s="235"/>
      <c r="N1" s="790" t="s">
        <v>13</v>
      </c>
      <c r="O1" s="790"/>
      <c r="P1" s="790"/>
      <c r="Q1" s="790"/>
      <c r="R1" s="790"/>
      <c r="S1" s="790"/>
      <c r="T1" s="790"/>
      <c r="U1" s="790"/>
      <c r="V1" s="790"/>
      <c r="W1" s="790"/>
      <c r="X1" s="236"/>
      <c r="Y1" s="236"/>
      <c r="Z1" s="236"/>
      <c r="AA1" s="781" t="s">
        <v>182</v>
      </c>
      <c r="AB1" s="782"/>
      <c r="AC1" s="782"/>
      <c r="AD1" s="782"/>
      <c r="AE1" s="782"/>
      <c r="AF1" s="783"/>
      <c r="AG1" s="784" t="s">
        <v>183</v>
      </c>
      <c r="AH1" s="785"/>
      <c r="AI1" s="785"/>
      <c r="AJ1" s="785"/>
      <c r="AK1" s="785"/>
      <c r="AL1" s="785"/>
      <c r="AM1" s="785"/>
      <c r="AN1" s="785"/>
      <c r="AO1" s="785"/>
      <c r="AP1" s="785"/>
      <c r="AQ1" s="785"/>
      <c r="AR1" s="785"/>
      <c r="AS1" s="785"/>
      <c r="AT1" s="785"/>
      <c r="AU1" s="785"/>
      <c r="AV1" s="785"/>
      <c r="AW1" s="785"/>
      <c r="AX1" s="785"/>
      <c r="AY1" s="785"/>
      <c r="AZ1" s="785"/>
      <c r="BA1" s="785"/>
      <c r="BB1" s="785"/>
      <c r="BC1" s="785"/>
      <c r="BD1" s="785"/>
      <c r="BE1" s="785"/>
      <c r="BF1" s="785"/>
      <c r="BG1" s="785"/>
      <c r="BH1" s="785"/>
      <c r="BI1" s="785"/>
      <c r="BJ1" s="786"/>
      <c r="BK1" s="772" t="s">
        <v>184</v>
      </c>
      <c r="BL1" s="808" t="s">
        <v>185</v>
      </c>
      <c r="BM1" s="795" t="s">
        <v>186</v>
      </c>
      <c r="BN1" s="796"/>
      <c r="BO1" s="796"/>
      <c r="BP1" s="796"/>
      <c r="BQ1" s="796"/>
      <c r="BR1" s="796"/>
      <c r="BS1" s="797"/>
    </row>
    <row r="2" spans="1:71" s="186" customFormat="1" ht="14.5" customHeight="1" x14ac:dyDescent="0.2">
      <c r="A2" s="768"/>
      <c r="B2" s="768"/>
      <c r="C2" s="768"/>
      <c r="D2" s="768"/>
      <c r="E2" s="768"/>
      <c r="F2" s="768"/>
      <c r="G2" s="768"/>
      <c r="H2" s="768"/>
      <c r="I2" s="768"/>
      <c r="J2" s="768"/>
      <c r="K2" s="768"/>
      <c r="L2" s="769"/>
      <c r="M2" s="232"/>
      <c r="N2" s="732" t="s">
        <v>16</v>
      </c>
      <c r="O2" s="732"/>
      <c r="P2" s="732"/>
      <c r="Q2" s="732"/>
      <c r="R2" s="732"/>
      <c r="S2" s="732" t="s">
        <v>17</v>
      </c>
      <c r="T2" s="732"/>
      <c r="U2" s="732"/>
      <c r="V2" s="732"/>
      <c r="W2" s="732"/>
      <c r="X2" s="229"/>
      <c r="Y2" s="229"/>
      <c r="Z2" s="229"/>
      <c r="AA2" s="775" t="s">
        <v>187</v>
      </c>
      <c r="AB2" s="729" t="s">
        <v>188</v>
      </c>
      <c r="AC2" s="729" t="s">
        <v>189</v>
      </c>
      <c r="AD2" s="729" t="s">
        <v>190</v>
      </c>
      <c r="AE2" s="729" t="s">
        <v>191</v>
      </c>
      <c r="AF2" s="729" t="s">
        <v>192</v>
      </c>
      <c r="AG2" s="775" t="s">
        <v>193</v>
      </c>
      <c r="AH2" s="729" t="s">
        <v>194</v>
      </c>
      <c r="AI2" s="729" t="s">
        <v>195</v>
      </c>
      <c r="AJ2" s="732" t="s">
        <v>21</v>
      </c>
      <c r="AK2" s="732"/>
      <c r="AL2" s="732"/>
      <c r="AM2" s="732"/>
      <c r="AN2" s="732"/>
      <c r="AO2" s="732"/>
      <c r="AP2" s="732"/>
      <c r="AQ2" s="732"/>
      <c r="AR2" s="732" t="s">
        <v>22</v>
      </c>
      <c r="AS2" s="732"/>
      <c r="AT2" s="732"/>
      <c r="AU2" s="732"/>
      <c r="AV2" s="732"/>
      <c r="AW2" s="732"/>
      <c r="AX2" s="732"/>
      <c r="AY2" s="732"/>
      <c r="AZ2" s="732" t="s">
        <v>23</v>
      </c>
      <c r="BA2" s="732"/>
      <c r="BB2" s="732"/>
      <c r="BC2" s="732"/>
      <c r="BD2" s="732"/>
      <c r="BE2" s="732"/>
      <c r="BF2" s="732"/>
      <c r="BG2" s="732"/>
      <c r="BH2" s="791"/>
      <c r="BI2" s="234"/>
      <c r="BJ2" s="434"/>
      <c r="BK2" s="773"/>
      <c r="BL2" s="808"/>
      <c r="BM2" s="798"/>
      <c r="BN2" s="799"/>
      <c r="BO2" s="799"/>
      <c r="BP2" s="799"/>
      <c r="BQ2" s="799"/>
      <c r="BR2" s="799"/>
      <c r="BS2" s="800"/>
    </row>
    <row r="3" spans="1:71" s="186" customFormat="1" ht="15" customHeight="1" x14ac:dyDescent="0.2">
      <c r="A3" s="792" t="s">
        <v>196</v>
      </c>
      <c r="B3" s="792" t="s">
        <v>197</v>
      </c>
      <c r="C3" s="770" t="s">
        <v>198</v>
      </c>
      <c r="D3" s="767" t="s">
        <v>199</v>
      </c>
      <c r="E3" s="732" t="s">
        <v>200</v>
      </c>
      <c r="F3" s="793" t="s">
        <v>201</v>
      </c>
      <c r="G3" s="729" t="s">
        <v>202</v>
      </c>
      <c r="H3" s="729" t="s">
        <v>203</v>
      </c>
      <c r="I3" s="729" t="s">
        <v>204</v>
      </c>
      <c r="J3" s="729" t="s">
        <v>205</v>
      </c>
      <c r="K3" s="729" t="s">
        <v>423</v>
      </c>
      <c r="L3" s="732" t="s">
        <v>206</v>
      </c>
      <c r="M3" s="729" t="s">
        <v>207</v>
      </c>
      <c r="N3" s="775" t="s">
        <v>208</v>
      </c>
      <c r="O3" s="729" t="s">
        <v>37</v>
      </c>
      <c r="P3" s="729" t="s">
        <v>209</v>
      </c>
      <c r="Q3" s="729" t="s">
        <v>210</v>
      </c>
      <c r="R3" s="732" t="s">
        <v>211</v>
      </c>
      <c r="S3" s="732" t="s">
        <v>40</v>
      </c>
      <c r="T3" s="732"/>
      <c r="U3" s="732" t="s">
        <v>212</v>
      </c>
      <c r="V3" s="805" t="s">
        <v>213</v>
      </c>
      <c r="W3" s="732" t="s">
        <v>41</v>
      </c>
      <c r="X3" s="729" t="s">
        <v>214</v>
      </c>
      <c r="Y3" s="729" t="s">
        <v>215</v>
      </c>
      <c r="Z3" s="775" t="s">
        <v>216</v>
      </c>
      <c r="AA3" s="775"/>
      <c r="AB3" s="776"/>
      <c r="AC3" s="776"/>
      <c r="AD3" s="779"/>
      <c r="AE3" s="779"/>
      <c r="AF3" s="779"/>
      <c r="AG3" s="775"/>
      <c r="AH3" s="776"/>
      <c r="AI3" s="776"/>
      <c r="AJ3" s="732" t="s">
        <v>8</v>
      </c>
      <c r="AK3" s="732"/>
      <c r="AL3" s="732"/>
      <c r="AM3" s="732"/>
      <c r="AN3" s="229"/>
      <c r="AO3" s="229"/>
      <c r="AP3" s="732" t="s">
        <v>217</v>
      </c>
      <c r="AQ3" s="732" t="s">
        <v>43</v>
      </c>
      <c r="AR3" s="732" t="s">
        <v>8</v>
      </c>
      <c r="AS3" s="732"/>
      <c r="AT3" s="732"/>
      <c r="AU3" s="732"/>
      <c r="AV3" s="229"/>
      <c r="AW3" s="229"/>
      <c r="AX3" s="732" t="s">
        <v>217</v>
      </c>
      <c r="AY3" s="732" t="s">
        <v>45</v>
      </c>
      <c r="AZ3" s="732" t="s">
        <v>8</v>
      </c>
      <c r="BA3" s="732"/>
      <c r="BB3" s="732"/>
      <c r="BC3" s="732"/>
      <c r="BD3" s="229"/>
      <c r="BE3" s="229"/>
      <c r="BF3" s="778" t="s">
        <v>44</v>
      </c>
      <c r="BG3" s="778" t="s">
        <v>45</v>
      </c>
      <c r="BH3" s="767" t="s">
        <v>46</v>
      </c>
      <c r="BI3" s="732" t="s">
        <v>218</v>
      </c>
      <c r="BJ3" s="809" t="s">
        <v>219</v>
      </c>
      <c r="BK3" s="773"/>
      <c r="BL3" s="808"/>
      <c r="BM3" s="729" t="s">
        <v>220</v>
      </c>
      <c r="BN3" s="729" t="s">
        <v>221</v>
      </c>
      <c r="BO3" s="729" t="s">
        <v>222</v>
      </c>
      <c r="BP3" s="729" t="s">
        <v>223</v>
      </c>
      <c r="BQ3" s="729" t="s">
        <v>224</v>
      </c>
      <c r="BR3" s="729" t="s">
        <v>225</v>
      </c>
      <c r="BS3" s="802" t="s">
        <v>226</v>
      </c>
    </row>
    <row r="4" spans="1:71" s="186" customFormat="1" ht="28.5" customHeight="1" x14ac:dyDescent="0.2">
      <c r="A4" s="780"/>
      <c r="B4" s="780"/>
      <c r="C4" s="771"/>
      <c r="D4" s="767"/>
      <c r="E4" s="732"/>
      <c r="F4" s="794"/>
      <c r="G4" s="780"/>
      <c r="H4" s="780"/>
      <c r="I4" s="780"/>
      <c r="J4" s="780"/>
      <c r="K4" s="780"/>
      <c r="L4" s="732"/>
      <c r="M4" s="780"/>
      <c r="N4" s="775"/>
      <c r="O4" s="777"/>
      <c r="P4" s="801"/>
      <c r="Q4" s="801"/>
      <c r="R4" s="732"/>
      <c r="S4" s="229" t="s">
        <v>48</v>
      </c>
      <c r="T4" s="229" t="s">
        <v>227</v>
      </c>
      <c r="U4" s="732"/>
      <c r="V4" s="805"/>
      <c r="W4" s="732"/>
      <c r="X4" s="780"/>
      <c r="Y4" s="780"/>
      <c r="Z4" s="775"/>
      <c r="AA4" s="775"/>
      <c r="AB4" s="777"/>
      <c r="AC4" s="777"/>
      <c r="AD4" s="780"/>
      <c r="AE4" s="780"/>
      <c r="AF4" s="780"/>
      <c r="AG4" s="775"/>
      <c r="AH4" s="777"/>
      <c r="AI4" s="777"/>
      <c r="AJ4" s="229">
        <v>1</v>
      </c>
      <c r="AK4" s="229">
        <v>2</v>
      </c>
      <c r="AL4" s="229">
        <v>3</v>
      </c>
      <c r="AM4" s="229" t="s">
        <v>52</v>
      </c>
      <c r="AN4" s="229" t="s">
        <v>228</v>
      </c>
      <c r="AO4" s="229" t="s">
        <v>229</v>
      </c>
      <c r="AP4" s="732"/>
      <c r="AQ4" s="732"/>
      <c r="AR4" s="229">
        <v>1</v>
      </c>
      <c r="AS4" s="229">
        <v>2</v>
      </c>
      <c r="AT4" s="229">
        <v>3</v>
      </c>
      <c r="AU4" s="229" t="s">
        <v>53</v>
      </c>
      <c r="AV4" s="229" t="s">
        <v>228</v>
      </c>
      <c r="AW4" s="229" t="s">
        <v>229</v>
      </c>
      <c r="AX4" s="732"/>
      <c r="AY4" s="732"/>
      <c r="AZ4" s="229">
        <v>1</v>
      </c>
      <c r="BA4" s="229">
        <v>2</v>
      </c>
      <c r="BB4" s="229">
        <v>3</v>
      </c>
      <c r="BC4" s="229" t="s">
        <v>53</v>
      </c>
      <c r="BD4" s="229" t="s">
        <v>228</v>
      </c>
      <c r="BE4" s="229" t="s">
        <v>229</v>
      </c>
      <c r="BF4" s="778"/>
      <c r="BG4" s="778"/>
      <c r="BH4" s="767"/>
      <c r="BI4" s="787"/>
      <c r="BJ4" s="810"/>
      <c r="BK4" s="774"/>
      <c r="BL4" s="808"/>
      <c r="BM4" s="801"/>
      <c r="BN4" s="801"/>
      <c r="BO4" s="801"/>
      <c r="BP4" s="801"/>
      <c r="BQ4" s="801"/>
      <c r="BR4" s="801"/>
      <c r="BS4" s="803"/>
    </row>
    <row r="5" spans="1:71" customFormat="1" ht="15" x14ac:dyDescent="0.2">
      <c r="A5" t="s">
        <v>426</v>
      </c>
      <c r="B5" t="s">
        <v>427</v>
      </c>
      <c r="C5" t="s">
        <v>428</v>
      </c>
      <c r="D5" t="s">
        <v>429</v>
      </c>
      <c r="E5" t="s">
        <v>430</v>
      </c>
      <c r="F5" t="s">
        <v>431</v>
      </c>
      <c r="G5" t="s">
        <v>432</v>
      </c>
      <c r="H5" t="s">
        <v>433</v>
      </c>
      <c r="I5" t="s">
        <v>434</v>
      </c>
      <c r="J5" t="s">
        <v>435</v>
      </c>
      <c r="K5" t="s">
        <v>436</v>
      </c>
      <c r="L5" t="s">
        <v>437</v>
      </c>
      <c r="M5" t="s">
        <v>438</v>
      </c>
      <c r="N5" t="s">
        <v>439</v>
      </c>
      <c r="O5" t="s">
        <v>440</v>
      </c>
      <c r="P5" t="s">
        <v>441</v>
      </c>
      <c r="Q5" t="s">
        <v>442</v>
      </c>
      <c r="R5" t="s">
        <v>443</v>
      </c>
      <c r="S5" t="s">
        <v>444</v>
      </c>
      <c r="T5" t="s">
        <v>445</v>
      </c>
      <c r="U5" t="s">
        <v>446</v>
      </c>
      <c r="V5" t="s">
        <v>447</v>
      </c>
      <c r="W5" t="s">
        <v>448</v>
      </c>
      <c r="X5" t="s">
        <v>449</v>
      </c>
      <c r="Y5" t="s">
        <v>450</v>
      </c>
      <c r="Z5" t="s">
        <v>451</v>
      </c>
      <c r="AA5" t="s">
        <v>452</v>
      </c>
      <c r="AB5" t="s">
        <v>453</v>
      </c>
      <c r="AC5" t="s">
        <v>454</v>
      </c>
      <c r="AD5" t="s">
        <v>455</v>
      </c>
      <c r="AE5" t="s">
        <v>456</v>
      </c>
      <c r="AF5" t="s">
        <v>457</v>
      </c>
      <c r="AG5" t="s">
        <v>458</v>
      </c>
      <c r="AH5" t="s">
        <v>459</v>
      </c>
      <c r="AI5" t="s">
        <v>460</v>
      </c>
      <c r="AJ5" t="s">
        <v>461</v>
      </c>
      <c r="AK5" t="s">
        <v>462</v>
      </c>
      <c r="AL5" t="s">
        <v>463</v>
      </c>
      <c r="AM5" t="s">
        <v>464</v>
      </c>
      <c r="AN5" t="s">
        <v>465</v>
      </c>
      <c r="AO5" t="s">
        <v>466</v>
      </c>
      <c r="AP5" t="s">
        <v>467</v>
      </c>
      <c r="AQ5" t="s">
        <v>468</v>
      </c>
      <c r="AR5" t="s">
        <v>469</v>
      </c>
      <c r="AS5" t="s">
        <v>470</v>
      </c>
      <c r="AT5" t="s">
        <v>471</v>
      </c>
      <c r="AU5" t="s">
        <v>472</v>
      </c>
      <c r="AV5" t="s">
        <v>473</v>
      </c>
      <c r="AW5" t="s">
        <v>474</v>
      </c>
      <c r="AX5" t="s">
        <v>475</v>
      </c>
      <c r="AY5" t="s">
        <v>476</v>
      </c>
      <c r="AZ5" t="s">
        <v>477</v>
      </c>
      <c r="BA5" t="s">
        <v>478</v>
      </c>
      <c r="BB5" t="s">
        <v>479</v>
      </c>
      <c r="BC5" t="s">
        <v>480</v>
      </c>
      <c r="BD5" t="s">
        <v>481</v>
      </c>
      <c r="BE5" t="s">
        <v>482</v>
      </c>
      <c r="BF5" t="s">
        <v>483</v>
      </c>
      <c r="BG5" t="s">
        <v>484</v>
      </c>
      <c r="BH5" t="s">
        <v>485</v>
      </c>
      <c r="BI5" t="s">
        <v>486</v>
      </c>
      <c r="BJ5" t="s">
        <v>487</v>
      </c>
      <c r="BK5" t="s">
        <v>488</v>
      </c>
      <c r="BL5" t="s">
        <v>489</v>
      </c>
      <c r="BM5" t="s">
        <v>490</v>
      </c>
      <c r="BN5" t="s">
        <v>491</v>
      </c>
      <c r="BO5" t="s">
        <v>492</v>
      </c>
      <c r="BP5" t="s">
        <v>493</v>
      </c>
      <c r="BQ5" t="s">
        <v>494</v>
      </c>
      <c r="BR5" t="s">
        <v>495</v>
      </c>
      <c r="BS5" t="s">
        <v>496</v>
      </c>
    </row>
    <row r="6" spans="1:71" s="277" customFormat="1" ht="15" x14ac:dyDescent="0.2">
      <c r="A6" s="339"/>
      <c r="B6" s="340">
        <v>44251</v>
      </c>
      <c r="C6" s="392" t="s">
        <v>230</v>
      </c>
      <c r="D6" s="662" t="s">
        <v>231</v>
      </c>
      <c r="E6" s="582" t="s">
        <v>232</v>
      </c>
      <c r="F6" s="663" t="s">
        <v>233</v>
      </c>
      <c r="G6" s="222"/>
      <c r="H6" s="222"/>
      <c r="I6" s="222"/>
      <c r="J6" s="222"/>
      <c r="K6" s="222"/>
      <c r="L6" s="222" t="s">
        <v>234</v>
      </c>
      <c r="M6" s="222"/>
      <c r="N6" s="281">
        <v>44252</v>
      </c>
      <c r="O6" s="222">
        <v>50</v>
      </c>
      <c r="P6" s="222" t="s">
        <v>235</v>
      </c>
      <c r="Q6" s="222" t="s">
        <v>236</v>
      </c>
      <c r="R6" s="222" t="s">
        <v>237</v>
      </c>
      <c r="S6" s="376">
        <v>7.14</v>
      </c>
      <c r="T6" s="376">
        <v>3.74</v>
      </c>
      <c r="U6" s="376">
        <v>296</v>
      </c>
      <c r="V6" s="485" t="s">
        <v>238</v>
      </c>
      <c r="W6" s="222"/>
      <c r="X6" s="222"/>
      <c r="Y6" s="222"/>
      <c r="Z6" s="278" t="s">
        <v>239</v>
      </c>
      <c r="AA6" s="281"/>
      <c r="AB6" s="170">
        <v>50</v>
      </c>
      <c r="AC6" s="222"/>
      <c r="AD6" s="222" t="s">
        <v>240</v>
      </c>
      <c r="AE6" s="222" t="s">
        <v>425</v>
      </c>
      <c r="AF6" s="384" t="s">
        <v>242</v>
      </c>
      <c r="AG6" s="385">
        <v>44199</v>
      </c>
      <c r="AH6" s="386">
        <v>5</v>
      </c>
      <c r="AI6" s="222"/>
      <c r="AJ6" s="387" t="s">
        <v>95</v>
      </c>
      <c r="AK6" s="387" t="s">
        <v>95</v>
      </c>
      <c r="AL6" s="387" t="s">
        <v>95</v>
      </c>
      <c r="AM6" s="387" t="e">
        <f>AVERAGE(AJ6:AL6)</f>
        <v>#DIV/0!</v>
      </c>
      <c r="AN6" s="391">
        <v>-3.4410714285714286</v>
      </c>
      <c r="AO6" s="391">
        <v>48.943513064185922</v>
      </c>
      <c r="AP6" s="290">
        <f>IF(AND(AJ6="No CT",AK6="No CT",AL6="No CT"),0,10^((AM6-AO6)/AN6))</f>
        <v>0</v>
      </c>
      <c r="AQ6" s="290" t="e">
        <f>AP6*100/$AP$14</f>
        <v>#DIV/0!</v>
      </c>
      <c r="AR6" s="387" t="s">
        <v>95</v>
      </c>
      <c r="AS6" s="387" t="s">
        <v>95</v>
      </c>
      <c r="AT6" s="387" t="s">
        <v>95</v>
      </c>
      <c r="AU6" s="387" t="e">
        <f>AVERAGE(AR6:AT6)</f>
        <v>#DIV/0!</v>
      </c>
      <c r="AV6" s="389">
        <v>-3.5035151515151512</v>
      </c>
      <c r="AW6" s="389">
        <v>40.672666666666665</v>
      </c>
      <c r="AX6" s="291">
        <f>IF(AND(AR6="No CT",AS6="No CT",AT6="No CT"),0,10^((AU6-AW6)/AV6))</f>
        <v>0</v>
      </c>
      <c r="AY6" s="276">
        <f t="shared" ref="AY6:AY12" si="0">(AX6/AH6)*(AB6/O6)</f>
        <v>0</v>
      </c>
      <c r="AZ6" s="387" t="s">
        <v>95</v>
      </c>
      <c r="BA6" s="387" t="s">
        <v>95</v>
      </c>
      <c r="BB6" s="387" t="s">
        <v>95</v>
      </c>
      <c r="BC6" s="387" t="e">
        <f>AVERAGE(AZ6:BB6)</f>
        <v>#DIV/0!</v>
      </c>
      <c r="BD6" s="150">
        <v>-3.4617</v>
      </c>
      <c r="BE6" s="640">
        <v>42.390999999999998</v>
      </c>
      <c r="BF6" s="276">
        <f>IF(AND(AZ6="No CT",BA6="No CT",BB6="No CT"),0,10^((BC6-BE6)/BD6))</f>
        <v>0</v>
      </c>
      <c r="BG6" s="289">
        <f t="shared" ref="BG6:BG12" si="1">(BF6/AH6)*(AB6/O6)</f>
        <v>0</v>
      </c>
      <c r="BH6" s="634" t="e">
        <f>BF6/AX6</f>
        <v>#DIV/0!</v>
      </c>
      <c r="BI6" s="362"/>
      <c r="BJ6" s="351"/>
      <c r="BK6" s="292"/>
      <c r="BL6" s="804"/>
      <c r="BM6" s="293"/>
      <c r="BN6" s="293"/>
      <c r="BO6" s="293"/>
      <c r="BP6" s="293"/>
      <c r="BQ6" s="293"/>
      <c r="BR6" s="293"/>
      <c r="BS6" s="294"/>
    </row>
    <row r="7" spans="1:71" s="277" customFormat="1" ht="15" x14ac:dyDescent="0.2">
      <c r="A7" s="339"/>
      <c r="B7" s="340">
        <v>44251</v>
      </c>
      <c r="C7" s="392" t="s">
        <v>243</v>
      </c>
      <c r="D7" s="662" t="s">
        <v>244</v>
      </c>
      <c r="E7" s="582" t="s">
        <v>232</v>
      </c>
      <c r="F7" s="663" t="s">
        <v>233</v>
      </c>
      <c r="G7" s="222"/>
      <c r="H7" s="222"/>
      <c r="I7" s="222"/>
      <c r="J7" s="222"/>
      <c r="K7" s="222"/>
      <c r="L7" s="222" t="s">
        <v>234</v>
      </c>
      <c r="M7" s="222"/>
      <c r="N7" s="281">
        <v>44252</v>
      </c>
      <c r="O7" s="222">
        <v>50</v>
      </c>
      <c r="P7" s="222" t="s">
        <v>235</v>
      </c>
      <c r="Q7" s="222" t="s">
        <v>236</v>
      </c>
      <c r="R7" s="222" t="s">
        <v>237</v>
      </c>
      <c r="S7" s="378">
        <v>7.16</v>
      </c>
      <c r="T7" s="378">
        <v>3.49</v>
      </c>
      <c r="U7" s="378">
        <v>57.5</v>
      </c>
      <c r="V7" s="485" t="s">
        <v>238</v>
      </c>
      <c r="W7" s="295"/>
      <c r="X7" s="295"/>
      <c r="Y7" s="295"/>
      <c r="Z7" s="278" t="s">
        <v>239</v>
      </c>
      <c r="AA7" s="282"/>
      <c r="AB7" s="170">
        <v>50</v>
      </c>
      <c r="AC7" s="222"/>
      <c r="AD7" s="222" t="s">
        <v>240</v>
      </c>
      <c r="AE7" s="222" t="s">
        <v>425</v>
      </c>
      <c r="AF7" s="384" t="s">
        <v>242</v>
      </c>
      <c r="AG7" s="385">
        <v>44199</v>
      </c>
      <c r="AH7" s="386">
        <v>5</v>
      </c>
      <c r="AI7" s="295"/>
      <c r="AJ7" s="387" t="s">
        <v>95</v>
      </c>
      <c r="AK7" s="387" t="s">
        <v>95</v>
      </c>
      <c r="AL7" s="387">
        <v>34.42</v>
      </c>
      <c r="AM7" s="387">
        <f t="shared" ref="AM7:AM15" si="2">AVERAGE(AJ7:AL7)</f>
        <v>34.42</v>
      </c>
      <c r="AN7" s="391">
        <v>-3.4410714285714286</v>
      </c>
      <c r="AO7" s="391">
        <v>48.943513064185922</v>
      </c>
      <c r="AP7" s="290">
        <f t="shared" ref="AP7:AP15" si="3">IF(AND(AJ7="No CT",AK7="No CT",AL7="No CT"),0,10^((AM7-AO7)/AN7))</f>
        <v>16620.225235682763</v>
      </c>
      <c r="AQ7" s="276" t="e">
        <f t="shared" ref="AQ7:AQ15" si="4">AP7*100/$AP$14</f>
        <v>#DIV/0!</v>
      </c>
      <c r="AR7" s="388" t="s">
        <v>95</v>
      </c>
      <c r="AS7" s="388">
        <v>30.9070314840666</v>
      </c>
      <c r="AT7" s="388">
        <v>27.9562011973869</v>
      </c>
      <c r="AU7" s="387">
        <f t="shared" ref="AU7:AU14" si="5">AVERAGE(AR7:AT7)</f>
        <v>29.431616340726748</v>
      </c>
      <c r="AV7" s="390">
        <v>-3.5035151515151512</v>
      </c>
      <c r="AW7" s="390">
        <v>40.672666666666665</v>
      </c>
      <c r="AX7" s="291">
        <f>IF(AND(AR7="No CT",AS7="No CT",AT7="No CT"),0,10^((AU7-AW7)/AV7))</f>
        <v>1616.2415549234281</v>
      </c>
      <c r="AY7" s="276">
        <f t="shared" si="0"/>
        <v>323.24831098468565</v>
      </c>
      <c r="AZ7" s="388" t="s">
        <v>95</v>
      </c>
      <c r="BA7" s="388">
        <v>37.8260449026806</v>
      </c>
      <c r="BB7" s="388">
        <v>36.423091253113299</v>
      </c>
      <c r="BC7" s="387">
        <f t="shared" ref="BC7:BC15" si="6">AVERAGE(AZ7:BB7)</f>
        <v>37.124568077896953</v>
      </c>
      <c r="BD7" s="150">
        <v>-3.4617</v>
      </c>
      <c r="BE7" s="640">
        <v>42.390999999999998</v>
      </c>
      <c r="BF7" s="276">
        <f>IF(AND(AZ7="No CT",BA7="No CT",BB7="No CT"),0,10^((BC7-BE7)/BD7))</f>
        <v>33.215643482682204</v>
      </c>
      <c r="BG7" s="289">
        <f t="shared" si="1"/>
        <v>6.6431286965364409</v>
      </c>
      <c r="BH7" s="634">
        <f t="shared" ref="BH7:BH28" si="7">BF7/AX7</f>
        <v>2.0551162901052772E-2</v>
      </c>
      <c r="BI7" s="362"/>
      <c r="BJ7" s="351"/>
      <c r="BK7" s="298"/>
      <c r="BL7" s="804"/>
      <c r="BM7" s="293"/>
      <c r="BN7" s="293"/>
      <c r="BO7" s="293"/>
      <c r="BP7" s="293"/>
      <c r="BQ7" s="293"/>
      <c r="BR7" s="293"/>
      <c r="BS7" s="294"/>
    </row>
    <row r="8" spans="1:71" s="277" customFormat="1" ht="15" x14ac:dyDescent="0.2">
      <c r="A8" s="339"/>
      <c r="B8" s="340">
        <v>44251</v>
      </c>
      <c r="C8" s="392" t="s">
        <v>245</v>
      </c>
      <c r="D8" s="662" t="s">
        <v>231</v>
      </c>
      <c r="E8" s="582" t="s">
        <v>246</v>
      </c>
      <c r="F8" s="663" t="s">
        <v>233</v>
      </c>
      <c r="G8" s="222"/>
      <c r="H8" s="222"/>
      <c r="I8" s="222"/>
      <c r="J8" s="222"/>
      <c r="K8" s="222"/>
      <c r="L8" s="222" t="s">
        <v>234</v>
      </c>
      <c r="M8" s="222"/>
      <c r="N8" s="281">
        <v>44252</v>
      </c>
      <c r="O8" s="222">
        <v>50</v>
      </c>
      <c r="P8" s="222" t="s">
        <v>235</v>
      </c>
      <c r="Q8" s="222" t="s">
        <v>236</v>
      </c>
      <c r="R8" s="222" t="s">
        <v>237</v>
      </c>
      <c r="S8" s="378">
        <v>7.63</v>
      </c>
      <c r="T8" s="378">
        <v>3.8</v>
      </c>
      <c r="U8" s="378">
        <v>117</v>
      </c>
      <c r="V8" s="485" t="s">
        <v>238</v>
      </c>
      <c r="W8" s="295"/>
      <c r="X8" s="295"/>
      <c r="Y8" s="295"/>
      <c r="Z8" s="278" t="s">
        <v>239</v>
      </c>
      <c r="AA8" s="282"/>
      <c r="AB8" s="170">
        <v>50</v>
      </c>
      <c r="AC8" s="222"/>
      <c r="AD8" s="222" t="s">
        <v>240</v>
      </c>
      <c r="AE8" s="222" t="s">
        <v>425</v>
      </c>
      <c r="AF8" s="384" t="s">
        <v>242</v>
      </c>
      <c r="AG8" s="385">
        <v>44199</v>
      </c>
      <c r="AH8" s="386">
        <v>5</v>
      </c>
      <c r="AI8" s="295"/>
      <c r="AJ8" s="388" t="s">
        <v>95</v>
      </c>
      <c r="AK8" s="388" t="s">
        <v>95</v>
      </c>
      <c r="AL8" s="388" t="s">
        <v>95</v>
      </c>
      <c r="AM8" s="387" t="e">
        <f t="shared" si="2"/>
        <v>#DIV/0!</v>
      </c>
      <c r="AN8" s="391">
        <v>-3.4410714285714286</v>
      </c>
      <c r="AO8" s="391">
        <v>48.943513064185922</v>
      </c>
      <c r="AP8" s="290">
        <f t="shared" si="3"/>
        <v>0</v>
      </c>
      <c r="AQ8" s="276" t="e">
        <f t="shared" si="4"/>
        <v>#DIV/0!</v>
      </c>
      <c r="AR8" s="388" t="s">
        <v>95</v>
      </c>
      <c r="AS8" s="388" t="s">
        <v>95</v>
      </c>
      <c r="AT8" s="388" t="s">
        <v>95</v>
      </c>
      <c r="AU8" s="387" t="e">
        <f t="shared" si="5"/>
        <v>#DIV/0!</v>
      </c>
      <c r="AV8" s="390">
        <v>-3.5035151515151512</v>
      </c>
      <c r="AW8" s="390">
        <v>40.672666666666665</v>
      </c>
      <c r="AX8" s="291">
        <f t="shared" ref="AX8:AX15" si="8">IF(AND(AR8="No CT",AS8="No CT",AT8="No CT"),0,10^((AU8-AW8)/AV8))</f>
        <v>0</v>
      </c>
      <c r="AY8" s="276">
        <f t="shared" si="0"/>
        <v>0</v>
      </c>
      <c r="AZ8" s="387" t="s">
        <v>95</v>
      </c>
      <c r="BA8" s="387" t="s">
        <v>95</v>
      </c>
      <c r="BB8" s="387" t="s">
        <v>95</v>
      </c>
      <c r="BC8" s="387" t="e">
        <f t="shared" si="6"/>
        <v>#DIV/0!</v>
      </c>
      <c r="BD8" s="150">
        <v>-3.4617</v>
      </c>
      <c r="BE8" s="640">
        <v>42.390999999999998</v>
      </c>
      <c r="BF8" s="276">
        <f t="shared" ref="BF8:BF15" si="9">IF(AND(AZ8="No CT",BA8="No CT",BB8="No CT"),0,10^((BC8-BE8)/BD8))</f>
        <v>0</v>
      </c>
      <c r="BG8" s="289">
        <f t="shared" si="1"/>
        <v>0</v>
      </c>
      <c r="BH8" s="634" t="e">
        <f t="shared" si="7"/>
        <v>#DIV/0!</v>
      </c>
      <c r="BI8" s="362"/>
      <c r="BJ8" s="351"/>
      <c r="BK8" s="298"/>
      <c r="BL8" s="804"/>
      <c r="BM8" s="293"/>
      <c r="BN8" s="293"/>
      <c r="BO8" s="293"/>
      <c r="BP8" s="293"/>
      <c r="BQ8" s="293"/>
      <c r="BR8" s="293"/>
      <c r="BS8" s="294"/>
    </row>
    <row r="9" spans="1:71" s="277" customFormat="1" ht="13.25" customHeight="1" x14ac:dyDescent="0.2">
      <c r="A9" s="339"/>
      <c r="B9" s="340">
        <v>44251</v>
      </c>
      <c r="C9" s="392" t="s">
        <v>247</v>
      </c>
      <c r="D9" s="662" t="s">
        <v>244</v>
      </c>
      <c r="E9" s="582" t="s">
        <v>246</v>
      </c>
      <c r="F9" s="663" t="s">
        <v>233</v>
      </c>
      <c r="G9" s="222"/>
      <c r="H9" s="222"/>
      <c r="I9" s="222"/>
      <c r="J9" s="222"/>
      <c r="K9" s="222"/>
      <c r="L9" s="222" t="s">
        <v>234</v>
      </c>
      <c r="M9" s="222"/>
      <c r="N9" s="281">
        <v>44252</v>
      </c>
      <c r="O9" s="222">
        <v>50</v>
      </c>
      <c r="P9" s="222" t="s">
        <v>235</v>
      </c>
      <c r="Q9" s="222" t="s">
        <v>236</v>
      </c>
      <c r="R9" s="222" t="s">
        <v>237</v>
      </c>
      <c r="S9" s="378">
        <v>7.42</v>
      </c>
      <c r="T9" s="378">
        <v>3.84</v>
      </c>
      <c r="U9" s="378">
        <v>165</v>
      </c>
      <c r="V9" s="485" t="s">
        <v>238</v>
      </c>
      <c r="W9" s="295"/>
      <c r="X9" s="295"/>
      <c r="Y9" s="295"/>
      <c r="Z9" s="278" t="s">
        <v>239</v>
      </c>
      <c r="AA9" s="282"/>
      <c r="AB9" s="170">
        <v>50</v>
      </c>
      <c r="AC9" s="222"/>
      <c r="AD9" s="222" t="s">
        <v>240</v>
      </c>
      <c r="AE9" s="222" t="s">
        <v>425</v>
      </c>
      <c r="AF9" s="384" t="s">
        <v>242</v>
      </c>
      <c r="AG9" s="385">
        <v>44199</v>
      </c>
      <c r="AH9" s="386">
        <v>5</v>
      </c>
      <c r="AI9" s="295"/>
      <c r="AJ9" s="388" t="s">
        <v>95</v>
      </c>
      <c r="AK9" s="388" t="s">
        <v>95</v>
      </c>
      <c r="AL9" s="388" t="s">
        <v>95</v>
      </c>
      <c r="AM9" s="387" t="e">
        <f t="shared" si="2"/>
        <v>#DIV/0!</v>
      </c>
      <c r="AN9" s="391">
        <v>-3.4410714285714286</v>
      </c>
      <c r="AO9" s="391">
        <v>48.943513064185922</v>
      </c>
      <c r="AP9" s="290">
        <f t="shared" si="3"/>
        <v>0</v>
      </c>
      <c r="AQ9" s="276" t="e">
        <f t="shared" si="4"/>
        <v>#DIV/0!</v>
      </c>
      <c r="AR9" s="388" t="s">
        <v>95</v>
      </c>
      <c r="AS9" s="388" t="s">
        <v>95</v>
      </c>
      <c r="AT9" s="388" t="s">
        <v>95</v>
      </c>
      <c r="AU9" s="387" t="e">
        <f t="shared" si="5"/>
        <v>#DIV/0!</v>
      </c>
      <c r="AV9" s="390">
        <v>-3.5035151515151512</v>
      </c>
      <c r="AW9" s="390">
        <v>40.672666666666665</v>
      </c>
      <c r="AX9" s="291">
        <f t="shared" si="8"/>
        <v>0</v>
      </c>
      <c r="AY9" s="276">
        <f t="shared" si="0"/>
        <v>0</v>
      </c>
      <c r="AZ9" s="387" t="s">
        <v>95</v>
      </c>
      <c r="BA9" s="387" t="s">
        <v>95</v>
      </c>
      <c r="BB9" s="387" t="s">
        <v>95</v>
      </c>
      <c r="BC9" s="387" t="e">
        <f t="shared" si="6"/>
        <v>#DIV/0!</v>
      </c>
      <c r="BD9" s="150">
        <v>-3.4617</v>
      </c>
      <c r="BE9" s="640">
        <v>42.390999999999998</v>
      </c>
      <c r="BF9" s="276">
        <f t="shared" si="9"/>
        <v>0</v>
      </c>
      <c r="BG9" s="289">
        <f t="shared" si="1"/>
        <v>0</v>
      </c>
      <c r="BH9" s="634" t="e">
        <f t="shared" si="7"/>
        <v>#DIV/0!</v>
      </c>
      <c r="BI9" s="362"/>
      <c r="BJ9" s="351"/>
      <c r="BK9" s="298"/>
      <c r="BL9" s="804"/>
      <c r="BM9" s="293"/>
      <c r="BN9" s="293"/>
      <c r="BO9" s="293"/>
      <c r="BP9" s="293"/>
      <c r="BQ9" s="293"/>
      <c r="BR9" s="293"/>
      <c r="BS9" s="294"/>
    </row>
    <row r="10" spans="1:71" s="277" customFormat="1" ht="15" x14ac:dyDescent="0.2">
      <c r="A10" s="339"/>
      <c r="B10" s="340">
        <v>44251</v>
      </c>
      <c r="C10" s="392" t="s">
        <v>248</v>
      </c>
      <c r="D10" s="662" t="s">
        <v>231</v>
      </c>
      <c r="E10" s="582" t="s">
        <v>249</v>
      </c>
      <c r="F10" s="663" t="s">
        <v>233</v>
      </c>
      <c r="G10" s="222"/>
      <c r="H10" s="222"/>
      <c r="I10" s="222"/>
      <c r="J10" s="222"/>
      <c r="K10" s="222"/>
      <c r="L10" s="222" t="s">
        <v>234</v>
      </c>
      <c r="M10" s="222"/>
      <c r="N10" s="281">
        <v>44252</v>
      </c>
      <c r="O10" s="222">
        <v>50</v>
      </c>
      <c r="P10" s="222" t="s">
        <v>235</v>
      </c>
      <c r="Q10" s="222" t="s">
        <v>236</v>
      </c>
      <c r="R10" s="222" t="s">
        <v>237</v>
      </c>
      <c r="S10" s="378">
        <v>8.11</v>
      </c>
      <c r="T10" s="378">
        <v>4.3</v>
      </c>
      <c r="U10" s="378">
        <v>285</v>
      </c>
      <c r="V10" s="485" t="s">
        <v>238</v>
      </c>
      <c r="W10" s="295"/>
      <c r="X10" s="295"/>
      <c r="Y10" s="295"/>
      <c r="Z10" s="278" t="s">
        <v>239</v>
      </c>
      <c r="AA10" s="282"/>
      <c r="AB10" s="170">
        <v>50</v>
      </c>
      <c r="AC10" s="222"/>
      <c r="AD10" s="222" t="s">
        <v>240</v>
      </c>
      <c r="AE10" s="222" t="s">
        <v>425</v>
      </c>
      <c r="AF10" s="384" t="s">
        <v>242</v>
      </c>
      <c r="AG10" s="385">
        <v>44199</v>
      </c>
      <c r="AH10" s="386">
        <v>5</v>
      </c>
      <c r="AI10" s="295"/>
      <c r="AJ10" s="388">
        <v>26.88</v>
      </c>
      <c r="AK10" s="388">
        <v>26.27</v>
      </c>
      <c r="AL10" s="388">
        <v>26.47</v>
      </c>
      <c r="AM10" s="387">
        <f t="shared" si="2"/>
        <v>26.540000000000003</v>
      </c>
      <c r="AN10" s="391">
        <v>-3.4410714285714286</v>
      </c>
      <c r="AO10" s="391">
        <v>48.943513064185922</v>
      </c>
      <c r="AP10" s="290">
        <f t="shared" si="3"/>
        <v>3240569.474834349</v>
      </c>
      <c r="AQ10" s="276" t="e">
        <f t="shared" si="4"/>
        <v>#DIV/0!</v>
      </c>
      <c r="AR10" s="388">
        <v>25.477021436490102</v>
      </c>
      <c r="AS10" s="388">
        <v>25.337865998650098</v>
      </c>
      <c r="AT10" s="388">
        <v>25.345287840907599</v>
      </c>
      <c r="AU10" s="387">
        <f t="shared" si="5"/>
        <v>25.386725092015933</v>
      </c>
      <c r="AV10" s="390">
        <v>-3.5035151515151512</v>
      </c>
      <c r="AW10" s="390">
        <v>40.672666666666665</v>
      </c>
      <c r="AX10" s="291">
        <f t="shared" si="8"/>
        <v>23069.063311677161</v>
      </c>
      <c r="AY10" s="276">
        <f t="shared" si="0"/>
        <v>4613.8126623354319</v>
      </c>
      <c r="AZ10" s="388">
        <v>29.667396185456202</v>
      </c>
      <c r="BA10" s="388">
        <v>29.4361464041041</v>
      </c>
      <c r="BB10" s="388">
        <v>29.5294100465653</v>
      </c>
      <c r="BC10" s="387">
        <f t="shared" si="6"/>
        <v>29.544317545375204</v>
      </c>
      <c r="BD10" s="150">
        <v>-3.4617</v>
      </c>
      <c r="BE10" s="640">
        <v>42.390999999999998</v>
      </c>
      <c r="BF10" s="276">
        <f t="shared" si="9"/>
        <v>5141.5094219268467</v>
      </c>
      <c r="BG10" s="289">
        <f t="shared" si="1"/>
        <v>1028.3018843853692</v>
      </c>
      <c r="BH10" s="634">
        <f t="shared" si="7"/>
        <v>0.22287465045554336</v>
      </c>
      <c r="BI10" s="362"/>
      <c r="BJ10" s="351"/>
      <c r="BK10" s="298"/>
      <c r="BL10" s="804"/>
      <c r="BM10" s="293"/>
      <c r="BN10" s="293"/>
      <c r="BO10" s="293"/>
      <c r="BP10" s="293"/>
      <c r="BQ10" s="293"/>
      <c r="BR10" s="293"/>
      <c r="BS10" s="294"/>
    </row>
    <row r="11" spans="1:71" s="277" customFormat="1" ht="15" x14ac:dyDescent="0.2">
      <c r="A11" s="339"/>
      <c r="B11" s="340">
        <v>44251</v>
      </c>
      <c r="C11" s="392" t="s">
        <v>250</v>
      </c>
      <c r="D11" s="662" t="s">
        <v>244</v>
      </c>
      <c r="E11" s="582" t="s">
        <v>249</v>
      </c>
      <c r="F11" s="663" t="s">
        <v>233</v>
      </c>
      <c r="G11" s="222"/>
      <c r="H11" s="222"/>
      <c r="I11" s="222"/>
      <c r="J11" s="222"/>
      <c r="K11" s="222"/>
      <c r="L11" s="222" t="s">
        <v>234</v>
      </c>
      <c r="M11" s="222"/>
      <c r="N11" s="281">
        <v>44252</v>
      </c>
      <c r="O11" s="222">
        <v>50</v>
      </c>
      <c r="P11" s="222" t="s">
        <v>235</v>
      </c>
      <c r="Q11" s="222" t="s">
        <v>236</v>
      </c>
      <c r="R11" s="222" t="s">
        <v>237</v>
      </c>
      <c r="S11" s="378">
        <v>8.69</v>
      </c>
      <c r="T11" s="378">
        <v>4.33</v>
      </c>
      <c r="U11" s="378">
        <v>58.2</v>
      </c>
      <c r="V11" s="485" t="s">
        <v>238</v>
      </c>
      <c r="W11" s="295"/>
      <c r="X11" s="295"/>
      <c r="Y11" s="295"/>
      <c r="Z11" s="278" t="s">
        <v>239</v>
      </c>
      <c r="AA11" s="282"/>
      <c r="AB11" s="170">
        <v>50</v>
      </c>
      <c r="AC11" s="222"/>
      <c r="AD11" s="222" t="s">
        <v>240</v>
      </c>
      <c r="AE11" s="222" t="s">
        <v>425</v>
      </c>
      <c r="AF11" s="384" t="s">
        <v>242</v>
      </c>
      <c r="AG11" s="385">
        <v>44199</v>
      </c>
      <c r="AH11" s="386">
        <v>5</v>
      </c>
      <c r="AI11" s="295"/>
      <c r="AJ11" s="388">
        <v>28.39</v>
      </c>
      <c r="AK11" s="388">
        <v>24.24</v>
      </c>
      <c r="AL11" s="388">
        <v>24.49</v>
      </c>
      <c r="AM11" s="387">
        <f t="shared" si="2"/>
        <v>25.706666666666663</v>
      </c>
      <c r="AN11" s="391">
        <v>-3.4410714285714286</v>
      </c>
      <c r="AO11" s="391">
        <v>48.943513064185922</v>
      </c>
      <c r="AP11" s="290">
        <f t="shared" si="3"/>
        <v>5659707.2955483682</v>
      </c>
      <c r="AQ11" s="276" t="e">
        <f t="shared" si="4"/>
        <v>#DIV/0!</v>
      </c>
      <c r="AR11" s="388">
        <v>26.870271949934999</v>
      </c>
      <c r="AS11" s="388">
        <v>26.6537995984467</v>
      </c>
      <c r="AT11" s="388">
        <v>26.437251158207999</v>
      </c>
      <c r="AU11" s="387">
        <f t="shared" si="5"/>
        <v>26.653774235529898</v>
      </c>
      <c r="AV11" s="390">
        <v>-3.5035151515151512</v>
      </c>
      <c r="AW11" s="390">
        <v>40.672666666666665</v>
      </c>
      <c r="AX11" s="291">
        <f t="shared" si="8"/>
        <v>10031.806262780156</v>
      </c>
      <c r="AY11" s="276">
        <f t="shared" si="0"/>
        <v>2006.3612525560311</v>
      </c>
      <c r="AZ11" s="388">
        <v>29.2485200544753</v>
      </c>
      <c r="BA11" s="388">
        <v>29.227892015616</v>
      </c>
      <c r="BB11" s="388">
        <v>29.161449432524201</v>
      </c>
      <c r="BC11" s="387">
        <f t="shared" si="6"/>
        <v>29.212620500871832</v>
      </c>
      <c r="BD11" s="150">
        <v>-3.4617</v>
      </c>
      <c r="BE11" s="640">
        <v>42.390999999999998</v>
      </c>
      <c r="BF11" s="276">
        <f t="shared" si="9"/>
        <v>6410.763492392578</v>
      </c>
      <c r="BG11" s="289">
        <f t="shared" si="1"/>
        <v>1282.1526984785155</v>
      </c>
      <c r="BH11" s="634">
        <f t="shared" si="7"/>
        <v>0.63904378976871679</v>
      </c>
      <c r="BI11" s="362"/>
      <c r="BJ11" s="351"/>
      <c r="BK11" s="298"/>
      <c r="BL11" s="804"/>
      <c r="BM11" s="293"/>
      <c r="BN11" s="293"/>
      <c r="BO11" s="293"/>
      <c r="BP11" s="293"/>
      <c r="BQ11" s="293"/>
      <c r="BR11" s="293"/>
      <c r="BS11" s="294"/>
    </row>
    <row r="12" spans="1:71" s="277" customFormat="1" ht="15" x14ac:dyDescent="0.2">
      <c r="A12" s="339"/>
      <c r="B12" s="340">
        <v>44251</v>
      </c>
      <c r="C12" s="392" t="s">
        <v>251</v>
      </c>
      <c r="D12" s="662" t="s">
        <v>231</v>
      </c>
      <c r="E12" s="582" t="s">
        <v>252</v>
      </c>
      <c r="F12" s="663" t="s">
        <v>233</v>
      </c>
      <c r="G12" s="222"/>
      <c r="H12" s="222"/>
      <c r="I12" s="222"/>
      <c r="J12" s="222"/>
      <c r="K12" s="222"/>
      <c r="L12" s="222" t="s">
        <v>234</v>
      </c>
      <c r="M12" s="222"/>
      <c r="N12" s="281">
        <v>44252</v>
      </c>
      <c r="O12" s="222">
        <v>50</v>
      </c>
      <c r="P12" s="222" t="s">
        <v>235</v>
      </c>
      <c r="Q12" s="222" t="s">
        <v>236</v>
      </c>
      <c r="R12" s="222" t="s">
        <v>237</v>
      </c>
      <c r="S12" s="378">
        <v>8.07</v>
      </c>
      <c r="T12" s="378">
        <v>4.0599999999999996</v>
      </c>
      <c r="U12" s="378">
        <v>34.799999999999997</v>
      </c>
      <c r="V12" s="485" t="s">
        <v>238</v>
      </c>
      <c r="W12" s="295"/>
      <c r="X12" s="295"/>
      <c r="Y12" s="295"/>
      <c r="Z12" s="278" t="s">
        <v>239</v>
      </c>
      <c r="AA12" s="282"/>
      <c r="AB12" s="170">
        <v>50</v>
      </c>
      <c r="AC12" s="222"/>
      <c r="AD12" s="222" t="s">
        <v>240</v>
      </c>
      <c r="AE12" s="222" t="s">
        <v>425</v>
      </c>
      <c r="AF12" s="384" t="s">
        <v>242</v>
      </c>
      <c r="AG12" s="385">
        <v>44199</v>
      </c>
      <c r="AH12" s="386">
        <v>5</v>
      </c>
      <c r="AI12" s="295"/>
      <c r="AJ12" s="388">
        <v>39.799999999999997</v>
      </c>
      <c r="AK12" s="388" t="s">
        <v>95</v>
      </c>
      <c r="AL12" s="388">
        <v>32.549999999999997</v>
      </c>
      <c r="AM12" s="387">
        <f t="shared" si="2"/>
        <v>36.174999999999997</v>
      </c>
      <c r="AN12" s="391">
        <v>-3.4410714285714286</v>
      </c>
      <c r="AO12" s="391">
        <v>48.943513064185922</v>
      </c>
      <c r="AP12" s="290">
        <f t="shared" si="3"/>
        <v>5135.9565003622556</v>
      </c>
      <c r="AQ12" s="276" t="e">
        <f t="shared" si="4"/>
        <v>#DIV/0!</v>
      </c>
      <c r="AR12" s="388">
        <v>27.8401749932722</v>
      </c>
      <c r="AS12" s="388">
        <v>28.247636220503999</v>
      </c>
      <c r="AT12" s="388">
        <v>27.3576657188956</v>
      </c>
      <c r="AU12" s="387">
        <f t="shared" si="5"/>
        <v>27.815158977557264</v>
      </c>
      <c r="AV12" s="390">
        <v>-3.5035151515151512</v>
      </c>
      <c r="AW12" s="390">
        <v>40.672666666666665</v>
      </c>
      <c r="AX12" s="291">
        <f t="shared" si="8"/>
        <v>4676.1437203400301</v>
      </c>
      <c r="AY12" s="276">
        <f t="shared" si="0"/>
        <v>935.22874406800599</v>
      </c>
      <c r="AZ12" s="388">
        <v>36.661875865142697</v>
      </c>
      <c r="BA12" s="388">
        <v>37.257704069036897</v>
      </c>
      <c r="BB12" s="388">
        <v>37.389100641456999</v>
      </c>
      <c r="BC12" s="387">
        <f t="shared" si="6"/>
        <v>37.102893525212203</v>
      </c>
      <c r="BD12" s="150">
        <v>-3.4617</v>
      </c>
      <c r="BE12" s="640">
        <v>42.390999999999998</v>
      </c>
      <c r="BF12" s="276">
        <f t="shared" si="9"/>
        <v>33.697983681645823</v>
      </c>
      <c r="BG12" s="289">
        <f t="shared" si="1"/>
        <v>6.7395967363291645</v>
      </c>
      <c r="BH12" s="634">
        <f t="shared" si="7"/>
        <v>7.2063618436422746E-3</v>
      </c>
      <c r="BI12" s="362"/>
      <c r="BJ12" s="351"/>
      <c r="BK12" s="298"/>
      <c r="BL12" s="804"/>
      <c r="BM12" s="293"/>
      <c r="BN12" s="293"/>
      <c r="BO12" s="293"/>
      <c r="BP12" s="293"/>
      <c r="BQ12" s="293"/>
      <c r="BR12" s="293"/>
      <c r="BS12" s="294"/>
    </row>
    <row r="13" spans="1:71" s="277" customFormat="1" ht="15" x14ac:dyDescent="0.2">
      <c r="A13" s="339"/>
      <c r="B13" s="340">
        <v>44251</v>
      </c>
      <c r="C13" s="392" t="s">
        <v>253</v>
      </c>
      <c r="D13" s="662" t="s">
        <v>244</v>
      </c>
      <c r="E13" s="582" t="s">
        <v>252</v>
      </c>
      <c r="F13" s="663" t="s">
        <v>233</v>
      </c>
      <c r="G13" s="222"/>
      <c r="H13" s="222"/>
      <c r="I13" s="222"/>
      <c r="J13" s="222"/>
      <c r="K13" s="222"/>
      <c r="L13" s="222" t="s">
        <v>234</v>
      </c>
      <c r="M13" s="222"/>
      <c r="N13" s="281">
        <v>44252</v>
      </c>
      <c r="O13" s="222">
        <v>50</v>
      </c>
      <c r="P13" s="222" t="s">
        <v>235</v>
      </c>
      <c r="Q13" s="222" t="s">
        <v>236</v>
      </c>
      <c r="R13" s="222" t="s">
        <v>237</v>
      </c>
      <c r="S13" s="379">
        <v>7.9</v>
      </c>
      <c r="T13" s="380">
        <v>3.56</v>
      </c>
      <c r="U13" s="380">
        <v>37.5</v>
      </c>
      <c r="V13" s="485" t="s">
        <v>238</v>
      </c>
      <c r="W13" s="295"/>
      <c r="X13" s="295"/>
      <c r="Y13" s="295"/>
      <c r="Z13" s="278" t="s">
        <v>239</v>
      </c>
      <c r="AA13" s="282"/>
      <c r="AB13" s="170">
        <v>50</v>
      </c>
      <c r="AC13" s="222"/>
      <c r="AD13" s="222" t="s">
        <v>240</v>
      </c>
      <c r="AE13" s="222" t="s">
        <v>425</v>
      </c>
      <c r="AF13" s="384" t="s">
        <v>242</v>
      </c>
      <c r="AG13" s="385">
        <v>44199</v>
      </c>
      <c r="AH13" s="386">
        <v>5</v>
      </c>
      <c r="AI13" s="295"/>
      <c r="AJ13" s="388">
        <v>29.33</v>
      </c>
      <c r="AK13" s="388">
        <v>27.88</v>
      </c>
      <c r="AL13" s="388">
        <v>26.46</v>
      </c>
      <c r="AM13" s="387">
        <f t="shared" si="2"/>
        <v>27.889999999999997</v>
      </c>
      <c r="AN13" s="391">
        <v>-3.4410714285714286</v>
      </c>
      <c r="AO13" s="391">
        <v>48.943513064185922</v>
      </c>
      <c r="AP13" s="290">
        <f t="shared" si="3"/>
        <v>1313111.6936951883</v>
      </c>
      <c r="AQ13" s="276" t="e">
        <f t="shared" si="4"/>
        <v>#DIV/0!</v>
      </c>
      <c r="AR13" s="388">
        <v>27.055740579471902</v>
      </c>
      <c r="AS13" s="388">
        <v>26.185034133222999</v>
      </c>
      <c r="AT13" s="388">
        <v>26.183989962865201</v>
      </c>
      <c r="AU13" s="387">
        <f t="shared" si="5"/>
        <v>26.474921558520034</v>
      </c>
      <c r="AV13" s="390">
        <v>-3.5035151515151512</v>
      </c>
      <c r="AW13" s="390">
        <v>40.672666666666665</v>
      </c>
      <c r="AX13" s="291">
        <f t="shared" si="8"/>
        <v>11283.105026828034</v>
      </c>
      <c r="AY13" s="276">
        <f t="shared" ref="AY13:AY15" si="10">(AX13/AH13)*(AB13/O13)</f>
        <v>2256.6210053656068</v>
      </c>
      <c r="AZ13" s="388">
        <v>39.5350642313227</v>
      </c>
      <c r="BA13" s="388">
        <v>38.652231037213198</v>
      </c>
      <c r="BB13" s="388">
        <v>34.823260083081202</v>
      </c>
      <c r="BC13" s="387">
        <f t="shared" si="6"/>
        <v>37.670185117205705</v>
      </c>
      <c r="BD13" s="150">
        <v>-3.4617</v>
      </c>
      <c r="BE13" s="640">
        <v>42.390999999999998</v>
      </c>
      <c r="BF13" s="276">
        <f t="shared" si="9"/>
        <v>23.106136016593702</v>
      </c>
      <c r="BG13" s="289">
        <f t="shared" ref="BG13:BG14" si="11">(BF13/AH13)*(AB13/O13)</f>
        <v>4.6212272033187407</v>
      </c>
      <c r="BH13" s="634">
        <f>BF13/AX13</f>
        <v>2.0478526045493543E-3</v>
      </c>
      <c r="BI13" s="362"/>
      <c r="BJ13" s="351"/>
      <c r="BK13" s="298"/>
      <c r="BL13" s="804"/>
      <c r="BM13" s="293"/>
      <c r="BN13" s="293"/>
      <c r="BO13" s="293"/>
      <c r="BP13" s="293"/>
      <c r="BQ13" s="293"/>
      <c r="BR13" s="293"/>
      <c r="BS13" s="294"/>
    </row>
    <row r="14" spans="1:71" s="277" customFormat="1" ht="15" x14ac:dyDescent="0.2">
      <c r="A14" s="339"/>
      <c r="B14" s="340"/>
      <c r="C14" s="299" t="s">
        <v>254</v>
      </c>
      <c r="D14" s="664" t="s">
        <v>254</v>
      </c>
      <c r="E14" s="582" t="s">
        <v>254</v>
      </c>
      <c r="F14" s="665" t="s">
        <v>254</v>
      </c>
      <c r="G14" s="222"/>
      <c r="H14" s="222"/>
      <c r="I14" s="222"/>
      <c r="J14" s="222"/>
      <c r="K14" s="222"/>
      <c r="L14" s="295"/>
      <c r="M14" s="295"/>
      <c r="N14" s="282"/>
      <c r="O14" s="222"/>
      <c r="P14" s="222"/>
      <c r="Q14" s="222"/>
      <c r="R14" s="295"/>
      <c r="S14" s="296"/>
      <c r="T14" s="295"/>
      <c r="U14" s="295"/>
      <c r="V14" s="417"/>
      <c r="W14" s="295"/>
      <c r="X14" s="295"/>
      <c r="Y14" s="295"/>
      <c r="Z14" s="278" t="s">
        <v>239</v>
      </c>
      <c r="AA14" s="282"/>
      <c r="AB14" s="170">
        <v>50</v>
      </c>
      <c r="AC14" s="222"/>
      <c r="AD14" s="222" t="s">
        <v>240</v>
      </c>
      <c r="AE14" s="222" t="s">
        <v>425</v>
      </c>
      <c r="AF14" s="384" t="s">
        <v>242</v>
      </c>
      <c r="AG14" s="385">
        <v>44199</v>
      </c>
      <c r="AH14" s="386">
        <v>5</v>
      </c>
      <c r="AI14" s="295"/>
      <c r="AJ14" s="388" t="s">
        <v>95</v>
      </c>
      <c r="AK14" s="388" t="s">
        <v>95</v>
      </c>
      <c r="AL14" s="388" t="s">
        <v>95</v>
      </c>
      <c r="AM14" s="387" t="e">
        <f t="shared" si="2"/>
        <v>#DIV/0!</v>
      </c>
      <c r="AN14" s="391">
        <v>-3.4410714285714286</v>
      </c>
      <c r="AO14" s="391">
        <v>48.943513064185922</v>
      </c>
      <c r="AP14" s="290">
        <f t="shared" si="3"/>
        <v>0</v>
      </c>
      <c r="AQ14" s="276" t="e">
        <f t="shared" si="4"/>
        <v>#DIV/0!</v>
      </c>
      <c r="AR14" s="388" t="s">
        <v>95</v>
      </c>
      <c r="AS14" s="388" t="s">
        <v>95</v>
      </c>
      <c r="AT14" s="388" t="s">
        <v>95</v>
      </c>
      <c r="AU14" s="387" t="e">
        <f t="shared" si="5"/>
        <v>#DIV/0!</v>
      </c>
      <c r="AV14" s="390">
        <v>-3.5035151515151512</v>
      </c>
      <c r="AW14" s="390">
        <v>40.672666666666665</v>
      </c>
      <c r="AX14" s="291">
        <f t="shared" si="8"/>
        <v>0</v>
      </c>
      <c r="AY14" s="276" t="e">
        <f t="shared" si="10"/>
        <v>#DIV/0!</v>
      </c>
      <c r="AZ14" s="388" t="s">
        <v>95</v>
      </c>
      <c r="BA14" s="388" t="s">
        <v>95</v>
      </c>
      <c r="BB14" s="388" t="s">
        <v>95</v>
      </c>
      <c r="BC14" s="387" t="e">
        <f t="shared" si="6"/>
        <v>#DIV/0!</v>
      </c>
      <c r="BD14" s="150">
        <v>-3.4617</v>
      </c>
      <c r="BE14" s="640">
        <v>42.390999999999998</v>
      </c>
      <c r="BF14" s="276">
        <f t="shared" si="9"/>
        <v>0</v>
      </c>
      <c r="BG14" s="289" t="e">
        <f t="shared" si="11"/>
        <v>#DIV/0!</v>
      </c>
      <c r="BH14" s="634" t="e">
        <f t="shared" si="7"/>
        <v>#DIV/0!</v>
      </c>
      <c r="BI14" s="362"/>
      <c r="BJ14" s="351"/>
      <c r="BK14" s="298"/>
      <c r="BL14" s="804"/>
      <c r="BM14" s="293"/>
      <c r="BN14" s="293"/>
      <c r="BO14" s="293"/>
      <c r="BP14" s="293"/>
      <c r="BQ14" s="293"/>
      <c r="BR14" s="293"/>
      <c r="BS14" s="294"/>
    </row>
    <row r="15" spans="1:71" s="277" customFormat="1" ht="15" x14ac:dyDescent="0.2">
      <c r="A15" s="339"/>
      <c r="B15" s="340"/>
      <c r="C15" s="299" t="s">
        <v>255</v>
      </c>
      <c r="D15" s="664" t="s">
        <v>255</v>
      </c>
      <c r="E15" s="582" t="s">
        <v>255</v>
      </c>
      <c r="F15" s="665" t="s">
        <v>255</v>
      </c>
      <c r="G15" s="222"/>
      <c r="H15" s="222"/>
      <c r="I15" s="222"/>
      <c r="J15" s="222"/>
      <c r="K15" s="222"/>
      <c r="L15" s="295"/>
      <c r="M15" s="295"/>
      <c r="N15" s="282"/>
      <c r="O15" s="222"/>
      <c r="P15" s="222"/>
      <c r="Q15" s="222"/>
      <c r="R15" s="295"/>
      <c r="S15" s="296"/>
      <c r="T15" s="295"/>
      <c r="U15" s="295"/>
      <c r="V15" s="417"/>
      <c r="W15" s="295"/>
      <c r="X15" s="295"/>
      <c r="Y15" s="295"/>
      <c r="Z15" s="278" t="s">
        <v>239</v>
      </c>
      <c r="AA15" s="282"/>
      <c r="AB15" s="170">
        <v>50</v>
      </c>
      <c r="AC15" s="222"/>
      <c r="AD15" s="222" t="s">
        <v>240</v>
      </c>
      <c r="AE15" s="222" t="s">
        <v>425</v>
      </c>
      <c r="AF15" s="384" t="s">
        <v>242</v>
      </c>
      <c r="AG15" s="385">
        <v>44199</v>
      </c>
      <c r="AH15" s="386">
        <v>5</v>
      </c>
      <c r="AI15" s="295"/>
      <c r="AJ15" s="388">
        <v>38.618901505747999</v>
      </c>
      <c r="AK15" s="388">
        <v>38.308752483455002</v>
      </c>
      <c r="AL15" s="388">
        <v>39.847841091291698</v>
      </c>
      <c r="AM15" s="387">
        <f t="shared" si="2"/>
        <v>38.925165026831571</v>
      </c>
      <c r="AN15" s="391">
        <v>-3.4410714285714286</v>
      </c>
      <c r="AO15" s="391">
        <v>48.943513064185922</v>
      </c>
      <c r="AP15" s="290">
        <f t="shared" si="3"/>
        <v>815.461919172801</v>
      </c>
      <c r="AQ15" s="276" t="e">
        <f t="shared" si="4"/>
        <v>#DIV/0!</v>
      </c>
      <c r="AR15" s="388" t="s">
        <v>95</v>
      </c>
      <c r="AS15" s="388" t="s">
        <v>95</v>
      </c>
      <c r="AT15" s="388">
        <v>38.574560160592704</v>
      </c>
      <c r="AU15" s="387">
        <f>AVERAGE(AR15:AT15)</f>
        <v>38.574560160592704</v>
      </c>
      <c r="AV15" s="390">
        <v>-3.5035151515151512</v>
      </c>
      <c r="AW15" s="390">
        <v>40.672666666666665</v>
      </c>
      <c r="AX15" s="291">
        <f t="shared" si="8"/>
        <v>3.9706129229426566</v>
      </c>
      <c r="AY15" s="276" t="e">
        <f t="shared" si="10"/>
        <v>#DIV/0!</v>
      </c>
      <c r="AZ15" s="388">
        <v>34.357657341701298</v>
      </c>
      <c r="BA15" s="388">
        <v>36.555843670984302</v>
      </c>
      <c r="BB15" s="388">
        <v>34.824547453979903</v>
      </c>
      <c r="BC15" s="387">
        <f t="shared" si="6"/>
        <v>35.246016155555168</v>
      </c>
      <c r="BD15" s="150">
        <v>-3.4617</v>
      </c>
      <c r="BE15" s="640">
        <v>42.390999999999998</v>
      </c>
      <c r="BF15" s="276">
        <f t="shared" si="9"/>
        <v>115.88043677673694</v>
      </c>
      <c r="BG15" s="289" t="e">
        <f>(BF15/AH15)*(AB15/O15)</f>
        <v>#DIV/0!</v>
      </c>
      <c r="BH15" s="634">
        <f t="shared" si="7"/>
        <v>29.184521137068412</v>
      </c>
      <c r="BI15" s="362"/>
      <c r="BJ15" s="351"/>
      <c r="BK15" s="298"/>
      <c r="BL15" s="804"/>
      <c r="BM15" s="293"/>
      <c r="BN15" s="293"/>
      <c r="BO15" s="293"/>
      <c r="BP15" s="293"/>
      <c r="BQ15" s="293"/>
      <c r="BR15" s="293"/>
      <c r="BS15" s="294"/>
    </row>
    <row r="16" spans="1:71" s="277" customFormat="1" x14ac:dyDescent="0.2">
      <c r="A16" s="342"/>
      <c r="B16" s="342"/>
      <c r="C16" s="300"/>
      <c r="D16" s="666"/>
      <c r="E16" s="667"/>
      <c r="F16" s="668"/>
      <c r="G16" s="301"/>
      <c r="H16" s="301"/>
      <c r="I16" s="301"/>
      <c r="J16" s="301"/>
      <c r="K16" s="301"/>
      <c r="L16" s="302"/>
      <c r="M16" s="302"/>
      <c r="N16" s="279"/>
      <c r="O16" s="301"/>
      <c r="P16" s="301"/>
      <c r="Q16" s="301"/>
      <c r="R16" s="302"/>
      <c r="S16" s="303"/>
      <c r="T16" s="302"/>
      <c r="U16" s="302"/>
      <c r="V16" s="417"/>
      <c r="W16" s="302"/>
      <c r="X16" s="302"/>
      <c r="Y16" s="302"/>
      <c r="Z16" s="279"/>
      <c r="AA16" s="279"/>
      <c r="AB16" s="301"/>
      <c r="AC16" s="302"/>
      <c r="AD16" s="302"/>
      <c r="AE16" s="302"/>
      <c r="AF16" s="302"/>
      <c r="AG16" s="279"/>
      <c r="AH16" s="304"/>
      <c r="AI16" s="302"/>
      <c r="AJ16" s="305"/>
      <c r="AK16" s="305"/>
      <c r="AL16" s="302"/>
      <c r="AM16" s="306"/>
      <c r="AN16" s="306"/>
      <c r="AO16" s="306"/>
      <c r="AP16" s="307"/>
      <c r="AQ16" s="305"/>
      <c r="AR16" s="302"/>
      <c r="AS16" s="302"/>
      <c r="AT16" s="302"/>
      <c r="AU16" s="306"/>
      <c r="AV16" s="306"/>
      <c r="AW16" s="306"/>
      <c r="AX16" s="308"/>
      <c r="AY16" s="306"/>
      <c r="AZ16" s="302"/>
      <c r="BA16" s="302"/>
      <c r="BB16" s="302"/>
      <c r="BC16" s="302"/>
      <c r="BD16" s="301"/>
      <c r="BE16" s="301"/>
      <c r="BF16" s="304"/>
      <c r="BG16" s="304"/>
      <c r="BH16" s="635"/>
      <c r="BI16" s="446"/>
      <c r="BJ16" s="329"/>
      <c r="BK16" s="309"/>
      <c r="BL16" s="310"/>
      <c r="BM16" s="311"/>
      <c r="BN16" s="311"/>
      <c r="BO16" s="311"/>
      <c r="BP16" s="311"/>
      <c r="BQ16" s="311"/>
      <c r="BR16" s="311"/>
      <c r="BS16" s="310"/>
    </row>
    <row r="17" spans="1:71" s="277" customFormat="1" ht="15" x14ac:dyDescent="0.2">
      <c r="A17" s="339"/>
      <c r="B17" s="341">
        <v>44252</v>
      </c>
      <c r="C17" s="224" t="s">
        <v>230</v>
      </c>
      <c r="D17" s="670" t="s">
        <v>231</v>
      </c>
      <c r="E17" s="249" t="s">
        <v>232</v>
      </c>
      <c r="F17" s="671" t="s">
        <v>233</v>
      </c>
      <c r="G17" s="222"/>
      <c r="H17" s="222"/>
      <c r="I17" s="222"/>
      <c r="J17" s="222"/>
      <c r="K17" s="222"/>
      <c r="L17" s="222" t="s">
        <v>234</v>
      </c>
      <c r="M17" s="222"/>
      <c r="N17" s="281">
        <v>44253</v>
      </c>
      <c r="O17" s="222">
        <v>50</v>
      </c>
      <c r="P17" s="222" t="s">
        <v>235</v>
      </c>
      <c r="Q17" s="222" t="s">
        <v>236</v>
      </c>
      <c r="R17" s="295" t="s">
        <v>89</v>
      </c>
      <c r="S17" s="396">
        <v>7.38</v>
      </c>
      <c r="T17" s="396">
        <v>4.18</v>
      </c>
      <c r="U17" s="396">
        <v>16.3</v>
      </c>
      <c r="V17" s="486" t="s">
        <v>238</v>
      </c>
      <c r="W17" s="295"/>
      <c r="X17" s="295"/>
      <c r="Y17" s="295"/>
      <c r="Z17" s="282" t="s">
        <v>256</v>
      </c>
      <c r="AA17" s="282"/>
      <c r="AB17" s="222">
        <v>50</v>
      </c>
      <c r="AC17" s="295"/>
      <c r="AD17" s="295"/>
      <c r="AE17" s="222" t="s">
        <v>425</v>
      </c>
      <c r="AF17" s="295"/>
      <c r="AG17" s="282">
        <v>44230</v>
      </c>
      <c r="AH17" s="289">
        <v>5</v>
      </c>
      <c r="AI17" s="295"/>
      <c r="AJ17" s="297">
        <v>22.673906876906599</v>
      </c>
      <c r="AK17" s="297">
        <v>22.786551740876501</v>
      </c>
      <c r="AL17" s="297">
        <v>22.757628283701901</v>
      </c>
      <c r="AM17" s="276">
        <f t="shared" ref="AM17:AM28" si="12">AVERAGE(AJ17:AL17)</f>
        <v>22.739362300495003</v>
      </c>
      <c r="AN17" s="398">
        <v>-3.4617</v>
      </c>
      <c r="AO17" s="399">
        <v>42.390999999999998</v>
      </c>
      <c r="AP17" s="290">
        <f t="shared" ref="AP17:AP28" si="13">IF(AND(AJ17="No CT",AK17="No CT",AL17="No CT"),0,10^((AO17-AM17)/AN17))</f>
        <v>2.1043847260972534E-6</v>
      </c>
      <c r="AQ17" s="312">
        <f>AP17*100/$AP$27</f>
        <v>187.96188349272887</v>
      </c>
      <c r="AR17" s="168">
        <v>26.001817105542301</v>
      </c>
      <c r="AS17" s="168">
        <v>26.099375762393102</v>
      </c>
      <c r="AT17" s="168">
        <v>26.088323480054299</v>
      </c>
      <c r="AU17" s="276">
        <f t="shared" ref="AU17:AU28" si="14">AVERAGE(AR17:AT17)</f>
        <v>26.063172115996565</v>
      </c>
      <c r="AV17" s="400">
        <v>-3.5035151515151512</v>
      </c>
      <c r="AW17" s="400">
        <v>40.672666666666665</v>
      </c>
      <c r="AX17" s="291">
        <f>IF(AND(AR17="No CT",AS17="No CT",AT17="No CT"),0,10^((AU17-AW17)/AV17))</f>
        <v>14789.493306089162</v>
      </c>
      <c r="AY17" s="276">
        <f t="shared" ref="AY17:AY26" si="15">(AX17/AH17)*(AB17/O17)</f>
        <v>2957.8986612178323</v>
      </c>
      <c r="AZ17" s="348">
        <v>33.635021908650003</v>
      </c>
      <c r="BA17" s="348">
        <v>33.818601387954999</v>
      </c>
      <c r="BB17" s="348">
        <v>34.320925914339199</v>
      </c>
      <c r="BC17" s="349">
        <f>AVERAGE(AZ17:BB17)</f>
        <v>33.9248497369814</v>
      </c>
      <c r="BD17" s="150">
        <v>-3.4617</v>
      </c>
      <c r="BE17" s="640">
        <v>42.390999999999998</v>
      </c>
      <c r="BF17" s="289">
        <f>10^((BC17-BE17)/BD17)</f>
        <v>279.03752535506226</v>
      </c>
      <c r="BG17" s="289">
        <f t="shared" ref="BG17:BG26" si="16">(BF17/AH17)*(AB17/O17)</f>
        <v>55.80750507101245</v>
      </c>
      <c r="BH17" s="634">
        <f>BF17/AX17</f>
        <v>1.8867280952767754E-2</v>
      </c>
      <c r="BI17" s="362" t="s">
        <v>240</v>
      </c>
      <c r="BJ17" s="351"/>
      <c r="BK17" s="298"/>
      <c r="BL17" s="806" t="s">
        <v>257</v>
      </c>
      <c r="BM17" s="293"/>
      <c r="BN17" s="293"/>
      <c r="BO17" s="293"/>
      <c r="BP17" s="293"/>
      <c r="BQ17" s="293"/>
      <c r="BR17" s="293"/>
      <c r="BS17" s="294"/>
    </row>
    <row r="18" spans="1:71" s="277" customFormat="1" ht="15" x14ac:dyDescent="0.2">
      <c r="A18" s="339"/>
      <c r="B18" s="341">
        <v>44252</v>
      </c>
      <c r="C18" s="224" t="s">
        <v>243</v>
      </c>
      <c r="D18" s="670" t="s">
        <v>244</v>
      </c>
      <c r="E18" s="249" t="s">
        <v>232</v>
      </c>
      <c r="F18" s="671" t="s">
        <v>233</v>
      </c>
      <c r="G18" s="222"/>
      <c r="H18" s="222"/>
      <c r="I18" s="222"/>
      <c r="J18" s="222"/>
      <c r="K18" s="222"/>
      <c r="L18" s="222" t="s">
        <v>234</v>
      </c>
      <c r="M18" s="222"/>
      <c r="N18" s="281">
        <v>44253</v>
      </c>
      <c r="O18" s="222">
        <v>50</v>
      </c>
      <c r="P18" s="222" t="s">
        <v>235</v>
      </c>
      <c r="Q18" s="222" t="s">
        <v>236</v>
      </c>
      <c r="R18" s="295" t="s">
        <v>89</v>
      </c>
      <c r="S18" s="167">
        <v>7.33</v>
      </c>
      <c r="T18" s="166">
        <v>3.66</v>
      </c>
      <c r="U18" s="166">
        <v>75.8</v>
      </c>
      <c r="V18" s="486" t="s">
        <v>238</v>
      </c>
      <c r="W18" s="295"/>
      <c r="X18" s="295"/>
      <c r="Y18" s="295"/>
      <c r="Z18" s="282" t="s">
        <v>256</v>
      </c>
      <c r="AA18" s="282"/>
      <c r="AB18" s="222">
        <v>50</v>
      </c>
      <c r="AC18" s="295"/>
      <c r="AD18" s="295"/>
      <c r="AE18" s="222" t="s">
        <v>425</v>
      </c>
      <c r="AF18" s="295"/>
      <c r="AG18" s="282">
        <v>44230</v>
      </c>
      <c r="AH18" s="289">
        <v>5</v>
      </c>
      <c r="AI18" s="295"/>
      <c r="AJ18" s="297">
        <v>22.311578443276002</v>
      </c>
      <c r="AK18" s="297">
        <v>22.113063879872598</v>
      </c>
      <c r="AL18" s="297">
        <v>22.094895566245501</v>
      </c>
      <c r="AM18" s="276">
        <f t="shared" si="12"/>
        <v>22.173179296464699</v>
      </c>
      <c r="AN18" s="398">
        <v>-3.4617</v>
      </c>
      <c r="AO18" s="399">
        <v>42.390999999999998</v>
      </c>
      <c r="AP18" s="290">
        <f>IF(AND(AJ18="No CT",AK18="No CT",AL18="No CT"),0,10^((AO18-AM18)/AN18))</f>
        <v>1.444005324635599E-6</v>
      </c>
      <c r="AQ18" s="312">
        <f t="shared" ref="AQ18:AQ26" si="17">AP18*100/$AP$27</f>
        <v>128.9773477378362</v>
      </c>
      <c r="AR18" s="168">
        <v>25.242096880531001</v>
      </c>
      <c r="AS18" s="168">
        <v>25.245651128409101</v>
      </c>
      <c r="AT18" s="168">
        <v>25.292368387845801</v>
      </c>
      <c r="AU18" s="276">
        <f t="shared" si="14"/>
        <v>25.260038798928633</v>
      </c>
      <c r="AV18" s="400">
        <v>-3.5035151515151512</v>
      </c>
      <c r="AW18" s="400">
        <v>40.672666666666665</v>
      </c>
      <c r="AX18" s="291">
        <f>IF(AND(AR18="No CT",AS18="No CT",AT18="No CT"),0,10^((AU18-AW18)/AV18))</f>
        <v>25072.043254353437</v>
      </c>
      <c r="AY18" s="276">
        <f t="shared" si="15"/>
        <v>5014.4086508706878</v>
      </c>
      <c r="AZ18" s="348">
        <v>33.244630621318102</v>
      </c>
      <c r="BA18" s="348">
        <v>33.942316855756502</v>
      </c>
      <c r="BB18" s="348">
        <v>34.104746759528702</v>
      </c>
      <c r="BC18" s="349">
        <f t="shared" ref="BC18:BC28" si="18">AVERAGE(AZ18:BB18)</f>
        <v>33.763898078867761</v>
      </c>
      <c r="BD18" s="150">
        <v>-3.4617</v>
      </c>
      <c r="BE18" s="640">
        <v>42.390999999999998</v>
      </c>
      <c r="BF18" s="289">
        <f t="shared" ref="BF18:BF28" si="19">10^((BC18-BE18)/BD18)</f>
        <v>310.56863097686784</v>
      </c>
      <c r="BG18" s="289">
        <f t="shared" si="16"/>
        <v>62.113726195373566</v>
      </c>
      <c r="BH18" s="634">
        <f t="shared" si="7"/>
        <v>1.2387049105897725E-2</v>
      </c>
      <c r="BI18" s="362" t="s">
        <v>240</v>
      </c>
      <c r="BJ18" s="351"/>
      <c r="BK18" s="298"/>
      <c r="BL18" s="807"/>
      <c r="BM18" s="293"/>
      <c r="BN18" s="293"/>
      <c r="BO18" s="293"/>
      <c r="BP18" s="293"/>
      <c r="BQ18" s="293"/>
      <c r="BR18" s="293"/>
      <c r="BS18" s="294"/>
    </row>
    <row r="19" spans="1:71" s="277" customFormat="1" ht="15" x14ac:dyDescent="0.2">
      <c r="A19" s="339"/>
      <c r="B19" s="341">
        <v>44252</v>
      </c>
      <c r="C19" s="224" t="s">
        <v>245</v>
      </c>
      <c r="D19" s="670" t="s">
        <v>231</v>
      </c>
      <c r="E19" s="249" t="s">
        <v>246</v>
      </c>
      <c r="F19" s="671" t="s">
        <v>233</v>
      </c>
      <c r="G19" s="222"/>
      <c r="H19" s="222"/>
      <c r="I19" s="222"/>
      <c r="J19" s="222"/>
      <c r="K19" s="222"/>
      <c r="L19" s="222" t="s">
        <v>234</v>
      </c>
      <c r="M19" s="222"/>
      <c r="N19" s="281">
        <v>44253</v>
      </c>
      <c r="O19" s="222">
        <v>50</v>
      </c>
      <c r="P19" s="222" t="s">
        <v>235</v>
      </c>
      <c r="Q19" s="222" t="s">
        <v>236</v>
      </c>
      <c r="R19" s="295" t="s">
        <v>89</v>
      </c>
      <c r="S19" s="396">
        <v>7.42</v>
      </c>
      <c r="T19" s="396">
        <v>3.72</v>
      </c>
      <c r="U19" s="396">
        <v>95.9</v>
      </c>
      <c r="V19" s="486" t="s">
        <v>238</v>
      </c>
      <c r="W19" s="295"/>
      <c r="X19" s="295"/>
      <c r="Y19" s="295"/>
      <c r="Z19" s="282" t="s">
        <v>256</v>
      </c>
      <c r="AA19" s="282"/>
      <c r="AB19" s="222">
        <v>50</v>
      </c>
      <c r="AC19" s="295"/>
      <c r="AD19" s="295"/>
      <c r="AE19" s="222" t="s">
        <v>425</v>
      </c>
      <c r="AF19" s="295"/>
      <c r="AG19" s="282">
        <v>44230</v>
      </c>
      <c r="AH19" s="289">
        <v>5</v>
      </c>
      <c r="AI19" s="295"/>
      <c r="AJ19" s="297">
        <v>23.285638346979201</v>
      </c>
      <c r="AK19" s="297">
        <v>23.101164808279002</v>
      </c>
      <c r="AL19" s="297">
        <v>22.912503665731901</v>
      </c>
      <c r="AM19" s="276">
        <f t="shared" si="12"/>
        <v>23.099768940330037</v>
      </c>
      <c r="AN19" s="398">
        <v>-3.4617</v>
      </c>
      <c r="AO19" s="399">
        <v>42.390999999999998</v>
      </c>
      <c r="AP19" s="290">
        <f t="shared" si="13"/>
        <v>2.6744701564818158E-6</v>
      </c>
      <c r="AQ19" s="312">
        <f t="shared" si="17"/>
        <v>238.88143727868106</v>
      </c>
      <c r="AR19" s="168">
        <v>27.061966666872902</v>
      </c>
      <c r="AS19" s="168">
        <v>26.9625940191303</v>
      </c>
      <c r="AT19" s="168">
        <v>26.7435751951122</v>
      </c>
      <c r="AU19" s="276">
        <f t="shared" si="14"/>
        <v>26.922711960371799</v>
      </c>
      <c r="AV19" s="400">
        <v>-3.5035151515151512</v>
      </c>
      <c r="AW19" s="400">
        <v>40.672666666666665</v>
      </c>
      <c r="AX19" s="291">
        <f t="shared" ref="AX19:AX25" si="20">IF(AND(AR19="No CT",AS19="No CT",AT19="No CT"),0,10^((AU19-AW19)/AV19))</f>
        <v>8406.5322025520327</v>
      </c>
      <c r="AY19" s="276">
        <f t="shared" si="15"/>
        <v>1681.3064405104064</v>
      </c>
      <c r="AZ19" s="348">
        <v>30.407532892662601</v>
      </c>
      <c r="BA19" s="348">
        <v>30.291477774684399</v>
      </c>
      <c r="BB19" s="348">
        <v>30.363370181143502</v>
      </c>
      <c r="BC19" s="349">
        <f t="shared" si="18"/>
        <v>30.354126949496834</v>
      </c>
      <c r="BD19" s="150">
        <v>-3.4617</v>
      </c>
      <c r="BE19" s="640">
        <v>42.390999999999998</v>
      </c>
      <c r="BF19" s="289">
        <f t="shared" si="19"/>
        <v>3000.2442628384738</v>
      </c>
      <c r="BG19" s="289">
        <f t="shared" si="16"/>
        <v>600.04885256769478</v>
      </c>
      <c r="BH19" s="634">
        <f t="shared" si="7"/>
        <v>0.35689439956319535</v>
      </c>
      <c r="BI19" s="362" t="s">
        <v>240</v>
      </c>
      <c r="BJ19" s="351"/>
      <c r="BK19" s="298"/>
      <c r="BL19" s="807"/>
      <c r="BM19" s="293"/>
      <c r="BN19" s="293"/>
      <c r="BO19" s="293"/>
      <c r="BP19" s="293"/>
      <c r="BQ19" s="293"/>
      <c r="BR19" s="293"/>
      <c r="BS19" s="294"/>
    </row>
    <row r="20" spans="1:71" s="277" customFormat="1" ht="15" x14ac:dyDescent="0.2">
      <c r="A20" s="339"/>
      <c r="B20" s="341">
        <v>44252</v>
      </c>
      <c r="C20" s="224" t="s">
        <v>247</v>
      </c>
      <c r="D20" s="670" t="s">
        <v>244</v>
      </c>
      <c r="E20" s="249" t="s">
        <v>246</v>
      </c>
      <c r="F20" s="671" t="s">
        <v>233</v>
      </c>
      <c r="G20" s="222"/>
      <c r="H20" s="222"/>
      <c r="I20" s="222"/>
      <c r="J20" s="222"/>
      <c r="K20" s="222"/>
      <c r="L20" s="222" t="s">
        <v>234</v>
      </c>
      <c r="M20" s="222"/>
      <c r="N20" s="281">
        <v>44253</v>
      </c>
      <c r="O20" s="222">
        <v>50</v>
      </c>
      <c r="P20" s="222" t="s">
        <v>235</v>
      </c>
      <c r="Q20" s="222" t="s">
        <v>236</v>
      </c>
      <c r="R20" s="295" t="s">
        <v>89</v>
      </c>
      <c r="S20" s="167">
        <v>7.42</v>
      </c>
      <c r="T20" s="166">
        <v>3.69</v>
      </c>
      <c r="U20" s="166">
        <v>96.3</v>
      </c>
      <c r="V20" s="486" t="s">
        <v>238</v>
      </c>
      <c r="W20" s="295"/>
      <c r="X20" s="295"/>
      <c r="Y20" s="295"/>
      <c r="Z20" s="282" t="s">
        <v>256</v>
      </c>
      <c r="AA20" s="282"/>
      <c r="AB20" s="222">
        <v>50</v>
      </c>
      <c r="AC20" s="295"/>
      <c r="AD20" s="295"/>
      <c r="AE20" s="222" t="s">
        <v>425</v>
      </c>
      <c r="AF20" s="295"/>
      <c r="AG20" s="282">
        <v>44230</v>
      </c>
      <c r="AH20" s="289">
        <v>5</v>
      </c>
      <c r="AI20" s="295"/>
      <c r="AJ20" s="297">
        <v>22.8029417942424</v>
      </c>
      <c r="AK20" s="297">
        <v>22.872520286748301</v>
      </c>
      <c r="AL20" s="297">
        <v>22.9466534355311</v>
      </c>
      <c r="AM20" s="276">
        <f t="shared" si="12"/>
        <v>22.874038505507269</v>
      </c>
      <c r="AN20" s="398">
        <v>-3.4617</v>
      </c>
      <c r="AO20" s="399">
        <v>42.390999999999998</v>
      </c>
      <c r="AP20" s="290">
        <f t="shared" si="13"/>
        <v>2.3015996595688316E-6</v>
      </c>
      <c r="AQ20" s="312">
        <f t="shared" si="17"/>
        <v>205.57695638719824</v>
      </c>
      <c r="AR20" s="168">
        <v>27.031894409730501</v>
      </c>
      <c r="AS20" s="168">
        <v>26.942419176249501</v>
      </c>
      <c r="AT20" s="168">
        <v>26.8845598671004</v>
      </c>
      <c r="AU20" s="276">
        <f t="shared" si="14"/>
        <v>26.95295781769347</v>
      </c>
      <c r="AV20" s="400">
        <v>-3.5035151515151512</v>
      </c>
      <c r="AW20" s="400">
        <v>40.672666666666665</v>
      </c>
      <c r="AX20" s="291">
        <f t="shared" si="20"/>
        <v>8241.0752132446614</v>
      </c>
      <c r="AY20" s="276">
        <f t="shared" si="15"/>
        <v>1648.2150426489322</v>
      </c>
      <c r="AZ20" s="348">
        <v>27.2100580318506</v>
      </c>
      <c r="BA20" s="348">
        <v>27.150730304129301</v>
      </c>
      <c r="BB20" s="348">
        <v>27.127498454477799</v>
      </c>
      <c r="BC20" s="349">
        <f t="shared" si="18"/>
        <v>27.162762263485902</v>
      </c>
      <c r="BD20" s="150">
        <v>-3.4617</v>
      </c>
      <c r="BE20" s="640">
        <v>42.390999999999998</v>
      </c>
      <c r="BF20" s="289">
        <f t="shared" si="19"/>
        <v>25064.750725318463</v>
      </c>
      <c r="BG20" s="289">
        <f t="shared" si="16"/>
        <v>5012.9501450636926</v>
      </c>
      <c r="BH20" s="634">
        <f t="shared" si="7"/>
        <v>3.0414418115048383</v>
      </c>
      <c r="BI20" s="362" t="s">
        <v>240</v>
      </c>
      <c r="BJ20" s="351"/>
      <c r="BK20" s="298"/>
      <c r="BL20" s="807"/>
      <c r="BM20" s="293"/>
      <c r="BN20" s="293"/>
      <c r="BO20" s="293"/>
      <c r="BP20" s="293"/>
      <c r="BQ20" s="293"/>
      <c r="BR20" s="293"/>
      <c r="BS20" s="294"/>
    </row>
    <row r="21" spans="1:71" s="277" customFormat="1" ht="15" x14ac:dyDescent="0.2">
      <c r="A21" s="339"/>
      <c r="B21" s="341">
        <v>44252</v>
      </c>
      <c r="C21" s="224" t="s">
        <v>248</v>
      </c>
      <c r="D21" s="670" t="s">
        <v>231</v>
      </c>
      <c r="E21" s="249" t="s">
        <v>249</v>
      </c>
      <c r="F21" s="671" t="s">
        <v>233</v>
      </c>
      <c r="G21" s="222"/>
      <c r="H21" s="222"/>
      <c r="I21" s="222"/>
      <c r="J21" s="222"/>
      <c r="K21" s="222"/>
      <c r="L21" s="222" t="s">
        <v>234</v>
      </c>
      <c r="M21" s="222"/>
      <c r="N21" s="281">
        <v>44253</v>
      </c>
      <c r="O21" s="222">
        <v>50</v>
      </c>
      <c r="P21" s="222" t="s">
        <v>235</v>
      </c>
      <c r="Q21" s="222" t="s">
        <v>236</v>
      </c>
      <c r="R21" s="295" t="s">
        <v>89</v>
      </c>
      <c r="S21" s="396">
        <v>9.27</v>
      </c>
      <c r="T21" s="396">
        <v>3.97</v>
      </c>
      <c r="U21" s="396">
        <v>32.6</v>
      </c>
      <c r="V21" s="486" t="s">
        <v>238</v>
      </c>
      <c r="W21" s="295"/>
      <c r="X21" s="295"/>
      <c r="Y21" s="295"/>
      <c r="Z21" s="282" t="s">
        <v>256</v>
      </c>
      <c r="AA21" s="282"/>
      <c r="AB21" s="222">
        <v>50</v>
      </c>
      <c r="AC21" s="295"/>
      <c r="AD21" s="295"/>
      <c r="AE21" s="222" t="s">
        <v>425</v>
      </c>
      <c r="AF21" s="295"/>
      <c r="AG21" s="282">
        <v>44230</v>
      </c>
      <c r="AH21" s="289">
        <v>5</v>
      </c>
      <c r="AI21" s="295"/>
      <c r="AJ21" s="297">
        <v>23.1634967006535</v>
      </c>
      <c r="AK21" s="297">
        <v>23.006014771485301</v>
      </c>
      <c r="AL21" s="297">
        <v>22.7516441346372</v>
      </c>
      <c r="AM21" s="276">
        <f t="shared" si="12"/>
        <v>22.973718535591999</v>
      </c>
      <c r="AN21" s="398">
        <v>-3.4617</v>
      </c>
      <c r="AO21" s="399">
        <v>42.390999999999998</v>
      </c>
      <c r="AP21" s="290">
        <f t="shared" si="13"/>
        <v>2.4593757926398808E-6</v>
      </c>
      <c r="AQ21" s="312">
        <f t="shared" si="17"/>
        <v>219.66938861903307</v>
      </c>
      <c r="AR21" s="168">
        <v>28.874158958959601</v>
      </c>
      <c r="AS21" s="168">
        <v>28.969514980877001</v>
      </c>
      <c r="AT21" s="168">
        <v>28.753276187982401</v>
      </c>
      <c r="AU21" s="276">
        <f t="shared" si="14"/>
        <v>28.865650042606337</v>
      </c>
      <c r="AV21" s="400">
        <v>-3.5035151515151512</v>
      </c>
      <c r="AW21" s="400">
        <v>40.672666666666665</v>
      </c>
      <c r="AX21" s="291">
        <f t="shared" si="20"/>
        <v>2344.491613294354</v>
      </c>
      <c r="AY21" s="276">
        <f t="shared" si="15"/>
        <v>468.89832265887082</v>
      </c>
      <c r="AZ21" s="348">
        <v>30.235135252894501</v>
      </c>
      <c r="BA21" s="348">
        <v>30.139845503344201</v>
      </c>
      <c r="BB21" s="348">
        <v>30.080008208307799</v>
      </c>
      <c r="BC21" s="349">
        <f t="shared" si="18"/>
        <v>30.151662988182167</v>
      </c>
      <c r="BD21" s="150">
        <v>-3.4617</v>
      </c>
      <c r="BE21" s="640">
        <v>42.390999999999998</v>
      </c>
      <c r="BF21" s="289">
        <f t="shared" si="19"/>
        <v>3432.7602562374041</v>
      </c>
      <c r="BG21" s="289">
        <f t="shared" si="16"/>
        <v>686.55205124748079</v>
      </c>
      <c r="BH21" s="634">
        <f t="shared" si="7"/>
        <v>1.4641810773696364</v>
      </c>
      <c r="BI21" s="362" t="s">
        <v>240</v>
      </c>
      <c r="BJ21" s="351"/>
      <c r="BK21" s="298"/>
      <c r="BL21" s="807"/>
      <c r="BM21" s="293"/>
      <c r="BN21" s="293"/>
      <c r="BO21" s="293"/>
      <c r="BP21" s="293"/>
      <c r="BQ21" s="293"/>
      <c r="BR21" s="293"/>
      <c r="BS21" s="294"/>
    </row>
    <row r="22" spans="1:71" s="277" customFormat="1" ht="15" x14ac:dyDescent="0.2">
      <c r="A22" s="339"/>
      <c r="B22" s="341">
        <v>44252</v>
      </c>
      <c r="C22" s="224" t="s">
        <v>250</v>
      </c>
      <c r="D22" s="670" t="s">
        <v>244</v>
      </c>
      <c r="E22" s="249" t="s">
        <v>249</v>
      </c>
      <c r="F22" s="671" t="s">
        <v>233</v>
      </c>
      <c r="G22" s="222"/>
      <c r="H22" s="222"/>
      <c r="I22" s="222"/>
      <c r="J22" s="222"/>
      <c r="K22" s="222"/>
      <c r="L22" s="222" t="s">
        <v>234</v>
      </c>
      <c r="M22" s="222"/>
      <c r="N22" s="281">
        <v>44253</v>
      </c>
      <c r="O22" s="222">
        <v>50</v>
      </c>
      <c r="P22" s="222" t="s">
        <v>235</v>
      </c>
      <c r="Q22" s="222" t="s">
        <v>236</v>
      </c>
      <c r="R22" s="295" t="s">
        <v>89</v>
      </c>
      <c r="S22" s="167">
        <v>9.27</v>
      </c>
      <c r="T22" s="166">
        <v>3.97</v>
      </c>
      <c r="U22" s="401">
        <v>32.6</v>
      </c>
      <c r="V22" s="486" t="s">
        <v>238</v>
      </c>
      <c r="W22" s="295"/>
      <c r="X22" s="295"/>
      <c r="Y22" s="295"/>
      <c r="Z22" s="282" t="s">
        <v>256</v>
      </c>
      <c r="AA22" s="282"/>
      <c r="AB22" s="222">
        <v>50</v>
      </c>
      <c r="AC22" s="295"/>
      <c r="AD22" s="295"/>
      <c r="AE22" s="222" t="s">
        <v>425</v>
      </c>
      <c r="AF22" s="295"/>
      <c r="AG22" s="282">
        <v>44230</v>
      </c>
      <c r="AH22" s="289">
        <v>5</v>
      </c>
      <c r="AI22" s="295"/>
      <c r="AJ22" s="297">
        <v>22.490769098911201</v>
      </c>
      <c r="AK22" s="297">
        <v>22.3764001435393</v>
      </c>
      <c r="AL22" s="297">
        <v>22.386832518109401</v>
      </c>
      <c r="AM22" s="276">
        <f t="shared" si="12"/>
        <v>22.418000586853299</v>
      </c>
      <c r="AN22" s="398">
        <v>-3.4617</v>
      </c>
      <c r="AO22" s="399">
        <v>42.390999999999998</v>
      </c>
      <c r="AP22" s="290">
        <f t="shared" si="13"/>
        <v>1.6993844689194904E-6</v>
      </c>
      <c r="AQ22" s="312">
        <f t="shared" si="17"/>
        <v>151.78759928978707</v>
      </c>
      <c r="AR22" s="168">
        <v>26.301702491648602</v>
      </c>
      <c r="AS22" s="168">
        <v>26.274541199768301</v>
      </c>
      <c r="AT22" s="168">
        <v>26.259682126190999</v>
      </c>
      <c r="AU22" s="276">
        <f t="shared" si="14"/>
        <v>26.278641939202632</v>
      </c>
      <c r="AV22" s="400">
        <v>-3.5035151515151512</v>
      </c>
      <c r="AW22" s="400">
        <v>40.672666666666665</v>
      </c>
      <c r="AX22" s="291">
        <f t="shared" si="20"/>
        <v>12836.666427093684</v>
      </c>
      <c r="AY22" s="276">
        <f t="shared" si="15"/>
        <v>2567.3332854187365</v>
      </c>
      <c r="AZ22" s="348">
        <v>27.583430577761199</v>
      </c>
      <c r="BA22" s="348">
        <v>27.514063930883498</v>
      </c>
      <c r="BB22" s="348">
        <v>27.6454825080313</v>
      </c>
      <c r="BC22" s="349">
        <f t="shared" si="18"/>
        <v>27.580992338892003</v>
      </c>
      <c r="BD22" s="150">
        <v>-3.4617</v>
      </c>
      <c r="BE22" s="640">
        <v>42.390999999999998</v>
      </c>
      <c r="BF22" s="289">
        <f t="shared" si="19"/>
        <v>18977.849845130469</v>
      </c>
      <c r="BG22" s="289">
        <f t="shared" si="16"/>
        <v>3795.569969026094</v>
      </c>
      <c r="BH22" s="634">
        <f t="shared" si="7"/>
        <v>1.4784095195521254</v>
      </c>
      <c r="BI22" s="362" t="s">
        <v>240</v>
      </c>
      <c r="BJ22" s="351"/>
      <c r="BK22" s="298"/>
      <c r="BL22" s="807"/>
      <c r="BM22" s="293"/>
      <c r="BN22" s="293"/>
      <c r="BO22" s="293"/>
      <c r="BP22" s="293"/>
      <c r="BQ22" s="293"/>
      <c r="BR22" s="293"/>
      <c r="BS22" s="294"/>
    </row>
    <row r="23" spans="1:71" s="277" customFormat="1" ht="15" x14ac:dyDescent="0.2">
      <c r="A23" s="339"/>
      <c r="B23" s="341">
        <v>44252</v>
      </c>
      <c r="C23" s="224" t="s">
        <v>248</v>
      </c>
      <c r="D23" s="670" t="s">
        <v>231</v>
      </c>
      <c r="E23" s="249" t="s">
        <v>249</v>
      </c>
      <c r="F23" s="671" t="s">
        <v>233</v>
      </c>
      <c r="G23" s="222"/>
      <c r="H23" s="222"/>
      <c r="I23" s="222"/>
      <c r="J23" s="222"/>
      <c r="K23" s="222"/>
      <c r="L23" s="222" t="s">
        <v>234</v>
      </c>
      <c r="M23" s="222"/>
      <c r="N23" s="281">
        <v>44253</v>
      </c>
      <c r="O23" s="222">
        <v>100</v>
      </c>
      <c r="P23" s="222" t="s">
        <v>235</v>
      </c>
      <c r="Q23" s="222" t="s">
        <v>236</v>
      </c>
      <c r="R23" s="295" t="s">
        <v>89</v>
      </c>
      <c r="S23" s="396">
        <v>9.27</v>
      </c>
      <c r="T23" s="396">
        <v>3.97</v>
      </c>
      <c r="U23" s="396">
        <v>32.6</v>
      </c>
      <c r="V23" s="486" t="s">
        <v>238</v>
      </c>
      <c r="W23" s="295"/>
      <c r="X23" s="295"/>
      <c r="Y23" s="295"/>
      <c r="Z23" s="282" t="s">
        <v>256</v>
      </c>
      <c r="AA23" s="282"/>
      <c r="AB23" s="222">
        <v>50</v>
      </c>
      <c r="AC23" s="295"/>
      <c r="AD23" s="295"/>
      <c r="AE23" s="222" t="s">
        <v>425</v>
      </c>
      <c r="AF23" s="295"/>
      <c r="AG23" s="282">
        <v>44230</v>
      </c>
      <c r="AH23" s="289">
        <v>5</v>
      </c>
      <c r="AI23" s="295"/>
      <c r="AJ23" s="297">
        <v>22.880643045424701</v>
      </c>
      <c r="AK23" s="297">
        <v>22.663480219454499</v>
      </c>
      <c r="AL23" s="297">
        <v>22.953573178327598</v>
      </c>
      <c r="AM23" s="276">
        <f t="shared" si="12"/>
        <v>22.832565481068936</v>
      </c>
      <c r="AN23" s="398">
        <v>-3.4617</v>
      </c>
      <c r="AO23" s="399">
        <v>42.390999999999998</v>
      </c>
      <c r="AP23" s="290">
        <f t="shared" si="13"/>
        <v>2.2389750177235656E-6</v>
      </c>
      <c r="AQ23" s="312">
        <f t="shared" si="17"/>
        <v>199.98337576084381</v>
      </c>
      <c r="AR23" s="168">
        <v>28.236921205150601</v>
      </c>
      <c r="AS23" s="168">
        <v>28.144895925936201</v>
      </c>
      <c r="AT23" s="168">
        <v>28.373535638730399</v>
      </c>
      <c r="AU23" s="276">
        <f t="shared" si="14"/>
        <v>28.251784256605735</v>
      </c>
      <c r="AV23" s="400">
        <v>-3.5035151515151512</v>
      </c>
      <c r="AW23" s="400">
        <v>40.672666666666665</v>
      </c>
      <c r="AX23" s="291">
        <f t="shared" si="20"/>
        <v>3509.6429430300559</v>
      </c>
      <c r="AY23" s="276">
        <f t="shared" si="15"/>
        <v>350.9642943030056</v>
      </c>
      <c r="AZ23" s="393">
        <v>29.245985276377201</v>
      </c>
      <c r="BA23" s="393">
        <v>29.197347841484302</v>
      </c>
      <c r="BB23" s="393">
        <v>29.260580989710299</v>
      </c>
      <c r="BC23" s="394">
        <f t="shared" si="18"/>
        <v>29.234638035857262</v>
      </c>
      <c r="BD23" s="150">
        <v>-3.4617</v>
      </c>
      <c r="BE23" s="640">
        <v>42.390999999999998</v>
      </c>
      <c r="BF23" s="289">
        <f t="shared" si="19"/>
        <v>6317.560806105952</v>
      </c>
      <c r="BG23" s="289">
        <f t="shared" si="16"/>
        <v>631.75608061059518</v>
      </c>
      <c r="BH23" s="634">
        <f t="shared" si="7"/>
        <v>1.8000579855715111</v>
      </c>
      <c r="BI23" s="362" t="s">
        <v>240</v>
      </c>
      <c r="BJ23" s="351"/>
      <c r="BK23" s="298"/>
      <c r="BL23" s="807"/>
      <c r="BM23" s="293"/>
      <c r="BN23" s="293"/>
      <c r="BO23" s="293"/>
      <c r="BP23" s="293"/>
      <c r="BQ23" s="293"/>
      <c r="BR23" s="293"/>
      <c r="BS23" s="294"/>
    </row>
    <row r="24" spans="1:71" s="277" customFormat="1" ht="15" x14ac:dyDescent="0.2">
      <c r="A24" s="339"/>
      <c r="B24" s="341">
        <v>44252</v>
      </c>
      <c r="C24" s="224" t="s">
        <v>250</v>
      </c>
      <c r="D24" s="670" t="s">
        <v>244</v>
      </c>
      <c r="E24" s="249" t="s">
        <v>249</v>
      </c>
      <c r="F24" s="671" t="s">
        <v>233</v>
      </c>
      <c r="G24" s="222"/>
      <c r="H24" s="222"/>
      <c r="I24" s="222"/>
      <c r="J24" s="222"/>
      <c r="K24" s="222"/>
      <c r="L24" s="222" t="s">
        <v>234</v>
      </c>
      <c r="M24" s="222"/>
      <c r="N24" s="281">
        <v>44253</v>
      </c>
      <c r="O24" s="222">
        <v>100</v>
      </c>
      <c r="P24" s="222" t="s">
        <v>235</v>
      </c>
      <c r="Q24" s="222" t="s">
        <v>236</v>
      </c>
      <c r="R24" s="295" t="s">
        <v>89</v>
      </c>
      <c r="S24" s="167">
        <v>9.27</v>
      </c>
      <c r="T24" s="166">
        <v>3.97</v>
      </c>
      <c r="U24" s="166">
        <v>32.6</v>
      </c>
      <c r="V24" s="486" t="s">
        <v>238</v>
      </c>
      <c r="W24" s="295"/>
      <c r="X24" s="295"/>
      <c r="Y24" s="295"/>
      <c r="Z24" s="282" t="s">
        <v>256</v>
      </c>
      <c r="AA24" s="282"/>
      <c r="AB24" s="222">
        <v>50</v>
      </c>
      <c r="AC24" s="295"/>
      <c r="AD24" s="295"/>
      <c r="AE24" s="222" t="s">
        <v>425</v>
      </c>
      <c r="AF24" s="295"/>
      <c r="AG24" s="282">
        <v>44230</v>
      </c>
      <c r="AH24" s="289">
        <v>5</v>
      </c>
      <c r="AI24" s="295"/>
      <c r="AJ24" s="297">
        <v>35.847093078708298</v>
      </c>
      <c r="AK24" s="297">
        <v>36.259378206204502</v>
      </c>
      <c r="AL24" s="297">
        <v>36.510123988146603</v>
      </c>
      <c r="AM24" s="276">
        <f t="shared" si="12"/>
        <v>36.205531757686465</v>
      </c>
      <c r="AN24" s="398">
        <v>-3.4617</v>
      </c>
      <c r="AO24" s="399">
        <v>42.390999999999998</v>
      </c>
      <c r="AP24" s="290">
        <f t="shared" si="13"/>
        <v>1.6336925839777292E-2</v>
      </c>
      <c r="AQ24" s="312">
        <f t="shared" si="17"/>
        <v>1459200.5507569243</v>
      </c>
      <c r="AR24" s="168">
        <v>31.244173789688499</v>
      </c>
      <c r="AS24" s="168">
        <v>31.235760681581599</v>
      </c>
      <c r="AT24" s="168">
        <v>31.413686650099901</v>
      </c>
      <c r="AU24" s="276">
        <f t="shared" si="14"/>
        <v>31.297873707123333</v>
      </c>
      <c r="AV24" s="400">
        <v>-3.5035151515151512</v>
      </c>
      <c r="AW24" s="400">
        <v>40.672666666666665</v>
      </c>
      <c r="AX24" s="291">
        <f t="shared" si="20"/>
        <v>474.05078014637735</v>
      </c>
      <c r="AY24" s="276">
        <f t="shared" si="15"/>
        <v>47.405078014637738</v>
      </c>
      <c r="AZ24" s="393">
        <v>34.436878812240401</v>
      </c>
      <c r="BA24" s="393">
        <v>35.535263559445603</v>
      </c>
      <c r="BB24" s="393">
        <v>34.9802868605871</v>
      </c>
      <c r="BC24" s="394">
        <f t="shared" si="18"/>
        <v>34.98414307742437</v>
      </c>
      <c r="BD24" s="150">
        <v>-3.4617</v>
      </c>
      <c r="BE24" s="640">
        <v>42.390999999999998</v>
      </c>
      <c r="BF24" s="289">
        <f t="shared" si="19"/>
        <v>137.93002527074279</v>
      </c>
      <c r="BG24" s="289">
        <f t="shared" si="16"/>
        <v>13.793002527074279</v>
      </c>
      <c r="BH24" s="634">
        <f t="shared" si="7"/>
        <v>0.29096044357980544</v>
      </c>
      <c r="BI24" s="362" t="s">
        <v>240</v>
      </c>
      <c r="BJ24" s="351"/>
      <c r="BK24" s="169" t="s">
        <v>258</v>
      </c>
      <c r="BL24" s="807"/>
      <c r="BM24" s="293"/>
      <c r="BN24" s="293"/>
      <c r="BO24" s="293"/>
      <c r="BP24" s="293"/>
      <c r="BQ24" s="293"/>
      <c r="BR24" s="293"/>
      <c r="BS24" s="294"/>
    </row>
    <row r="25" spans="1:71" s="277" customFormat="1" ht="15" x14ac:dyDescent="0.2">
      <c r="A25" s="339"/>
      <c r="B25" s="341">
        <v>44252</v>
      </c>
      <c r="C25" s="224" t="s">
        <v>251</v>
      </c>
      <c r="D25" s="670" t="s">
        <v>231</v>
      </c>
      <c r="E25" s="249" t="s">
        <v>252</v>
      </c>
      <c r="F25" s="671" t="s">
        <v>233</v>
      </c>
      <c r="G25" s="222"/>
      <c r="H25" s="222"/>
      <c r="I25" s="222"/>
      <c r="J25" s="222"/>
      <c r="K25" s="222"/>
      <c r="L25" s="222" t="s">
        <v>234</v>
      </c>
      <c r="M25" s="222"/>
      <c r="N25" s="281">
        <v>44253</v>
      </c>
      <c r="O25" s="222">
        <v>50</v>
      </c>
      <c r="P25" s="222" t="s">
        <v>235</v>
      </c>
      <c r="Q25" s="222" t="s">
        <v>236</v>
      </c>
      <c r="R25" s="295" t="s">
        <v>89</v>
      </c>
      <c r="S25" s="396">
        <v>7.3</v>
      </c>
      <c r="T25" s="396">
        <v>3.62</v>
      </c>
      <c r="U25" s="396" t="s">
        <v>259</v>
      </c>
      <c r="V25" s="486" t="s">
        <v>238</v>
      </c>
      <c r="W25" s="295"/>
      <c r="X25" s="295"/>
      <c r="Y25" s="295"/>
      <c r="Z25" s="282" t="s">
        <v>256</v>
      </c>
      <c r="AA25" s="282"/>
      <c r="AB25" s="222">
        <v>50</v>
      </c>
      <c r="AC25" s="295"/>
      <c r="AD25" s="295"/>
      <c r="AE25" s="222" t="s">
        <v>425</v>
      </c>
      <c r="AF25" s="295"/>
      <c r="AG25" s="282">
        <v>44230</v>
      </c>
      <c r="AH25" s="289">
        <v>5</v>
      </c>
      <c r="AI25" s="295"/>
      <c r="AJ25" s="297">
        <v>22.8743809660149</v>
      </c>
      <c r="AK25" s="297">
        <v>22.8241502688774</v>
      </c>
      <c r="AL25" s="297">
        <v>22.883921796625</v>
      </c>
      <c r="AM25" s="276">
        <f t="shared" si="12"/>
        <v>22.860817677172435</v>
      </c>
      <c r="AN25" s="398">
        <v>-3.4617</v>
      </c>
      <c r="AO25" s="399">
        <v>42.390999999999998</v>
      </c>
      <c r="AP25" s="290">
        <f t="shared" si="13"/>
        <v>2.2814481991999628E-6</v>
      </c>
      <c r="AQ25" s="312">
        <f t="shared" si="17"/>
        <v>203.77704480302407</v>
      </c>
      <c r="AR25" s="168">
        <v>27.476231639723</v>
      </c>
      <c r="AS25" s="168">
        <v>27.4205105478711</v>
      </c>
      <c r="AT25" s="168">
        <v>27.3017442185959</v>
      </c>
      <c r="AU25" s="276">
        <f t="shared" si="14"/>
        <v>27.399495468729999</v>
      </c>
      <c r="AV25" s="400">
        <v>-3.5035151515151512</v>
      </c>
      <c r="AW25" s="400">
        <v>40.672666666666665</v>
      </c>
      <c r="AX25" s="291">
        <f t="shared" si="20"/>
        <v>6145.1105147719072</v>
      </c>
      <c r="AY25" s="276">
        <f t="shared" si="15"/>
        <v>1229.0221029543814</v>
      </c>
      <c r="AZ25" s="348">
        <v>34.562865402697</v>
      </c>
      <c r="BA25" s="348">
        <v>34.169373159719299</v>
      </c>
      <c r="BB25" s="348">
        <v>33.594157744085898</v>
      </c>
      <c r="BC25" s="349">
        <f t="shared" si="18"/>
        <v>34.10879876883407</v>
      </c>
      <c r="BD25" s="150">
        <v>-3.4617</v>
      </c>
      <c r="BE25" s="640">
        <v>42.390999999999998</v>
      </c>
      <c r="BF25" s="289">
        <f t="shared" si="19"/>
        <v>246.90180226965566</v>
      </c>
      <c r="BG25" s="289">
        <f t="shared" si="16"/>
        <v>49.380360453931132</v>
      </c>
      <c r="BH25" s="634">
        <f t="shared" si="7"/>
        <v>4.0178578021687554E-2</v>
      </c>
      <c r="BI25" s="362" t="s">
        <v>240</v>
      </c>
      <c r="BJ25" s="351"/>
      <c r="BK25" s="169"/>
      <c r="BL25" s="807"/>
      <c r="BM25" s="293"/>
      <c r="BN25" s="293"/>
      <c r="BO25" s="293"/>
      <c r="BP25" s="293"/>
      <c r="BQ25" s="293"/>
      <c r="BR25" s="293"/>
      <c r="BS25" s="294"/>
    </row>
    <row r="26" spans="1:71" s="277" customFormat="1" ht="15" x14ac:dyDescent="0.2">
      <c r="A26" s="339"/>
      <c r="B26" s="341">
        <v>44252</v>
      </c>
      <c r="C26" s="224" t="s">
        <v>253</v>
      </c>
      <c r="D26" s="670" t="s">
        <v>244</v>
      </c>
      <c r="E26" s="249" t="s">
        <v>252</v>
      </c>
      <c r="F26" s="671" t="s">
        <v>233</v>
      </c>
      <c r="G26" s="222"/>
      <c r="H26" s="222"/>
      <c r="I26" s="222"/>
      <c r="J26" s="222"/>
      <c r="K26" s="222"/>
      <c r="L26" s="222" t="s">
        <v>234</v>
      </c>
      <c r="M26" s="222"/>
      <c r="N26" s="281">
        <v>44253</v>
      </c>
      <c r="O26" s="222">
        <v>50</v>
      </c>
      <c r="P26" s="222" t="s">
        <v>235</v>
      </c>
      <c r="Q26" s="222" t="s">
        <v>236</v>
      </c>
      <c r="R26" s="295" t="s">
        <v>89</v>
      </c>
      <c r="S26" s="167">
        <v>7.42</v>
      </c>
      <c r="T26" s="166">
        <v>3.62</v>
      </c>
      <c r="U26" s="166">
        <v>57.9</v>
      </c>
      <c r="V26" s="486" t="s">
        <v>238</v>
      </c>
      <c r="W26" s="295"/>
      <c r="X26" s="295"/>
      <c r="Y26" s="295"/>
      <c r="Z26" s="282" t="s">
        <v>256</v>
      </c>
      <c r="AA26" s="282"/>
      <c r="AB26" s="222">
        <v>50</v>
      </c>
      <c r="AC26" s="295"/>
      <c r="AD26" s="295"/>
      <c r="AE26" s="222" t="s">
        <v>425</v>
      </c>
      <c r="AF26" s="295"/>
      <c r="AG26" s="282">
        <v>44230</v>
      </c>
      <c r="AH26" s="289">
        <v>5</v>
      </c>
      <c r="AI26" s="295"/>
      <c r="AJ26" s="297">
        <v>23.081612789118999</v>
      </c>
      <c r="AK26" s="297">
        <v>23.091351561249699</v>
      </c>
      <c r="AL26" s="297">
        <v>23.070521500446301</v>
      </c>
      <c r="AM26" s="276">
        <f t="shared" si="12"/>
        <v>23.081161950271667</v>
      </c>
      <c r="AN26" s="398">
        <v>-3.4617</v>
      </c>
      <c r="AO26" s="399">
        <v>42.390999999999998</v>
      </c>
      <c r="AP26" s="290">
        <f t="shared" ref="AP26" si="21">IF(AND(AJ26="No CT",AK26="No CT",AL26="No CT"),0,10^((AO26-AM26)/AN26))</f>
        <v>2.6415732270427021E-6</v>
      </c>
      <c r="AQ26" s="312">
        <f t="shared" si="17"/>
        <v>235.94311105827992</v>
      </c>
      <c r="AR26" s="168">
        <v>26.582288525043801</v>
      </c>
      <c r="AS26" s="168">
        <v>26.675339747425699</v>
      </c>
      <c r="AT26" s="168">
        <v>26.746844782721499</v>
      </c>
      <c r="AU26" s="276">
        <f t="shared" si="14"/>
        <v>26.668157685063665</v>
      </c>
      <c r="AV26" s="400">
        <v>-3.5035151515151512</v>
      </c>
      <c r="AW26" s="400">
        <v>40.672666666666665</v>
      </c>
      <c r="AX26" s="291">
        <f t="shared" ref="AX26" si="22">IF(AND(AR26="No CT",AS26="No CT",AT26="No CT"),0,10^((AU26-AW26)/AV26))</f>
        <v>9937.4213064795149</v>
      </c>
      <c r="AY26" s="276">
        <f t="shared" si="15"/>
        <v>1987.484261295903</v>
      </c>
      <c r="AZ26" s="348">
        <v>33.057456852355301</v>
      </c>
      <c r="BA26" s="348">
        <v>33.235258783176498</v>
      </c>
      <c r="BB26" s="348">
        <v>33.882894600534001</v>
      </c>
      <c r="BC26" s="349">
        <f t="shared" si="18"/>
        <v>33.391870078688605</v>
      </c>
      <c r="BD26" s="150">
        <v>-3.4617</v>
      </c>
      <c r="BE26" s="640">
        <v>42.390999999999998</v>
      </c>
      <c r="BF26" s="289">
        <f t="shared" si="19"/>
        <v>397.76569773521993</v>
      </c>
      <c r="BG26" s="289">
        <f t="shared" si="16"/>
        <v>79.553139547043983</v>
      </c>
      <c r="BH26" s="634">
        <f t="shared" si="7"/>
        <v>4.0027053847044206E-2</v>
      </c>
      <c r="BI26" s="362" t="s">
        <v>240</v>
      </c>
      <c r="BJ26" s="351"/>
      <c r="BK26" s="169"/>
      <c r="BL26" s="807"/>
      <c r="BM26" s="293"/>
      <c r="BN26" s="293"/>
      <c r="BO26" s="293"/>
      <c r="BP26" s="293"/>
      <c r="BQ26" s="293"/>
      <c r="BR26" s="293"/>
      <c r="BS26" s="294"/>
    </row>
    <row r="27" spans="1:71" s="277" customFormat="1" ht="15" x14ac:dyDescent="0.2">
      <c r="A27" s="339"/>
      <c r="B27" s="341"/>
      <c r="C27" s="225" t="s">
        <v>254</v>
      </c>
      <c r="D27" s="672"/>
      <c r="E27" s="249"/>
      <c r="F27" s="671"/>
      <c r="G27" s="222"/>
      <c r="H27" s="222"/>
      <c r="I27" s="222"/>
      <c r="J27" s="222"/>
      <c r="K27" s="222"/>
      <c r="L27" s="295"/>
      <c r="M27" s="295"/>
      <c r="N27" s="282"/>
      <c r="O27" s="222"/>
      <c r="P27" s="222"/>
      <c r="Q27" s="222"/>
      <c r="R27" s="295"/>
      <c r="S27" s="396"/>
      <c r="T27" s="396"/>
      <c r="U27" s="396"/>
      <c r="V27" s="486"/>
      <c r="W27" s="295"/>
      <c r="X27" s="295"/>
      <c r="Y27" s="295"/>
      <c r="Z27" s="282" t="s">
        <v>260</v>
      </c>
      <c r="AA27" s="282"/>
      <c r="AB27" s="222">
        <v>50</v>
      </c>
      <c r="AC27" s="295"/>
      <c r="AD27" s="295"/>
      <c r="AE27" s="222" t="s">
        <v>425</v>
      </c>
      <c r="AF27" s="295"/>
      <c r="AG27" s="282">
        <v>44230</v>
      </c>
      <c r="AH27" s="289">
        <v>5</v>
      </c>
      <c r="AI27" s="295"/>
      <c r="AJ27" s="297">
        <v>21.657845330210499</v>
      </c>
      <c r="AK27" s="297">
        <v>21.770089337753902</v>
      </c>
      <c r="AL27" s="297">
        <v>21.943910075375001</v>
      </c>
      <c r="AM27" s="276">
        <f t="shared" si="12"/>
        <v>21.790614914446468</v>
      </c>
      <c r="AN27" s="398">
        <v>-3.4617</v>
      </c>
      <c r="AO27" s="399">
        <v>42.390999999999998</v>
      </c>
      <c r="AP27" s="290">
        <f>IF(AND(AJ27="No CT",AK27="No CT",AL27="No CT"),0,10^((AO27-AM27)/AN27))</f>
        <v>1.1195805697375124E-6</v>
      </c>
      <c r="AQ27" s="312">
        <f>AP27*100/$AP$27</f>
        <v>100</v>
      </c>
      <c r="AR27" s="168">
        <v>35.200928160076202</v>
      </c>
      <c r="AS27" s="168">
        <v>35.079272289727299</v>
      </c>
      <c r="AT27" s="168">
        <v>35.108899453071203</v>
      </c>
      <c r="AU27" s="276">
        <f t="shared" si="14"/>
        <v>35.129699967624902</v>
      </c>
      <c r="AV27" s="400">
        <v>-3.5035151515151512</v>
      </c>
      <c r="AW27" s="400">
        <v>40.672666666666665</v>
      </c>
      <c r="AX27" s="291">
        <f t="shared" ref="AX27:AX28" si="23">IF(AND(AR27="No CT",AS27="No CT",AT27="No CT"),0,10^((AU27-AW27)/AV27))</f>
        <v>38.204613138909856</v>
      </c>
      <c r="AY27" s="276"/>
      <c r="AZ27" s="348">
        <v>34.876682824571297</v>
      </c>
      <c r="BA27" s="348">
        <v>33.926169438579201</v>
      </c>
      <c r="BB27" s="348">
        <v>35.517123610022203</v>
      </c>
      <c r="BC27" s="349">
        <f t="shared" si="18"/>
        <v>34.773325291057567</v>
      </c>
      <c r="BD27" s="150">
        <v>-3.4617</v>
      </c>
      <c r="BE27" s="640">
        <v>42.390999999999998</v>
      </c>
      <c r="BF27" s="289">
        <f t="shared" si="19"/>
        <v>158.6934090810941</v>
      </c>
      <c r="BG27" s="289"/>
      <c r="BH27" s="634">
        <f t="shared" si="7"/>
        <v>4.1537761030086511</v>
      </c>
      <c r="BI27" s="362" t="s">
        <v>240</v>
      </c>
      <c r="BJ27" s="351"/>
      <c r="BK27" s="169"/>
      <c r="BL27" s="807"/>
      <c r="BM27" s="293"/>
      <c r="BN27" s="293"/>
      <c r="BO27" s="293"/>
      <c r="BP27" s="293"/>
      <c r="BQ27" s="293"/>
      <c r="BR27" s="293"/>
      <c r="BS27" s="294"/>
    </row>
    <row r="28" spans="1:71" s="277" customFormat="1" ht="15" x14ac:dyDescent="0.2">
      <c r="A28" s="339"/>
      <c r="B28" s="341"/>
      <c r="C28" s="225" t="s">
        <v>255</v>
      </c>
      <c r="D28" s="672"/>
      <c r="E28" s="249"/>
      <c r="F28" s="671"/>
      <c r="G28" s="222"/>
      <c r="H28" s="222"/>
      <c r="I28" s="222"/>
      <c r="J28" s="222"/>
      <c r="K28" s="222"/>
      <c r="L28" s="295"/>
      <c r="M28" s="295"/>
      <c r="N28" s="282"/>
      <c r="O28" s="222"/>
      <c r="P28" s="222"/>
      <c r="Q28" s="222"/>
      <c r="R28" s="295"/>
      <c r="S28" s="167"/>
      <c r="T28" s="166"/>
      <c r="U28" s="166"/>
      <c r="V28" s="486"/>
      <c r="W28" s="295"/>
      <c r="X28" s="295"/>
      <c r="Y28" s="295"/>
      <c r="Z28" s="282" t="s">
        <v>256</v>
      </c>
      <c r="AA28" s="282"/>
      <c r="AB28" s="222">
        <v>50</v>
      </c>
      <c r="AC28" s="295"/>
      <c r="AD28" s="295"/>
      <c r="AE28" s="222" t="s">
        <v>425</v>
      </c>
      <c r="AF28" s="295"/>
      <c r="AG28" s="282">
        <v>44230</v>
      </c>
      <c r="AH28" s="289">
        <v>5</v>
      </c>
      <c r="AI28" s="295"/>
      <c r="AJ28" s="297" t="s">
        <v>95</v>
      </c>
      <c r="AK28" s="297">
        <v>38.965984530595598</v>
      </c>
      <c r="AL28" s="297" t="s">
        <v>95</v>
      </c>
      <c r="AM28" s="276">
        <f t="shared" si="12"/>
        <v>38.965984530595598</v>
      </c>
      <c r="AN28" s="398">
        <v>-3.4617</v>
      </c>
      <c r="AO28" s="399">
        <v>42.390999999999998</v>
      </c>
      <c r="AP28" s="290">
        <f t="shared" si="13"/>
        <v>0.10247012329074796</v>
      </c>
      <c r="AQ28" s="312">
        <f t="shared" ref="AQ28" si="24">AP28*100/AP38</f>
        <v>4.1788035826698219E-8</v>
      </c>
      <c r="AR28" s="168">
        <v>38.564923804976999</v>
      </c>
      <c r="AS28" s="168">
        <v>39.423610384639602</v>
      </c>
      <c r="AT28" s="168">
        <v>38.223535805921202</v>
      </c>
      <c r="AU28" s="276">
        <f t="shared" si="14"/>
        <v>38.73735666517927</v>
      </c>
      <c r="AV28" s="400">
        <v>-3.5035151515151512</v>
      </c>
      <c r="AW28" s="400">
        <v>40.672666666666665</v>
      </c>
      <c r="AX28" s="291">
        <f t="shared" si="23"/>
        <v>3.5677213925563449</v>
      </c>
      <c r="AY28" s="276"/>
      <c r="AZ28" s="348">
        <v>34.462744999701599</v>
      </c>
      <c r="BA28" s="348">
        <v>34.051663185000301</v>
      </c>
      <c r="BB28" s="348">
        <v>33.886930606739398</v>
      </c>
      <c r="BC28" s="349">
        <f t="shared" si="18"/>
        <v>34.133779597147097</v>
      </c>
      <c r="BD28" s="150">
        <v>-3.4617</v>
      </c>
      <c r="BE28" s="640">
        <v>42.390999999999998</v>
      </c>
      <c r="BF28" s="289">
        <f t="shared" si="19"/>
        <v>242.8331162373438</v>
      </c>
      <c r="BG28" s="289"/>
      <c r="BH28" s="634">
        <f t="shared" si="7"/>
        <v>68.063923585509841</v>
      </c>
      <c r="BI28" s="362" t="s">
        <v>240</v>
      </c>
      <c r="BJ28" s="351"/>
      <c r="BK28" s="169" t="s">
        <v>261</v>
      </c>
      <c r="BL28" s="807"/>
      <c r="BM28" s="293"/>
      <c r="BN28" s="293"/>
      <c r="BO28" s="293"/>
      <c r="BP28" s="293"/>
      <c r="BQ28" s="293"/>
      <c r="BR28" s="293"/>
      <c r="BS28" s="294"/>
    </row>
    <row r="29" spans="1:71" s="277" customFormat="1" x14ac:dyDescent="0.2">
      <c r="A29" s="342"/>
      <c r="B29" s="342"/>
      <c r="C29" s="300"/>
      <c r="D29" s="666"/>
      <c r="E29" s="667"/>
      <c r="F29" s="668"/>
      <c r="G29" s="301"/>
      <c r="H29" s="301"/>
      <c r="I29" s="301"/>
      <c r="J29" s="301"/>
      <c r="K29" s="301"/>
      <c r="L29" s="302"/>
      <c r="M29" s="302"/>
      <c r="N29" s="279"/>
      <c r="O29" s="301"/>
      <c r="P29" s="301"/>
      <c r="Q29" s="301"/>
      <c r="R29" s="302"/>
      <c r="S29" s="303"/>
      <c r="T29" s="302"/>
      <c r="U29" s="302"/>
      <c r="V29" s="417"/>
      <c r="W29" s="302"/>
      <c r="X29" s="302"/>
      <c r="Y29" s="302"/>
      <c r="Z29" s="279"/>
      <c r="AA29" s="279"/>
      <c r="AB29" s="301"/>
      <c r="AC29" s="302"/>
      <c r="AD29" s="302"/>
      <c r="AE29" s="302"/>
      <c r="AF29" s="302"/>
      <c r="AG29" s="279"/>
      <c r="AH29" s="304"/>
      <c r="AI29" s="302"/>
      <c r="AJ29" s="305"/>
      <c r="AK29" s="305"/>
      <c r="AL29" s="302"/>
      <c r="AM29" s="306"/>
      <c r="AN29" s="306"/>
      <c r="AO29" s="306"/>
      <c r="AP29" s="307"/>
      <c r="AQ29" s="313"/>
      <c r="AR29" s="302"/>
      <c r="AS29" s="302"/>
      <c r="AT29" s="302"/>
      <c r="AU29" s="306"/>
      <c r="AV29" s="306"/>
      <c r="AW29" s="306"/>
      <c r="AX29" s="308"/>
      <c r="AY29" s="306"/>
      <c r="AZ29" s="302"/>
      <c r="BA29" s="302"/>
      <c r="BB29" s="302"/>
      <c r="BC29" s="306"/>
      <c r="BD29" s="306"/>
      <c r="BE29" s="306"/>
      <c r="BF29" s="304"/>
      <c r="BG29" s="304"/>
      <c r="BH29" s="635"/>
      <c r="BI29" s="446"/>
      <c r="BJ29" s="329"/>
      <c r="BK29" s="309"/>
      <c r="BL29" s="310"/>
      <c r="BM29" s="311"/>
      <c r="BN29" s="311"/>
      <c r="BO29" s="311"/>
      <c r="BP29" s="311"/>
      <c r="BQ29" s="311"/>
      <c r="BR29" s="311"/>
      <c r="BS29" s="310"/>
    </row>
    <row r="30" spans="1:71" s="277" customFormat="1" ht="15" x14ac:dyDescent="0.2">
      <c r="A30" s="339"/>
      <c r="B30" s="340">
        <v>44253</v>
      </c>
      <c r="C30" s="392" t="s">
        <v>230</v>
      </c>
      <c r="D30" s="662" t="s">
        <v>231</v>
      </c>
      <c r="E30" s="582" t="s">
        <v>232</v>
      </c>
      <c r="F30" s="663" t="s">
        <v>233</v>
      </c>
      <c r="G30" s="222"/>
      <c r="H30" s="222"/>
      <c r="I30" s="222"/>
      <c r="J30" s="222"/>
      <c r="K30" s="222"/>
      <c r="L30" s="222" t="s">
        <v>234</v>
      </c>
      <c r="M30" s="222"/>
      <c r="N30" s="281">
        <v>44256</v>
      </c>
      <c r="O30" s="222">
        <v>50</v>
      </c>
      <c r="P30" s="222" t="s">
        <v>235</v>
      </c>
      <c r="Q30" s="222" t="s">
        <v>236</v>
      </c>
      <c r="R30" s="222" t="s">
        <v>89</v>
      </c>
      <c r="S30" s="377">
        <v>6.54</v>
      </c>
      <c r="T30" s="377">
        <v>3.76</v>
      </c>
      <c r="U30" s="377">
        <v>77.599999999999994</v>
      </c>
      <c r="V30" s="485"/>
      <c r="W30" s="222"/>
      <c r="X30" s="222"/>
      <c r="Y30" s="222"/>
      <c r="Z30" s="278" t="s">
        <v>260</v>
      </c>
      <c r="AA30" s="281"/>
      <c r="AB30" s="170">
        <v>50</v>
      </c>
      <c r="AC30" s="222"/>
      <c r="AD30" s="222"/>
      <c r="AE30" s="222" t="s">
        <v>425</v>
      </c>
      <c r="AF30" s="384"/>
      <c r="AG30" s="385">
        <v>44259</v>
      </c>
      <c r="AH30" s="386">
        <v>5</v>
      </c>
      <c r="AI30" s="222"/>
      <c r="AJ30" s="144">
        <v>23.197523967541699</v>
      </c>
      <c r="AK30" s="144">
        <v>23.0445565060128</v>
      </c>
      <c r="AL30" s="144">
        <v>22.998712413711399</v>
      </c>
      <c r="AM30" s="140">
        <f t="shared" ref="AM30:AM39" si="25">AVERAGE(AJ30:AL30)</f>
        <v>23.080264295755299</v>
      </c>
      <c r="AN30" s="391">
        <v>-3.4410714285714286</v>
      </c>
      <c r="AO30" s="391">
        <v>48.943513064185922</v>
      </c>
      <c r="AP30" s="290">
        <f>IF(AND(AJ30="No CT",AK30="No CT",AL30="No CT"),0,10^((AM30-AO30)/AN30))</f>
        <v>32812952.432024926</v>
      </c>
      <c r="AQ30" s="276">
        <f>AP30*100/$AP$38</f>
        <v>13.381352415460663</v>
      </c>
      <c r="AR30" s="144">
        <v>25.095966538429</v>
      </c>
      <c r="AS30" s="144">
        <v>24.948293071331999</v>
      </c>
      <c r="AT30" s="144">
        <v>24.8591428511264</v>
      </c>
      <c r="AU30" s="140">
        <f t="shared" ref="AU30:AU39" si="26">AVERAGE(AR30:AT30)</f>
        <v>24.967800820295803</v>
      </c>
      <c r="AV30" s="389">
        <v>-3.5035151515151512</v>
      </c>
      <c r="AW30" s="389">
        <v>40.672666666666665</v>
      </c>
      <c r="AX30" s="291">
        <f>IF(AND(AR30="No CT",AS30="No CT",AT30="No CT"),0,10^((AU30-AW30)/AV30))</f>
        <v>30381.031837159135</v>
      </c>
      <c r="AY30" s="276">
        <f t="shared" ref="AY30:AY36" si="27">(AX30/AH30)*(AB30/O30)</f>
        <v>6076.2063674318269</v>
      </c>
      <c r="AZ30" s="144">
        <v>36.7314051460909</v>
      </c>
      <c r="BA30" s="144">
        <v>39.152132475045597</v>
      </c>
      <c r="BB30" s="144">
        <v>38.943403168628599</v>
      </c>
      <c r="BC30" s="140">
        <f t="shared" ref="BC30:BC39" si="28">AVERAGE(AZ30:BB30)</f>
        <v>38.275646929921699</v>
      </c>
      <c r="BD30" s="150">
        <v>-3.4617</v>
      </c>
      <c r="BE30" s="640">
        <v>42.390999999999998</v>
      </c>
      <c r="BF30" s="276">
        <f>IF(AND(AZ30="No CT",BA30="No CT",BB30="No CT"),0,10^((BC30-BE30)/BD30))</f>
        <v>15.446294018666402</v>
      </c>
      <c r="BG30" s="289">
        <f t="shared" ref="BG30:BG36" si="29">(BF30/AH30)*(AB30/O30)</f>
        <v>3.0892588037332804</v>
      </c>
      <c r="BH30" s="634">
        <f>BF30/AX30</f>
        <v>5.0841900635428686E-4</v>
      </c>
      <c r="BI30" s="362"/>
      <c r="BJ30" s="351"/>
      <c r="BK30" s="292"/>
      <c r="BL30" s="804"/>
      <c r="BM30" s="293"/>
      <c r="BN30" s="293"/>
      <c r="BO30" s="293"/>
      <c r="BP30" s="293"/>
      <c r="BQ30" s="293"/>
      <c r="BR30" s="293"/>
      <c r="BS30" s="294"/>
    </row>
    <row r="31" spans="1:71" s="277" customFormat="1" ht="15" x14ac:dyDescent="0.2">
      <c r="A31" s="339"/>
      <c r="B31" s="340">
        <v>44253</v>
      </c>
      <c r="C31" s="392" t="s">
        <v>243</v>
      </c>
      <c r="D31" s="662" t="s">
        <v>244</v>
      </c>
      <c r="E31" s="582" t="s">
        <v>232</v>
      </c>
      <c r="F31" s="663" t="s">
        <v>233</v>
      </c>
      <c r="G31" s="222"/>
      <c r="H31" s="222"/>
      <c r="I31" s="222"/>
      <c r="J31" s="222"/>
      <c r="K31" s="222"/>
      <c r="L31" s="222" t="s">
        <v>234</v>
      </c>
      <c r="M31" s="222"/>
      <c r="N31" s="281">
        <v>44256</v>
      </c>
      <c r="O31" s="222">
        <v>50</v>
      </c>
      <c r="P31" s="222" t="s">
        <v>235</v>
      </c>
      <c r="Q31" s="222" t="s">
        <v>236</v>
      </c>
      <c r="R31" s="222" t="s">
        <v>89</v>
      </c>
      <c r="S31" s="316">
        <v>7.16</v>
      </c>
      <c r="T31" s="315">
        <v>3.63</v>
      </c>
      <c r="U31" s="315">
        <v>24.3</v>
      </c>
      <c r="V31" s="485"/>
      <c r="W31" s="295"/>
      <c r="X31" s="295"/>
      <c r="Y31" s="295"/>
      <c r="Z31" s="278" t="s">
        <v>260</v>
      </c>
      <c r="AA31" s="282"/>
      <c r="AB31" s="170">
        <v>50</v>
      </c>
      <c r="AC31" s="222"/>
      <c r="AD31" s="222"/>
      <c r="AE31" s="222" t="s">
        <v>425</v>
      </c>
      <c r="AF31" s="384"/>
      <c r="AG31" s="385">
        <v>44259</v>
      </c>
      <c r="AH31" s="386">
        <v>5</v>
      </c>
      <c r="AI31" s="295"/>
      <c r="AJ31" s="144">
        <v>21.4822851044127</v>
      </c>
      <c r="AK31" s="144">
        <v>21.412500792663302</v>
      </c>
      <c r="AL31" s="144">
        <v>21.4148584230315</v>
      </c>
      <c r="AM31" s="140">
        <f t="shared" si="25"/>
        <v>21.436548106702503</v>
      </c>
      <c r="AN31" s="391">
        <v>-3.4410714285714286</v>
      </c>
      <c r="AO31" s="391">
        <v>48.943513064185922</v>
      </c>
      <c r="AP31" s="290">
        <f t="shared" ref="AP31:AP39" si="30">IF(AND(AJ31="No CT",AK31="No CT",AL31="No CT"),0,10^((AM31-AO31)/AN31))</f>
        <v>98564609.304223284</v>
      </c>
      <c r="AQ31" s="276">
        <f t="shared" ref="AQ31:AQ39" si="31">AP31*100/$AP$38</f>
        <v>40.19533979833988</v>
      </c>
      <c r="AR31" s="144">
        <v>24.351424357978299</v>
      </c>
      <c r="AS31" s="144">
        <v>24.2965946504298</v>
      </c>
      <c r="AT31" s="144">
        <v>24.3012470103133</v>
      </c>
      <c r="AU31" s="140">
        <f t="shared" si="26"/>
        <v>24.316422006240469</v>
      </c>
      <c r="AV31" s="390">
        <v>-3.5035151515151512</v>
      </c>
      <c r="AW31" s="390">
        <v>40.672666666666665</v>
      </c>
      <c r="AX31" s="291">
        <f>IF(AND(AR31="No CT",AS31="No CT",AT31="No CT"),0,10^((AU31-AW31)/AV31))</f>
        <v>46614.821553552458</v>
      </c>
      <c r="AY31" s="276">
        <f t="shared" si="27"/>
        <v>9322.9643107104912</v>
      </c>
      <c r="AZ31" s="144">
        <v>37.261171127033798</v>
      </c>
      <c r="BA31" s="144">
        <v>37.942549833976599</v>
      </c>
      <c r="BB31" s="144">
        <v>36.979425129931101</v>
      </c>
      <c r="BC31" s="140">
        <f t="shared" si="28"/>
        <v>37.394382030313828</v>
      </c>
      <c r="BD31" s="150">
        <v>-3.4617</v>
      </c>
      <c r="BE31" s="640">
        <v>42.390999999999998</v>
      </c>
      <c r="BF31" s="276">
        <f t="shared" ref="BF31:BF39" si="32">IF(AND(AZ31="No CT",BA31="No CT",BB31="No CT"),0,10^((BC31-BE31)/BD31))</f>
        <v>27.758759537712887</v>
      </c>
      <c r="BG31" s="289">
        <f t="shared" si="29"/>
        <v>5.5517519075425774</v>
      </c>
      <c r="BH31" s="634">
        <f t="shared" ref="BH31:BH36" si="33">BF31/AX31</f>
        <v>5.954921334585143E-4</v>
      </c>
      <c r="BI31" s="362"/>
      <c r="BJ31" s="351"/>
      <c r="BK31" s="298"/>
      <c r="BL31" s="804"/>
      <c r="BM31" s="293"/>
      <c r="BN31" s="293"/>
      <c r="BO31" s="293"/>
      <c r="BP31" s="293"/>
      <c r="BQ31" s="293"/>
      <c r="BR31" s="293"/>
      <c r="BS31" s="294"/>
    </row>
    <row r="32" spans="1:71" s="277" customFormat="1" ht="15" x14ac:dyDescent="0.2">
      <c r="A32" s="339"/>
      <c r="B32" s="340">
        <v>44253</v>
      </c>
      <c r="C32" s="392" t="s">
        <v>245</v>
      </c>
      <c r="D32" s="662" t="s">
        <v>231</v>
      </c>
      <c r="E32" s="582" t="s">
        <v>246</v>
      </c>
      <c r="F32" s="663" t="s">
        <v>233</v>
      </c>
      <c r="G32" s="222"/>
      <c r="H32" s="222"/>
      <c r="I32" s="222"/>
      <c r="J32" s="222"/>
      <c r="K32" s="222"/>
      <c r="L32" s="222" t="s">
        <v>234</v>
      </c>
      <c r="M32" s="222"/>
      <c r="N32" s="281">
        <v>44256</v>
      </c>
      <c r="O32" s="222">
        <v>50</v>
      </c>
      <c r="P32" s="222" t="s">
        <v>235</v>
      </c>
      <c r="Q32" s="222" t="s">
        <v>236</v>
      </c>
      <c r="R32" s="222" t="s">
        <v>89</v>
      </c>
      <c r="S32" s="377">
        <v>7.65</v>
      </c>
      <c r="T32" s="377">
        <v>4.32</v>
      </c>
      <c r="U32" s="377">
        <v>102</v>
      </c>
      <c r="V32" s="485"/>
      <c r="W32" s="295"/>
      <c r="X32" s="295"/>
      <c r="Y32" s="295"/>
      <c r="Z32" s="278" t="s">
        <v>260</v>
      </c>
      <c r="AA32" s="282"/>
      <c r="AB32" s="170">
        <v>50</v>
      </c>
      <c r="AC32" s="222"/>
      <c r="AD32" s="222"/>
      <c r="AE32" s="222" t="s">
        <v>425</v>
      </c>
      <c r="AF32" s="384"/>
      <c r="AG32" s="385">
        <v>44259</v>
      </c>
      <c r="AH32" s="386">
        <v>5</v>
      </c>
      <c r="AI32" s="295"/>
      <c r="AJ32" s="143">
        <v>22.679130259185499</v>
      </c>
      <c r="AK32" s="143">
        <v>22.7953658168978</v>
      </c>
      <c r="AL32" s="144">
        <v>22.533789559635199</v>
      </c>
      <c r="AM32" s="140">
        <f t="shared" si="25"/>
        <v>22.669428545239498</v>
      </c>
      <c r="AN32" s="391">
        <v>-3.4410714285714286</v>
      </c>
      <c r="AO32" s="391">
        <v>48.943513064185922</v>
      </c>
      <c r="AP32" s="290">
        <f t="shared" si="30"/>
        <v>43195362.220637299</v>
      </c>
      <c r="AQ32" s="276">
        <f t="shared" si="31"/>
        <v>17.615372032895529</v>
      </c>
      <c r="AR32" s="144">
        <v>27.139283292694699</v>
      </c>
      <c r="AS32" s="144">
        <v>27.2286478019941</v>
      </c>
      <c r="AT32" s="144">
        <v>27.128579698071398</v>
      </c>
      <c r="AU32" s="140">
        <f t="shared" si="26"/>
        <v>27.165503597586735</v>
      </c>
      <c r="AV32" s="390">
        <v>-3.5035151515151512</v>
      </c>
      <c r="AW32" s="390">
        <v>40.672666666666665</v>
      </c>
      <c r="AX32" s="291">
        <f t="shared" ref="AX32:AX39" si="34">IF(AND(AR32="No CT",AS32="No CT",AT32="No CT"),0,10^((AU32-AW32)/AV32))</f>
        <v>7166.6705608679413</v>
      </c>
      <c r="AY32" s="276">
        <f t="shared" si="27"/>
        <v>1433.3341121735882</v>
      </c>
      <c r="AZ32" s="144">
        <v>35.127734417400703</v>
      </c>
      <c r="BA32" s="144">
        <v>35.505554803763701</v>
      </c>
      <c r="BB32" s="144">
        <v>35.3246237051818</v>
      </c>
      <c r="BC32" s="140">
        <f t="shared" si="28"/>
        <v>35.319304308782073</v>
      </c>
      <c r="BD32" s="150">
        <v>-3.4617</v>
      </c>
      <c r="BE32" s="640">
        <v>42.390999999999998</v>
      </c>
      <c r="BF32" s="276">
        <f t="shared" si="32"/>
        <v>110.36693408102752</v>
      </c>
      <c r="BG32" s="289">
        <f t="shared" si="29"/>
        <v>22.073386816205506</v>
      </c>
      <c r="BH32" s="634">
        <f t="shared" si="33"/>
        <v>1.540002894561142E-2</v>
      </c>
      <c r="BI32" s="362"/>
      <c r="BJ32" s="351"/>
      <c r="BK32" s="298"/>
      <c r="BL32" s="804"/>
      <c r="BM32" s="293"/>
      <c r="BN32" s="293"/>
      <c r="BO32" s="293"/>
      <c r="BP32" s="293"/>
      <c r="BQ32" s="293"/>
      <c r="BR32" s="293"/>
      <c r="BS32" s="294"/>
    </row>
    <row r="33" spans="1:71" s="277" customFormat="1" ht="13.25" customHeight="1" x14ac:dyDescent="0.2">
      <c r="A33" s="339"/>
      <c r="B33" s="340">
        <v>44253</v>
      </c>
      <c r="C33" s="392" t="s">
        <v>247</v>
      </c>
      <c r="D33" s="662" t="s">
        <v>244</v>
      </c>
      <c r="E33" s="582" t="s">
        <v>246</v>
      </c>
      <c r="F33" s="663" t="s">
        <v>233</v>
      </c>
      <c r="G33" s="222"/>
      <c r="H33" s="222"/>
      <c r="I33" s="222"/>
      <c r="J33" s="222"/>
      <c r="K33" s="222"/>
      <c r="L33" s="222" t="s">
        <v>234</v>
      </c>
      <c r="M33" s="222"/>
      <c r="N33" s="281">
        <v>44256</v>
      </c>
      <c r="O33" s="222">
        <v>50</v>
      </c>
      <c r="P33" s="222" t="s">
        <v>235</v>
      </c>
      <c r="Q33" s="222" t="s">
        <v>236</v>
      </c>
      <c r="R33" s="222" t="s">
        <v>89</v>
      </c>
      <c r="S33" s="316">
        <v>7.5</v>
      </c>
      <c r="T33" s="315">
        <v>4.5</v>
      </c>
      <c r="U33" s="315">
        <v>62.4</v>
      </c>
      <c r="V33" s="485"/>
      <c r="W33" s="295"/>
      <c r="X33" s="295"/>
      <c r="Y33" s="295"/>
      <c r="Z33" s="278" t="s">
        <v>260</v>
      </c>
      <c r="AA33" s="282"/>
      <c r="AB33" s="170">
        <v>50</v>
      </c>
      <c r="AC33" s="222"/>
      <c r="AD33" s="222"/>
      <c r="AE33" s="222" t="s">
        <v>425</v>
      </c>
      <c r="AF33" s="384"/>
      <c r="AG33" s="385">
        <v>44259</v>
      </c>
      <c r="AH33" s="386">
        <v>5</v>
      </c>
      <c r="AI33" s="295"/>
      <c r="AJ33" s="143">
        <v>22.020414634355699</v>
      </c>
      <c r="AK33" s="143">
        <v>22.044685560962598</v>
      </c>
      <c r="AL33" s="144">
        <v>22.174578806911502</v>
      </c>
      <c r="AM33" s="140">
        <f t="shared" si="25"/>
        <v>22.079893000743265</v>
      </c>
      <c r="AN33" s="391">
        <v>-3.4410714285714286</v>
      </c>
      <c r="AO33" s="391">
        <v>48.943513064185922</v>
      </c>
      <c r="AP33" s="290">
        <f t="shared" si="30"/>
        <v>64085587.689391136</v>
      </c>
      <c r="AQ33" s="276">
        <f t="shared" si="31"/>
        <v>26.134552670935307</v>
      </c>
      <c r="AR33" s="144">
        <v>27.1423225697548</v>
      </c>
      <c r="AS33" s="144">
        <v>27.179924259774399</v>
      </c>
      <c r="AT33" s="144">
        <v>27.338764859214699</v>
      </c>
      <c r="AU33" s="140">
        <f t="shared" si="26"/>
        <v>27.2203372295813</v>
      </c>
      <c r="AV33" s="390">
        <v>-3.5035151515151512</v>
      </c>
      <c r="AW33" s="390">
        <v>40.672666666666665</v>
      </c>
      <c r="AX33" s="291">
        <f t="shared" si="34"/>
        <v>6912.997629640593</v>
      </c>
      <c r="AY33" s="276">
        <f t="shared" si="27"/>
        <v>1382.5995259281185</v>
      </c>
      <c r="AZ33" s="144">
        <v>32.571843956753597</v>
      </c>
      <c r="BA33" s="144">
        <v>32.557813168676603</v>
      </c>
      <c r="BB33" s="144">
        <v>32.693788586921102</v>
      </c>
      <c r="BC33" s="140">
        <f t="shared" si="28"/>
        <v>32.607815237450431</v>
      </c>
      <c r="BD33" s="150">
        <v>-3.4617</v>
      </c>
      <c r="BE33" s="640">
        <v>42.390999999999998</v>
      </c>
      <c r="BF33" s="276">
        <f t="shared" si="32"/>
        <v>670.07203013739991</v>
      </c>
      <c r="BG33" s="289">
        <f t="shared" si="29"/>
        <v>134.01440602747999</v>
      </c>
      <c r="BH33" s="634">
        <f t="shared" si="33"/>
        <v>9.6929301301125564E-2</v>
      </c>
      <c r="BI33" s="362"/>
      <c r="BJ33" s="351"/>
      <c r="BK33" s="298"/>
      <c r="BL33" s="804"/>
      <c r="BM33" s="293"/>
      <c r="BN33" s="293"/>
      <c r="BO33" s="293"/>
      <c r="BP33" s="293"/>
      <c r="BQ33" s="293"/>
      <c r="BR33" s="293"/>
      <c r="BS33" s="294"/>
    </row>
    <row r="34" spans="1:71" s="277" customFormat="1" ht="15" x14ac:dyDescent="0.2">
      <c r="A34" s="339"/>
      <c r="B34" s="340">
        <v>44253</v>
      </c>
      <c r="C34" s="392" t="s">
        <v>248</v>
      </c>
      <c r="D34" s="662" t="s">
        <v>231</v>
      </c>
      <c r="E34" s="582" t="s">
        <v>249</v>
      </c>
      <c r="F34" s="663" t="s">
        <v>233</v>
      </c>
      <c r="G34" s="222"/>
      <c r="H34" s="222"/>
      <c r="I34" s="222"/>
      <c r="J34" s="222"/>
      <c r="K34" s="222"/>
      <c r="L34" s="222" t="s">
        <v>234</v>
      </c>
      <c r="M34" s="222"/>
      <c r="N34" s="281">
        <v>44256</v>
      </c>
      <c r="O34" s="222">
        <v>50</v>
      </c>
      <c r="P34" s="222" t="s">
        <v>235</v>
      </c>
      <c r="Q34" s="222" t="s">
        <v>236</v>
      </c>
      <c r="R34" s="222" t="s">
        <v>89</v>
      </c>
      <c r="S34" s="377">
        <v>8.9</v>
      </c>
      <c r="T34" s="377">
        <v>3.78</v>
      </c>
      <c r="U34" s="377">
        <v>90.2</v>
      </c>
      <c r="V34" s="485"/>
      <c r="W34" s="295"/>
      <c r="X34" s="295"/>
      <c r="Y34" s="295"/>
      <c r="Z34" s="278" t="s">
        <v>260</v>
      </c>
      <c r="AA34" s="282"/>
      <c r="AB34" s="170">
        <v>50</v>
      </c>
      <c r="AC34" s="222"/>
      <c r="AD34" s="222"/>
      <c r="AE34" s="222" t="s">
        <v>425</v>
      </c>
      <c r="AF34" s="384"/>
      <c r="AG34" s="385">
        <v>44259</v>
      </c>
      <c r="AH34" s="386">
        <v>5</v>
      </c>
      <c r="AI34" s="295"/>
      <c r="AJ34" s="143">
        <v>21.765600838481799</v>
      </c>
      <c r="AK34" s="143">
        <v>21.763837384098899</v>
      </c>
      <c r="AL34" s="144">
        <v>21.751124179549599</v>
      </c>
      <c r="AM34" s="140">
        <f t="shared" si="25"/>
        <v>21.760187467376767</v>
      </c>
      <c r="AN34" s="391">
        <v>-3.4410714285714286</v>
      </c>
      <c r="AO34" s="391">
        <v>48.943513064185922</v>
      </c>
      <c r="AP34" s="290">
        <f t="shared" si="30"/>
        <v>79372322.598911017</v>
      </c>
      <c r="AQ34" s="276">
        <f t="shared" si="31"/>
        <v>32.368590511015981</v>
      </c>
      <c r="AR34" s="144">
        <v>27.8444117934811</v>
      </c>
      <c r="AS34" s="144">
        <v>27.776135864766701</v>
      </c>
      <c r="AT34" s="144">
        <v>27.613750544657201</v>
      </c>
      <c r="AU34" s="140">
        <f t="shared" si="26"/>
        <v>27.744766067634998</v>
      </c>
      <c r="AV34" s="390">
        <v>-3.5035151515151512</v>
      </c>
      <c r="AW34" s="390">
        <v>40.672666666666665</v>
      </c>
      <c r="AX34" s="291">
        <f t="shared" si="34"/>
        <v>4897.5618756730955</v>
      </c>
      <c r="AY34" s="276">
        <f t="shared" si="27"/>
        <v>979.51237513461911</v>
      </c>
      <c r="AZ34" s="144">
        <v>30.392554948261001</v>
      </c>
      <c r="BA34" s="144">
        <v>30.569209000859001</v>
      </c>
      <c r="BB34" s="144">
        <v>30.4554857853804</v>
      </c>
      <c r="BC34" s="140">
        <f t="shared" si="28"/>
        <v>30.472416578166801</v>
      </c>
      <c r="BD34" s="150">
        <v>-3.4617</v>
      </c>
      <c r="BE34" s="640">
        <v>42.390999999999998</v>
      </c>
      <c r="BF34" s="276">
        <f t="shared" si="32"/>
        <v>2773.2284647434026</v>
      </c>
      <c r="BG34" s="289">
        <f t="shared" si="29"/>
        <v>554.64569294868056</v>
      </c>
      <c r="BH34" s="634">
        <f t="shared" si="33"/>
        <v>0.56624674381725182</v>
      </c>
      <c r="BI34" s="362"/>
      <c r="BJ34" s="351"/>
      <c r="BK34" s="298"/>
      <c r="BL34" s="804"/>
      <c r="BM34" s="293"/>
      <c r="BN34" s="293"/>
      <c r="BO34" s="293"/>
      <c r="BP34" s="293"/>
      <c r="BQ34" s="293"/>
      <c r="BR34" s="293"/>
      <c r="BS34" s="294"/>
    </row>
    <row r="35" spans="1:71" s="277" customFormat="1" ht="15" x14ac:dyDescent="0.2">
      <c r="A35" s="339"/>
      <c r="B35" s="340">
        <v>44253</v>
      </c>
      <c r="C35" s="392" t="s">
        <v>250</v>
      </c>
      <c r="D35" s="662" t="s">
        <v>244</v>
      </c>
      <c r="E35" s="582" t="s">
        <v>249</v>
      </c>
      <c r="F35" s="663" t="s">
        <v>233</v>
      </c>
      <c r="G35" s="222"/>
      <c r="H35" s="222"/>
      <c r="I35" s="222"/>
      <c r="J35" s="222"/>
      <c r="K35" s="222"/>
      <c r="L35" s="222" t="s">
        <v>234</v>
      </c>
      <c r="M35" s="222"/>
      <c r="N35" s="281">
        <v>44256</v>
      </c>
      <c r="O35" s="222">
        <v>50</v>
      </c>
      <c r="P35" s="222" t="s">
        <v>235</v>
      </c>
      <c r="Q35" s="222" t="s">
        <v>236</v>
      </c>
      <c r="R35" s="222" t="s">
        <v>89</v>
      </c>
      <c r="S35" s="316">
        <v>8.57</v>
      </c>
      <c r="T35" s="315">
        <v>4.46</v>
      </c>
      <c r="U35" s="315">
        <v>63.3</v>
      </c>
      <c r="V35" s="485"/>
      <c r="W35" s="295"/>
      <c r="X35" s="295"/>
      <c r="Y35" s="295"/>
      <c r="Z35" s="278" t="s">
        <v>260</v>
      </c>
      <c r="AA35" s="282"/>
      <c r="AB35" s="170">
        <v>50</v>
      </c>
      <c r="AC35" s="222"/>
      <c r="AD35" s="222"/>
      <c r="AE35" s="222" t="s">
        <v>425</v>
      </c>
      <c r="AF35" s="384"/>
      <c r="AG35" s="385">
        <v>44259</v>
      </c>
      <c r="AH35" s="386">
        <v>5</v>
      </c>
      <c r="AI35" s="295"/>
      <c r="AJ35" s="143">
        <v>22.635148920465401</v>
      </c>
      <c r="AK35" s="143">
        <v>22.5394562482604</v>
      </c>
      <c r="AL35" s="144">
        <v>22.500222306350398</v>
      </c>
      <c r="AM35" s="140">
        <f t="shared" si="25"/>
        <v>22.558275825025401</v>
      </c>
      <c r="AN35" s="391">
        <v>-3.4410714285714286</v>
      </c>
      <c r="AO35" s="391">
        <v>48.943513064185922</v>
      </c>
      <c r="AP35" s="290">
        <f t="shared" si="30"/>
        <v>46530626.143442549</v>
      </c>
      <c r="AQ35" s="276">
        <f t="shared" si="31"/>
        <v>18.975516080953522</v>
      </c>
      <c r="AR35" s="144">
        <v>27.951348393051799</v>
      </c>
      <c r="AS35" s="144">
        <v>27.947454779883302</v>
      </c>
      <c r="AT35" s="144">
        <v>27.856198954520401</v>
      </c>
      <c r="AU35" s="140">
        <f t="shared" si="26"/>
        <v>27.918334042485167</v>
      </c>
      <c r="AV35" s="390">
        <v>-3.5035151515151512</v>
      </c>
      <c r="AW35" s="390">
        <v>40.672666666666665</v>
      </c>
      <c r="AX35" s="291">
        <f t="shared" si="34"/>
        <v>4369.5713691622132</v>
      </c>
      <c r="AY35" s="276">
        <f t="shared" si="27"/>
        <v>873.91427383244263</v>
      </c>
      <c r="AZ35" s="144">
        <v>31.542195763628399</v>
      </c>
      <c r="BA35" s="144">
        <v>31.448458967049898</v>
      </c>
      <c r="BB35" s="144">
        <v>31.361535283036101</v>
      </c>
      <c r="BC35" s="140">
        <f t="shared" si="28"/>
        <v>31.450730004571469</v>
      </c>
      <c r="BD35" s="150">
        <v>-3.4617</v>
      </c>
      <c r="BE35" s="640">
        <v>42.390999999999998</v>
      </c>
      <c r="BF35" s="276">
        <f t="shared" si="32"/>
        <v>1446.6882660595147</v>
      </c>
      <c r="BG35" s="289">
        <f t="shared" si="29"/>
        <v>289.33765321190293</v>
      </c>
      <c r="BH35" s="634">
        <f t="shared" si="33"/>
        <v>0.33108242063955379</v>
      </c>
      <c r="BI35" s="362"/>
      <c r="BJ35" s="351"/>
      <c r="BK35" s="298"/>
      <c r="BL35" s="804"/>
      <c r="BM35" s="293"/>
      <c r="BN35" s="293"/>
      <c r="BO35" s="293"/>
      <c r="BP35" s="293"/>
      <c r="BQ35" s="293"/>
      <c r="BR35" s="293"/>
      <c r="BS35" s="294"/>
    </row>
    <row r="36" spans="1:71" s="277" customFormat="1" ht="15" x14ac:dyDescent="0.2">
      <c r="A36" s="339"/>
      <c r="B36" s="340">
        <v>44253</v>
      </c>
      <c r="C36" s="392" t="s">
        <v>251</v>
      </c>
      <c r="D36" s="662" t="s">
        <v>231</v>
      </c>
      <c r="E36" s="582" t="s">
        <v>252</v>
      </c>
      <c r="F36" s="663" t="s">
        <v>233</v>
      </c>
      <c r="G36" s="222"/>
      <c r="H36" s="222"/>
      <c r="I36" s="222"/>
      <c r="J36" s="222"/>
      <c r="K36" s="222"/>
      <c r="L36" s="222" t="s">
        <v>234</v>
      </c>
      <c r="M36" s="222"/>
      <c r="N36" s="281">
        <v>44256</v>
      </c>
      <c r="O36" s="222">
        <v>50</v>
      </c>
      <c r="P36" s="222" t="s">
        <v>235</v>
      </c>
      <c r="Q36" s="222" t="s">
        <v>236</v>
      </c>
      <c r="R36" s="222" t="s">
        <v>89</v>
      </c>
      <c r="S36" s="377">
        <v>8.08</v>
      </c>
      <c r="T36" s="377">
        <v>3.88</v>
      </c>
      <c r="U36" s="377">
        <v>53.5</v>
      </c>
      <c r="V36" s="485"/>
      <c r="W36" s="295"/>
      <c r="X36" s="295"/>
      <c r="Y36" s="295"/>
      <c r="Z36" s="278" t="s">
        <v>260</v>
      </c>
      <c r="AA36" s="282"/>
      <c r="AB36" s="170">
        <v>50</v>
      </c>
      <c r="AC36" s="222"/>
      <c r="AD36" s="222"/>
      <c r="AE36" s="222" t="s">
        <v>425</v>
      </c>
      <c r="AF36" s="384"/>
      <c r="AG36" s="385">
        <v>44259</v>
      </c>
      <c r="AH36" s="386">
        <v>5</v>
      </c>
      <c r="AI36" s="295"/>
      <c r="AJ36" s="144">
        <v>21.864713846663999</v>
      </c>
      <c r="AK36" s="144">
        <v>21.8919487992078</v>
      </c>
      <c r="AL36" s="144">
        <v>22.047319270224602</v>
      </c>
      <c r="AM36" s="140">
        <f t="shared" si="25"/>
        <v>21.934660638698801</v>
      </c>
      <c r="AN36" s="391">
        <v>-3.4410714285714286</v>
      </c>
      <c r="AO36" s="391">
        <v>48.943513064185922</v>
      </c>
      <c r="AP36" s="290">
        <f t="shared" si="30"/>
        <v>70626215.589864016</v>
      </c>
      <c r="AQ36" s="276">
        <f t="shared" si="31"/>
        <v>28.801866657262291</v>
      </c>
      <c r="AR36" s="144">
        <v>28.503073806656101</v>
      </c>
      <c r="AS36" s="144">
        <v>28.636013617718401</v>
      </c>
      <c r="AT36" s="144">
        <v>28.7383138923967</v>
      </c>
      <c r="AU36" s="140">
        <f t="shared" si="26"/>
        <v>28.625800438923733</v>
      </c>
      <c r="AV36" s="390">
        <v>-3.5035151515151512</v>
      </c>
      <c r="AW36" s="390">
        <v>40.672666666666665</v>
      </c>
      <c r="AX36" s="291">
        <f t="shared" si="34"/>
        <v>2744.7853411399028</v>
      </c>
      <c r="AY36" s="276">
        <f t="shared" si="27"/>
        <v>548.95706822798059</v>
      </c>
      <c r="AZ36" s="144">
        <v>38.3154324605811</v>
      </c>
      <c r="BA36" s="144">
        <v>37.488199694256799</v>
      </c>
      <c r="BB36" s="144">
        <v>38.526437968502499</v>
      </c>
      <c r="BC36" s="140">
        <f t="shared" si="28"/>
        <v>38.110023374446797</v>
      </c>
      <c r="BD36" s="150">
        <v>-3.4617</v>
      </c>
      <c r="BE36" s="640">
        <v>42.390999999999998</v>
      </c>
      <c r="BF36" s="276">
        <f t="shared" si="32"/>
        <v>17.245225177972348</v>
      </c>
      <c r="BG36" s="289">
        <f t="shared" si="29"/>
        <v>3.4490450355944695</v>
      </c>
      <c r="BH36" s="634">
        <f t="shared" si="33"/>
        <v>6.2829048667282835E-3</v>
      </c>
      <c r="BI36" s="362"/>
      <c r="BJ36" s="351"/>
      <c r="BK36" s="298"/>
      <c r="BL36" s="804"/>
      <c r="BM36" s="293"/>
      <c r="BN36" s="293"/>
      <c r="BO36" s="293"/>
      <c r="BP36" s="293"/>
      <c r="BQ36" s="293"/>
      <c r="BR36" s="293"/>
      <c r="BS36" s="294"/>
    </row>
    <row r="37" spans="1:71" s="277" customFormat="1" ht="15" x14ac:dyDescent="0.2">
      <c r="A37" s="339"/>
      <c r="B37" s="340">
        <v>44253</v>
      </c>
      <c r="C37" s="392" t="s">
        <v>253</v>
      </c>
      <c r="D37" s="662" t="s">
        <v>244</v>
      </c>
      <c r="E37" s="582" t="s">
        <v>252</v>
      </c>
      <c r="F37" s="663" t="s">
        <v>233</v>
      </c>
      <c r="G37" s="222"/>
      <c r="H37" s="222"/>
      <c r="I37" s="222"/>
      <c r="J37" s="222"/>
      <c r="K37" s="222"/>
      <c r="L37" s="222" t="s">
        <v>234</v>
      </c>
      <c r="M37" s="222"/>
      <c r="N37" s="281">
        <v>44256</v>
      </c>
      <c r="O37" s="222">
        <v>50</v>
      </c>
      <c r="P37" s="222" t="s">
        <v>235</v>
      </c>
      <c r="Q37" s="222" t="s">
        <v>236</v>
      </c>
      <c r="R37" s="222" t="s">
        <v>89</v>
      </c>
      <c r="S37" s="316">
        <v>7.88</v>
      </c>
      <c r="T37" s="315">
        <v>3.54</v>
      </c>
      <c r="U37" s="315">
        <v>40.4</v>
      </c>
      <c r="V37" s="485"/>
      <c r="W37" s="295"/>
      <c r="X37" s="295"/>
      <c r="Y37" s="295"/>
      <c r="Z37" s="278" t="s">
        <v>260</v>
      </c>
      <c r="AA37" s="282"/>
      <c r="AB37" s="170">
        <v>50</v>
      </c>
      <c r="AC37" s="222"/>
      <c r="AD37" s="222"/>
      <c r="AE37" s="222" t="s">
        <v>425</v>
      </c>
      <c r="AF37" s="384"/>
      <c r="AG37" s="385">
        <v>44259</v>
      </c>
      <c r="AH37" s="386">
        <v>5</v>
      </c>
      <c r="AI37" s="295"/>
      <c r="AJ37" s="144">
        <v>21.6220859681478</v>
      </c>
      <c r="AK37" s="144">
        <v>21.513542189780399</v>
      </c>
      <c r="AL37" s="144">
        <v>21.655351867814701</v>
      </c>
      <c r="AM37" s="140">
        <f t="shared" si="25"/>
        <v>21.596993341914299</v>
      </c>
      <c r="AN37" s="391">
        <v>-3.4410714285714286</v>
      </c>
      <c r="AO37" s="391">
        <v>48.943513064185922</v>
      </c>
      <c r="AP37" s="290">
        <f t="shared" si="30"/>
        <v>88530816.656253025</v>
      </c>
      <c r="AQ37" s="276">
        <f t="shared" si="31"/>
        <v>36.103488698860424</v>
      </c>
      <c r="AR37" s="144">
        <v>27.629328239595502</v>
      </c>
      <c r="AS37" s="144">
        <v>27.5887273902121</v>
      </c>
      <c r="AT37" s="144">
        <v>27.879988174569</v>
      </c>
      <c r="AU37" s="140">
        <f t="shared" si="26"/>
        <v>27.6993479347922</v>
      </c>
      <c r="AV37" s="390">
        <v>-3.5035151515151512</v>
      </c>
      <c r="AW37" s="390">
        <v>40.672666666666665</v>
      </c>
      <c r="AX37" s="291">
        <f t="shared" si="34"/>
        <v>5045.9567206867796</v>
      </c>
      <c r="AY37" s="276">
        <f t="shared" ref="AY37" si="35">(AX37/AH37)*(AB37/O37)</f>
        <v>1009.1913441373559</v>
      </c>
      <c r="AZ37" s="144">
        <v>36.870997416642602</v>
      </c>
      <c r="BA37" s="144">
        <v>36.277182336770402</v>
      </c>
      <c r="BB37" s="144">
        <v>35.684679190335302</v>
      </c>
      <c r="BC37" s="140">
        <f t="shared" si="28"/>
        <v>36.277619647916104</v>
      </c>
      <c r="BD37" s="150">
        <v>-3.4617</v>
      </c>
      <c r="BE37" s="640">
        <v>42.390999999999998</v>
      </c>
      <c r="BF37" s="276">
        <f t="shared" si="32"/>
        <v>58.345214885807756</v>
      </c>
      <c r="BG37" s="289">
        <f t="shared" ref="BG37" si="36">(BF37/AH37)*(AB37/O37)</f>
        <v>11.669042977161551</v>
      </c>
      <c r="BH37" s="634">
        <f>BF37/AX37</f>
        <v>1.1562765619176116E-2</v>
      </c>
      <c r="BI37" s="362"/>
      <c r="BJ37" s="351"/>
      <c r="BK37" s="298"/>
      <c r="BL37" s="804"/>
      <c r="BM37" s="293"/>
      <c r="BN37" s="293"/>
      <c r="BO37" s="293"/>
      <c r="BP37" s="293"/>
      <c r="BQ37" s="293"/>
      <c r="BR37" s="293"/>
      <c r="BS37" s="294"/>
    </row>
    <row r="38" spans="1:71" s="277" customFormat="1" ht="15" x14ac:dyDescent="0.2">
      <c r="A38" s="339"/>
      <c r="B38" s="340"/>
      <c r="C38" s="299" t="s">
        <v>254</v>
      </c>
      <c r="D38" s="664" t="s">
        <v>254</v>
      </c>
      <c r="E38" s="582" t="s">
        <v>254</v>
      </c>
      <c r="F38" s="665" t="s">
        <v>254</v>
      </c>
      <c r="G38" s="222"/>
      <c r="H38" s="222"/>
      <c r="I38" s="222"/>
      <c r="J38" s="222"/>
      <c r="K38" s="222"/>
      <c r="L38" s="295"/>
      <c r="M38" s="295"/>
      <c r="N38" s="282"/>
      <c r="O38" s="222"/>
      <c r="P38" s="222"/>
      <c r="Q38" s="222"/>
      <c r="R38" s="295"/>
      <c r="S38" s="296"/>
      <c r="T38" s="295"/>
      <c r="U38" s="295"/>
      <c r="V38" s="417"/>
      <c r="W38" s="295"/>
      <c r="X38" s="295"/>
      <c r="Y38" s="295"/>
      <c r="Z38" s="278" t="s">
        <v>260</v>
      </c>
      <c r="AA38" s="282"/>
      <c r="AB38" s="170">
        <v>50</v>
      </c>
      <c r="AC38" s="222"/>
      <c r="AD38" s="222"/>
      <c r="AE38" s="222" t="s">
        <v>425</v>
      </c>
      <c r="AF38" s="384"/>
      <c r="AG38" s="385">
        <v>44259</v>
      </c>
      <c r="AH38" s="386">
        <v>5</v>
      </c>
      <c r="AI38" s="295"/>
      <c r="AJ38" s="144">
        <v>20.087503954475402</v>
      </c>
      <c r="AK38" s="144">
        <v>20.006359590170501</v>
      </c>
      <c r="AL38" s="144">
        <v>20.129601752473</v>
      </c>
      <c r="AM38" s="140">
        <f t="shared" si="25"/>
        <v>20.074488432372966</v>
      </c>
      <c r="AN38" s="391">
        <v>-3.4410714285714286</v>
      </c>
      <c r="AO38" s="391">
        <v>48.943513064185922</v>
      </c>
      <c r="AP38" s="290">
        <f t="shared" si="30"/>
        <v>245214021.82124144</v>
      </c>
      <c r="AQ38" s="276">
        <f>AP38*100/$AP$38</f>
        <v>100</v>
      </c>
      <c r="AR38" s="144">
        <v>34.581049418347902</v>
      </c>
      <c r="AS38" s="144">
        <v>34.315598006685804</v>
      </c>
      <c r="AT38" s="144">
        <v>34.294290492739798</v>
      </c>
      <c r="AU38" s="140">
        <f t="shared" si="26"/>
        <v>34.396979305924503</v>
      </c>
      <c r="AV38" s="390">
        <v>-3.5035151515151512</v>
      </c>
      <c r="AW38" s="390">
        <v>40.672666666666665</v>
      </c>
      <c r="AX38" s="291">
        <f t="shared" si="34"/>
        <v>61.837870119127516</v>
      </c>
      <c r="AY38" s="276"/>
      <c r="AZ38" s="144">
        <v>37.009676049026098</v>
      </c>
      <c r="BA38" s="144">
        <v>36.831351113352497</v>
      </c>
      <c r="BB38" s="144">
        <v>37.152809563603299</v>
      </c>
      <c r="BC38" s="140">
        <f t="shared" si="28"/>
        <v>36.9979455753273</v>
      </c>
      <c r="BD38" s="150">
        <v>-3.4617</v>
      </c>
      <c r="BE38" s="640">
        <v>42.390999999999998</v>
      </c>
      <c r="BF38" s="276">
        <f t="shared" si="32"/>
        <v>36.134395814552221</v>
      </c>
      <c r="BG38" s="289"/>
      <c r="BH38" s="634">
        <f t="shared" ref="BH38:BH39" si="37">BF38/AX38</f>
        <v>0.58434088601274825</v>
      </c>
      <c r="BI38" s="362"/>
      <c r="BJ38" s="351"/>
      <c r="BK38" s="298"/>
      <c r="BL38" s="804"/>
      <c r="BM38" s="293"/>
      <c r="BN38" s="293"/>
      <c r="BO38" s="293"/>
      <c r="BP38" s="293"/>
      <c r="BQ38" s="293"/>
      <c r="BR38" s="293"/>
      <c r="BS38" s="294"/>
    </row>
    <row r="39" spans="1:71" s="277" customFormat="1" ht="15" x14ac:dyDescent="0.2">
      <c r="A39" s="339"/>
      <c r="B39" s="340"/>
      <c r="C39" s="299" t="s">
        <v>255</v>
      </c>
      <c r="D39" s="664" t="s">
        <v>255</v>
      </c>
      <c r="E39" s="582" t="s">
        <v>255</v>
      </c>
      <c r="F39" s="665" t="s">
        <v>255</v>
      </c>
      <c r="G39" s="222"/>
      <c r="H39" s="222"/>
      <c r="I39" s="222"/>
      <c r="J39" s="222"/>
      <c r="K39" s="222"/>
      <c r="L39" s="295"/>
      <c r="M39" s="295"/>
      <c r="N39" s="282"/>
      <c r="O39" s="222"/>
      <c r="P39" s="222"/>
      <c r="Q39" s="222"/>
      <c r="R39" s="295"/>
      <c r="S39" s="296"/>
      <c r="T39" s="295"/>
      <c r="U39" s="295"/>
      <c r="V39" s="417"/>
      <c r="W39" s="295"/>
      <c r="X39" s="295"/>
      <c r="Y39" s="295"/>
      <c r="Z39" s="278" t="s">
        <v>260</v>
      </c>
      <c r="AA39" s="282"/>
      <c r="AB39" s="170">
        <v>50</v>
      </c>
      <c r="AC39" s="222"/>
      <c r="AD39" s="222"/>
      <c r="AE39" s="222" t="s">
        <v>425</v>
      </c>
      <c r="AF39" s="384"/>
      <c r="AG39" s="385">
        <v>44259</v>
      </c>
      <c r="AH39" s="386">
        <v>5</v>
      </c>
      <c r="AI39" s="295"/>
      <c r="AJ39" s="144">
        <v>38.379169763715097</v>
      </c>
      <c r="AK39" s="144">
        <v>39.142455139707501</v>
      </c>
      <c r="AL39" s="144">
        <v>39.421492709494103</v>
      </c>
      <c r="AM39" s="140">
        <f t="shared" si="25"/>
        <v>38.981039204305567</v>
      </c>
      <c r="AN39" s="391">
        <v>-3.4410714285714286</v>
      </c>
      <c r="AO39" s="391">
        <v>48.943513064185922</v>
      </c>
      <c r="AP39" s="290">
        <f t="shared" si="30"/>
        <v>785.53628201830429</v>
      </c>
      <c r="AQ39" s="276">
        <f t="shared" si="31"/>
        <v>3.2034721186986298E-4</v>
      </c>
      <c r="AR39" s="144">
        <v>36.053383853605098</v>
      </c>
      <c r="AS39" s="144">
        <v>36.975032583737097</v>
      </c>
      <c r="AT39" s="144">
        <v>36.402648596946698</v>
      </c>
      <c r="AU39" s="140">
        <f t="shared" si="26"/>
        <v>36.4770216780963</v>
      </c>
      <c r="AV39" s="390">
        <v>-3.5035151515151512</v>
      </c>
      <c r="AW39" s="390">
        <v>40.672666666666665</v>
      </c>
      <c r="AX39" s="291">
        <f t="shared" si="34"/>
        <v>15.759882449620019</v>
      </c>
      <c r="AY39" s="276"/>
      <c r="AZ39" s="144">
        <v>37.121062919942403</v>
      </c>
      <c r="BA39" s="144">
        <v>37.638556974068401</v>
      </c>
      <c r="BB39" s="144">
        <v>37.094520363984401</v>
      </c>
      <c r="BC39" s="140">
        <f t="shared" si="28"/>
        <v>37.28471341933173</v>
      </c>
      <c r="BD39" s="150">
        <v>-3.4617</v>
      </c>
      <c r="BE39" s="640">
        <v>42.390999999999998</v>
      </c>
      <c r="BF39" s="276">
        <f t="shared" si="32"/>
        <v>29.859368569516988</v>
      </c>
      <c r="BG39" s="289"/>
      <c r="BH39" s="634">
        <f t="shared" si="37"/>
        <v>1.8946441171099546</v>
      </c>
      <c r="BI39" s="362"/>
      <c r="BJ39" s="351"/>
      <c r="BK39" s="298"/>
      <c r="BL39" s="804"/>
      <c r="BM39" s="293"/>
      <c r="BN39" s="293"/>
      <c r="BO39" s="293"/>
      <c r="BP39" s="293"/>
      <c r="BQ39" s="293"/>
      <c r="BR39" s="293"/>
      <c r="BS39" s="294"/>
    </row>
    <row r="40" spans="1:71" s="277" customFormat="1" x14ac:dyDescent="0.2">
      <c r="A40" s="342"/>
      <c r="B40" s="342"/>
      <c r="C40" s="300"/>
      <c r="D40" s="666"/>
      <c r="E40" s="667"/>
      <c r="F40" s="668"/>
      <c r="G40" s="301"/>
      <c r="H40" s="301"/>
      <c r="I40" s="301"/>
      <c r="J40" s="301"/>
      <c r="K40" s="301"/>
      <c r="L40" s="302"/>
      <c r="M40" s="302"/>
      <c r="N40" s="279"/>
      <c r="O40" s="301"/>
      <c r="P40" s="301"/>
      <c r="Q40" s="301"/>
      <c r="R40" s="302"/>
      <c r="S40" s="303"/>
      <c r="T40" s="302"/>
      <c r="U40" s="302"/>
      <c r="V40" s="417"/>
      <c r="W40" s="302"/>
      <c r="X40" s="302"/>
      <c r="Y40" s="302"/>
      <c r="Z40" s="279"/>
      <c r="AA40" s="279"/>
      <c r="AB40" s="301"/>
      <c r="AC40" s="302"/>
      <c r="AD40" s="302"/>
      <c r="AE40" s="302"/>
      <c r="AF40" s="302"/>
      <c r="AG40" s="279"/>
      <c r="AH40" s="304"/>
      <c r="AI40" s="302"/>
      <c r="AJ40" s="305"/>
      <c r="AK40" s="305"/>
      <c r="AL40" s="302"/>
      <c r="AM40" s="306"/>
      <c r="AN40" s="306"/>
      <c r="AO40" s="306"/>
      <c r="AP40" s="307"/>
      <c r="AQ40" s="305"/>
      <c r="AR40" s="302"/>
      <c r="AS40" s="302"/>
      <c r="AT40" s="302"/>
      <c r="AU40" s="306"/>
      <c r="AV40" s="306"/>
      <c r="AW40" s="306"/>
      <c r="AX40" s="308"/>
      <c r="AY40" s="306"/>
      <c r="AZ40" s="302"/>
      <c r="BA40" s="302"/>
      <c r="BB40" s="302"/>
      <c r="BC40" s="306"/>
      <c r="BD40" s="306"/>
      <c r="BE40" s="306"/>
      <c r="BF40" s="304"/>
      <c r="BG40" s="304"/>
      <c r="BH40" s="635"/>
      <c r="BI40" s="446"/>
      <c r="BJ40" s="329"/>
      <c r="BK40" s="309"/>
      <c r="BL40" s="310"/>
      <c r="BM40" s="311"/>
      <c r="BN40" s="311"/>
      <c r="BO40" s="311"/>
      <c r="BP40" s="311"/>
      <c r="BQ40" s="311"/>
      <c r="BR40" s="311"/>
      <c r="BS40" s="310"/>
    </row>
    <row r="41" spans="1:71" s="277" customFormat="1" ht="15" x14ac:dyDescent="0.2">
      <c r="A41" s="343"/>
      <c r="B41" s="343">
        <v>44256</v>
      </c>
      <c r="C41" s="224" t="s">
        <v>230</v>
      </c>
      <c r="D41" s="670" t="s">
        <v>231</v>
      </c>
      <c r="E41" s="249" t="s">
        <v>232</v>
      </c>
      <c r="F41" s="671" t="s">
        <v>233</v>
      </c>
      <c r="G41" s="314"/>
      <c r="H41" s="314"/>
      <c r="I41" s="314"/>
      <c r="J41" s="314"/>
      <c r="K41" s="314"/>
      <c r="L41" s="222" t="s">
        <v>234</v>
      </c>
      <c r="M41" s="222"/>
      <c r="N41" s="281">
        <v>44257</v>
      </c>
      <c r="O41" s="222">
        <v>50</v>
      </c>
      <c r="P41" s="222" t="s">
        <v>235</v>
      </c>
      <c r="Q41" s="222" t="s">
        <v>236</v>
      </c>
      <c r="R41" s="315" t="s">
        <v>262</v>
      </c>
      <c r="S41" s="375">
        <v>7</v>
      </c>
      <c r="T41" s="375">
        <v>3.7</v>
      </c>
      <c r="U41" s="375">
        <v>56.5</v>
      </c>
      <c r="V41" s="487" t="s">
        <v>238</v>
      </c>
      <c r="W41" s="315"/>
      <c r="X41" s="315"/>
      <c r="Y41" s="415"/>
      <c r="Z41" s="278" t="s">
        <v>263</v>
      </c>
      <c r="AA41" s="283"/>
      <c r="AB41" s="170">
        <v>50</v>
      </c>
      <c r="AC41" s="315"/>
      <c r="AD41" s="315"/>
      <c r="AE41" s="222" t="s">
        <v>425</v>
      </c>
      <c r="AF41" s="315"/>
      <c r="AG41" s="385">
        <v>44259</v>
      </c>
      <c r="AH41" s="386">
        <v>5</v>
      </c>
      <c r="AI41" s="315"/>
      <c r="AJ41" s="78">
        <v>22.126659143199198</v>
      </c>
      <c r="AK41" s="78">
        <v>22.053719283081001</v>
      </c>
      <c r="AL41" s="78">
        <v>22.1269331133226</v>
      </c>
      <c r="AM41" s="413">
        <f t="shared" ref="AM41:AM50" si="38">AVERAGE(AJ41:AL41)</f>
        <v>22.102437179867604</v>
      </c>
      <c r="AN41" s="391">
        <v>-3.4410714285714286</v>
      </c>
      <c r="AO41" s="391">
        <v>48.943513064185922</v>
      </c>
      <c r="AP41" s="290">
        <f>IF(AND(AJ41="No CT",AK41="No CT",AL41="No CT"),0,10^((AM41-AO41)/AN41))</f>
        <v>63126087.274499044</v>
      </c>
      <c r="AQ41" s="276">
        <f>AP41*100/$AP$49</f>
        <v>22.197537259893089</v>
      </c>
      <c r="AR41" s="78">
        <v>26.873900537964701</v>
      </c>
      <c r="AS41" s="78">
        <v>26.7908504117418</v>
      </c>
      <c r="AT41" s="78">
        <v>26.775158998780899</v>
      </c>
      <c r="AU41" s="413">
        <f t="shared" ref="AU41:AU50" si="39">AVERAGE(AR41:AT41)</f>
        <v>26.813303316162465</v>
      </c>
      <c r="AV41" s="390">
        <v>-3.5035151515151512</v>
      </c>
      <c r="AW41" s="390">
        <v>40.672666666666665</v>
      </c>
      <c r="AX41" s="291">
        <f>IF(AND(AR41="No CT",AS41="No CT",AT41="No CT"),0,10^((AU41-AW41)/AV41))</f>
        <v>9033.2728884416465</v>
      </c>
      <c r="AY41" s="276">
        <f t="shared" ref="AY41:AY47" si="40">(AX41/AH41)*(AB41/O41)</f>
        <v>1806.6545776883293</v>
      </c>
      <c r="AZ41" s="18">
        <v>37.227687328441696</v>
      </c>
      <c r="BA41" s="18">
        <v>36.236065176738798</v>
      </c>
      <c r="BB41" s="18">
        <v>36.574529071110199</v>
      </c>
      <c r="BC41" s="176">
        <f t="shared" ref="BC41:BC50" si="41">AVERAGE(AZ41:BB41)</f>
        <v>36.679427192096902</v>
      </c>
      <c r="BD41" s="150">
        <v>-3.4617</v>
      </c>
      <c r="BE41" s="640">
        <v>42.390999999999998</v>
      </c>
      <c r="BF41" s="276">
        <f>IF(AND(AZ41="No CT",BA41="No CT",BB41="No CT"),0,10^((BC41-BE41)/BD41))</f>
        <v>44.661460945594598</v>
      </c>
      <c r="BG41" s="289">
        <f t="shared" ref="BG41:BG47" si="42">(BF41/AH41)*(AB41/O41)</f>
        <v>8.93229218911892</v>
      </c>
      <c r="BH41" s="634">
        <f>BF41/AX41</f>
        <v>4.9441062499883436E-3</v>
      </c>
      <c r="BI41" s="412"/>
      <c r="BJ41" s="435"/>
      <c r="BK41" s="320"/>
      <c r="BL41" s="321"/>
      <c r="BM41" s="322"/>
      <c r="BN41" s="322"/>
      <c r="BO41" s="322"/>
      <c r="BP41" s="322"/>
      <c r="BQ41" s="322"/>
      <c r="BR41" s="322"/>
      <c r="BS41" s="321"/>
    </row>
    <row r="42" spans="1:71" s="277" customFormat="1" ht="15" x14ac:dyDescent="0.2">
      <c r="A42" s="343"/>
      <c r="B42" s="343">
        <v>44256</v>
      </c>
      <c r="C42" s="224" t="s">
        <v>243</v>
      </c>
      <c r="D42" s="670" t="s">
        <v>244</v>
      </c>
      <c r="E42" s="249" t="s">
        <v>232</v>
      </c>
      <c r="F42" s="671" t="s">
        <v>233</v>
      </c>
      <c r="G42" s="314"/>
      <c r="H42" s="314"/>
      <c r="I42" s="314"/>
      <c r="J42" s="314"/>
      <c r="K42" s="314"/>
      <c r="L42" s="222" t="s">
        <v>234</v>
      </c>
      <c r="M42" s="222"/>
      <c r="N42" s="281">
        <v>44257</v>
      </c>
      <c r="O42" s="222">
        <v>50</v>
      </c>
      <c r="P42" s="222" t="s">
        <v>235</v>
      </c>
      <c r="Q42" s="222" t="s">
        <v>236</v>
      </c>
      <c r="R42" s="315" t="s">
        <v>262</v>
      </c>
      <c r="S42" s="142">
        <v>7.03</v>
      </c>
      <c r="T42" s="141">
        <v>3.99</v>
      </c>
      <c r="U42" s="141">
        <v>35</v>
      </c>
      <c r="V42" s="487" t="s">
        <v>238</v>
      </c>
      <c r="W42" s="315"/>
      <c r="X42" s="315"/>
      <c r="Y42" s="147" t="s">
        <v>264</v>
      </c>
      <c r="Z42" s="278" t="s">
        <v>263</v>
      </c>
      <c r="AA42" s="283"/>
      <c r="AB42" s="170">
        <v>50</v>
      </c>
      <c r="AC42" s="315"/>
      <c r="AD42" s="315"/>
      <c r="AE42" s="222" t="s">
        <v>425</v>
      </c>
      <c r="AF42" s="315"/>
      <c r="AG42" s="385">
        <v>44259</v>
      </c>
      <c r="AH42" s="386">
        <v>5</v>
      </c>
      <c r="AI42" s="315"/>
      <c r="AJ42" s="143">
        <v>21.750956569682199</v>
      </c>
      <c r="AK42" s="143">
        <v>21.591334398967401</v>
      </c>
      <c r="AL42" s="144">
        <v>21.6711852759503</v>
      </c>
      <c r="AM42" s="140">
        <f t="shared" si="38"/>
        <v>21.671158748199968</v>
      </c>
      <c r="AN42" s="391">
        <v>-3.4410714285714286</v>
      </c>
      <c r="AO42" s="391">
        <v>48.943513064185922</v>
      </c>
      <c r="AP42" s="290">
        <f t="shared" ref="AP42:AP50" si="43">IF(AND(AJ42="No CT",AK42="No CT",AL42="No CT"),0,10^((AM42-AO42)/AN42))</f>
        <v>84244483.543199867</v>
      </c>
      <c r="AQ42" s="276">
        <f t="shared" ref="AQ42:AQ50" si="44">AP42*100/$AP$49</f>
        <v>29.623569955460532</v>
      </c>
      <c r="AR42" s="144">
        <v>28.172740432988501</v>
      </c>
      <c r="AS42" s="144">
        <v>28.095199049300199</v>
      </c>
      <c r="AT42" s="144">
        <v>28.161097775261801</v>
      </c>
      <c r="AU42" s="140">
        <f t="shared" si="39"/>
        <v>28.143012419183503</v>
      </c>
      <c r="AV42" s="390">
        <v>-3.5035151515151512</v>
      </c>
      <c r="AW42" s="390">
        <v>40.672666666666665</v>
      </c>
      <c r="AX42" s="291">
        <f>IF(AND(AR42="No CT",AS42="No CT",AT42="No CT"),0,10^((AU42-AW42)/AV42))</f>
        <v>3769.7228520264321</v>
      </c>
      <c r="AY42" s="276">
        <f t="shared" si="40"/>
        <v>753.94457040528641</v>
      </c>
      <c r="AZ42" s="144">
        <v>36.823558967984503</v>
      </c>
      <c r="BA42" s="144">
        <v>36.403259998188702</v>
      </c>
      <c r="BB42" s="144">
        <v>36.363649966877297</v>
      </c>
      <c r="BC42" s="140">
        <f t="shared" si="41"/>
        <v>36.530156311016832</v>
      </c>
      <c r="BD42" s="150">
        <v>-3.4617</v>
      </c>
      <c r="BE42" s="640">
        <v>42.390999999999998</v>
      </c>
      <c r="BF42" s="276">
        <f t="shared" ref="BF42:BF50" si="45">IF(AND(AZ42="No CT",BA42="No CT",BB42="No CT"),0,10^((BC42-BE42)/BD42))</f>
        <v>49.323468824680759</v>
      </c>
      <c r="BG42" s="289">
        <f t="shared" si="42"/>
        <v>9.8646937649361526</v>
      </c>
      <c r="BH42" s="634">
        <f t="shared" ref="BH42:BH47" si="46">BF42/AX42</f>
        <v>1.3084110095299632E-2</v>
      </c>
      <c r="BI42" s="412"/>
      <c r="BJ42" s="435"/>
      <c r="BK42" s="320"/>
      <c r="BL42" s="321"/>
      <c r="BM42" s="322"/>
      <c r="BN42" s="322"/>
      <c r="BO42" s="322"/>
      <c r="BP42" s="322"/>
      <c r="BQ42" s="322"/>
      <c r="BR42" s="322"/>
      <c r="BS42" s="321"/>
    </row>
    <row r="43" spans="1:71" s="277" customFormat="1" ht="15" x14ac:dyDescent="0.2">
      <c r="A43" s="343"/>
      <c r="B43" s="343">
        <v>44256</v>
      </c>
      <c r="C43" s="224" t="s">
        <v>245</v>
      </c>
      <c r="D43" s="670" t="s">
        <v>231</v>
      </c>
      <c r="E43" s="249" t="s">
        <v>246</v>
      </c>
      <c r="F43" s="671" t="s">
        <v>233</v>
      </c>
      <c r="G43" s="314"/>
      <c r="H43" s="314"/>
      <c r="I43" s="314"/>
      <c r="J43" s="314"/>
      <c r="K43" s="314"/>
      <c r="L43" s="222" t="s">
        <v>234</v>
      </c>
      <c r="M43" s="222"/>
      <c r="N43" s="281">
        <v>44257</v>
      </c>
      <c r="O43" s="222">
        <v>50</v>
      </c>
      <c r="P43" s="222" t="s">
        <v>235</v>
      </c>
      <c r="Q43" s="222" t="s">
        <v>236</v>
      </c>
      <c r="R43" s="315" t="s">
        <v>262</v>
      </c>
      <c r="S43" s="375">
        <v>7.42</v>
      </c>
      <c r="T43" s="375">
        <v>3.68</v>
      </c>
      <c r="U43" s="375">
        <v>73.5</v>
      </c>
      <c r="V43" s="487" t="s">
        <v>238</v>
      </c>
      <c r="W43" s="315"/>
      <c r="X43" s="315"/>
      <c r="Y43" s="147"/>
      <c r="Z43" s="278" t="s">
        <v>263</v>
      </c>
      <c r="AA43" s="283"/>
      <c r="AB43" s="170">
        <v>50</v>
      </c>
      <c r="AC43" s="315"/>
      <c r="AD43" s="315"/>
      <c r="AE43" s="222" t="s">
        <v>425</v>
      </c>
      <c r="AF43" s="315"/>
      <c r="AG43" s="385">
        <v>44259</v>
      </c>
      <c r="AH43" s="386">
        <v>5</v>
      </c>
      <c r="AI43" s="315"/>
      <c r="AJ43" s="143">
        <v>22.099902930329801</v>
      </c>
      <c r="AK43" s="143">
        <v>22.1639669959104</v>
      </c>
      <c r="AL43" s="144">
        <v>22.109267565676099</v>
      </c>
      <c r="AM43" s="140">
        <f t="shared" si="38"/>
        <v>22.124379163972105</v>
      </c>
      <c r="AN43" s="391">
        <v>-3.4410714285714286</v>
      </c>
      <c r="AO43" s="391">
        <v>48.943513064185922</v>
      </c>
      <c r="AP43" s="290">
        <f t="shared" si="43"/>
        <v>62206013.98989249</v>
      </c>
      <c r="AQ43" s="276">
        <f t="shared" si="44"/>
        <v>21.874004440124352</v>
      </c>
      <c r="AR43" s="144">
        <v>26.0202542084259</v>
      </c>
      <c r="AS43" s="144">
        <v>26.083145832295401</v>
      </c>
      <c r="AT43" s="144">
        <v>25.988874852685601</v>
      </c>
      <c r="AU43" s="140">
        <f t="shared" si="39"/>
        <v>26.030758297802297</v>
      </c>
      <c r="AV43" s="390">
        <v>-3.5035151515151512</v>
      </c>
      <c r="AW43" s="390">
        <v>40.672666666666665</v>
      </c>
      <c r="AX43" s="291">
        <f t="shared" ref="AX43:AX50" si="47">IF(AND(AR43="No CT",AS43="No CT",AT43="No CT"),0,10^((AU43-AW43)/AV43))</f>
        <v>15107.93453214932</v>
      </c>
      <c r="AY43" s="276">
        <f t="shared" si="40"/>
        <v>3021.586906429864</v>
      </c>
      <c r="AZ43" s="144">
        <v>35.094635585892902</v>
      </c>
      <c r="BA43" s="144">
        <v>34.922713909888898</v>
      </c>
      <c r="BB43" s="144">
        <v>35.299106580153698</v>
      </c>
      <c r="BC43" s="140">
        <f t="shared" si="41"/>
        <v>35.105485358645161</v>
      </c>
      <c r="BD43" s="150">
        <v>-3.4617</v>
      </c>
      <c r="BE43" s="640">
        <v>42.390999999999998</v>
      </c>
      <c r="BF43" s="276">
        <f t="shared" si="45"/>
        <v>127.23483026379733</v>
      </c>
      <c r="BG43" s="289">
        <f t="shared" si="42"/>
        <v>25.446966052759468</v>
      </c>
      <c r="BH43" s="634">
        <f t="shared" si="46"/>
        <v>8.4217223733028951E-3</v>
      </c>
      <c r="BI43" s="412"/>
      <c r="BJ43" s="435"/>
      <c r="BK43" s="320"/>
      <c r="BL43" s="321"/>
      <c r="BM43" s="322"/>
      <c r="BN43" s="322"/>
      <c r="BO43" s="322"/>
      <c r="BP43" s="322"/>
      <c r="BQ43" s="322"/>
      <c r="BR43" s="322"/>
      <c r="BS43" s="321"/>
    </row>
    <row r="44" spans="1:71" s="277" customFormat="1" ht="29" x14ac:dyDescent="0.2">
      <c r="A44" s="343"/>
      <c r="B44" s="343">
        <v>44256</v>
      </c>
      <c r="C44" s="224" t="s">
        <v>247</v>
      </c>
      <c r="D44" s="670" t="s">
        <v>244</v>
      </c>
      <c r="E44" s="249" t="s">
        <v>246</v>
      </c>
      <c r="F44" s="671" t="s">
        <v>233</v>
      </c>
      <c r="G44" s="314"/>
      <c r="H44" s="314"/>
      <c r="I44" s="314"/>
      <c r="J44" s="314"/>
      <c r="K44" s="314"/>
      <c r="L44" s="222" t="s">
        <v>234</v>
      </c>
      <c r="M44" s="222"/>
      <c r="N44" s="281">
        <v>44257</v>
      </c>
      <c r="O44" s="222">
        <v>50</v>
      </c>
      <c r="P44" s="222" t="s">
        <v>235</v>
      </c>
      <c r="Q44" s="222" t="s">
        <v>236</v>
      </c>
      <c r="R44" s="315" t="s">
        <v>262</v>
      </c>
      <c r="S44" s="142">
        <v>7.17</v>
      </c>
      <c r="T44" s="141">
        <v>3.9</v>
      </c>
      <c r="U44" s="141">
        <v>82.3</v>
      </c>
      <c r="V44" s="487" t="s">
        <v>238</v>
      </c>
      <c r="W44" s="315"/>
      <c r="X44" s="315"/>
      <c r="Y44" s="414" t="s">
        <v>265</v>
      </c>
      <c r="Z44" s="278" t="s">
        <v>263</v>
      </c>
      <c r="AA44" s="283"/>
      <c r="AB44" s="170">
        <v>50</v>
      </c>
      <c r="AC44" s="315"/>
      <c r="AD44" s="315"/>
      <c r="AE44" s="222" t="s">
        <v>425</v>
      </c>
      <c r="AF44" s="315"/>
      <c r="AG44" s="385">
        <v>44259</v>
      </c>
      <c r="AH44" s="386">
        <v>5</v>
      </c>
      <c r="AI44" s="315"/>
      <c r="AJ44" s="143">
        <v>21.733963315426401</v>
      </c>
      <c r="AK44" s="143">
        <v>21.658988859968101</v>
      </c>
      <c r="AL44" s="144">
        <v>21.772423973043502</v>
      </c>
      <c r="AM44" s="140">
        <f t="shared" si="38"/>
        <v>21.721792049479333</v>
      </c>
      <c r="AN44" s="391">
        <v>-3.4410714285714286</v>
      </c>
      <c r="AO44" s="391">
        <v>48.943513064185922</v>
      </c>
      <c r="AP44" s="290">
        <f t="shared" si="43"/>
        <v>81437994.895490825</v>
      </c>
      <c r="AQ44" s="276">
        <f t="shared" si="44"/>
        <v>28.63670162547686</v>
      </c>
      <c r="AR44" s="144">
        <v>27.207841299266299</v>
      </c>
      <c r="AS44" s="144">
        <v>27.219842627876499</v>
      </c>
      <c r="AT44" s="144">
        <v>27.267690339608201</v>
      </c>
      <c r="AU44" s="140">
        <f t="shared" si="39"/>
        <v>27.231791422250335</v>
      </c>
      <c r="AV44" s="390">
        <v>-3.5035151515151512</v>
      </c>
      <c r="AW44" s="390">
        <v>40.672666666666665</v>
      </c>
      <c r="AX44" s="291">
        <f t="shared" si="47"/>
        <v>6861.1523842161496</v>
      </c>
      <c r="AY44" s="276">
        <f t="shared" si="40"/>
        <v>1372.23047684323</v>
      </c>
      <c r="AZ44" s="144">
        <v>32.753731969972499</v>
      </c>
      <c r="BA44" s="144">
        <v>32.683101358829603</v>
      </c>
      <c r="BB44" s="144">
        <v>32.639214380325598</v>
      </c>
      <c r="BC44" s="140">
        <f t="shared" si="41"/>
        <v>32.692015903042567</v>
      </c>
      <c r="BD44" s="150">
        <v>-3.4617</v>
      </c>
      <c r="BE44" s="640">
        <v>42.390999999999998</v>
      </c>
      <c r="BF44" s="276">
        <f t="shared" si="45"/>
        <v>633.57493623753112</v>
      </c>
      <c r="BG44" s="289">
        <f t="shared" si="42"/>
        <v>126.71498724750623</v>
      </c>
      <c r="BH44" s="634">
        <f t="shared" si="46"/>
        <v>9.2342350199807396E-2</v>
      </c>
      <c r="BI44" s="412"/>
      <c r="BJ44" s="435"/>
      <c r="BK44" s="320"/>
      <c r="BL44" s="321"/>
      <c r="BM44" s="322"/>
      <c r="BN44" s="322"/>
      <c r="BO44" s="322"/>
      <c r="BP44" s="322"/>
      <c r="BQ44" s="322"/>
      <c r="BR44" s="322"/>
      <c r="BS44" s="321"/>
    </row>
    <row r="45" spans="1:71" s="277" customFormat="1" ht="15" x14ac:dyDescent="0.2">
      <c r="A45" s="343"/>
      <c r="B45" s="343">
        <v>44256</v>
      </c>
      <c r="C45" s="224" t="s">
        <v>248</v>
      </c>
      <c r="D45" s="670" t="s">
        <v>231</v>
      </c>
      <c r="E45" s="249" t="s">
        <v>249</v>
      </c>
      <c r="F45" s="671" t="s">
        <v>233</v>
      </c>
      <c r="G45" s="314"/>
      <c r="H45" s="314"/>
      <c r="I45" s="314"/>
      <c r="J45" s="314"/>
      <c r="K45" s="314"/>
      <c r="L45" s="222" t="s">
        <v>234</v>
      </c>
      <c r="M45" s="222"/>
      <c r="N45" s="281">
        <v>44257</v>
      </c>
      <c r="O45" s="222">
        <v>50</v>
      </c>
      <c r="P45" s="222" t="s">
        <v>235</v>
      </c>
      <c r="Q45" s="222" t="s">
        <v>236</v>
      </c>
      <c r="R45" s="315" t="s">
        <v>262</v>
      </c>
      <c r="S45" s="375">
        <v>10.61</v>
      </c>
      <c r="T45" s="375">
        <v>4.13</v>
      </c>
      <c r="U45" s="375">
        <v>105</v>
      </c>
      <c r="V45" s="487" t="s">
        <v>238</v>
      </c>
      <c r="W45" s="315"/>
      <c r="X45" s="315"/>
      <c r="Y45" s="147"/>
      <c r="Z45" s="278" t="s">
        <v>263</v>
      </c>
      <c r="AA45" s="283"/>
      <c r="AB45" s="170">
        <v>50</v>
      </c>
      <c r="AC45" s="315"/>
      <c r="AD45" s="315"/>
      <c r="AE45" s="222" t="s">
        <v>425</v>
      </c>
      <c r="AF45" s="315"/>
      <c r="AG45" s="385">
        <v>44259</v>
      </c>
      <c r="AH45" s="386">
        <v>5</v>
      </c>
      <c r="AI45" s="315"/>
      <c r="AJ45" s="143">
        <v>24.186686117124299</v>
      </c>
      <c r="AK45" s="143">
        <v>24.1910924102318</v>
      </c>
      <c r="AL45" s="144">
        <v>23.990780396649701</v>
      </c>
      <c r="AM45" s="140">
        <f t="shared" si="38"/>
        <v>24.1228529746686</v>
      </c>
      <c r="AN45" s="391">
        <v>-3.4410714285714286</v>
      </c>
      <c r="AO45" s="391">
        <v>48.943513064185922</v>
      </c>
      <c r="AP45" s="290">
        <f t="shared" si="43"/>
        <v>16332834.915991472</v>
      </c>
      <c r="AQ45" s="276">
        <f t="shared" si="44"/>
        <v>5.7432470039032788</v>
      </c>
      <c r="AR45" s="144">
        <v>27.044691483515201</v>
      </c>
      <c r="AS45" s="144">
        <v>27.014114286288901</v>
      </c>
      <c r="AT45" s="144">
        <v>26.819106483776999</v>
      </c>
      <c r="AU45" s="140">
        <f t="shared" si="39"/>
        <v>26.959304084527034</v>
      </c>
      <c r="AV45" s="390">
        <v>-3.5035151515151512</v>
      </c>
      <c r="AW45" s="390">
        <v>40.672666666666665</v>
      </c>
      <c r="AX45" s="291">
        <f t="shared" si="47"/>
        <v>8206.7740767458235</v>
      </c>
      <c r="AY45" s="276">
        <f t="shared" si="40"/>
        <v>1641.3548153491647</v>
      </c>
      <c r="AZ45" s="144">
        <v>31.576039906391902</v>
      </c>
      <c r="BA45" s="144">
        <v>31.611640369524299</v>
      </c>
      <c r="BB45" s="144">
        <v>31.5517735771937</v>
      </c>
      <c r="BC45" s="140">
        <f t="shared" si="41"/>
        <v>31.579817951036631</v>
      </c>
      <c r="BD45" s="150">
        <v>-3.4617</v>
      </c>
      <c r="BE45" s="640">
        <v>42.390999999999998</v>
      </c>
      <c r="BF45" s="276">
        <f t="shared" si="45"/>
        <v>1327.6531363523213</v>
      </c>
      <c r="BG45" s="289">
        <f t="shared" si="42"/>
        <v>265.53062727046427</v>
      </c>
      <c r="BH45" s="634">
        <f t="shared" si="46"/>
        <v>0.16177527539283335</v>
      </c>
      <c r="BI45" s="412"/>
      <c r="BJ45" s="435"/>
      <c r="BK45" s="320"/>
      <c r="BL45" s="321"/>
      <c r="BM45" s="322"/>
      <c r="BN45" s="322"/>
      <c r="BO45" s="322"/>
      <c r="BP45" s="322"/>
      <c r="BQ45" s="322"/>
      <c r="BR45" s="322"/>
      <c r="BS45" s="321"/>
    </row>
    <row r="46" spans="1:71" s="277" customFormat="1" ht="29" x14ac:dyDescent="0.2">
      <c r="A46" s="343"/>
      <c r="B46" s="343">
        <v>44256</v>
      </c>
      <c r="C46" s="224" t="s">
        <v>250</v>
      </c>
      <c r="D46" s="670" t="s">
        <v>244</v>
      </c>
      <c r="E46" s="249" t="s">
        <v>249</v>
      </c>
      <c r="F46" s="671" t="s">
        <v>233</v>
      </c>
      <c r="G46" s="314"/>
      <c r="H46" s="314"/>
      <c r="I46" s="314"/>
      <c r="J46" s="314"/>
      <c r="K46" s="314"/>
      <c r="L46" s="222" t="s">
        <v>234</v>
      </c>
      <c r="M46" s="222"/>
      <c r="N46" s="281">
        <v>44257</v>
      </c>
      <c r="O46" s="222">
        <v>50</v>
      </c>
      <c r="P46" s="222" t="s">
        <v>235</v>
      </c>
      <c r="Q46" s="222" t="s">
        <v>236</v>
      </c>
      <c r="R46" s="315" t="s">
        <v>262</v>
      </c>
      <c r="S46" s="142">
        <v>8.3000000000000007</v>
      </c>
      <c r="T46" s="141">
        <v>4.34</v>
      </c>
      <c r="U46" s="141">
        <v>99.3</v>
      </c>
      <c r="V46" s="487" t="s">
        <v>238</v>
      </c>
      <c r="W46" s="315"/>
      <c r="X46" s="315"/>
      <c r="Y46" s="414" t="s">
        <v>265</v>
      </c>
      <c r="Z46" s="278" t="s">
        <v>263</v>
      </c>
      <c r="AA46" s="283"/>
      <c r="AB46" s="170">
        <v>50</v>
      </c>
      <c r="AC46" s="315"/>
      <c r="AD46" s="315"/>
      <c r="AE46" s="222" t="s">
        <v>425</v>
      </c>
      <c r="AF46" s="315"/>
      <c r="AG46" s="385">
        <v>44259</v>
      </c>
      <c r="AH46" s="386">
        <v>5</v>
      </c>
      <c r="AI46" s="315"/>
      <c r="AJ46" s="144">
        <v>22.653391116943101</v>
      </c>
      <c r="AK46" s="144">
        <v>22.587949216788601</v>
      </c>
      <c r="AL46" s="144">
        <v>22.5537440289825</v>
      </c>
      <c r="AM46" s="140">
        <f t="shared" si="38"/>
        <v>22.598361454238063</v>
      </c>
      <c r="AN46" s="391">
        <v>-3.4410714285714286</v>
      </c>
      <c r="AO46" s="391">
        <v>48.943513064185922</v>
      </c>
      <c r="AP46" s="290">
        <f t="shared" si="43"/>
        <v>45299115.876929477</v>
      </c>
      <c r="AQ46" s="276">
        <f t="shared" si="44"/>
        <v>15.928894945537971</v>
      </c>
      <c r="AR46" s="144">
        <v>27.4428577329906</v>
      </c>
      <c r="AS46" s="144">
        <v>27.3808897491629</v>
      </c>
      <c r="AT46" s="144">
        <v>27.4342976346123</v>
      </c>
      <c r="AU46" s="140">
        <f t="shared" si="39"/>
        <v>27.419348372255268</v>
      </c>
      <c r="AV46" s="390">
        <v>-3.5035151515151512</v>
      </c>
      <c r="AW46" s="390">
        <v>40.672666666666665</v>
      </c>
      <c r="AX46" s="291">
        <f t="shared" si="47"/>
        <v>6065.4514477302728</v>
      </c>
      <c r="AY46" s="276">
        <f t="shared" si="40"/>
        <v>1213.0902895460545</v>
      </c>
      <c r="AZ46" s="144">
        <v>30.7785385633745</v>
      </c>
      <c r="BA46" s="144">
        <v>30.7824529745474</v>
      </c>
      <c r="BB46" s="144">
        <v>30.7087683524135</v>
      </c>
      <c r="BC46" s="140">
        <f t="shared" si="41"/>
        <v>30.756586630111798</v>
      </c>
      <c r="BD46" s="150">
        <v>-3.4617</v>
      </c>
      <c r="BE46" s="640">
        <v>42.390999999999998</v>
      </c>
      <c r="BF46" s="276">
        <f t="shared" si="45"/>
        <v>2295.5983794597846</v>
      </c>
      <c r="BG46" s="289">
        <f t="shared" si="42"/>
        <v>459.11967589195694</v>
      </c>
      <c r="BH46" s="634">
        <f t="shared" si="46"/>
        <v>0.37847114913743329</v>
      </c>
      <c r="BI46" s="412"/>
      <c r="BJ46" s="435"/>
      <c r="BK46" s="320"/>
      <c r="BL46" s="321"/>
      <c r="BM46" s="322"/>
      <c r="BN46" s="322"/>
      <c r="BO46" s="322"/>
      <c r="BP46" s="322"/>
      <c r="BQ46" s="322"/>
      <c r="BR46" s="322"/>
      <c r="BS46" s="321"/>
    </row>
    <row r="47" spans="1:71" s="277" customFormat="1" ht="15" x14ac:dyDescent="0.2">
      <c r="A47" s="344"/>
      <c r="B47" s="343">
        <v>44256</v>
      </c>
      <c r="C47" s="224" t="s">
        <v>251</v>
      </c>
      <c r="D47" s="670" t="s">
        <v>231</v>
      </c>
      <c r="E47" s="249" t="s">
        <v>252</v>
      </c>
      <c r="F47" s="671" t="s">
        <v>233</v>
      </c>
      <c r="G47" s="314"/>
      <c r="H47" s="314"/>
      <c r="I47" s="314"/>
      <c r="J47" s="314"/>
      <c r="K47" s="314"/>
      <c r="L47" s="222" t="s">
        <v>234</v>
      </c>
      <c r="M47" s="222"/>
      <c r="N47" s="281">
        <v>44257</v>
      </c>
      <c r="O47" s="222">
        <v>50</v>
      </c>
      <c r="P47" s="222" t="s">
        <v>235</v>
      </c>
      <c r="Q47" s="222" t="s">
        <v>236</v>
      </c>
      <c r="R47" s="315" t="s">
        <v>262</v>
      </c>
      <c r="S47" s="375">
        <v>7.92</v>
      </c>
      <c r="T47" s="375">
        <v>3.5</v>
      </c>
      <c r="U47" s="375">
        <v>30.3</v>
      </c>
      <c r="V47" s="487" t="s">
        <v>238</v>
      </c>
      <c r="W47" s="315"/>
      <c r="X47" s="315"/>
      <c r="Y47" s="147"/>
      <c r="Z47" s="278" t="s">
        <v>263</v>
      </c>
      <c r="AA47" s="283"/>
      <c r="AB47" s="170">
        <v>50</v>
      </c>
      <c r="AC47" s="315"/>
      <c r="AD47" s="315"/>
      <c r="AE47" s="222" t="s">
        <v>425</v>
      </c>
      <c r="AF47" s="315"/>
      <c r="AG47" s="385">
        <v>44259</v>
      </c>
      <c r="AH47" s="386">
        <v>5</v>
      </c>
      <c r="AI47" s="315"/>
      <c r="AJ47" s="144">
        <v>21.355262328251701</v>
      </c>
      <c r="AK47" s="144">
        <v>21.4722758925082</v>
      </c>
      <c r="AL47" s="144">
        <v>21.598501939782899</v>
      </c>
      <c r="AM47" s="140">
        <f t="shared" si="38"/>
        <v>21.475346720180937</v>
      </c>
      <c r="AN47" s="391">
        <v>-3.4410714285714286</v>
      </c>
      <c r="AO47" s="391">
        <v>48.943513064185922</v>
      </c>
      <c r="AP47" s="290">
        <f t="shared" si="43"/>
        <v>96038606.484862521</v>
      </c>
      <c r="AQ47" s="276">
        <f t="shared" si="44"/>
        <v>33.770832913592194</v>
      </c>
      <c r="AR47" s="144">
        <v>26.0284795711508</v>
      </c>
      <c r="AS47" s="144">
        <v>26.047675888960701</v>
      </c>
      <c r="AT47" s="144">
        <v>26.126171878600399</v>
      </c>
      <c r="AU47" s="140">
        <f t="shared" si="39"/>
        <v>26.067442446237298</v>
      </c>
      <c r="AV47" s="390">
        <v>-3.5035151515151512</v>
      </c>
      <c r="AW47" s="390">
        <v>40.672666666666665</v>
      </c>
      <c r="AX47" s="291">
        <f t="shared" si="47"/>
        <v>14748.044010605012</v>
      </c>
      <c r="AY47" s="276">
        <f t="shared" si="40"/>
        <v>2949.6088021210026</v>
      </c>
      <c r="AZ47" s="144">
        <v>36.361445534719401</v>
      </c>
      <c r="BA47" s="144">
        <v>36.458766507556199</v>
      </c>
      <c r="BB47" s="144">
        <v>36.919640235363602</v>
      </c>
      <c r="BC47" s="140">
        <f t="shared" si="41"/>
        <v>36.579950759213069</v>
      </c>
      <c r="BD47" s="150">
        <v>-3.4617</v>
      </c>
      <c r="BE47" s="640">
        <v>42.390999999999998</v>
      </c>
      <c r="BF47" s="276">
        <f t="shared" si="45"/>
        <v>47.716570299917642</v>
      </c>
      <c r="BG47" s="289">
        <f t="shared" si="42"/>
        <v>9.543314059983528</v>
      </c>
      <c r="BH47" s="634">
        <f t="shared" si="46"/>
        <v>3.2354507665969569E-3</v>
      </c>
      <c r="BI47" s="412"/>
      <c r="BJ47" s="435"/>
      <c r="BK47" s="320"/>
      <c r="BL47" s="321"/>
      <c r="BM47" s="322"/>
      <c r="BN47" s="322"/>
      <c r="BO47" s="322"/>
      <c r="BP47" s="322"/>
      <c r="BQ47" s="322"/>
      <c r="BR47" s="322"/>
      <c r="BS47" s="321"/>
    </row>
    <row r="48" spans="1:71" s="277" customFormat="1" ht="29" x14ac:dyDescent="0.2">
      <c r="A48" s="344"/>
      <c r="B48" s="343">
        <v>44256</v>
      </c>
      <c r="C48" s="224" t="s">
        <v>253</v>
      </c>
      <c r="D48" s="670" t="s">
        <v>244</v>
      </c>
      <c r="E48" s="249" t="s">
        <v>252</v>
      </c>
      <c r="F48" s="671" t="s">
        <v>233</v>
      </c>
      <c r="G48" s="314"/>
      <c r="H48" s="314"/>
      <c r="I48" s="314"/>
      <c r="J48" s="314"/>
      <c r="K48" s="314"/>
      <c r="L48" s="222" t="s">
        <v>234</v>
      </c>
      <c r="M48" s="222"/>
      <c r="N48" s="281">
        <v>44257</v>
      </c>
      <c r="O48" s="222">
        <v>50</v>
      </c>
      <c r="P48" s="222" t="s">
        <v>235</v>
      </c>
      <c r="Q48" s="222" t="s">
        <v>236</v>
      </c>
      <c r="R48" s="315" t="s">
        <v>262</v>
      </c>
      <c r="S48" s="145">
        <v>7.88</v>
      </c>
      <c r="T48" s="141">
        <v>3.69</v>
      </c>
      <c r="U48" s="141">
        <v>32.9</v>
      </c>
      <c r="V48" s="487" t="s">
        <v>238</v>
      </c>
      <c r="W48" s="315"/>
      <c r="X48" s="315"/>
      <c r="Y48" s="414" t="s">
        <v>265</v>
      </c>
      <c r="Z48" s="278" t="s">
        <v>263</v>
      </c>
      <c r="AA48" s="283"/>
      <c r="AB48" s="170">
        <v>50</v>
      </c>
      <c r="AC48" s="315"/>
      <c r="AD48" s="315"/>
      <c r="AE48" s="222" t="s">
        <v>425</v>
      </c>
      <c r="AF48" s="315"/>
      <c r="AG48" s="385">
        <v>44259</v>
      </c>
      <c r="AH48" s="386">
        <v>5</v>
      </c>
      <c r="AI48" s="315"/>
      <c r="AJ48" s="144">
        <v>21.7628324421547</v>
      </c>
      <c r="AK48" s="144">
        <v>21.760478612351001</v>
      </c>
      <c r="AL48" s="144">
        <v>21.740264104078999</v>
      </c>
      <c r="AM48" s="140">
        <f t="shared" si="38"/>
        <v>21.754525052861567</v>
      </c>
      <c r="AN48" s="391">
        <v>-3.4410714285714286</v>
      </c>
      <c r="AO48" s="391">
        <v>48.943513064185922</v>
      </c>
      <c r="AP48" s="290">
        <f t="shared" si="43"/>
        <v>79673634.1473995</v>
      </c>
      <c r="AQ48" s="276">
        <f t="shared" si="44"/>
        <v>28.016285167929819</v>
      </c>
      <c r="AR48" s="144">
        <v>27.733347946056998</v>
      </c>
      <c r="AS48" s="144">
        <v>27.734422876507399</v>
      </c>
      <c r="AT48" s="144">
        <v>27.805850393309601</v>
      </c>
      <c r="AU48" s="140">
        <f t="shared" si="39"/>
        <v>27.757873738624667</v>
      </c>
      <c r="AV48" s="390">
        <v>-3.5035151515151512</v>
      </c>
      <c r="AW48" s="390">
        <v>40.672666666666665</v>
      </c>
      <c r="AX48" s="291">
        <f t="shared" si="47"/>
        <v>4855.5523431023885</v>
      </c>
      <c r="AY48" s="276">
        <f t="shared" ref="AY48" si="48">(AX48/AH48)*(AB48/O48)</f>
        <v>971.11046862047772</v>
      </c>
      <c r="AZ48" s="144">
        <v>36.332290354738099</v>
      </c>
      <c r="BA48" s="144">
        <v>36.1820034842819</v>
      </c>
      <c r="BB48" s="144">
        <v>36.482001724567702</v>
      </c>
      <c r="BC48" s="140">
        <f t="shared" si="41"/>
        <v>36.332098521195896</v>
      </c>
      <c r="BD48" s="150">
        <v>-3.4617</v>
      </c>
      <c r="BE48" s="640">
        <v>42.390999999999998</v>
      </c>
      <c r="BF48" s="276">
        <f t="shared" si="45"/>
        <v>56.268797867802746</v>
      </c>
      <c r="BG48" s="289">
        <f t="shared" ref="BG48" si="49">(BF48/AH48)*(AB48/O48)</f>
        <v>11.253759573560549</v>
      </c>
      <c r="BH48" s="634">
        <f>BF48/AX48</f>
        <v>1.1588547273666207E-2</v>
      </c>
      <c r="BI48" s="412"/>
      <c r="BJ48" s="435"/>
      <c r="BK48" s="320"/>
      <c r="BL48" s="321"/>
      <c r="BM48" s="322"/>
      <c r="BN48" s="322"/>
      <c r="BO48" s="322"/>
      <c r="BP48" s="322"/>
      <c r="BQ48" s="322"/>
      <c r="BR48" s="322"/>
      <c r="BS48" s="321"/>
    </row>
    <row r="49" spans="1:71" s="408" customFormat="1" ht="15" x14ac:dyDescent="0.2">
      <c r="A49" s="404"/>
      <c r="B49" s="404"/>
      <c r="C49" s="405" t="s">
        <v>254</v>
      </c>
      <c r="D49" s="673"/>
      <c r="E49" s="250"/>
      <c r="F49" s="674"/>
      <c r="G49" s="246"/>
      <c r="H49" s="246"/>
      <c r="I49" s="246"/>
      <c r="J49" s="246"/>
      <c r="K49" s="246"/>
      <c r="L49" s="246"/>
      <c r="M49" s="246"/>
      <c r="N49" s="406"/>
      <c r="O49" s="246"/>
      <c r="P49" s="246"/>
      <c r="Q49" s="246"/>
      <c r="R49" s="246"/>
      <c r="S49" s="246"/>
      <c r="T49" s="246"/>
      <c r="U49" s="246"/>
      <c r="V49" s="488"/>
      <c r="W49" s="246"/>
      <c r="X49" s="246"/>
      <c r="Y49" s="147"/>
      <c r="Z49" s="278" t="s">
        <v>263</v>
      </c>
      <c r="AA49" s="407"/>
      <c r="AB49" s="170">
        <v>50</v>
      </c>
      <c r="AC49" s="246"/>
      <c r="AD49" s="246"/>
      <c r="AE49" s="222" t="s">
        <v>425</v>
      </c>
      <c r="AF49" s="246"/>
      <c r="AG49" s="385">
        <v>44259</v>
      </c>
      <c r="AH49" s="386">
        <v>5</v>
      </c>
      <c r="AI49" s="246"/>
      <c r="AJ49" s="144">
        <v>19.897029804629302</v>
      </c>
      <c r="AK49" s="144">
        <v>19.762646586816199</v>
      </c>
      <c r="AL49" s="144">
        <v>19.899399455464799</v>
      </c>
      <c r="AM49" s="140">
        <f t="shared" si="38"/>
        <v>19.853025282303435</v>
      </c>
      <c r="AN49" s="391">
        <v>-3.4410714285714286</v>
      </c>
      <c r="AO49" s="391">
        <v>48.943513064185922</v>
      </c>
      <c r="AP49" s="290">
        <f t="shared" si="43"/>
        <v>284383292.3238579</v>
      </c>
      <c r="AQ49" s="276">
        <f t="shared" si="44"/>
        <v>100</v>
      </c>
      <c r="AR49" s="144">
        <v>33.634355504649498</v>
      </c>
      <c r="AS49" s="144">
        <v>32.6785105969809</v>
      </c>
      <c r="AT49" s="144">
        <v>33.952327201627199</v>
      </c>
      <c r="AU49" s="140">
        <f t="shared" si="39"/>
        <v>33.421731101085861</v>
      </c>
      <c r="AV49" s="390">
        <v>-3.5035151515151512</v>
      </c>
      <c r="AW49" s="390">
        <v>40.672666666666665</v>
      </c>
      <c r="AX49" s="291">
        <f t="shared" si="47"/>
        <v>117.3862689880397</v>
      </c>
      <c r="AY49" s="276"/>
      <c r="AZ49" s="144">
        <v>36.503559646519797</v>
      </c>
      <c r="BA49" s="144">
        <v>36.641747413270302</v>
      </c>
      <c r="BB49" s="144">
        <v>37.063266444566104</v>
      </c>
      <c r="BC49" s="140">
        <f t="shared" si="41"/>
        <v>36.736191168118729</v>
      </c>
      <c r="BD49" s="150">
        <v>-3.4617</v>
      </c>
      <c r="BE49" s="640">
        <v>42.390999999999998</v>
      </c>
      <c r="BF49" s="276">
        <f t="shared" si="45"/>
        <v>43.006609809625246</v>
      </c>
      <c r="BG49" s="289"/>
      <c r="BH49" s="634">
        <f t="shared" ref="BH49:BH50" si="50">BF49/AX49</f>
        <v>0.36636831701335631</v>
      </c>
      <c r="BI49" s="252"/>
      <c r="BJ49" s="436"/>
      <c r="BK49" s="246"/>
      <c r="BL49" s="247"/>
      <c r="BM49" s="252"/>
      <c r="BN49" s="252"/>
      <c r="BO49" s="252"/>
      <c r="BP49" s="252"/>
      <c r="BQ49" s="252"/>
      <c r="BR49" s="252"/>
      <c r="BS49" s="252"/>
    </row>
    <row r="50" spans="1:71" s="403" customFormat="1" ht="15" x14ac:dyDescent="0.2">
      <c r="A50" s="343"/>
      <c r="B50" s="343"/>
      <c r="C50" s="224" t="s">
        <v>255</v>
      </c>
      <c r="D50" s="670"/>
      <c r="E50" s="249"/>
      <c r="F50" s="671"/>
      <c r="G50" s="314"/>
      <c r="H50" s="314"/>
      <c r="I50" s="314"/>
      <c r="J50" s="314"/>
      <c r="K50" s="314"/>
      <c r="L50" s="314"/>
      <c r="M50" s="314"/>
      <c r="N50" s="286"/>
      <c r="O50" s="314"/>
      <c r="P50" s="314"/>
      <c r="Q50" s="314"/>
      <c r="R50" s="314"/>
      <c r="S50" s="366"/>
      <c r="T50" s="314"/>
      <c r="U50" s="314"/>
      <c r="V50" s="416"/>
      <c r="W50" s="314"/>
      <c r="X50" s="314"/>
      <c r="Y50" s="147"/>
      <c r="Z50" s="278" t="s">
        <v>263</v>
      </c>
      <c r="AA50" s="286"/>
      <c r="AB50" s="170">
        <v>50</v>
      </c>
      <c r="AC50" s="314"/>
      <c r="AD50" s="314"/>
      <c r="AE50" s="222" t="s">
        <v>425</v>
      </c>
      <c r="AF50" s="314"/>
      <c r="AG50" s="385">
        <v>44259</v>
      </c>
      <c r="AH50" s="386"/>
      <c r="AI50" s="314"/>
      <c r="AJ50" s="144">
        <v>39.088350177281299</v>
      </c>
      <c r="AK50" s="144">
        <v>38.846675607072598</v>
      </c>
      <c r="AL50" s="144" t="s">
        <v>95</v>
      </c>
      <c r="AM50" s="140">
        <f t="shared" si="38"/>
        <v>38.967512892176948</v>
      </c>
      <c r="AN50" s="391">
        <v>-3.4410714285714286</v>
      </c>
      <c r="AO50" s="391">
        <v>48.943513064185922</v>
      </c>
      <c r="AP50" s="290">
        <f t="shared" si="43"/>
        <v>792.67852397699266</v>
      </c>
      <c r="AQ50" s="276">
        <f t="shared" si="44"/>
        <v>2.7873596845284576E-4</v>
      </c>
      <c r="AR50" s="144">
        <v>36.194202241766703</v>
      </c>
      <c r="AS50" s="144">
        <v>36.817009962011603</v>
      </c>
      <c r="AT50" s="144">
        <v>37.013263171433799</v>
      </c>
      <c r="AU50" s="140">
        <f t="shared" si="39"/>
        <v>36.674825125070704</v>
      </c>
      <c r="AV50" s="390">
        <v>-3.5035151515151512</v>
      </c>
      <c r="AW50" s="390">
        <v>40.672666666666665</v>
      </c>
      <c r="AX50" s="291">
        <f t="shared" si="47"/>
        <v>13.838671691329282</v>
      </c>
      <c r="AY50" s="276"/>
      <c r="AZ50" s="144">
        <v>37.836848199682102</v>
      </c>
      <c r="BA50" s="144">
        <v>36.847273305180202</v>
      </c>
      <c r="BB50" s="144">
        <v>35.9584807944712</v>
      </c>
      <c r="BC50" s="140">
        <f t="shared" si="41"/>
        <v>36.88086743311117</v>
      </c>
      <c r="BD50" s="150">
        <v>-3.4617</v>
      </c>
      <c r="BE50" s="640">
        <v>42.390999999999998</v>
      </c>
      <c r="BF50" s="276">
        <f t="shared" si="45"/>
        <v>39.060859344279912</v>
      </c>
      <c r="BG50" s="289"/>
      <c r="BH50" s="634">
        <f t="shared" si="50"/>
        <v>2.8225873274205768</v>
      </c>
      <c r="BI50" s="412"/>
      <c r="BJ50" s="437"/>
      <c r="BK50" s="314"/>
      <c r="BL50" s="402"/>
      <c r="BM50" s="402"/>
      <c r="BN50" s="402"/>
      <c r="BO50" s="402"/>
      <c r="BP50" s="402"/>
      <c r="BQ50" s="402"/>
      <c r="BR50" s="402"/>
      <c r="BS50" s="402"/>
    </row>
    <row r="51" spans="1:71" s="432" customFormat="1" x14ac:dyDescent="0.2">
      <c r="A51" s="418"/>
      <c r="B51" s="418"/>
      <c r="C51" s="419"/>
      <c r="D51" s="675"/>
      <c r="E51" s="676"/>
      <c r="F51" s="677"/>
      <c r="G51" s="420"/>
      <c r="H51" s="420"/>
      <c r="I51" s="420"/>
      <c r="J51" s="420"/>
      <c r="K51" s="420"/>
      <c r="L51" s="421"/>
      <c r="M51" s="421"/>
      <c r="N51" s="422"/>
      <c r="O51" s="420"/>
      <c r="P51" s="420"/>
      <c r="Q51" s="420"/>
      <c r="R51" s="421"/>
      <c r="S51" s="423"/>
      <c r="T51" s="421"/>
      <c r="U51" s="421"/>
      <c r="V51" s="417"/>
      <c r="W51" s="421"/>
      <c r="X51" s="421"/>
      <c r="Y51" s="421"/>
      <c r="Z51" s="422"/>
      <c r="AA51" s="422"/>
      <c r="AB51" s="420"/>
      <c r="AC51" s="421"/>
      <c r="AD51" s="421"/>
      <c r="AE51" s="421"/>
      <c r="AF51" s="421"/>
      <c r="AG51" s="422"/>
      <c r="AH51" s="424"/>
      <c r="AI51" s="421"/>
      <c r="AJ51" s="425"/>
      <c r="AK51" s="425"/>
      <c r="AL51" s="421"/>
      <c r="AM51" s="425"/>
      <c r="AN51" s="426"/>
      <c r="AO51" s="426"/>
      <c r="AP51" s="427"/>
      <c r="AQ51" s="425"/>
      <c r="AR51" s="421"/>
      <c r="AS51" s="421"/>
      <c r="AT51" s="421"/>
      <c r="AU51" s="425"/>
      <c r="AV51" s="426"/>
      <c r="AW51" s="426"/>
      <c r="AX51" s="428"/>
      <c r="AY51" s="426"/>
      <c r="AZ51" s="421"/>
      <c r="BA51" s="421"/>
      <c r="BB51" s="421"/>
      <c r="BC51" s="425"/>
      <c r="BD51" s="426"/>
      <c r="BE51" s="426"/>
      <c r="BF51" s="424"/>
      <c r="BG51" s="424"/>
      <c r="BH51" s="636"/>
      <c r="BI51" s="447"/>
      <c r="BJ51" s="438"/>
      <c r="BK51" s="429"/>
      <c r="BL51" s="430"/>
      <c r="BM51" s="431"/>
      <c r="BN51" s="431"/>
      <c r="BO51" s="431"/>
      <c r="BP51" s="431"/>
      <c r="BQ51" s="431"/>
      <c r="BR51" s="431"/>
      <c r="BS51" s="430"/>
    </row>
    <row r="52" spans="1:71" s="357" customFormat="1" ht="15" x14ac:dyDescent="0.2">
      <c r="A52" s="344"/>
      <c r="B52" s="343">
        <v>44257</v>
      </c>
      <c r="C52" s="224" t="s">
        <v>230</v>
      </c>
      <c r="D52" s="670" t="s">
        <v>231</v>
      </c>
      <c r="E52" s="249" t="s">
        <v>232</v>
      </c>
      <c r="F52" s="671" t="s">
        <v>233</v>
      </c>
      <c r="G52" s="314"/>
      <c r="H52" s="314"/>
      <c r="I52" s="314"/>
      <c r="J52" s="314"/>
      <c r="K52" s="314"/>
      <c r="L52" s="222" t="s">
        <v>234</v>
      </c>
      <c r="M52" s="222"/>
      <c r="N52" s="281">
        <v>44258</v>
      </c>
      <c r="O52" s="222">
        <v>50</v>
      </c>
      <c r="P52" s="222" t="s">
        <v>235</v>
      </c>
      <c r="Q52" s="222" t="s">
        <v>236</v>
      </c>
      <c r="R52" s="315" t="s">
        <v>262</v>
      </c>
      <c r="S52" s="375">
        <v>7.58</v>
      </c>
      <c r="T52" s="375">
        <v>4.5</v>
      </c>
      <c r="U52" s="375">
        <v>63.3</v>
      </c>
      <c r="V52" s="487" t="s">
        <v>238</v>
      </c>
      <c r="W52" s="369"/>
      <c r="X52" s="369"/>
      <c r="Y52" s="369"/>
      <c r="Z52" s="278" t="s">
        <v>266</v>
      </c>
      <c r="AA52" s="283"/>
      <c r="AB52" s="139">
        <v>50</v>
      </c>
      <c r="AC52" s="315"/>
      <c r="AD52" s="315"/>
      <c r="AE52" s="222" t="s">
        <v>425</v>
      </c>
      <c r="AF52" s="315"/>
      <c r="AG52" s="385">
        <v>44260</v>
      </c>
      <c r="AH52" s="386">
        <v>5</v>
      </c>
      <c r="AI52" s="315"/>
      <c r="AJ52" s="163">
        <v>23.75</v>
      </c>
      <c r="AK52" s="163">
        <v>23.52</v>
      </c>
      <c r="AL52" s="152">
        <v>23.42</v>
      </c>
      <c r="AM52" s="140">
        <f t="shared" ref="AM52:AM61" si="51">AVERAGE(AJ52:AL52)</f>
        <v>23.563333333333333</v>
      </c>
      <c r="AN52" s="391">
        <v>-3.4410714285714286</v>
      </c>
      <c r="AO52" s="391">
        <v>48.943513064185922</v>
      </c>
      <c r="AP52" s="290">
        <f>IF(AND(AJ52="No CT",AK52="No CT",AL52="No CT"),0,10^((AM52-AO52)/AN52))</f>
        <v>23749911.036860559</v>
      </c>
      <c r="AQ52" s="276">
        <f>AP52*100/$AP$60</f>
        <v>12.150312323823757</v>
      </c>
      <c r="AR52" s="141">
        <v>25.24</v>
      </c>
      <c r="AS52" s="141">
        <v>25.1</v>
      </c>
      <c r="AT52" s="141">
        <v>24.96</v>
      </c>
      <c r="AU52" s="140">
        <f>AVERAGE(AR52:AT52)</f>
        <v>25.100000000000005</v>
      </c>
      <c r="AV52" s="390">
        <v>-3.5035151515151512</v>
      </c>
      <c r="AW52" s="390">
        <v>40.672666666666665</v>
      </c>
      <c r="AX52" s="291">
        <f>IF(AND(AR52="No CT",AS52="No CT",AT52="No CT"),0,10^((AU52-AW52)/AV52))</f>
        <v>27852.823189313174</v>
      </c>
      <c r="AY52" s="276">
        <f t="shared" ref="AY52:AY58" si="52">(AX52/AH52)*(AB52/O52)</f>
        <v>5570.5646378626352</v>
      </c>
      <c r="AZ52" s="141">
        <v>36.979999999999997</v>
      </c>
      <c r="BA52" s="141">
        <v>39.11</v>
      </c>
      <c r="BB52" s="141">
        <v>37.479999999999997</v>
      </c>
      <c r="BC52" s="140">
        <f t="shared" ref="BC52:BC61" si="53">AVERAGE(AZ52:BB52)</f>
        <v>37.856666666666662</v>
      </c>
      <c r="BD52" s="150">
        <v>-3.4617</v>
      </c>
      <c r="BE52" s="640">
        <v>42.390999999999998</v>
      </c>
      <c r="BF52" s="276">
        <f>IF(AND(AZ52="No CT",BA52="No CT",BB52="No CT"),0,10^((BC52-BE52)/BD52))</f>
        <v>20.410676145058865</v>
      </c>
      <c r="BG52" s="289">
        <f t="shared" ref="BG52:BG58" si="54">(BF52/AH52)*(AB52/O52)</f>
        <v>4.0821352290117732</v>
      </c>
      <c r="BH52" s="634">
        <f>BF52/AX52</f>
        <v>7.3280457088063594E-4</v>
      </c>
      <c r="BI52" s="412"/>
      <c r="BJ52" s="439"/>
      <c r="BK52" s="315"/>
      <c r="BL52" s="336"/>
      <c r="BM52" s="336"/>
      <c r="BN52" s="336"/>
      <c r="BO52" s="336"/>
      <c r="BP52" s="336"/>
      <c r="BQ52" s="336"/>
      <c r="BR52" s="336"/>
      <c r="BS52" s="336"/>
    </row>
    <row r="53" spans="1:71" s="357" customFormat="1" ht="15" x14ac:dyDescent="0.2">
      <c r="A53" s="344"/>
      <c r="B53" s="343">
        <v>44257</v>
      </c>
      <c r="C53" s="224" t="s">
        <v>243</v>
      </c>
      <c r="D53" s="670" t="s">
        <v>244</v>
      </c>
      <c r="E53" s="249" t="s">
        <v>232</v>
      </c>
      <c r="F53" s="671" t="s">
        <v>233</v>
      </c>
      <c r="G53" s="314"/>
      <c r="H53" s="314"/>
      <c r="I53" s="314"/>
      <c r="J53" s="314"/>
      <c r="K53" s="314"/>
      <c r="L53" s="222" t="s">
        <v>234</v>
      </c>
      <c r="M53" s="222"/>
      <c r="N53" s="281">
        <v>44258</v>
      </c>
      <c r="O53" s="222">
        <v>50</v>
      </c>
      <c r="P53" s="222" t="s">
        <v>235</v>
      </c>
      <c r="Q53" s="222" t="s">
        <v>236</v>
      </c>
      <c r="R53" s="315" t="s">
        <v>262</v>
      </c>
      <c r="S53" s="145">
        <v>7.56</v>
      </c>
      <c r="T53" s="141">
        <v>3.61</v>
      </c>
      <c r="U53" s="141">
        <v>15.5</v>
      </c>
      <c r="V53" s="487" t="s">
        <v>238</v>
      </c>
      <c r="W53" s="315"/>
      <c r="X53" s="315"/>
      <c r="Y53" s="315"/>
      <c r="Z53" s="278" t="s">
        <v>266</v>
      </c>
      <c r="AA53" s="283"/>
      <c r="AB53" s="139">
        <v>50</v>
      </c>
      <c r="AC53" s="315"/>
      <c r="AD53" s="315"/>
      <c r="AE53" s="222" t="s">
        <v>425</v>
      </c>
      <c r="AF53" s="315"/>
      <c r="AG53" s="385">
        <v>44260</v>
      </c>
      <c r="AH53" s="386">
        <v>5</v>
      </c>
      <c r="AI53" s="315"/>
      <c r="AJ53" s="140">
        <v>22.25</v>
      </c>
      <c r="AK53" s="140">
        <v>22.28</v>
      </c>
      <c r="AL53" s="139">
        <v>22.25</v>
      </c>
      <c r="AM53" s="140">
        <f t="shared" si="51"/>
        <v>22.26</v>
      </c>
      <c r="AN53" s="391">
        <v>-3.4410714285714286</v>
      </c>
      <c r="AO53" s="391">
        <v>48.943513064185922</v>
      </c>
      <c r="AP53" s="290">
        <f t="shared" ref="AP53:AP61" si="55">IF(AND(AJ53="No CT",AK53="No CT",AL53="No CT"),0,10^((AM53-AO53)/AN53))</f>
        <v>56809371.885811754</v>
      </c>
      <c r="AQ53" s="276">
        <f t="shared" ref="AQ53:AQ61" si="56">AP53*100/$AP$60</f>
        <v>29.063334606246507</v>
      </c>
      <c r="AR53" s="141">
        <v>26.68</v>
      </c>
      <c r="AS53" s="141">
        <v>26.74</v>
      </c>
      <c r="AT53" s="141">
        <v>26.7</v>
      </c>
      <c r="AU53" s="140">
        <f t="shared" ref="AU53:AU61" si="57">AVERAGE(AR53:AT53)</f>
        <v>26.706666666666667</v>
      </c>
      <c r="AV53" s="390">
        <v>-3.5035151515151512</v>
      </c>
      <c r="AW53" s="390">
        <v>40.672666666666665</v>
      </c>
      <c r="AX53" s="291">
        <f>IF(AND(AR53="No CT",AS53="No CT",AT53="No CT"),0,10^((AU53-AW53)/AV53))</f>
        <v>9689.0718280906658</v>
      </c>
      <c r="AY53" s="276">
        <f t="shared" si="52"/>
        <v>1937.8143656181333</v>
      </c>
      <c r="AZ53" s="141" t="s">
        <v>95</v>
      </c>
      <c r="BA53" s="141">
        <v>37.72</v>
      </c>
      <c r="BB53" s="141">
        <v>37.82</v>
      </c>
      <c r="BC53" s="140">
        <f t="shared" si="53"/>
        <v>37.769999999999996</v>
      </c>
      <c r="BD53" s="150">
        <v>-3.4617</v>
      </c>
      <c r="BE53" s="640">
        <v>42.390999999999998</v>
      </c>
      <c r="BF53" s="276">
        <f t="shared" ref="BF53:BF60" si="58">IF(AND(AZ53="No CT",BA53="No CT",BB53="No CT"),0,10^((BC53-BE53)/BD53))</f>
        <v>21.621870432272484</v>
      </c>
      <c r="BG53" s="289">
        <f t="shared" si="54"/>
        <v>4.3243740864544966</v>
      </c>
      <c r="BH53" s="634">
        <f t="shared" ref="BH53:BH58" si="59">BF53/AX53</f>
        <v>2.2315729324646058E-3</v>
      </c>
      <c r="BI53" s="412"/>
      <c r="BJ53" s="439"/>
      <c r="BK53" s="315"/>
      <c r="BL53" s="336"/>
      <c r="BM53" s="336"/>
      <c r="BN53" s="336"/>
      <c r="BO53" s="336"/>
      <c r="BP53" s="336"/>
      <c r="BQ53" s="336"/>
      <c r="BR53" s="336"/>
      <c r="BS53" s="336"/>
    </row>
    <row r="54" spans="1:71" s="357" customFormat="1" ht="15" x14ac:dyDescent="0.2">
      <c r="A54" s="344"/>
      <c r="B54" s="343">
        <v>44257</v>
      </c>
      <c r="C54" s="224" t="s">
        <v>245</v>
      </c>
      <c r="D54" s="670" t="s">
        <v>231</v>
      </c>
      <c r="E54" s="249" t="s">
        <v>246</v>
      </c>
      <c r="F54" s="671" t="s">
        <v>233</v>
      </c>
      <c r="G54" s="314"/>
      <c r="H54" s="314"/>
      <c r="I54" s="314"/>
      <c r="J54" s="314"/>
      <c r="K54" s="314"/>
      <c r="L54" s="222" t="s">
        <v>234</v>
      </c>
      <c r="M54" s="222"/>
      <c r="N54" s="281">
        <v>44258</v>
      </c>
      <c r="O54" s="222">
        <v>50</v>
      </c>
      <c r="P54" s="222" t="s">
        <v>235</v>
      </c>
      <c r="Q54" s="222" t="s">
        <v>236</v>
      </c>
      <c r="R54" s="315" t="s">
        <v>262</v>
      </c>
      <c r="S54" s="375">
        <v>7.77</v>
      </c>
      <c r="T54" s="409">
        <v>4.16</v>
      </c>
      <c r="U54" s="410">
        <v>70.400000000000006</v>
      </c>
      <c r="V54" s="487" t="s">
        <v>238</v>
      </c>
      <c r="W54" s="315"/>
      <c r="X54" s="315"/>
      <c r="Y54" s="315"/>
      <c r="Z54" s="278" t="s">
        <v>266</v>
      </c>
      <c r="AA54" s="283"/>
      <c r="AB54" s="139">
        <v>50</v>
      </c>
      <c r="AC54" s="315"/>
      <c r="AD54" s="315"/>
      <c r="AE54" s="222" t="s">
        <v>425</v>
      </c>
      <c r="AF54" s="315"/>
      <c r="AG54" s="385">
        <v>44260</v>
      </c>
      <c r="AH54" s="386">
        <v>5</v>
      </c>
      <c r="AI54" s="315"/>
      <c r="AJ54" s="144">
        <v>22.46</v>
      </c>
      <c r="AK54" s="144">
        <v>22.64</v>
      </c>
      <c r="AL54" s="141">
        <v>22.54</v>
      </c>
      <c r="AM54" s="140">
        <f t="shared" si="51"/>
        <v>22.546666666666667</v>
      </c>
      <c r="AN54" s="391">
        <v>-3.4410714285714286</v>
      </c>
      <c r="AO54" s="391">
        <v>48.943513064185922</v>
      </c>
      <c r="AP54" s="290">
        <f t="shared" si="55"/>
        <v>46893494.900723584</v>
      </c>
      <c r="AQ54" s="276">
        <f t="shared" si="56"/>
        <v>23.9904312953058</v>
      </c>
      <c r="AR54" s="141">
        <v>26.83</v>
      </c>
      <c r="AS54" s="141">
        <v>26.94</v>
      </c>
      <c r="AT54" s="141">
        <v>26.89</v>
      </c>
      <c r="AU54" s="140">
        <f t="shared" si="57"/>
        <v>26.886666666666667</v>
      </c>
      <c r="AV54" s="390">
        <v>-3.5035151515151512</v>
      </c>
      <c r="AW54" s="390">
        <v>40.672666666666665</v>
      </c>
      <c r="AX54" s="291">
        <f t="shared" ref="AX54:AX61" si="60">IF(AND(AR54="No CT",AS54="No CT",AT54="No CT"),0,10^((AU54-AW54)/AV54))</f>
        <v>8608.0583741945429</v>
      </c>
      <c r="AY54" s="276">
        <f t="shared" si="52"/>
        <v>1721.6116748389086</v>
      </c>
      <c r="AZ54" s="141">
        <v>33.72</v>
      </c>
      <c r="BA54" s="144">
        <v>33.659999999999997</v>
      </c>
      <c r="BB54" s="141">
        <v>33.4</v>
      </c>
      <c r="BC54" s="140">
        <f t="shared" si="53"/>
        <v>33.593333333333334</v>
      </c>
      <c r="BD54" s="150">
        <v>-3.4617</v>
      </c>
      <c r="BE54" s="640">
        <v>42.390999999999998</v>
      </c>
      <c r="BF54" s="276">
        <f t="shared" si="58"/>
        <v>347.88006944868522</v>
      </c>
      <c r="BG54" s="289">
        <f t="shared" si="54"/>
        <v>69.576013889737041</v>
      </c>
      <c r="BH54" s="634">
        <f t="shared" si="59"/>
        <v>4.0413302782839972E-2</v>
      </c>
      <c r="BI54" s="412"/>
      <c r="BJ54" s="439"/>
      <c r="BK54" s="315"/>
      <c r="BL54" s="336"/>
      <c r="BM54" s="336"/>
      <c r="BN54" s="336"/>
      <c r="BO54" s="336"/>
      <c r="BP54" s="336"/>
      <c r="BQ54" s="336"/>
      <c r="BR54" s="336"/>
      <c r="BS54" s="336"/>
    </row>
    <row r="55" spans="1:71" s="277" customFormat="1" ht="15" x14ac:dyDescent="0.2">
      <c r="A55" s="343"/>
      <c r="B55" s="343">
        <v>44257</v>
      </c>
      <c r="C55" s="224" t="s">
        <v>247</v>
      </c>
      <c r="D55" s="670" t="s">
        <v>244</v>
      </c>
      <c r="E55" s="249" t="s">
        <v>246</v>
      </c>
      <c r="F55" s="671" t="s">
        <v>233</v>
      </c>
      <c r="G55" s="314"/>
      <c r="H55" s="314"/>
      <c r="I55" s="314"/>
      <c r="J55" s="314"/>
      <c r="K55" s="314"/>
      <c r="L55" s="222" t="s">
        <v>234</v>
      </c>
      <c r="M55" s="222"/>
      <c r="N55" s="281">
        <v>44258</v>
      </c>
      <c r="O55" s="222">
        <v>50</v>
      </c>
      <c r="P55" s="222" t="s">
        <v>235</v>
      </c>
      <c r="Q55" s="222" t="s">
        <v>236</v>
      </c>
      <c r="R55" s="315" t="s">
        <v>262</v>
      </c>
      <c r="S55" s="145">
        <v>7.66</v>
      </c>
      <c r="T55" s="141">
        <v>4.21</v>
      </c>
      <c r="U55" s="141">
        <v>50.7</v>
      </c>
      <c r="V55" s="487" t="s">
        <v>238</v>
      </c>
      <c r="W55" s="314"/>
      <c r="X55" s="314"/>
      <c r="Y55" s="314"/>
      <c r="Z55" s="278" t="s">
        <v>266</v>
      </c>
      <c r="AA55" s="286"/>
      <c r="AB55" s="139">
        <v>50</v>
      </c>
      <c r="AC55" s="314"/>
      <c r="AD55" s="314"/>
      <c r="AE55" s="222" t="s">
        <v>425</v>
      </c>
      <c r="AF55" s="314"/>
      <c r="AG55" s="385">
        <v>44260</v>
      </c>
      <c r="AH55" s="386">
        <v>5</v>
      </c>
      <c r="AI55" s="314"/>
      <c r="AJ55" s="144">
        <v>22.13</v>
      </c>
      <c r="AK55" s="144">
        <v>22.06</v>
      </c>
      <c r="AL55" s="141">
        <v>21.65</v>
      </c>
      <c r="AM55" s="140">
        <f t="shared" si="51"/>
        <v>21.946666666666669</v>
      </c>
      <c r="AN55" s="391">
        <v>-3.4410714285714286</v>
      </c>
      <c r="AO55" s="391">
        <v>48.943513064185922</v>
      </c>
      <c r="AP55" s="290">
        <f t="shared" si="55"/>
        <v>70061091.349041507</v>
      </c>
      <c r="AQ55" s="276">
        <f t="shared" si="56"/>
        <v>35.842834961260024</v>
      </c>
      <c r="AR55" s="141">
        <v>23.65</v>
      </c>
      <c r="AS55" s="141">
        <v>23.71</v>
      </c>
      <c r="AT55" s="141">
        <v>23.35</v>
      </c>
      <c r="AU55" s="140">
        <f t="shared" si="57"/>
        <v>23.570000000000004</v>
      </c>
      <c r="AV55" s="390">
        <v>-3.5035151515151512</v>
      </c>
      <c r="AW55" s="390">
        <v>40.672666666666665</v>
      </c>
      <c r="AX55" s="291">
        <f t="shared" si="60"/>
        <v>76133.094883225451</v>
      </c>
      <c r="AY55" s="276">
        <f t="shared" si="52"/>
        <v>15226.61897664509</v>
      </c>
      <c r="AZ55" s="141">
        <v>33.130000000000003</v>
      </c>
      <c r="BA55" s="141">
        <v>33.200000000000003</v>
      </c>
      <c r="BB55" s="141">
        <v>33.25</v>
      </c>
      <c r="BC55" s="140">
        <f t="shared" si="53"/>
        <v>33.193333333333335</v>
      </c>
      <c r="BD55" s="150">
        <v>-3.4617</v>
      </c>
      <c r="BE55" s="640">
        <v>42.390999999999998</v>
      </c>
      <c r="BF55" s="276">
        <f t="shared" si="58"/>
        <v>453.9204106189452</v>
      </c>
      <c r="BG55" s="289">
        <f t="shared" si="54"/>
        <v>90.784082123789034</v>
      </c>
      <c r="BH55" s="634">
        <f t="shared" si="59"/>
        <v>5.9621956957769534E-3</v>
      </c>
      <c r="BI55" s="412"/>
      <c r="BJ55" s="435"/>
      <c r="BK55" s="331"/>
      <c r="BL55" s="367"/>
      <c r="BM55" s="368"/>
      <c r="BN55" s="368"/>
      <c r="BO55" s="368"/>
      <c r="BP55" s="368"/>
      <c r="BQ55" s="368"/>
      <c r="BR55" s="368"/>
      <c r="BS55" s="367"/>
    </row>
    <row r="56" spans="1:71" s="277" customFormat="1" ht="15" x14ac:dyDescent="0.2">
      <c r="A56" s="343"/>
      <c r="B56" s="343">
        <v>44257</v>
      </c>
      <c r="C56" s="224" t="s">
        <v>248</v>
      </c>
      <c r="D56" s="670" t="s">
        <v>231</v>
      </c>
      <c r="E56" s="249" t="s">
        <v>249</v>
      </c>
      <c r="F56" s="671" t="s">
        <v>233</v>
      </c>
      <c r="G56" s="314"/>
      <c r="H56" s="314"/>
      <c r="I56" s="314"/>
      <c r="J56" s="314"/>
      <c r="K56" s="314"/>
      <c r="L56" s="222" t="s">
        <v>234</v>
      </c>
      <c r="M56" s="222"/>
      <c r="N56" s="281">
        <v>44258</v>
      </c>
      <c r="O56" s="222">
        <v>50</v>
      </c>
      <c r="P56" s="222" t="s">
        <v>235</v>
      </c>
      <c r="Q56" s="222" t="s">
        <v>236</v>
      </c>
      <c r="R56" s="315" t="s">
        <v>262</v>
      </c>
      <c r="S56" s="375">
        <v>9.02</v>
      </c>
      <c r="T56" s="375">
        <v>3.82</v>
      </c>
      <c r="U56" s="375">
        <v>22.9</v>
      </c>
      <c r="V56" s="487" t="s">
        <v>238</v>
      </c>
      <c r="W56" s="315"/>
      <c r="X56" s="315"/>
      <c r="Y56" s="315"/>
      <c r="Z56" s="278" t="s">
        <v>266</v>
      </c>
      <c r="AA56" s="283"/>
      <c r="AB56" s="139">
        <v>50</v>
      </c>
      <c r="AC56" s="315"/>
      <c r="AD56" s="315"/>
      <c r="AE56" s="222" t="s">
        <v>425</v>
      </c>
      <c r="AF56" s="315"/>
      <c r="AG56" s="385">
        <v>44260</v>
      </c>
      <c r="AH56" s="386">
        <v>5</v>
      </c>
      <c r="AI56" s="315"/>
      <c r="AJ56" s="144">
        <v>23.74</v>
      </c>
      <c r="AK56" s="144">
        <v>23.59</v>
      </c>
      <c r="AL56" s="141">
        <v>23.65</v>
      </c>
      <c r="AM56" s="140">
        <f t="shared" si="51"/>
        <v>23.659999999999997</v>
      </c>
      <c r="AN56" s="391">
        <v>-3.4410714285714286</v>
      </c>
      <c r="AO56" s="391">
        <v>48.943513064185922</v>
      </c>
      <c r="AP56" s="290">
        <f t="shared" si="55"/>
        <v>22262296.447331436</v>
      </c>
      <c r="AQ56" s="276">
        <f t="shared" si="56"/>
        <v>11.389257604410163</v>
      </c>
      <c r="AR56" s="144">
        <v>28.33</v>
      </c>
      <c r="AS56" s="141">
        <v>28.25</v>
      </c>
      <c r="AT56" s="141">
        <v>28.19</v>
      </c>
      <c r="AU56" s="140">
        <f t="shared" si="57"/>
        <v>28.256666666666664</v>
      </c>
      <c r="AV56" s="390">
        <v>-3.5035151515151512</v>
      </c>
      <c r="AW56" s="390">
        <v>40.672666666666665</v>
      </c>
      <c r="AX56" s="291">
        <f t="shared" si="60"/>
        <v>3498.399164701782</v>
      </c>
      <c r="AY56" s="276">
        <f t="shared" si="52"/>
        <v>699.67983294035639</v>
      </c>
      <c r="AZ56" s="141">
        <v>36.94</v>
      </c>
      <c r="BA56" s="144">
        <v>37.590000000000003</v>
      </c>
      <c r="BB56" s="141">
        <v>37.380000000000003</v>
      </c>
      <c r="BC56" s="140">
        <f t="shared" si="53"/>
        <v>37.303333333333335</v>
      </c>
      <c r="BD56" s="150">
        <v>-3.4617</v>
      </c>
      <c r="BE56" s="640">
        <v>42.390999999999998</v>
      </c>
      <c r="BF56" s="276">
        <f t="shared" si="58"/>
        <v>29.491834241235136</v>
      </c>
      <c r="BG56" s="289">
        <f t="shared" si="54"/>
        <v>5.8983668482470275</v>
      </c>
      <c r="BH56" s="634">
        <f t="shared" si="59"/>
        <v>8.4300941238502555E-3</v>
      </c>
      <c r="BI56" s="412"/>
      <c r="BJ56" s="435"/>
      <c r="BK56" s="320"/>
      <c r="BL56" s="321"/>
      <c r="BM56" s="322"/>
      <c r="BN56" s="322"/>
      <c r="BO56" s="322"/>
      <c r="BP56" s="322"/>
      <c r="BQ56" s="322"/>
      <c r="BR56" s="322"/>
      <c r="BS56" s="321"/>
    </row>
    <row r="57" spans="1:71" s="277" customFormat="1" ht="15" x14ac:dyDescent="0.2">
      <c r="A57" s="343"/>
      <c r="B57" s="343">
        <v>44257</v>
      </c>
      <c r="C57" s="224" t="s">
        <v>250</v>
      </c>
      <c r="D57" s="670" t="s">
        <v>244</v>
      </c>
      <c r="E57" s="249" t="s">
        <v>249</v>
      </c>
      <c r="F57" s="671" t="s">
        <v>233</v>
      </c>
      <c r="G57" s="314"/>
      <c r="H57" s="314"/>
      <c r="I57" s="314"/>
      <c r="J57" s="314"/>
      <c r="K57" s="314"/>
      <c r="L57" s="222" t="s">
        <v>234</v>
      </c>
      <c r="M57" s="222"/>
      <c r="N57" s="281">
        <v>44258</v>
      </c>
      <c r="O57" s="222">
        <v>50</v>
      </c>
      <c r="P57" s="222" t="s">
        <v>235</v>
      </c>
      <c r="Q57" s="222" t="s">
        <v>236</v>
      </c>
      <c r="R57" s="315" t="s">
        <v>262</v>
      </c>
      <c r="S57" s="145">
        <v>8.85</v>
      </c>
      <c r="T57" s="141">
        <v>4.25</v>
      </c>
      <c r="U57" s="141">
        <v>61.5</v>
      </c>
      <c r="V57" s="487" t="s">
        <v>238</v>
      </c>
      <c r="W57" s="315"/>
      <c r="X57" s="315"/>
      <c r="Y57" s="315"/>
      <c r="Z57" s="278" t="s">
        <v>266</v>
      </c>
      <c r="AA57" s="283"/>
      <c r="AB57" s="139">
        <v>50</v>
      </c>
      <c r="AC57" s="315"/>
      <c r="AD57" s="315"/>
      <c r="AE57" s="222" t="s">
        <v>425</v>
      </c>
      <c r="AF57" s="315"/>
      <c r="AG57" s="385">
        <v>44260</v>
      </c>
      <c r="AH57" s="386">
        <v>5</v>
      </c>
      <c r="AI57" s="315"/>
      <c r="AJ57" s="144">
        <v>22.05</v>
      </c>
      <c r="AK57" s="144">
        <v>22.04</v>
      </c>
      <c r="AL57" s="141">
        <v>22.06</v>
      </c>
      <c r="AM57" s="140">
        <f t="shared" si="51"/>
        <v>22.05</v>
      </c>
      <c r="AN57" s="391">
        <v>-3.4410714285714286</v>
      </c>
      <c r="AO57" s="391">
        <v>48.943513064185922</v>
      </c>
      <c r="AP57" s="290">
        <f t="shared" si="55"/>
        <v>65380387.674115568</v>
      </c>
      <c r="AQ57" s="276">
        <f t="shared" si="56"/>
        <v>33.448214979006082</v>
      </c>
      <c r="AR57" s="144">
        <v>28.34</v>
      </c>
      <c r="AS57" s="141">
        <v>28.31</v>
      </c>
      <c r="AT57" s="141">
        <v>28.39</v>
      </c>
      <c r="AU57" s="140">
        <f t="shared" si="57"/>
        <v>28.346666666666664</v>
      </c>
      <c r="AV57" s="390">
        <v>-3.5035151515151512</v>
      </c>
      <c r="AW57" s="390">
        <v>40.672666666666665</v>
      </c>
      <c r="AX57" s="291">
        <f t="shared" si="60"/>
        <v>3297.4701635767251</v>
      </c>
      <c r="AY57" s="276">
        <f t="shared" si="52"/>
        <v>659.49403271534504</v>
      </c>
      <c r="AZ57" s="141">
        <v>31.18</v>
      </c>
      <c r="BA57" s="141">
        <v>31.14</v>
      </c>
      <c r="BB57" s="141">
        <v>31.28</v>
      </c>
      <c r="BC57" s="140">
        <f t="shared" si="53"/>
        <v>31.2</v>
      </c>
      <c r="BD57" s="150">
        <v>-3.4617</v>
      </c>
      <c r="BE57" s="640">
        <v>42.390999999999998</v>
      </c>
      <c r="BF57" s="276">
        <f t="shared" si="58"/>
        <v>1709.246468759861</v>
      </c>
      <c r="BG57" s="289">
        <f t="shared" si="54"/>
        <v>341.8492937519722</v>
      </c>
      <c r="BH57" s="634">
        <f t="shared" si="59"/>
        <v>0.51835085200766839</v>
      </c>
      <c r="BI57" s="412"/>
      <c r="BJ57" s="435"/>
      <c r="BK57" s="320"/>
      <c r="BL57" s="321"/>
      <c r="BM57" s="322"/>
      <c r="BN57" s="322"/>
      <c r="BO57" s="322"/>
      <c r="BP57" s="322"/>
      <c r="BQ57" s="322"/>
      <c r="BR57" s="322"/>
      <c r="BS57" s="321"/>
    </row>
    <row r="58" spans="1:71" s="277" customFormat="1" ht="15" x14ac:dyDescent="0.2">
      <c r="A58" s="343"/>
      <c r="B58" s="343">
        <v>44257</v>
      </c>
      <c r="C58" s="224" t="s">
        <v>251</v>
      </c>
      <c r="D58" s="670" t="s">
        <v>231</v>
      </c>
      <c r="E58" s="249" t="s">
        <v>252</v>
      </c>
      <c r="F58" s="671" t="s">
        <v>233</v>
      </c>
      <c r="G58" s="314"/>
      <c r="H58" s="314"/>
      <c r="I58" s="314"/>
      <c r="J58" s="314"/>
      <c r="K58" s="314"/>
      <c r="L58" s="222" t="s">
        <v>234</v>
      </c>
      <c r="M58" s="222"/>
      <c r="N58" s="281">
        <v>44258</v>
      </c>
      <c r="O58" s="222">
        <v>50</v>
      </c>
      <c r="P58" s="222" t="s">
        <v>235</v>
      </c>
      <c r="Q58" s="222" t="s">
        <v>236</v>
      </c>
      <c r="R58" s="315" t="s">
        <v>262</v>
      </c>
      <c r="S58" s="375">
        <v>8.2899999999999991</v>
      </c>
      <c r="T58" s="375">
        <v>3.87</v>
      </c>
      <c r="U58" s="375">
        <v>39.700000000000003</v>
      </c>
      <c r="V58" s="487" t="s">
        <v>238</v>
      </c>
      <c r="W58" s="315"/>
      <c r="X58" s="315"/>
      <c r="Y58" s="315"/>
      <c r="Z58" s="278" t="s">
        <v>266</v>
      </c>
      <c r="AA58" s="283"/>
      <c r="AB58" s="139">
        <v>50</v>
      </c>
      <c r="AC58" s="315"/>
      <c r="AD58" s="315"/>
      <c r="AE58" s="222" t="s">
        <v>425</v>
      </c>
      <c r="AF58" s="315"/>
      <c r="AG58" s="385">
        <v>44260</v>
      </c>
      <c r="AH58" s="386">
        <v>5</v>
      </c>
      <c r="AI58" s="315"/>
      <c r="AJ58" s="144">
        <v>22.16</v>
      </c>
      <c r="AK58" s="144">
        <v>22.24</v>
      </c>
      <c r="AL58" s="141">
        <v>22.12</v>
      </c>
      <c r="AM58" s="140">
        <f t="shared" si="51"/>
        <v>22.173333333333332</v>
      </c>
      <c r="AN58" s="391">
        <v>-3.4410714285714286</v>
      </c>
      <c r="AO58" s="391">
        <v>48.943513064185922</v>
      </c>
      <c r="AP58" s="290">
        <f t="shared" si="55"/>
        <v>60201309.965955362</v>
      </c>
      <c r="AQ58" s="276">
        <f t="shared" si="56"/>
        <v>30.798629824525513</v>
      </c>
      <c r="AR58" s="144">
        <v>27.74</v>
      </c>
      <c r="AS58" s="144">
        <v>27.82</v>
      </c>
      <c r="AT58" s="141">
        <v>27.73</v>
      </c>
      <c r="AU58" s="140">
        <f t="shared" si="57"/>
        <v>27.763333333333335</v>
      </c>
      <c r="AV58" s="390">
        <v>-3.5035151515151512</v>
      </c>
      <c r="AW58" s="390">
        <v>40.672666666666665</v>
      </c>
      <c r="AX58" s="291">
        <f t="shared" si="60"/>
        <v>4838.1610527232733</v>
      </c>
      <c r="AY58" s="276">
        <f t="shared" si="52"/>
        <v>967.63221054465464</v>
      </c>
      <c r="AZ58" s="141">
        <v>38.28</v>
      </c>
      <c r="BA58" s="141">
        <v>37.58</v>
      </c>
      <c r="BB58" s="141">
        <v>36.979999999999997</v>
      </c>
      <c r="BC58" s="140">
        <f t="shared" si="53"/>
        <v>37.613333333333337</v>
      </c>
      <c r="BD58" s="150">
        <v>-3.4617</v>
      </c>
      <c r="BE58" s="640">
        <v>42.390999999999998</v>
      </c>
      <c r="BF58" s="276">
        <f t="shared" si="58"/>
        <v>23.996638429016631</v>
      </c>
      <c r="BG58" s="289">
        <f t="shared" si="54"/>
        <v>4.799327685803326</v>
      </c>
      <c r="BH58" s="634">
        <f t="shared" si="59"/>
        <v>4.9598676372109513E-3</v>
      </c>
      <c r="BI58" s="412"/>
      <c r="BJ58" s="435"/>
      <c r="BK58" s="320"/>
      <c r="BL58" s="321"/>
      <c r="BM58" s="322"/>
      <c r="BN58" s="322"/>
      <c r="BO58" s="322"/>
      <c r="BP58" s="322"/>
      <c r="BQ58" s="322"/>
      <c r="BR58" s="322"/>
      <c r="BS58" s="321"/>
    </row>
    <row r="59" spans="1:71" s="277" customFormat="1" ht="15" x14ac:dyDescent="0.2">
      <c r="A59" s="343"/>
      <c r="B59" s="343">
        <v>44257</v>
      </c>
      <c r="C59" s="224" t="s">
        <v>253</v>
      </c>
      <c r="D59" s="670" t="s">
        <v>244</v>
      </c>
      <c r="E59" s="249" t="s">
        <v>252</v>
      </c>
      <c r="F59" s="671" t="s">
        <v>233</v>
      </c>
      <c r="G59" s="314"/>
      <c r="H59" s="314"/>
      <c r="I59" s="314"/>
      <c r="J59" s="314"/>
      <c r="K59" s="314"/>
      <c r="L59" s="222" t="s">
        <v>234</v>
      </c>
      <c r="M59" s="222"/>
      <c r="N59" s="281">
        <v>44258</v>
      </c>
      <c r="O59" s="222">
        <v>50</v>
      </c>
      <c r="P59" s="222" t="s">
        <v>235</v>
      </c>
      <c r="Q59" s="222" t="s">
        <v>236</v>
      </c>
      <c r="R59" s="315" t="s">
        <v>262</v>
      </c>
      <c r="S59" s="145">
        <v>7.9</v>
      </c>
      <c r="T59" s="141">
        <v>3.74</v>
      </c>
      <c r="U59" s="141">
        <v>28.4</v>
      </c>
      <c r="V59" s="487" t="s">
        <v>238</v>
      </c>
      <c r="W59" s="315"/>
      <c r="X59" s="315"/>
      <c r="Y59" s="315"/>
      <c r="Z59" s="278" t="s">
        <v>266</v>
      </c>
      <c r="AA59" s="283"/>
      <c r="AB59" s="139">
        <v>50</v>
      </c>
      <c r="AC59" s="315"/>
      <c r="AD59" s="315"/>
      <c r="AE59" s="222" t="s">
        <v>425</v>
      </c>
      <c r="AF59" s="315"/>
      <c r="AG59" s="385">
        <v>44260</v>
      </c>
      <c r="AH59" s="386">
        <v>5</v>
      </c>
      <c r="AI59" s="315"/>
      <c r="AJ59" s="144">
        <v>21.88</v>
      </c>
      <c r="AK59" s="144">
        <v>21.91</v>
      </c>
      <c r="AL59" s="141">
        <v>22.02</v>
      </c>
      <c r="AM59" s="140">
        <f t="shared" si="51"/>
        <v>21.936666666666667</v>
      </c>
      <c r="AN59" s="391">
        <v>-3.4410714285714286</v>
      </c>
      <c r="AO59" s="391">
        <v>48.943513064185922</v>
      </c>
      <c r="AP59" s="290">
        <f t="shared" si="55"/>
        <v>70531475.57031104</v>
      </c>
      <c r="AQ59" s="276">
        <f t="shared" si="56"/>
        <v>36.083480713227395</v>
      </c>
      <c r="AR59" s="144">
        <v>25.35</v>
      </c>
      <c r="AS59" s="141">
        <v>25.46</v>
      </c>
      <c r="AT59" s="141">
        <v>25.49</v>
      </c>
      <c r="AU59" s="140">
        <f t="shared" si="57"/>
        <v>25.433333333333334</v>
      </c>
      <c r="AV59" s="390">
        <v>-3.5035151515151512</v>
      </c>
      <c r="AW59" s="390">
        <v>40.672666666666665</v>
      </c>
      <c r="AX59" s="291">
        <f t="shared" si="60"/>
        <v>22373.126666930471</v>
      </c>
      <c r="AY59" s="276">
        <f t="shared" ref="AY59" si="61">(AX59/AH59)*(AB59/O59)</f>
        <v>4474.6253333860941</v>
      </c>
      <c r="AZ59" s="141">
        <v>39.869999999999997</v>
      </c>
      <c r="BA59" s="141">
        <v>37.5</v>
      </c>
      <c r="BB59" s="141">
        <v>36.799999999999997</v>
      </c>
      <c r="BC59" s="140">
        <f t="shared" si="53"/>
        <v>38.056666666666665</v>
      </c>
      <c r="BD59" s="150">
        <v>-3.4617</v>
      </c>
      <c r="BE59" s="640">
        <v>42.390999999999998</v>
      </c>
      <c r="BF59" s="276">
        <f t="shared" si="58"/>
        <v>17.86826193347067</v>
      </c>
      <c r="BG59" s="289">
        <f t="shared" ref="BG59" si="62">(BF59/AH59)*(AB59/O59)</f>
        <v>3.5736523866941341</v>
      </c>
      <c r="BH59" s="634">
        <f>BF59/AX59</f>
        <v>7.9864840527102529E-4</v>
      </c>
      <c r="BI59" s="412"/>
      <c r="BJ59" s="435"/>
      <c r="BK59" s="320"/>
      <c r="BL59" s="321"/>
      <c r="BM59" s="322"/>
      <c r="BN59" s="322"/>
      <c r="BO59" s="322"/>
      <c r="BP59" s="322"/>
      <c r="BQ59" s="322"/>
      <c r="BR59" s="322"/>
      <c r="BS59" s="321"/>
    </row>
    <row r="60" spans="1:71" s="408" customFormat="1" ht="15" x14ac:dyDescent="0.2">
      <c r="A60" s="404"/>
      <c r="B60" s="343">
        <v>44257</v>
      </c>
      <c r="C60" s="405" t="s">
        <v>254</v>
      </c>
      <c r="D60" s="673"/>
      <c r="E60" s="250"/>
      <c r="F60" s="674"/>
      <c r="G60" s="246"/>
      <c r="H60" s="246"/>
      <c r="I60" s="246"/>
      <c r="J60" s="246"/>
      <c r="K60" s="246"/>
      <c r="L60" s="246"/>
      <c r="M60" s="246"/>
      <c r="N60" s="406"/>
      <c r="O60" s="246"/>
      <c r="P60" s="246"/>
      <c r="Q60" s="246"/>
      <c r="R60" s="246"/>
      <c r="S60" s="246"/>
      <c r="T60" s="246"/>
      <c r="U60" s="246"/>
      <c r="V60" s="488"/>
      <c r="W60" s="246"/>
      <c r="X60" s="246"/>
      <c r="Y60" s="246"/>
      <c r="Z60" s="245"/>
      <c r="AA60" s="407"/>
      <c r="AB60" s="139">
        <v>50</v>
      </c>
      <c r="AC60" s="246"/>
      <c r="AD60" s="246"/>
      <c r="AE60" s="222" t="s">
        <v>425</v>
      </c>
      <c r="AF60" s="246"/>
      <c r="AG60" s="385">
        <v>44260</v>
      </c>
      <c r="AH60" s="386">
        <v>5</v>
      </c>
      <c r="AI60" s="246"/>
      <c r="AJ60" s="144">
        <v>20.36</v>
      </c>
      <c r="AK60" s="144">
        <v>20.41</v>
      </c>
      <c r="AL60" s="141">
        <v>20.47</v>
      </c>
      <c r="AM60" s="140">
        <f t="shared" si="51"/>
        <v>20.41333333333333</v>
      </c>
      <c r="AN60" s="391">
        <v>-3.4410714285714286</v>
      </c>
      <c r="AO60" s="391">
        <v>48.943513064185922</v>
      </c>
      <c r="AP60" s="290">
        <f t="shared" si="55"/>
        <v>195467494.20006976</v>
      </c>
      <c r="AQ60" s="276">
        <f t="shared" si="56"/>
        <v>100.00000000000001</v>
      </c>
      <c r="AR60" s="144">
        <v>36.32</v>
      </c>
      <c r="AS60" s="141">
        <v>35.869999999999997</v>
      </c>
      <c r="AT60" s="141">
        <v>35.799999999999997</v>
      </c>
      <c r="AU60" s="140">
        <f t="shared" si="57"/>
        <v>35.996666666666663</v>
      </c>
      <c r="AV60" s="390">
        <v>-3.5035151515151512</v>
      </c>
      <c r="AW60" s="390">
        <v>40.672666666666665</v>
      </c>
      <c r="AX60" s="291">
        <f t="shared" si="60"/>
        <v>21.610238635227418</v>
      </c>
      <c r="AY60" s="246"/>
      <c r="AZ60" s="141" t="s">
        <v>95</v>
      </c>
      <c r="BA60" s="141">
        <v>36.9</v>
      </c>
      <c r="BB60" s="141">
        <v>37.32</v>
      </c>
      <c r="BC60" s="140">
        <f t="shared" si="53"/>
        <v>37.11</v>
      </c>
      <c r="BD60" s="150">
        <v>-3.4617</v>
      </c>
      <c r="BE60" s="640">
        <v>42.390999999999998</v>
      </c>
      <c r="BF60" s="276">
        <f t="shared" si="58"/>
        <v>33.539071072862662</v>
      </c>
      <c r="BG60" s="289"/>
      <c r="BH60" s="634">
        <f t="shared" ref="BH60:BH61" si="63">BF60/AX60</f>
        <v>1.5519991074133601</v>
      </c>
      <c r="BI60" s="252"/>
      <c r="BJ60" s="436"/>
      <c r="BK60" s="246"/>
      <c r="BL60" s="247"/>
      <c r="BM60" s="252"/>
      <c r="BN60" s="252"/>
      <c r="BO60" s="252"/>
      <c r="BP60" s="252"/>
      <c r="BQ60" s="252"/>
      <c r="BR60" s="252"/>
      <c r="BS60" s="252"/>
    </row>
    <row r="61" spans="1:71" s="293" customFormat="1" ht="15" customHeight="1" x14ac:dyDescent="0.2">
      <c r="A61" s="346"/>
      <c r="B61" s="343">
        <v>44257</v>
      </c>
      <c r="C61" s="224" t="s">
        <v>255</v>
      </c>
      <c r="D61" s="670"/>
      <c r="E61" s="249"/>
      <c r="F61" s="671"/>
      <c r="G61" s="314"/>
      <c r="H61" s="314"/>
      <c r="I61" s="314"/>
      <c r="J61" s="314"/>
      <c r="K61" s="314"/>
      <c r="L61" s="314"/>
      <c r="M61" s="314"/>
      <c r="N61" s="286"/>
      <c r="O61" s="314"/>
      <c r="P61" s="314"/>
      <c r="Q61" s="314"/>
      <c r="R61" s="325"/>
      <c r="S61" s="411"/>
      <c r="T61" s="325"/>
      <c r="U61" s="325"/>
      <c r="V61" s="489"/>
      <c r="W61" s="325"/>
      <c r="X61" s="325"/>
      <c r="Y61" s="325"/>
      <c r="Z61" s="285"/>
      <c r="AA61" s="285"/>
      <c r="AB61" s="139">
        <v>50</v>
      </c>
      <c r="AC61" s="325"/>
      <c r="AD61" s="325"/>
      <c r="AE61" s="222" t="s">
        <v>425</v>
      </c>
      <c r="AF61" s="325"/>
      <c r="AG61" s="385">
        <v>44260</v>
      </c>
      <c r="AH61" s="386">
        <v>5</v>
      </c>
      <c r="AI61" s="325"/>
      <c r="AJ61" s="144" t="s">
        <v>95</v>
      </c>
      <c r="AK61" s="144">
        <v>39.81</v>
      </c>
      <c r="AL61" s="141">
        <v>38.89</v>
      </c>
      <c r="AM61" s="140">
        <f t="shared" si="51"/>
        <v>39.35</v>
      </c>
      <c r="AN61" s="391">
        <v>-3.4410714285714286</v>
      </c>
      <c r="AO61" s="391">
        <v>48.943513064185922</v>
      </c>
      <c r="AP61" s="290">
        <f t="shared" si="55"/>
        <v>613.68230272587891</v>
      </c>
      <c r="AQ61" s="276">
        <f t="shared" si="56"/>
        <v>3.1395619268426671E-4</v>
      </c>
      <c r="AR61" s="141">
        <v>39.89</v>
      </c>
      <c r="AS61" s="141">
        <v>38.14</v>
      </c>
      <c r="AT61" s="141">
        <v>38.47</v>
      </c>
      <c r="AU61" s="140">
        <f t="shared" si="57"/>
        <v>38.833333333333336</v>
      </c>
      <c r="AV61" s="390">
        <v>-3.5035151515151512</v>
      </c>
      <c r="AW61" s="390">
        <v>40.672666666666665</v>
      </c>
      <c r="AX61" s="291">
        <f t="shared" si="60"/>
        <v>3.3496277072662441</v>
      </c>
      <c r="AY61" s="330"/>
      <c r="AZ61" s="141">
        <v>38.49</v>
      </c>
      <c r="BA61" s="141">
        <v>38.090000000000003</v>
      </c>
      <c r="BB61" s="141">
        <v>37.78</v>
      </c>
      <c r="BC61" s="140">
        <f t="shared" si="53"/>
        <v>38.120000000000005</v>
      </c>
      <c r="BD61" s="150">
        <v>-3.4617</v>
      </c>
      <c r="BE61" s="640">
        <v>42.390999999999998</v>
      </c>
      <c r="BF61" s="276">
        <f>IF(AND(AZ61="No CT",BA61="No CT",BB61="No CT"),0,10^((BC61-BE61)/BD61))</f>
        <v>17.131163804058758</v>
      </c>
      <c r="BG61" s="289"/>
      <c r="BH61" s="634">
        <f t="shared" si="63"/>
        <v>5.1143486086219827</v>
      </c>
      <c r="BI61" s="412"/>
      <c r="BJ61" s="440"/>
      <c r="BK61" s="325"/>
      <c r="BL61" s="322"/>
      <c r="BM61" s="322"/>
      <c r="BN61" s="322"/>
      <c r="BO61" s="322"/>
      <c r="BP61" s="322"/>
      <c r="BQ61" s="322"/>
      <c r="BR61" s="322"/>
      <c r="BS61" s="322"/>
    </row>
    <row r="62" spans="1:71" s="432" customFormat="1" x14ac:dyDescent="0.2">
      <c r="A62" s="480"/>
      <c r="B62" s="480"/>
      <c r="C62" s="481"/>
      <c r="D62" s="678"/>
      <c r="E62" s="676"/>
      <c r="F62" s="641"/>
      <c r="G62" s="482"/>
      <c r="H62" s="482"/>
      <c r="I62" s="482"/>
      <c r="J62" s="482"/>
      <c r="K62" s="482"/>
      <c r="L62" s="482"/>
      <c r="M62" s="482"/>
      <c r="N62" s="483"/>
      <c r="O62" s="482"/>
      <c r="P62" s="482"/>
      <c r="Q62" s="482"/>
      <c r="R62" s="482"/>
      <c r="S62" s="482"/>
      <c r="T62" s="482"/>
      <c r="U62" s="482"/>
      <c r="V62" s="433"/>
      <c r="W62" s="482"/>
      <c r="X62" s="482"/>
      <c r="Y62" s="482"/>
      <c r="Z62" s="483"/>
      <c r="AA62" s="483"/>
      <c r="AB62" s="482"/>
      <c r="AC62" s="482"/>
      <c r="AD62" s="482"/>
      <c r="AE62" s="482"/>
      <c r="AF62" s="482"/>
      <c r="AG62" s="483"/>
      <c r="AH62" s="424"/>
      <c r="AI62" s="482"/>
      <c r="AJ62" s="482"/>
      <c r="AK62" s="482"/>
      <c r="AL62" s="482"/>
      <c r="AM62" s="482"/>
      <c r="AN62" s="482"/>
      <c r="AO62" s="482"/>
      <c r="AP62" s="482"/>
      <c r="AQ62" s="482"/>
      <c r="AR62" s="482"/>
      <c r="AS62" s="482"/>
      <c r="AT62" s="482"/>
      <c r="AU62" s="482"/>
      <c r="AV62" s="482"/>
      <c r="AW62" s="482"/>
      <c r="AX62" s="484"/>
      <c r="AY62" s="426"/>
      <c r="AZ62" s="641"/>
      <c r="BA62" s="641"/>
      <c r="BB62" s="641"/>
      <c r="BC62" s="641"/>
      <c r="BD62" s="641"/>
      <c r="BE62" s="641"/>
      <c r="BF62" s="642"/>
      <c r="BG62" s="424"/>
      <c r="BH62" s="636"/>
      <c r="BI62" s="447"/>
      <c r="BJ62" s="438"/>
      <c r="BK62" s="482"/>
      <c r="BL62" s="430"/>
      <c r="BM62" s="431"/>
      <c r="BN62" s="431"/>
      <c r="BO62" s="431"/>
      <c r="BP62" s="431"/>
      <c r="BQ62" s="431"/>
      <c r="BR62" s="431"/>
      <c r="BS62" s="430"/>
    </row>
    <row r="63" spans="1:71" s="473" customFormat="1" ht="15" x14ac:dyDescent="0.2">
      <c r="A63" s="345"/>
      <c r="B63" s="454">
        <v>44258</v>
      </c>
      <c r="C63" s="455" t="s">
        <v>230</v>
      </c>
      <c r="D63" s="680" t="s">
        <v>231</v>
      </c>
      <c r="E63" s="249" t="s">
        <v>232</v>
      </c>
      <c r="F63" s="681" t="s">
        <v>233</v>
      </c>
      <c r="G63" s="456"/>
      <c r="H63" s="456"/>
      <c r="I63" s="456"/>
      <c r="J63" s="456"/>
      <c r="K63" s="456"/>
      <c r="L63" s="457" t="s">
        <v>234</v>
      </c>
      <c r="M63" s="457"/>
      <c r="N63" s="458">
        <v>44259</v>
      </c>
      <c r="O63" s="457">
        <v>50</v>
      </c>
      <c r="P63" s="457" t="s">
        <v>235</v>
      </c>
      <c r="Q63" s="457" t="s">
        <v>236</v>
      </c>
      <c r="R63" s="459" t="s">
        <v>262</v>
      </c>
      <c r="S63" s="460">
        <v>7.29</v>
      </c>
      <c r="T63" s="460">
        <v>4.34</v>
      </c>
      <c r="U63" s="460">
        <v>76</v>
      </c>
      <c r="V63" s="490" t="s">
        <v>238</v>
      </c>
      <c r="W63" s="325"/>
      <c r="X63" s="325"/>
      <c r="Y63" s="325"/>
      <c r="Z63" s="461" t="s">
        <v>267</v>
      </c>
      <c r="AA63" s="285"/>
      <c r="AB63" s="462">
        <v>50</v>
      </c>
      <c r="AC63" s="459"/>
      <c r="AD63" s="459"/>
      <c r="AE63" s="457" t="s">
        <v>425</v>
      </c>
      <c r="AF63" s="325"/>
      <c r="AG63" s="406">
        <v>44263</v>
      </c>
      <c r="AH63" s="463">
        <v>5</v>
      </c>
      <c r="AI63" s="325"/>
      <c r="AJ63" s="464">
        <v>25.24</v>
      </c>
      <c r="AK63" s="464">
        <v>25.15</v>
      </c>
      <c r="AL63" s="465">
        <v>25.09</v>
      </c>
      <c r="AM63" s="466">
        <f t="shared" ref="AM63:AM71" si="64">AVERAGE(AJ63:AL63)</f>
        <v>25.16</v>
      </c>
      <c r="AN63" s="467">
        <v>-3.4410714285714286</v>
      </c>
      <c r="AO63" s="467">
        <v>48.943513064185922</v>
      </c>
      <c r="AP63" s="468">
        <f>IF(AND(AJ63="No CT",AK63="No CT",AL63="No CT"),0,10^((AM63-AO63)/AN63))</f>
        <v>8159418.6998303086</v>
      </c>
      <c r="AQ63" s="469">
        <f>AP63*100/$AP$71</f>
        <v>6.9259192865457182</v>
      </c>
      <c r="AR63" s="465">
        <v>26.9</v>
      </c>
      <c r="AS63" s="465">
        <v>26.76</v>
      </c>
      <c r="AT63" s="465">
        <v>26.59</v>
      </c>
      <c r="AU63" s="466">
        <f t="shared" ref="AU63:AU71" si="65">AVERAGE(AR63:AT63)</f>
        <v>26.75</v>
      </c>
      <c r="AV63" s="470">
        <v>-3.5035151515151512</v>
      </c>
      <c r="AW63" s="470">
        <v>40.672666666666665</v>
      </c>
      <c r="AX63" s="471">
        <f>IF(AND(AR63="No CT",AS63="No CT",AT63="No CT"),0,10^((AU63-AW63)/AV63))</f>
        <v>9417.0233043212174</v>
      </c>
      <c r="AY63" s="469">
        <f t="shared" ref="AY63:AY69" si="66">(AX63/AH63)*(AB63/O63)</f>
        <v>1883.4046608642434</v>
      </c>
      <c r="AZ63" s="465">
        <v>37.031620183900401</v>
      </c>
      <c r="BA63" s="465">
        <v>37.164944257737503</v>
      </c>
      <c r="BB63" s="465">
        <v>35.860890985540003</v>
      </c>
      <c r="BC63" s="466">
        <f t="shared" ref="BC63:BC71" si="67">AVERAGE(AZ63:BB63)</f>
        <v>36.685818475725966</v>
      </c>
      <c r="BD63" s="150">
        <v>-3.4617</v>
      </c>
      <c r="BE63" s="640">
        <v>42.390999999999998</v>
      </c>
      <c r="BF63" s="469">
        <f>IF(AND(AZ63="No CT",BA63="No CT",BB63="No CT"),0,10^((BC63-BE63)/BD63))</f>
        <v>44.471997922962046</v>
      </c>
      <c r="BG63" s="643">
        <f t="shared" ref="BG63:BG69" si="68">(BF63/AH63)*(AB63/O63)</f>
        <v>8.89439958459241</v>
      </c>
      <c r="BH63" s="469">
        <f>BF63/AX63</f>
        <v>4.7225111891307575E-3</v>
      </c>
      <c r="BI63" s="412"/>
      <c r="BJ63" s="472"/>
      <c r="BK63" s="325"/>
      <c r="BL63" s="322"/>
      <c r="BM63" s="322"/>
      <c r="BN63" s="322"/>
      <c r="BO63" s="322"/>
      <c r="BP63" s="322"/>
      <c r="BQ63" s="322"/>
      <c r="BR63" s="322"/>
      <c r="BS63" s="322"/>
    </row>
    <row r="64" spans="1:71" s="293" customFormat="1" ht="15" x14ac:dyDescent="0.2">
      <c r="A64" s="346"/>
      <c r="B64" s="346">
        <v>44258</v>
      </c>
      <c r="C64" s="359" t="s">
        <v>243</v>
      </c>
      <c r="D64" s="682" t="s">
        <v>244</v>
      </c>
      <c r="E64" s="249" t="s">
        <v>232</v>
      </c>
      <c r="F64" s="683" t="s">
        <v>233</v>
      </c>
      <c r="G64" s="325"/>
      <c r="H64" s="325"/>
      <c r="I64" s="325"/>
      <c r="J64" s="325"/>
      <c r="K64" s="325"/>
      <c r="L64" s="261" t="s">
        <v>234</v>
      </c>
      <c r="M64" s="457"/>
      <c r="N64" s="458">
        <v>44259</v>
      </c>
      <c r="O64" s="261">
        <v>50</v>
      </c>
      <c r="P64" s="261" t="s">
        <v>235</v>
      </c>
      <c r="Q64" s="261" t="s">
        <v>236</v>
      </c>
      <c r="R64" s="325" t="s">
        <v>262</v>
      </c>
      <c r="S64" s="152">
        <v>7.46</v>
      </c>
      <c r="T64" s="474">
        <v>4.49</v>
      </c>
      <c r="U64" s="152">
        <v>12.4</v>
      </c>
      <c r="V64" s="491" t="s">
        <v>238</v>
      </c>
      <c r="W64" s="325"/>
      <c r="X64" s="325"/>
      <c r="Y64" s="325"/>
      <c r="Z64" s="476" t="s">
        <v>267</v>
      </c>
      <c r="AA64" s="285"/>
      <c r="AB64" s="152">
        <v>50</v>
      </c>
      <c r="AC64" s="325"/>
      <c r="AD64" s="325"/>
      <c r="AE64" s="457" t="s">
        <v>425</v>
      </c>
      <c r="AF64" s="325"/>
      <c r="AG64" s="406">
        <v>44263</v>
      </c>
      <c r="AH64" s="477">
        <v>5</v>
      </c>
      <c r="AI64" s="325"/>
      <c r="AJ64" s="153">
        <v>23.38</v>
      </c>
      <c r="AK64" s="153">
        <v>23.66</v>
      </c>
      <c r="AL64" s="152">
        <v>23.34</v>
      </c>
      <c r="AM64" s="153">
        <f t="shared" si="64"/>
        <v>23.459999999999997</v>
      </c>
      <c r="AN64" s="363">
        <v>-3.4410714285714286</v>
      </c>
      <c r="AO64" s="363">
        <v>48.943513064185922</v>
      </c>
      <c r="AP64" s="361">
        <f t="shared" ref="AP64:AP71" si="69">IF(AND(AJ64="No CT",AK64="No CT",AL64="No CT"),0,10^((AM64-AO64)/AN64))</f>
        <v>25450211.384168055</v>
      </c>
      <c r="AQ64" s="353">
        <f t="shared" ref="AQ64:AQ71" si="70">AP64*100/$AP$71</f>
        <v>21.602777888569527</v>
      </c>
      <c r="AR64" s="152">
        <v>29.31</v>
      </c>
      <c r="AS64" s="152">
        <v>29.52</v>
      </c>
      <c r="AT64" s="152">
        <v>29.29</v>
      </c>
      <c r="AU64" s="153">
        <f t="shared" si="65"/>
        <v>29.373333333333335</v>
      </c>
      <c r="AV64" s="478">
        <v>-3.5035151515151512</v>
      </c>
      <c r="AW64" s="478">
        <v>40.672666666666665</v>
      </c>
      <c r="AX64" s="362">
        <f>IF(AND(AR64="No CT",AS64="No CT",AT64="No CT"),0,10^((AU64-AW64)/AV64))</f>
        <v>1679.3524371613255</v>
      </c>
      <c r="AY64" s="353">
        <f t="shared" si="66"/>
        <v>335.87048743226512</v>
      </c>
      <c r="AZ64" s="152">
        <v>35.79</v>
      </c>
      <c r="BA64" s="152">
        <v>36.89</v>
      </c>
      <c r="BB64" s="152">
        <v>35.94</v>
      </c>
      <c r="BC64" s="153">
        <f t="shared" si="67"/>
        <v>36.206666666666671</v>
      </c>
      <c r="BD64" s="150">
        <v>-3.4617</v>
      </c>
      <c r="BE64" s="640">
        <v>42.390999999999998</v>
      </c>
      <c r="BF64" s="353">
        <f t="shared" ref="BF64:BF71" si="71">IF(AND(AZ64="No CT",BA64="No CT",BB64="No CT"),0,10^((BC64-BE64)/BD64))</f>
        <v>61.164835928672751</v>
      </c>
      <c r="BG64" s="360">
        <f t="shared" si="68"/>
        <v>12.23296718573455</v>
      </c>
      <c r="BH64" s="353">
        <f t="shared" ref="BH64:BH69" si="72">BF64/AX64</f>
        <v>3.6421679318286541E-2</v>
      </c>
      <c r="BI64" s="412"/>
      <c r="BJ64" s="412"/>
      <c r="BK64" s="325"/>
      <c r="BL64" s="322"/>
      <c r="BM64" s="322"/>
      <c r="BN64" s="322"/>
      <c r="BO64" s="322"/>
      <c r="BP64" s="322"/>
      <c r="BQ64" s="322"/>
      <c r="BR64" s="322"/>
      <c r="BS64" s="322"/>
    </row>
    <row r="65" spans="1:71" s="293" customFormat="1" ht="15" x14ac:dyDescent="0.2">
      <c r="A65" s="346"/>
      <c r="B65" s="346">
        <v>44258</v>
      </c>
      <c r="C65" s="359" t="s">
        <v>245</v>
      </c>
      <c r="D65" s="682" t="s">
        <v>231</v>
      </c>
      <c r="E65" s="249" t="s">
        <v>246</v>
      </c>
      <c r="F65" s="683" t="s">
        <v>233</v>
      </c>
      <c r="G65" s="325"/>
      <c r="H65" s="325"/>
      <c r="I65" s="325"/>
      <c r="J65" s="325"/>
      <c r="K65" s="325"/>
      <c r="L65" s="261" t="s">
        <v>234</v>
      </c>
      <c r="M65" s="457"/>
      <c r="N65" s="458">
        <v>44259</v>
      </c>
      <c r="O65" s="261">
        <v>50</v>
      </c>
      <c r="P65" s="261" t="s">
        <v>235</v>
      </c>
      <c r="Q65" s="261" t="s">
        <v>236</v>
      </c>
      <c r="R65" s="325" t="s">
        <v>262</v>
      </c>
      <c r="S65" s="475">
        <v>7.43</v>
      </c>
      <c r="T65" s="475">
        <v>3.63</v>
      </c>
      <c r="U65" s="475">
        <v>116</v>
      </c>
      <c r="V65" s="491" t="s">
        <v>238</v>
      </c>
      <c r="W65" s="325"/>
      <c r="X65" s="325"/>
      <c r="Y65" s="325"/>
      <c r="Z65" s="476" t="s">
        <v>267</v>
      </c>
      <c r="AA65" s="285"/>
      <c r="AB65" s="152">
        <v>50</v>
      </c>
      <c r="AC65" s="325"/>
      <c r="AD65" s="325"/>
      <c r="AE65" s="457" t="s">
        <v>425</v>
      </c>
      <c r="AF65" s="325"/>
      <c r="AG65" s="406">
        <v>44263</v>
      </c>
      <c r="AH65" s="477">
        <v>5</v>
      </c>
      <c r="AI65" s="325"/>
      <c r="AJ65" s="152">
        <v>24.89</v>
      </c>
      <c r="AK65" s="152">
        <v>25.01</v>
      </c>
      <c r="AL65" s="152">
        <v>24.81</v>
      </c>
      <c r="AM65" s="153">
        <f t="shared" si="64"/>
        <v>24.903333333333336</v>
      </c>
      <c r="AN65" s="363">
        <v>-3.4410714285714286</v>
      </c>
      <c r="AO65" s="363">
        <v>48.943513064185922</v>
      </c>
      <c r="AP65" s="361">
        <f t="shared" si="69"/>
        <v>9688318.1265974585</v>
      </c>
      <c r="AQ65" s="353">
        <f t="shared" si="70"/>
        <v>8.2236874752593963</v>
      </c>
      <c r="AR65" s="152">
        <v>24.95</v>
      </c>
      <c r="AS65" s="152">
        <v>25.08</v>
      </c>
      <c r="AT65" s="152">
        <v>24.96</v>
      </c>
      <c r="AU65" s="153">
        <f t="shared" si="65"/>
        <v>24.99666666666667</v>
      </c>
      <c r="AV65" s="478">
        <v>-3.5035151515151512</v>
      </c>
      <c r="AW65" s="478">
        <v>40.672666666666665</v>
      </c>
      <c r="AX65" s="362">
        <f t="shared" ref="AX65:AX70" si="73">IF(AND(AR65="No CT",AS65="No CT",AT65="No CT"),0,10^((AU65-AW65)/AV65))</f>
        <v>29810.098421501621</v>
      </c>
      <c r="AY65" s="353">
        <f t="shared" si="66"/>
        <v>5962.0196843003241</v>
      </c>
      <c r="AZ65" s="152">
        <v>34.15</v>
      </c>
      <c r="BA65" s="152">
        <v>34.42</v>
      </c>
      <c r="BB65" s="152">
        <v>34.729999999999997</v>
      </c>
      <c r="BC65" s="153">
        <f t="shared" si="67"/>
        <v>34.43333333333333</v>
      </c>
      <c r="BD65" s="150">
        <v>-3.4617</v>
      </c>
      <c r="BE65" s="640">
        <v>42.390999999999998</v>
      </c>
      <c r="BF65" s="353">
        <f t="shared" si="71"/>
        <v>198.96386342435937</v>
      </c>
      <c r="BG65" s="360">
        <f t="shared" si="68"/>
        <v>39.792772684871878</v>
      </c>
      <c r="BH65" s="353">
        <f t="shared" si="72"/>
        <v>6.6743779443830826E-3</v>
      </c>
      <c r="BI65" s="412"/>
      <c r="BJ65" s="412"/>
      <c r="BK65" s="325"/>
      <c r="BL65" s="322"/>
      <c r="BM65" s="322"/>
      <c r="BN65" s="322"/>
      <c r="BO65" s="322"/>
      <c r="BP65" s="322"/>
      <c r="BQ65" s="322"/>
      <c r="BR65" s="322"/>
      <c r="BS65" s="322"/>
    </row>
    <row r="66" spans="1:71" s="293" customFormat="1" ht="15" x14ac:dyDescent="0.2">
      <c r="A66" s="346"/>
      <c r="B66" s="346">
        <v>44258</v>
      </c>
      <c r="C66" s="359" t="s">
        <v>247</v>
      </c>
      <c r="D66" s="682" t="s">
        <v>244</v>
      </c>
      <c r="E66" s="249" t="s">
        <v>246</v>
      </c>
      <c r="F66" s="683" t="s">
        <v>233</v>
      </c>
      <c r="G66" s="325"/>
      <c r="H66" s="325"/>
      <c r="I66" s="325"/>
      <c r="J66" s="325"/>
      <c r="K66" s="325"/>
      <c r="L66" s="261" t="s">
        <v>234</v>
      </c>
      <c r="M66" s="457"/>
      <c r="N66" s="458">
        <v>44259</v>
      </c>
      <c r="O66" s="261">
        <v>50</v>
      </c>
      <c r="P66" s="261" t="s">
        <v>235</v>
      </c>
      <c r="Q66" s="261" t="s">
        <v>236</v>
      </c>
      <c r="R66" s="325" t="s">
        <v>262</v>
      </c>
      <c r="S66" s="152">
        <v>7.28</v>
      </c>
      <c r="T66" s="152">
        <v>3.65</v>
      </c>
      <c r="U66" s="152">
        <v>56.9</v>
      </c>
      <c r="V66" s="491" t="s">
        <v>238</v>
      </c>
      <c r="W66" s="325"/>
      <c r="X66" s="325"/>
      <c r="Y66" s="325"/>
      <c r="Z66" s="476" t="s">
        <v>267</v>
      </c>
      <c r="AA66" s="285"/>
      <c r="AB66" s="152">
        <v>50</v>
      </c>
      <c r="AC66" s="325"/>
      <c r="AD66" s="325"/>
      <c r="AE66" s="457" t="s">
        <v>425</v>
      </c>
      <c r="AF66" s="325"/>
      <c r="AG66" s="406">
        <v>44263</v>
      </c>
      <c r="AH66" s="477">
        <v>5</v>
      </c>
      <c r="AI66" s="325"/>
      <c r="AJ66" s="152">
        <v>22.88</v>
      </c>
      <c r="AK66" s="152">
        <v>22.89</v>
      </c>
      <c r="AL66" s="152">
        <v>22.87</v>
      </c>
      <c r="AM66" s="153">
        <f t="shared" si="64"/>
        <v>22.88</v>
      </c>
      <c r="AN66" s="363">
        <v>-3.4410714285714286</v>
      </c>
      <c r="AO66" s="363">
        <v>48.943513064185922</v>
      </c>
      <c r="AP66" s="361">
        <f t="shared" si="69"/>
        <v>37518334.185447492</v>
      </c>
      <c r="AQ66" s="353">
        <f t="shared" si="70"/>
        <v>31.846503273506777</v>
      </c>
      <c r="AR66" s="153">
        <v>21.99</v>
      </c>
      <c r="AS66" s="152">
        <v>22.09</v>
      </c>
      <c r="AT66" s="152">
        <v>22.15</v>
      </c>
      <c r="AU66" s="153">
        <f t="shared" si="65"/>
        <v>22.076666666666664</v>
      </c>
      <c r="AV66" s="478">
        <v>-3.5035151515151512</v>
      </c>
      <c r="AW66" s="478">
        <v>40.672666666666665</v>
      </c>
      <c r="AX66" s="362">
        <f t="shared" si="73"/>
        <v>203147.77383387857</v>
      </c>
      <c r="AY66" s="353">
        <f t="shared" si="66"/>
        <v>40629.554766775713</v>
      </c>
      <c r="AZ66" s="152">
        <v>33.18</v>
      </c>
      <c r="BA66" s="152">
        <v>33.299999999999997</v>
      </c>
      <c r="BB66" s="152">
        <v>33.28</v>
      </c>
      <c r="BC66" s="153">
        <f t="shared" si="67"/>
        <v>33.25333333333333</v>
      </c>
      <c r="BD66" s="150">
        <v>-3.4617</v>
      </c>
      <c r="BE66" s="640">
        <v>42.390999999999998</v>
      </c>
      <c r="BF66" s="353">
        <f t="shared" si="71"/>
        <v>436.16135849297922</v>
      </c>
      <c r="BG66" s="360">
        <f t="shared" si="68"/>
        <v>87.232271698595838</v>
      </c>
      <c r="BH66" s="353">
        <f t="shared" si="72"/>
        <v>2.1470152011099294E-3</v>
      </c>
      <c r="BI66" s="412"/>
      <c r="BJ66" s="412"/>
      <c r="BK66" s="325"/>
      <c r="BL66" s="322"/>
      <c r="BM66" s="322"/>
      <c r="BN66" s="322"/>
      <c r="BO66" s="322"/>
      <c r="BP66" s="322"/>
      <c r="BQ66" s="322"/>
      <c r="BR66" s="322"/>
      <c r="BS66" s="322"/>
    </row>
    <row r="67" spans="1:71" s="293" customFormat="1" ht="15" x14ac:dyDescent="0.2">
      <c r="A67" s="346"/>
      <c r="B67" s="346">
        <v>44258</v>
      </c>
      <c r="C67" s="359" t="s">
        <v>248</v>
      </c>
      <c r="D67" s="682" t="s">
        <v>231</v>
      </c>
      <c r="E67" s="249" t="s">
        <v>249</v>
      </c>
      <c r="F67" s="683" t="s">
        <v>233</v>
      </c>
      <c r="G67" s="325"/>
      <c r="H67" s="325"/>
      <c r="I67" s="325"/>
      <c r="J67" s="325"/>
      <c r="K67" s="325"/>
      <c r="L67" s="261" t="s">
        <v>234</v>
      </c>
      <c r="M67" s="457"/>
      <c r="N67" s="458">
        <v>44259</v>
      </c>
      <c r="O67" s="261">
        <v>50</v>
      </c>
      <c r="P67" s="261" t="s">
        <v>235</v>
      </c>
      <c r="Q67" s="261" t="s">
        <v>236</v>
      </c>
      <c r="R67" s="325" t="s">
        <v>262</v>
      </c>
      <c r="S67" s="475">
        <v>7.57</v>
      </c>
      <c r="T67" s="475">
        <v>4.51</v>
      </c>
      <c r="U67" s="475">
        <v>63.7</v>
      </c>
      <c r="V67" s="491" t="s">
        <v>238</v>
      </c>
      <c r="W67" s="325"/>
      <c r="X67" s="325"/>
      <c r="Y67" s="325"/>
      <c r="Z67" s="476" t="s">
        <v>267</v>
      </c>
      <c r="AA67" s="285"/>
      <c r="AB67" s="152">
        <v>50</v>
      </c>
      <c r="AC67" s="325"/>
      <c r="AD67" s="325"/>
      <c r="AE67" s="457" t="s">
        <v>425</v>
      </c>
      <c r="AF67" s="325"/>
      <c r="AG67" s="406">
        <v>44263</v>
      </c>
      <c r="AH67" s="477">
        <v>5</v>
      </c>
      <c r="AI67" s="325"/>
      <c r="AJ67" s="153">
        <v>24.17</v>
      </c>
      <c r="AK67" s="152">
        <v>24.19</v>
      </c>
      <c r="AL67" s="152">
        <v>24.02</v>
      </c>
      <c r="AM67" s="153">
        <f t="shared" si="64"/>
        <v>24.126666666666665</v>
      </c>
      <c r="AN67" s="363">
        <v>-3.4410714285714286</v>
      </c>
      <c r="AO67" s="363">
        <v>48.943513064185922</v>
      </c>
      <c r="AP67" s="361">
        <f t="shared" si="69"/>
        <v>16291207.91112143</v>
      </c>
      <c r="AQ67" s="353">
        <f t="shared" si="70"/>
        <v>13.828385970082484</v>
      </c>
      <c r="AR67" s="152">
        <v>29.18</v>
      </c>
      <c r="AS67" s="152">
        <v>29.2</v>
      </c>
      <c r="AT67" s="152">
        <v>28.96</v>
      </c>
      <c r="AU67" s="153">
        <f t="shared" si="65"/>
        <v>29.113333333333333</v>
      </c>
      <c r="AV67" s="478">
        <v>-3.5035151515151512</v>
      </c>
      <c r="AW67" s="478">
        <v>40.672666666666665</v>
      </c>
      <c r="AX67" s="362">
        <f t="shared" si="73"/>
        <v>1992.2921819339356</v>
      </c>
      <c r="AY67" s="353">
        <f t="shared" si="66"/>
        <v>398.45843638678713</v>
      </c>
      <c r="AZ67" s="152">
        <v>32.44</v>
      </c>
      <c r="BA67" s="152">
        <v>32.56</v>
      </c>
      <c r="BB67" s="152">
        <v>32.21</v>
      </c>
      <c r="BC67" s="153">
        <f t="shared" si="67"/>
        <v>32.403333333333336</v>
      </c>
      <c r="BD67" s="150">
        <v>-3.4617</v>
      </c>
      <c r="BE67" s="640">
        <v>42.390999999999998</v>
      </c>
      <c r="BF67" s="353">
        <f t="shared" si="71"/>
        <v>767.6995458072272</v>
      </c>
      <c r="BG67" s="360">
        <f t="shared" si="68"/>
        <v>153.53990916144545</v>
      </c>
      <c r="BH67" s="353">
        <f t="shared" si="72"/>
        <v>0.38533481824037197</v>
      </c>
      <c r="BI67" s="412"/>
      <c r="BJ67" s="412"/>
      <c r="BK67" s="325"/>
      <c r="BL67" s="322"/>
      <c r="BM67" s="322"/>
      <c r="BN67" s="322"/>
      <c r="BO67" s="322"/>
      <c r="BP67" s="322"/>
      <c r="BQ67" s="322"/>
      <c r="BR67" s="322"/>
      <c r="BS67" s="322"/>
    </row>
    <row r="68" spans="1:71" s="293" customFormat="1" ht="15" x14ac:dyDescent="0.2">
      <c r="A68" s="346"/>
      <c r="B68" s="346">
        <v>44258</v>
      </c>
      <c r="C68" s="359" t="s">
        <v>250</v>
      </c>
      <c r="D68" s="682" t="s">
        <v>244</v>
      </c>
      <c r="E68" s="249" t="s">
        <v>249</v>
      </c>
      <c r="F68" s="683" t="s">
        <v>233</v>
      </c>
      <c r="G68" s="325"/>
      <c r="H68" s="325"/>
      <c r="I68" s="325"/>
      <c r="J68" s="325"/>
      <c r="K68" s="325"/>
      <c r="L68" s="261" t="s">
        <v>234</v>
      </c>
      <c r="M68" s="457"/>
      <c r="N68" s="458">
        <v>44259</v>
      </c>
      <c r="O68" s="261">
        <v>50</v>
      </c>
      <c r="P68" s="261" t="s">
        <v>235</v>
      </c>
      <c r="Q68" s="261" t="s">
        <v>236</v>
      </c>
      <c r="R68" s="325" t="s">
        <v>262</v>
      </c>
      <c r="S68" s="152">
        <v>8.27</v>
      </c>
      <c r="T68" s="152">
        <v>4.41</v>
      </c>
      <c r="U68" s="152">
        <v>32.200000000000003</v>
      </c>
      <c r="V68" s="491" t="s">
        <v>238</v>
      </c>
      <c r="W68" s="325"/>
      <c r="X68" s="325"/>
      <c r="Y68" s="325"/>
      <c r="Z68" s="476" t="s">
        <v>267</v>
      </c>
      <c r="AA68" s="285"/>
      <c r="AB68" s="152">
        <v>50</v>
      </c>
      <c r="AC68" s="325"/>
      <c r="AD68" s="325"/>
      <c r="AE68" s="457" t="s">
        <v>425</v>
      </c>
      <c r="AF68" s="325"/>
      <c r="AG68" s="406">
        <v>44263</v>
      </c>
      <c r="AH68" s="477">
        <v>5</v>
      </c>
      <c r="AI68" s="325"/>
      <c r="AJ68" s="152">
        <v>23.21</v>
      </c>
      <c r="AK68" s="152">
        <v>23.17</v>
      </c>
      <c r="AL68" s="152">
        <v>23.26</v>
      </c>
      <c r="AM68" s="153">
        <f t="shared" si="64"/>
        <v>23.213333333333335</v>
      </c>
      <c r="AN68" s="363">
        <v>-3.4410714285714286</v>
      </c>
      <c r="AO68" s="363">
        <v>48.943513064185922</v>
      </c>
      <c r="AP68" s="361">
        <f t="shared" si="69"/>
        <v>30017498.227226242</v>
      </c>
      <c r="AQ68" s="353">
        <f t="shared" si="70"/>
        <v>25.479605539806631</v>
      </c>
      <c r="AR68" s="153">
        <v>29.61</v>
      </c>
      <c r="AS68" s="152">
        <v>29.49</v>
      </c>
      <c r="AT68" s="152">
        <v>29.6</v>
      </c>
      <c r="AU68" s="153">
        <f t="shared" si="65"/>
        <v>29.566666666666663</v>
      </c>
      <c r="AV68" s="478">
        <v>-3.5035151515151512</v>
      </c>
      <c r="AW68" s="478">
        <v>40.672666666666665</v>
      </c>
      <c r="AX68" s="362">
        <f t="shared" si="73"/>
        <v>1478.9693547067975</v>
      </c>
      <c r="AY68" s="353">
        <f t="shared" si="66"/>
        <v>295.7938709413595</v>
      </c>
      <c r="AZ68" s="152">
        <v>31.58</v>
      </c>
      <c r="BA68" s="152">
        <v>31.43</v>
      </c>
      <c r="BB68" s="152">
        <v>31.73</v>
      </c>
      <c r="BC68" s="153">
        <f t="shared" si="67"/>
        <v>31.58</v>
      </c>
      <c r="BD68" s="150">
        <v>-3.4617</v>
      </c>
      <c r="BE68" s="640">
        <v>42.390999999999998</v>
      </c>
      <c r="BF68" s="353">
        <f t="shared" si="71"/>
        <v>1327.4923782754263</v>
      </c>
      <c r="BG68" s="360">
        <f t="shared" si="68"/>
        <v>265.49847565508526</v>
      </c>
      <c r="BH68" s="353">
        <f t="shared" si="72"/>
        <v>0.89757936772029923</v>
      </c>
      <c r="BI68" s="412"/>
      <c r="BJ68" s="412"/>
      <c r="BK68" s="325"/>
      <c r="BL68" s="322"/>
      <c r="BM68" s="322"/>
      <c r="BN68" s="322"/>
      <c r="BO68" s="322"/>
      <c r="BP68" s="322"/>
      <c r="BQ68" s="322"/>
      <c r="BR68" s="322"/>
      <c r="BS68" s="322"/>
    </row>
    <row r="69" spans="1:71" s="293" customFormat="1" ht="15" x14ac:dyDescent="0.2">
      <c r="A69" s="346"/>
      <c r="B69" s="346">
        <v>44258</v>
      </c>
      <c r="C69" s="359" t="s">
        <v>251</v>
      </c>
      <c r="D69" s="682" t="s">
        <v>231</v>
      </c>
      <c r="E69" s="249" t="s">
        <v>252</v>
      </c>
      <c r="F69" s="683" t="s">
        <v>233</v>
      </c>
      <c r="G69" s="325"/>
      <c r="H69" s="325"/>
      <c r="I69" s="325"/>
      <c r="J69" s="325"/>
      <c r="K69" s="325"/>
      <c r="L69" s="261" t="s">
        <v>234</v>
      </c>
      <c r="M69" s="457"/>
      <c r="N69" s="458">
        <v>44259</v>
      </c>
      <c r="O69" s="261">
        <v>50</v>
      </c>
      <c r="P69" s="261" t="s">
        <v>235</v>
      </c>
      <c r="Q69" s="261" t="s">
        <v>236</v>
      </c>
      <c r="R69" s="325" t="s">
        <v>262</v>
      </c>
      <c r="S69" s="475">
        <v>7.84</v>
      </c>
      <c r="T69" s="475">
        <v>3.69</v>
      </c>
      <c r="U69" s="475">
        <v>14.8</v>
      </c>
      <c r="V69" s="491" t="s">
        <v>238</v>
      </c>
      <c r="W69" s="325"/>
      <c r="X69" s="325"/>
      <c r="Y69" s="325"/>
      <c r="Z69" s="476" t="s">
        <v>267</v>
      </c>
      <c r="AA69" s="285"/>
      <c r="AB69" s="152">
        <v>50</v>
      </c>
      <c r="AC69" s="325"/>
      <c r="AD69" s="325"/>
      <c r="AE69" s="457" t="s">
        <v>425</v>
      </c>
      <c r="AF69" s="325"/>
      <c r="AG69" s="406">
        <v>44263</v>
      </c>
      <c r="AH69" s="477">
        <v>5</v>
      </c>
      <c r="AI69" s="325"/>
      <c r="AJ69" s="152">
        <v>22.57</v>
      </c>
      <c r="AK69" s="152">
        <v>22.59</v>
      </c>
      <c r="AL69" s="152">
        <v>22.53</v>
      </c>
      <c r="AM69" s="153">
        <f t="shared" si="64"/>
        <v>22.563333333333333</v>
      </c>
      <c r="AN69" s="363">
        <v>-3.4410714285714286</v>
      </c>
      <c r="AO69" s="363">
        <v>48.943513064185922</v>
      </c>
      <c r="AP69" s="361">
        <f t="shared" si="69"/>
        <v>46373422.417288102</v>
      </c>
      <c r="AQ69" s="353">
        <f t="shared" si="70"/>
        <v>39.362924310981469</v>
      </c>
      <c r="AR69" s="152">
        <v>23.14</v>
      </c>
      <c r="AS69" s="152">
        <v>23.16</v>
      </c>
      <c r="AT69" s="152">
        <v>23.08</v>
      </c>
      <c r="AU69" s="153">
        <f t="shared" si="65"/>
        <v>23.126666666666665</v>
      </c>
      <c r="AV69" s="478">
        <v>-3.5035151515151512</v>
      </c>
      <c r="AW69" s="478">
        <v>40.672666666666665</v>
      </c>
      <c r="AX69" s="362">
        <f t="shared" si="73"/>
        <v>101885.6601978096</v>
      </c>
      <c r="AY69" s="353">
        <f t="shared" si="66"/>
        <v>20377.132039561919</v>
      </c>
      <c r="AZ69" s="152">
        <v>34.57</v>
      </c>
      <c r="BA69" s="152">
        <v>36.229999999999997</v>
      </c>
      <c r="BB69" s="152">
        <v>34.619999999999997</v>
      </c>
      <c r="BC69" s="153">
        <f t="shared" si="67"/>
        <v>35.139999999999993</v>
      </c>
      <c r="BD69" s="150">
        <v>-3.4617</v>
      </c>
      <c r="BE69" s="640">
        <v>42.390999999999998</v>
      </c>
      <c r="BF69" s="353">
        <f t="shared" si="71"/>
        <v>124.34707780565196</v>
      </c>
      <c r="BG69" s="360">
        <f t="shared" si="68"/>
        <v>24.869415561130392</v>
      </c>
      <c r="BH69" s="353">
        <f t="shared" si="72"/>
        <v>1.2204571042110717E-3</v>
      </c>
      <c r="BI69" s="412"/>
      <c r="BJ69" s="412"/>
      <c r="BK69" s="325"/>
      <c r="BL69" s="322"/>
      <c r="BM69" s="322"/>
      <c r="BN69" s="322"/>
      <c r="BO69" s="322"/>
      <c r="BP69" s="322"/>
      <c r="BQ69" s="322"/>
      <c r="BR69" s="322"/>
      <c r="BS69" s="322"/>
    </row>
    <row r="70" spans="1:71" s="293" customFormat="1" ht="15" x14ac:dyDescent="0.2">
      <c r="A70" s="346"/>
      <c r="B70" s="346">
        <v>44258</v>
      </c>
      <c r="C70" s="359" t="s">
        <v>253</v>
      </c>
      <c r="D70" s="682" t="s">
        <v>244</v>
      </c>
      <c r="E70" s="249" t="s">
        <v>252</v>
      </c>
      <c r="F70" s="683" t="s">
        <v>233</v>
      </c>
      <c r="G70" s="325"/>
      <c r="H70" s="325"/>
      <c r="I70" s="325"/>
      <c r="J70" s="325"/>
      <c r="K70" s="325"/>
      <c r="L70" s="261" t="s">
        <v>234</v>
      </c>
      <c r="M70" s="457"/>
      <c r="N70" s="458">
        <v>44259</v>
      </c>
      <c r="O70" s="261">
        <v>50</v>
      </c>
      <c r="P70" s="261" t="s">
        <v>235</v>
      </c>
      <c r="Q70" s="261" t="s">
        <v>236</v>
      </c>
      <c r="R70" s="325" t="s">
        <v>262</v>
      </c>
      <c r="S70" s="152">
        <v>7.61</v>
      </c>
      <c r="T70" s="153">
        <v>4.22</v>
      </c>
      <c r="U70" s="152">
        <v>59.2</v>
      </c>
      <c r="V70" s="491" t="s">
        <v>238</v>
      </c>
      <c r="W70" s="325"/>
      <c r="X70" s="325"/>
      <c r="Y70" s="325"/>
      <c r="Z70" s="476" t="s">
        <v>267</v>
      </c>
      <c r="AA70" s="285"/>
      <c r="AB70" s="152">
        <v>50</v>
      </c>
      <c r="AC70" s="325"/>
      <c r="AD70" s="325"/>
      <c r="AE70" s="457" t="s">
        <v>425</v>
      </c>
      <c r="AF70" s="325"/>
      <c r="AG70" s="406">
        <v>44263</v>
      </c>
      <c r="AH70" s="477">
        <v>5</v>
      </c>
      <c r="AI70" s="325"/>
      <c r="AJ70" s="153">
        <v>23.38</v>
      </c>
      <c r="AK70" s="152">
        <v>23.32</v>
      </c>
      <c r="AL70" s="152">
        <v>23.47</v>
      </c>
      <c r="AM70" s="153">
        <f t="shared" si="64"/>
        <v>23.39</v>
      </c>
      <c r="AN70" s="363">
        <v>-3.4410714285714286</v>
      </c>
      <c r="AO70" s="363">
        <v>48.943513064185922</v>
      </c>
      <c r="AP70" s="361">
        <f t="shared" si="69"/>
        <v>26670668.115093544</v>
      </c>
      <c r="AQ70" s="353">
        <f t="shared" si="70"/>
        <v>22.638732179196531</v>
      </c>
      <c r="AR70" s="152">
        <v>28.9</v>
      </c>
      <c r="AS70" s="152">
        <v>29.01</v>
      </c>
      <c r="AT70" s="152">
        <v>29.17</v>
      </c>
      <c r="AU70" s="153">
        <f t="shared" si="65"/>
        <v>29.026666666666667</v>
      </c>
      <c r="AV70" s="478">
        <v>-3.5035151515151512</v>
      </c>
      <c r="AW70" s="478">
        <v>40.672666666666665</v>
      </c>
      <c r="AX70" s="362">
        <f t="shared" si="73"/>
        <v>2109.0656153906762</v>
      </c>
      <c r="AY70" s="353">
        <f t="shared" ref="AY70" si="74">(AX70/AH70)*(AB70/O70)</f>
        <v>421.81312307813522</v>
      </c>
      <c r="AZ70" s="152">
        <v>35.200000000000003</v>
      </c>
      <c r="BA70" s="152">
        <v>34.86</v>
      </c>
      <c r="BB70" s="152">
        <v>35.15</v>
      </c>
      <c r="BC70" s="153">
        <f t="shared" si="67"/>
        <v>35.07</v>
      </c>
      <c r="BD70" s="150">
        <v>-3.4617</v>
      </c>
      <c r="BE70" s="640">
        <v>42.390999999999998</v>
      </c>
      <c r="BF70" s="353">
        <f t="shared" si="71"/>
        <v>130.27373425476048</v>
      </c>
      <c r="BG70" s="360">
        <f t="shared" ref="BG70" si="75">(BF70/AH70)*(AB70/O70)</f>
        <v>26.054746850952096</v>
      </c>
      <c r="BH70" s="353">
        <f>BF70/AX70</f>
        <v>6.1768459598460154E-2</v>
      </c>
      <c r="BI70" s="412"/>
      <c r="BJ70" s="412"/>
      <c r="BK70" s="325"/>
      <c r="BL70" s="322"/>
      <c r="BM70" s="322"/>
      <c r="BN70" s="322"/>
      <c r="BO70" s="322"/>
      <c r="BP70" s="322"/>
      <c r="BQ70" s="322"/>
      <c r="BR70" s="322"/>
      <c r="BS70" s="322"/>
    </row>
    <row r="71" spans="1:71" s="293" customFormat="1" ht="15" x14ac:dyDescent="0.2">
      <c r="A71" s="346"/>
      <c r="B71" s="346">
        <v>44258</v>
      </c>
      <c r="C71" s="479" t="s">
        <v>254</v>
      </c>
      <c r="D71" s="684"/>
      <c r="E71" s="250"/>
      <c r="F71" s="685"/>
      <c r="G71" s="250"/>
      <c r="H71" s="250"/>
      <c r="I71" s="250"/>
      <c r="J71" s="250"/>
      <c r="K71" s="250"/>
      <c r="L71" s="250"/>
      <c r="M71" s="250"/>
      <c r="N71" s="285"/>
      <c r="O71" s="325"/>
      <c r="P71" s="325"/>
      <c r="Q71" s="325"/>
      <c r="R71" s="325"/>
      <c r="S71" s="325"/>
      <c r="T71" s="325"/>
      <c r="U71" s="325"/>
      <c r="V71" s="489"/>
      <c r="W71" s="325"/>
      <c r="X71" s="325"/>
      <c r="Y71" s="325"/>
      <c r="Z71" s="476" t="s">
        <v>267</v>
      </c>
      <c r="AA71" s="285"/>
      <c r="AB71" s="152">
        <v>50</v>
      </c>
      <c r="AC71" s="250"/>
      <c r="AD71" s="250"/>
      <c r="AE71" s="457" t="s">
        <v>425</v>
      </c>
      <c r="AF71" s="325"/>
      <c r="AG71" s="406">
        <v>44263</v>
      </c>
      <c r="AH71" s="477">
        <v>5</v>
      </c>
      <c r="AI71" s="325"/>
      <c r="AJ71" s="152">
        <v>21.21</v>
      </c>
      <c r="AK71" s="152">
        <v>21.14</v>
      </c>
      <c r="AL71" s="152">
        <v>21.16</v>
      </c>
      <c r="AM71" s="153">
        <f t="shared" si="64"/>
        <v>21.17</v>
      </c>
      <c r="AN71" s="363">
        <v>-3.4410714285714286</v>
      </c>
      <c r="AO71" s="363">
        <v>48.943513064185922</v>
      </c>
      <c r="AP71" s="361">
        <f t="shared" si="69"/>
        <v>117809901.6498905</v>
      </c>
      <c r="AQ71" s="353">
        <f t="shared" si="70"/>
        <v>100</v>
      </c>
      <c r="AR71" s="152">
        <v>36.15</v>
      </c>
      <c r="AS71" s="152">
        <v>36.630000000000003</v>
      </c>
      <c r="AT71" s="152">
        <v>35.630000000000003</v>
      </c>
      <c r="AU71" s="153">
        <f t="shared" si="65"/>
        <v>36.136666666666663</v>
      </c>
      <c r="AV71" s="478">
        <v>-3.5035151515151512</v>
      </c>
      <c r="AW71" s="478">
        <v>40.672666666666665</v>
      </c>
      <c r="AX71" s="362">
        <f>IF(AND(AR71="No CT",AS71="No CT",AT71="No CT"),0,10^((AU71-AW71)/AV71))</f>
        <v>19.710593234567163</v>
      </c>
      <c r="AY71" s="250"/>
      <c r="AZ71" s="152">
        <v>37.21</v>
      </c>
      <c r="BA71" s="152">
        <v>36.6</v>
      </c>
      <c r="BB71" s="152">
        <v>36.47</v>
      </c>
      <c r="BC71" s="153">
        <f t="shared" si="67"/>
        <v>36.76</v>
      </c>
      <c r="BD71" s="150">
        <v>-3.4617</v>
      </c>
      <c r="BE71" s="640">
        <v>42.390999999999998</v>
      </c>
      <c r="BF71" s="353">
        <f t="shared" si="71"/>
        <v>42.330892252889448</v>
      </c>
      <c r="BG71" s="360"/>
      <c r="BH71" s="353">
        <f t="shared" ref="BH71:BH72" si="76">BF71/AX71</f>
        <v>2.1476214210870257</v>
      </c>
      <c r="BI71" s="412"/>
      <c r="BJ71" s="412"/>
      <c r="BK71" s="325"/>
      <c r="BL71" s="322"/>
      <c r="BM71" s="322"/>
      <c r="BN71" s="322"/>
      <c r="BO71" s="322"/>
      <c r="BP71" s="322"/>
      <c r="BQ71" s="322"/>
      <c r="BR71" s="322"/>
      <c r="BS71" s="322"/>
    </row>
    <row r="72" spans="1:71" s="293" customFormat="1" ht="15" x14ac:dyDescent="0.2">
      <c r="A72" s="346"/>
      <c r="B72" s="346">
        <v>44258</v>
      </c>
      <c r="C72" s="359" t="s">
        <v>255</v>
      </c>
      <c r="D72" s="682"/>
      <c r="E72" s="249"/>
      <c r="F72" s="683"/>
      <c r="G72" s="325"/>
      <c r="H72" s="325"/>
      <c r="I72" s="325"/>
      <c r="J72" s="325"/>
      <c r="K72" s="325"/>
      <c r="L72" s="325"/>
      <c r="M72" s="325"/>
      <c r="N72" s="285"/>
      <c r="O72" s="325"/>
      <c r="P72" s="325"/>
      <c r="Q72" s="325"/>
      <c r="R72" s="325"/>
      <c r="S72" s="325"/>
      <c r="T72" s="325"/>
      <c r="U72" s="325"/>
      <c r="V72" s="489"/>
      <c r="W72" s="325"/>
      <c r="X72" s="325"/>
      <c r="Y72" s="325"/>
      <c r="Z72" s="285"/>
      <c r="AA72" s="285"/>
      <c r="AB72" s="152"/>
      <c r="AC72" s="325"/>
      <c r="AD72" s="325"/>
      <c r="AE72" s="261"/>
      <c r="AF72" s="325"/>
      <c r="AG72" s="406">
        <v>44263</v>
      </c>
      <c r="AH72" s="477">
        <v>5</v>
      </c>
      <c r="AI72" s="325"/>
      <c r="AJ72" s="330"/>
      <c r="AK72" s="330"/>
      <c r="AL72" s="330"/>
      <c r="AM72" s="330"/>
      <c r="AN72" s="330"/>
      <c r="AO72" s="330"/>
      <c r="AP72" s="361"/>
      <c r="AQ72" s="330"/>
      <c r="AR72" s="330"/>
      <c r="AS72" s="330"/>
      <c r="AT72" s="330"/>
      <c r="AU72" s="330"/>
      <c r="AV72" s="330"/>
      <c r="AW72" s="330"/>
      <c r="AX72" s="362"/>
      <c r="AY72" s="330"/>
      <c r="AZ72" s="330"/>
      <c r="BA72" s="330"/>
      <c r="BB72" s="330"/>
      <c r="BC72" s="330"/>
      <c r="BD72" s="150">
        <v>-3.4617</v>
      </c>
      <c r="BE72" s="640">
        <v>42.390999999999998</v>
      </c>
      <c r="BF72" s="353">
        <f>IF(AND(AZ72="No CT",BA72="No CT",BB72="No CT"),0,10^((BC72-BE72)/BD72))</f>
        <v>1760829972470.6406</v>
      </c>
      <c r="BG72" s="360"/>
      <c r="BH72" s="353" t="e">
        <f t="shared" si="76"/>
        <v>#DIV/0!</v>
      </c>
      <c r="BI72" s="412"/>
      <c r="BJ72" s="412"/>
      <c r="BK72" s="325"/>
      <c r="BL72" s="322"/>
      <c r="BM72" s="322"/>
      <c r="BN72" s="322"/>
      <c r="BO72" s="322"/>
      <c r="BP72" s="322"/>
      <c r="BQ72" s="322"/>
      <c r="BR72" s="322"/>
      <c r="BS72" s="322"/>
    </row>
    <row r="73" spans="1:71" s="277" customFormat="1" ht="12.75" customHeight="1" x14ac:dyDescent="0.2">
      <c r="A73" s="449"/>
      <c r="B73" s="449"/>
      <c r="C73" s="450"/>
      <c r="D73" s="686"/>
      <c r="E73" s="667"/>
      <c r="F73" s="668"/>
      <c r="G73" s="301"/>
      <c r="H73" s="301"/>
      <c r="I73" s="301"/>
      <c r="J73" s="301"/>
      <c r="K73" s="301"/>
      <c r="L73" s="301"/>
      <c r="M73" s="301"/>
      <c r="N73" s="287"/>
      <c r="O73" s="301"/>
      <c r="P73" s="301"/>
      <c r="Q73" s="301"/>
      <c r="R73" s="301"/>
      <c r="S73" s="301"/>
      <c r="T73" s="301"/>
      <c r="U73" s="301"/>
      <c r="V73" s="416"/>
      <c r="W73" s="301"/>
      <c r="X73" s="301"/>
      <c r="Y73" s="301"/>
      <c r="Z73" s="287"/>
      <c r="AA73" s="287"/>
      <c r="AB73" s="301"/>
      <c r="AC73" s="301"/>
      <c r="AD73" s="301"/>
      <c r="AE73" s="301"/>
      <c r="AF73" s="301"/>
      <c r="AG73" s="287"/>
      <c r="AH73" s="304"/>
      <c r="AI73" s="301"/>
      <c r="AJ73" s="306"/>
      <c r="AK73" s="306"/>
      <c r="AL73" s="306"/>
      <c r="AM73" s="306"/>
      <c r="AN73" s="306"/>
      <c r="AO73" s="306"/>
      <c r="AP73" s="306"/>
      <c r="AQ73" s="306"/>
      <c r="AR73" s="306"/>
      <c r="AS73" s="306"/>
      <c r="AT73" s="306"/>
      <c r="AU73" s="306"/>
      <c r="AV73" s="306"/>
      <c r="AW73" s="306"/>
      <c r="AX73" s="308"/>
      <c r="AY73" s="306"/>
      <c r="AZ73" s="306"/>
      <c r="BA73" s="306"/>
      <c r="BB73" s="306"/>
      <c r="BC73" s="306"/>
      <c r="BD73" s="306"/>
      <c r="BE73" s="306"/>
      <c r="BF73" s="304"/>
      <c r="BG73" s="304"/>
      <c r="BH73" s="635"/>
      <c r="BI73" s="451"/>
      <c r="BJ73" s="332"/>
      <c r="BK73" s="333"/>
      <c r="BL73" s="452"/>
      <c r="BM73" s="453"/>
      <c r="BN73" s="453"/>
      <c r="BO73" s="453"/>
      <c r="BP73" s="453"/>
      <c r="BQ73" s="453"/>
      <c r="BR73" s="453"/>
      <c r="BS73" s="452"/>
    </row>
    <row r="74" spans="1:71" s="277" customFormat="1" ht="15" x14ac:dyDescent="0.2">
      <c r="A74" s="343"/>
      <c r="B74" s="346">
        <v>44259</v>
      </c>
      <c r="C74" s="455" t="s">
        <v>230</v>
      </c>
      <c r="D74" s="680" t="s">
        <v>231</v>
      </c>
      <c r="E74" s="249" t="s">
        <v>232</v>
      </c>
      <c r="F74" s="681" t="s">
        <v>233</v>
      </c>
      <c r="G74" s="456"/>
      <c r="H74" s="456"/>
      <c r="I74" s="456"/>
      <c r="J74" s="456"/>
      <c r="K74" s="456"/>
      <c r="L74" s="457" t="s">
        <v>234</v>
      </c>
      <c r="M74" s="457"/>
      <c r="N74" s="285">
        <v>44260</v>
      </c>
      <c r="O74" s="457">
        <v>50</v>
      </c>
      <c r="P74" s="457" t="s">
        <v>235</v>
      </c>
      <c r="Q74" s="457" t="s">
        <v>236</v>
      </c>
      <c r="R74" s="459" t="s">
        <v>262</v>
      </c>
      <c r="S74" s="475">
        <v>7.51</v>
      </c>
      <c r="T74" s="475">
        <v>4.18</v>
      </c>
      <c r="U74" s="475">
        <v>51.2</v>
      </c>
      <c r="V74" s="491">
        <v>1.79</v>
      </c>
      <c r="W74" s="315"/>
      <c r="X74" s="315"/>
      <c r="Y74" s="315"/>
      <c r="Z74" s="476" t="s">
        <v>268</v>
      </c>
      <c r="AA74" s="283"/>
      <c r="AB74" s="139">
        <v>50</v>
      </c>
      <c r="AC74" s="315"/>
      <c r="AD74" s="315"/>
      <c r="AE74" s="457" t="s">
        <v>425</v>
      </c>
      <c r="AF74" s="315"/>
      <c r="AG74" s="406">
        <v>44263</v>
      </c>
      <c r="AH74" s="463">
        <v>5</v>
      </c>
      <c r="AI74" s="315"/>
      <c r="AJ74" s="153">
        <v>23.5496919854398</v>
      </c>
      <c r="AK74" s="153">
        <v>23.425909161487699</v>
      </c>
      <c r="AL74" s="153">
        <v>23.243768873762502</v>
      </c>
      <c r="AM74" s="140">
        <f t="shared" ref="AM74:AM83" si="77">AVERAGE(AJ74:AL74)</f>
        <v>23.406456673563337</v>
      </c>
      <c r="AN74" s="467">
        <v>-3.4410714285714286</v>
      </c>
      <c r="AO74" s="467">
        <v>48.943513064185922</v>
      </c>
      <c r="AP74" s="468">
        <f>IF(AND(AJ74="No CT",AK74="No CT",AL74="No CT"),0,10^((AM74-AO74)/AN74))</f>
        <v>26378583.332301959</v>
      </c>
      <c r="AQ74" s="469">
        <f>AP74*100/$AP$82</f>
        <v>29.585338738447668</v>
      </c>
      <c r="AR74" s="153">
        <v>25.3475084712348</v>
      </c>
      <c r="AS74" s="153">
        <v>25.156472333867601</v>
      </c>
      <c r="AT74" s="153">
        <v>24.9047339990918</v>
      </c>
      <c r="AU74" s="140">
        <f t="shared" ref="AU74:AU83" si="78">AVERAGE(AR74:AT74)</f>
        <v>25.136238268064734</v>
      </c>
      <c r="AV74" s="470">
        <v>-3.5035151515151512</v>
      </c>
      <c r="AW74" s="470">
        <v>40.672666666666665</v>
      </c>
      <c r="AX74" s="471">
        <f>IF(AND(AR74="No CT",AS74="No CT",AT74="No CT"),0,10^((AU74-AW74)/AV74))</f>
        <v>27197.301739464572</v>
      </c>
      <c r="AY74" s="469">
        <f t="shared" ref="AY74:AY80" si="79">(AX74/AH74)*(AB74/O74)</f>
        <v>5439.4603478929148</v>
      </c>
      <c r="AZ74" s="153">
        <v>38.380000000000003</v>
      </c>
      <c r="BA74" s="153" t="s">
        <v>95</v>
      </c>
      <c r="BB74" s="153">
        <v>37.56</v>
      </c>
      <c r="BC74" s="140">
        <f t="shared" ref="BC74:BC83" si="80">AVERAGE(AZ74:BB74)</f>
        <v>37.97</v>
      </c>
      <c r="BD74" s="150">
        <v>-3.4617</v>
      </c>
      <c r="BE74" s="640">
        <v>42.390999999999998</v>
      </c>
      <c r="BF74" s="469">
        <f>IF(AND(AZ74="No CT",BA74="No CT",BB74="No CT"),0,10^((BC74-BE74)/BD74))</f>
        <v>18.928586276596125</v>
      </c>
      <c r="BG74" s="643">
        <f t="shared" ref="BG74:BG80" si="81">(BF74/AH74)*(AB74/O74)</f>
        <v>3.7857172553192249</v>
      </c>
      <c r="BH74" s="469">
        <f>BF74/AX74</f>
        <v>6.9597294826971199E-4</v>
      </c>
      <c r="BI74" s="412"/>
      <c r="BJ74" s="435"/>
      <c r="BK74" s="320"/>
      <c r="BL74" s="321"/>
      <c r="BM74" s="322"/>
      <c r="BN74" s="322"/>
      <c r="BO74" s="322"/>
      <c r="BP74" s="322"/>
      <c r="BQ74" s="322"/>
      <c r="BR74" s="322"/>
      <c r="BS74" s="321"/>
    </row>
    <row r="75" spans="1:71" s="277" customFormat="1" ht="15" x14ac:dyDescent="0.2">
      <c r="A75" s="343"/>
      <c r="B75" s="346">
        <v>44259</v>
      </c>
      <c r="C75" s="359" t="s">
        <v>243</v>
      </c>
      <c r="D75" s="682" t="s">
        <v>244</v>
      </c>
      <c r="E75" s="249" t="s">
        <v>232</v>
      </c>
      <c r="F75" s="683" t="s">
        <v>233</v>
      </c>
      <c r="G75" s="325"/>
      <c r="H75" s="325"/>
      <c r="I75" s="325"/>
      <c r="J75" s="325"/>
      <c r="K75" s="325"/>
      <c r="L75" s="261" t="s">
        <v>234</v>
      </c>
      <c r="M75" s="261"/>
      <c r="N75" s="285">
        <v>44260</v>
      </c>
      <c r="O75" s="261">
        <v>50</v>
      </c>
      <c r="P75" s="261" t="s">
        <v>235</v>
      </c>
      <c r="Q75" s="261" t="s">
        <v>236</v>
      </c>
      <c r="R75" s="325" t="s">
        <v>262</v>
      </c>
      <c r="S75" s="152">
        <v>7.16</v>
      </c>
      <c r="T75" s="152">
        <v>3.89</v>
      </c>
      <c r="U75" s="152">
        <v>9.76</v>
      </c>
      <c r="V75" s="487">
        <v>1.35</v>
      </c>
      <c r="W75" s="315"/>
      <c r="X75" s="315"/>
      <c r="Y75" s="315"/>
      <c r="Z75" s="476" t="s">
        <v>268</v>
      </c>
      <c r="AA75" s="283"/>
      <c r="AB75" s="139">
        <v>50</v>
      </c>
      <c r="AC75" s="315"/>
      <c r="AD75" s="315"/>
      <c r="AE75" s="457" t="s">
        <v>425</v>
      </c>
      <c r="AF75" s="315"/>
      <c r="AG75" s="406">
        <v>44263</v>
      </c>
      <c r="AH75" s="477">
        <v>5</v>
      </c>
      <c r="AI75" s="315"/>
      <c r="AJ75" s="153">
        <v>24.579484448363601</v>
      </c>
      <c r="AK75" s="153">
        <v>24.543659937750199</v>
      </c>
      <c r="AL75" s="153">
        <v>24.628213837404999</v>
      </c>
      <c r="AM75" s="140">
        <f t="shared" si="77"/>
        <v>24.583786074506264</v>
      </c>
      <c r="AN75" s="363">
        <v>-3.4410714285714286</v>
      </c>
      <c r="AO75" s="363">
        <v>48.943513064185922</v>
      </c>
      <c r="AP75" s="361">
        <f t="shared" ref="AP75:AP82" si="82">IF(AND(AJ75="No CT",AK75="No CT",AL75="No CT"),0,10^((AM75-AO75)/AN75))</f>
        <v>11998062.301136643</v>
      </c>
      <c r="AQ75" s="469">
        <f t="shared" ref="AQ75:AQ83" si="83">AP75*100/$AP$82</f>
        <v>13.456626268077521</v>
      </c>
      <c r="AR75" s="153">
        <v>29.375215985959599</v>
      </c>
      <c r="AS75" s="153">
        <v>29.413909709244699</v>
      </c>
      <c r="AT75" s="153">
        <v>29.458158598805099</v>
      </c>
      <c r="AU75" s="140">
        <f t="shared" si="78"/>
        <v>29.415761431336467</v>
      </c>
      <c r="AV75" s="478">
        <v>-3.5035151515151512</v>
      </c>
      <c r="AW75" s="478">
        <v>40.672666666666665</v>
      </c>
      <c r="AX75" s="362">
        <f>IF(AND(AR75="No CT",AS75="No CT",AT75="No CT"),0,10^((AU75-AW75)/AV75))</f>
        <v>1633.1711433875762</v>
      </c>
      <c r="AY75" s="353">
        <f t="shared" si="79"/>
        <v>326.63422867751524</v>
      </c>
      <c r="AZ75" s="153">
        <v>35.15</v>
      </c>
      <c r="BA75" s="153">
        <v>35.24</v>
      </c>
      <c r="BB75" s="153">
        <v>36.19</v>
      </c>
      <c r="BC75" s="140">
        <f t="shared" si="80"/>
        <v>35.526666666666664</v>
      </c>
      <c r="BD75" s="150">
        <v>-3.4617</v>
      </c>
      <c r="BE75" s="640">
        <v>42.390999999999998</v>
      </c>
      <c r="BF75" s="353">
        <f t="shared" ref="BF75:BF82" si="84">IF(AND(AZ75="No CT",BA75="No CT",BB75="No CT"),0,10^((BC75-BE75)/BD75))</f>
        <v>96.147299920060888</v>
      </c>
      <c r="BG75" s="360">
        <f t="shared" si="81"/>
        <v>19.229459984012177</v>
      </c>
      <c r="BH75" s="353">
        <f t="shared" ref="BH75:BH80" si="85">BF75/AX75</f>
        <v>5.8871539770552803E-2</v>
      </c>
      <c r="BI75" s="412"/>
      <c r="BJ75" s="435"/>
      <c r="BK75" s="320"/>
      <c r="BL75" s="321"/>
      <c r="BM75" s="322"/>
      <c r="BN75" s="322"/>
      <c r="BO75" s="322"/>
      <c r="BP75" s="322"/>
      <c r="BQ75" s="322"/>
      <c r="BR75" s="322"/>
      <c r="BS75" s="321"/>
    </row>
    <row r="76" spans="1:71" s="277" customFormat="1" ht="15" x14ac:dyDescent="0.2">
      <c r="A76" s="343"/>
      <c r="B76" s="346">
        <v>44259</v>
      </c>
      <c r="C76" s="359" t="s">
        <v>245</v>
      </c>
      <c r="D76" s="682" t="s">
        <v>231</v>
      </c>
      <c r="E76" s="249" t="s">
        <v>246</v>
      </c>
      <c r="F76" s="683" t="s">
        <v>233</v>
      </c>
      <c r="G76" s="325"/>
      <c r="H76" s="325"/>
      <c r="I76" s="325"/>
      <c r="J76" s="325"/>
      <c r="K76" s="325"/>
      <c r="L76" s="261" t="s">
        <v>234</v>
      </c>
      <c r="M76" s="261"/>
      <c r="N76" s="285">
        <v>44260</v>
      </c>
      <c r="O76" s="261">
        <v>50</v>
      </c>
      <c r="P76" s="261" t="s">
        <v>235</v>
      </c>
      <c r="Q76" s="261" t="s">
        <v>236</v>
      </c>
      <c r="R76" s="325" t="s">
        <v>262</v>
      </c>
      <c r="S76" s="475">
        <v>7.54</v>
      </c>
      <c r="T76" s="475">
        <v>4.1500000000000004</v>
      </c>
      <c r="U76" s="475">
        <v>78.400000000000006</v>
      </c>
      <c r="V76" s="491">
        <v>3.89</v>
      </c>
      <c r="W76" s="315"/>
      <c r="X76" s="315"/>
      <c r="Y76" s="315"/>
      <c r="Z76" s="476" t="s">
        <v>268</v>
      </c>
      <c r="AA76" s="283"/>
      <c r="AB76" s="139">
        <v>50</v>
      </c>
      <c r="AC76" s="315"/>
      <c r="AD76" s="315"/>
      <c r="AE76" s="457" t="s">
        <v>425</v>
      </c>
      <c r="AF76" s="315"/>
      <c r="AG76" s="406">
        <v>44263</v>
      </c>
      <c r="AH76" s="477">
        <v>5</v>
      </c>
      <c r="AI76" s="315"/>
      <c r="AJ76" s="153">
        <v>24.589829742497301</v>
      </c>
      <c r="AK76" s="153">
        <v>24.627447996392199</v>
      </c>
      <c r="AL76" s="153">
        <v>24.445709844649301</v>
      </c>
      <c r="AM76" s="140">
        <f t="shared" si="77"/>
        <v>24.554329194512935</v>
      </c>
      <c r="AN76" s="363">
        <v>-3.4410714285714286</v>
      </c>
      <c r="AO76" s="363">
        <v>48.943513064185922</v>
      </c>
      <c r="AP76" s="361">
        <f t="shared" si="82"/>
        <v>12236902.310704086</v>
      </c>
      <c r="AQ76" s="469">
        <f t="shared" si="83"/>
        <v>13.724501252049615</v>
      </c>
      <c r="AR76" s="153">
        <v>29.109958776873299</v>
      </c>
      <c r="AS76" s="153">
        <v>28.9788697889194</v>
      </c>
      <c r="AT76" s="153">
        <v>28.881099079989799</v>
      </c>
      <c r="AU76" s="140">
        <f t="shared" si="78"/>
        <v>28.989975881927496</v>
      </c>
      <c r="AV76" s="478">
        <v>-3.5035151515151512</v>
      </c>
      <c r="AW76" s="478">
        <v>40.672666666666665</v>
      </c>
      <c r="AX76" s="362">
        <f t="shared" ref="AX76:AX81" si="86">IF(AND(AR76="No CT",AS76="No CT",AT76="No CT"),0,10^((AU76-AW76)/AV76))</f>
        <v>2160.5417093000356</v>
      </c>
      <c r="AY76" s="353">
        <f t="shared" si="79"/>
        <v>432.1083418600071</v>
      </c>
      <c r="AZ76" s="153">
        <v>33.653094829294297</v>
      </c>
      <c r="BA76" s="153">
        <v>33.4746704070185</v>
      </c>
      <c r="BB76" s="153">
        <v>33.346144035421702</v>
      </c>
      <c r="BC76" s="140">
        <f t="shared" si="80"/>
        <v>33.491303090578164</v>
      </c>
      <c r="BD76" s="150">
        <v>-3.4617</v>
      </c>
      <c r="BE76" s="640">
        <v>42.390999999999998</v>
      </c>
      <c r="BF76" s="353">
        <f t="shared" si="84"/>
        <v>372.30903545779165</v>
      </c>
      <c r="BG76" s="360">
        <f t="shared" si="81"/>
        <v>74.461807091558327</v>
      </c>
      <c r="BH76" s="353">
        <f t="shared" si="85"/>
        <v>0.17232207730829274</v>
      </c>
      <c r="BI76" s="412"/>
      <c r="BJ76" s="435"/>
      <c r="BK76" s="320"/>
      <c r="BL76" s="321"/>
      <c r="BM76" s="322"/>
      <c r="BN76" s="322"/>
      <c r="BO76" s="322"/>
      <c r="BP76" s="322"/>
      <c r="BQ76" s="322"/>
      <c r="BR76" s="322"/>
      <c r="BS76" s="321"/>
    </row>
    <row r="77" spans="1:71" s="277" customFormat="1" ht="15" x14ac:dyDescent="0.2">
      <c r="A77" s="343"/>
      <c r="B77" s="346">
        <v>44259</v>
      </c>
      <c r="C77" s="359" t="s">
        <v>247</v>
      </c>
      <c r="D77" s="682" t="s">
        <v>244</v>
      </c>
      <c r="E77" s="249" t="s">
        <v>246</v>
      </c>
      <c r="F77" s="683" t="s">
        <v>233</v>
      </c>
      <c r="G77" s="325"/>
      <c r="H77" s="325"/>
      <c r="I77" s="325"/>
      <c r="J77" s="325"/>
      <c r="K77" s="325"/>
      <c r="L77" s="261" t="s">
        <v>234</v>
      </c>
      <c r="M77" s="261"/>
      <c r="N77" s="285">
        <v>44260</v>
      </c>
      <c r="O77" s="261">
        <v>50</v>
      </c>
      <c r="P77" s="261" t="s">
        <v>235</v>
      </c>
      <c r="Q77" s="261" t="s">
        <v>236</v>
      </c>
      <c r="R77" s="325" t="s">
        <v>262</v>
      </c>
      <c r="S77" s="152">
        <v>7.42</v>
      </c>
      <c r="T77" s="152">
        <v>4.47</v>
      </c>
      <c r="U77" s="152">
        <v>62.6</v>
      </c>
      <c r="V77" s="487">
        <v>0.91</v>
      </c>
      <c r="W77" s="315"/>
      <c r="X77" s="315"/>
      <c r="Y77" s="315"/>
      <c r="Z77" s="476" t="s">
        <v>268</v>
      </c>
      <c r="AA77" s="283"/>
      <c r="AB77" s="139">
        <v>50</v>
      </c>
      <c r="AC77" s="315"/>
      <c r="AD77" s="315"/>
      <c r="AE77" s="457" t="s">
        <v>425</v>
      </c>
      <c r="AF77" s="315"/>
      <c r="AG77" s="406">
        <v>44263</v>
      </c>
      <c r="AH77" s="477">
        <v>5</v>
      </c>
      <c r="AI77" s="315"/>
      <c r="AJ77" s="153">
        <v>25.132057182761798</v>
      </c>
      <c r="AK77" s="153">
        <v>25.068505476341301</v>
      </c>
      <c r="AL77" s="153">
        <v>25.2330697638583</v>
      </c>
      <c r="AM77" s="140">
        <f t="shared" si="77"/>
        <v>25.144544140987133</v>
      </c>
      <c r="AN77" s="363">
        <v>-3.4410714285714286</v>
      </c>
      <c r="AO77" s="363">
        <v>48.943513064185922</v>
      </c>
      <c r="AP77" s="361">
        <f t="shared" si="82"/>
        <v>8244243.3535161233</v>
      </c>
      <c r="AQ77" s="469">
        <f t="shared" si="83"/>
        <v>9.2464682118577315</v>
      </c>
      <c r="AR77" s="153">
        <v>24.468083592575699</v>
      </c>
      <c r="AS77" s="153">
        <v>24.578264628928402</v>
      </c>
      <c r="AT77" s="153">
        <v>24.849002978173001</v>
      </c>
      <c r="AU77" s="140">
        <f t="shared" si="78"/>
        <v>24.631783733225703</v>
      </c>
      <c r="AV77" s="478">
        <v>-3.5035151515151512</v>
      </c>
      <c r="AW77" s="478">
        <v>40.672666666666665</v>
      </c>
      <c r="AX77" s="362">
        <f t="shared" si="86"/>
        <v>37888.819839132077</v>
      </c>
      <c r="AY77" s="353">
        <f t="shared" si="79"/>
        <v>7577.763967826415</v>
      </c>
      <c r="AZ77" s="153">
        <v>35.378980769052198</v>
      </c>
      <c r="BA77" s="153">
        <v>35.894903386474397</v>
      </c>
      <c r="BB77" s="153">
        <v>35.3591465394152</v>
      </c>
      <c r="BC77" s="140">
        <f t="shared" si="80"/>
        <v>35.544343564980601</v>
      </c>
      <c r="BD77" s="150">
        <v>-3.4617</v>
      </c>
      <c r="BE77" s="640">
        <v>42.390999999999998</v>
      </c>
      <c r="BF77" s="353">
        <f t="shared" si="84"/>
        <v>95.023423115621185</v>
      </c>
      <c r="BG77" s="360">
        <f t="shared" si="81"/>
        <v>19.004684623124238</v>
      </c>
      <c r="BH77" s="353">
        <f t="shared" si="85"/>
        <v>2.5079541542616149E-3</v>
      </c>
      <c r="BI77" s="412"/>
      <c r="BJ77" s="435"/>
      <c r="BK77" s="320"/>
      <c r="BL77" s="321"/>
      <c r="BM77" s="322"/>
      <c r="BN77" s="322"/>
      <c r="BO77" s="322"/>
      <c r="BP77" s="322"/>
      <c r="BQ77" s="322"/>
      <c r="BR77" s="322"/>
      <c r="BS77" s="321"/>
    </row>
    <row r="78" spans="1:71" s="277" customFormat="1" ht="15" x14ac:dyDescent="0.2">
      <c r="A78" s="343"/>
      <c r="B78" s="346">
        <v>44259</v>
      </c>
      <c r="C78" s="359" t="s">
        <v>248</v>
      </c>
      <c r="D78" s="682" t="s">
        <v>231</v>
      </c>
      <c r="E78" s="249" t="s">
        <v>249</v>
      </c>
      <c r="F78" s="683" t="s">
        <v>233</v>
      </c>
      <c r="G78" s="325"/>
      <c r="H78" s="325"/>
      <c r="I78" s="325"/>
      <c r="J78" s="325"/>
      <c r="K78" s="325"/>
      <c r="L78" s="261" t="s">
        <v>234</v>
      </c>
      <c r="M78" s="261"/>
      <c r="N78" s="285">
        <v>44260</v>
      </c>
      <c r="O78" s="261">
        <v>50</v>
      </c>
      <c r="P78" s="261" t="s">
        <v>235</v>
      </c>
      <c r="Q78" s="261" t="s">
        <v>236</v>
      </c>
      <c r="R78" s="325" t="s">
        <v>262</v>
      </c>
      <c r="S78" s="475">
        <v>9.65</v>
      </c>
      <c r="T78" s="475">
        <v>3.8</v>
      </c>
      <c r="U78" s="475">
        <v>20.5</v>
      </c>
      <c r="V78" s="491">
        <v>5.13</v>
      </c>
      <c r="W78" s="315"/>
      <c r="X78" s="315"/>
      <c r="Y78" s="315"/>
      <c r="Z78" s="476" t="s">
        <v>268</v>
      </c>
      <c r="AA78" s="283"/>
      <c r="AB78" s="139">
        <v>50</v>
      </c>
      <c r="AC78" s="315"/>
      <c r="AD78" s="315"/>
      <c r="AE78" s="457" t="s">
        <v>425</v>
      </c>
      <c r="AF78" s="315"/>
      <c r="AG78" s="406">
        <v>44263</v>
      </c>
      <c r="AH78" s="477">
        <v>5</v>
      </c>
      <c r="AI78" s="315"/>
      <c r="AJ78" s="153">
        <v>25.7109286669609</v>
      </c>
      <c r="AK78" s="153">
        <v>25.593730010898799</v>
      </c>
      <c r="AL78" s="153">
        <v>25.616724206001599</v>
      </c>
      <c r="AM78" s="140">
        <f t="shared" si="77"/>
        <v>25.640460961287101</v>
      </c>
      <c r="AN78" s="363">
        <v>-3.4410714285714286</v>
      </c>
      <c r="AO78" s="363">
        <v>48.943513064185922</v>
      </c>
      <c r="AP78" s="361">
        <f t="shared" si="82"/>
        <v>5916077.0748462779</v>
      </c>
      <c r="AQ78" s="469">
        <f t="shared" si="83"/>
        <v>6.6352746111183079</v>
      </c>
      <c r="AR78" s="153">
        <v>31.331720618042102</v>
      </c>
      <c r="AS78" s="153">
        <v>31.240120720633598</v>
      </c>
      <c r="AT78" s="153">
        <v>31.408420444122701</v>
      </c>
      <c r="AU78" s="140">
        <f t="shared" si="78"/>
        <v>31.326753927599466</v>
      </c>
      <c r="AV78" s="478">
        <v>-3.5035151515151512</v>
      </c>
      <c r="AW78" s="478">
        <v>40.672666666666665</v>
      </c>
      <c r="AX78" s="362">
        <f t="shared" si="86"/>
        <v>465.13781985664207</v>
      </c>
      <c r="AY78" s="353">
        <f t="shared" si="79"/>
        <v>93.027563971328419</v>
      </c>
      <c r="AZ78" s="153">
        <v>38.675724667492602</v>
      </c>
      <c r="BA78" s="153">
        <v>35.969130534256898</v>
      </c>
      <c r="BB78" s="153">
        <v>37.882316408660998</v>
      </c>
      <c r="BC78" s="140">
        <f t="shared" si="80"/>
        <v>37.509057203470164</v>
      </c>
      <c r="BD78" s="150">
        <v>-3.4617</v>
      </c>
      <c r="BE78" s="640">
        <v>42.390999999999998</v>
      </c>
      <c r="BF78" s="353">
        <f t="shared" si="84"/>
        <v>25.720133434907758</v>
      </c>
      <c r="BG78" s="360">
        <f t="shared" si="81"/>
        <v>5.1440266869815519</v>
      </c>
      <c r="BH78" s="353">
        <f t="shared" si="85"/>
        <v>5.5295725991137079E-2</v>
      </c>
      <c r="BI78" s="412"/>
      <c r="BJ78" s="435"/>
      <c r="BK78" s="320"/>
      <c r="BL78" s="321"/>
      <c r="BM78" s="322"/>
      <c r="BN78" s="322"/>
      <c r="BO78" s="322"/>
      <c r="BP78" s="322"/>
      <c r="BQ78" s="322"/>
      <c r="BR78" s="322"/>
      <c r="BS78" s="321"/>
    </row>
    <row r="79" spans="1:71" s="277" customFormat="1" ht="15" x14ac:dyDescent="0.2">
      <c r="A79" s="343"/>
      <c r="B79" s="346">
        <v>44259</v>
      </c>
      <c r="C79" s="359" t="s">
        <v>250</v>
      </c>
      <c r="D79" s="682" t="s">
        <v>244</v>
      </c>
      <c r="E79" s="249" t="s">
        <v>249</v>
      </c>
      <c r="F79" s="683" t="s">
        <v>233</v>
      </c>
      <c r="G79" s="325"/>
      <c r="H79" s="325"/>
      <c r="I79" s="325"/>
      <c r="J79" s="325"/>
      <c r="K79" s="325"/>
      <c r="L79" s="261" t="s">
        <v>234</v>
      </c>
      <c r="M79" s="261"/>
      <c r="N79" s="285">
        <v>44260</v>
      </c>
      <c r="O79" s="261">
        <v>50</v>
      </c>
      <c r="P79" s="261" t="s">
        <v>235</v>
      </c>
      <c r="Q79" s="261" t="s">
        <v>236</v>
      </c>
      <c r="R79" s="325" t="s">
        <v>262</v>
      </c>
      <c r="S79" s="139">
        <v>8.7899999999999991</v>
      </c>
      <c r="T79" s="139">
        <v>4.24</v>
      </c>
      <c r="U79" s="139">
        <v>40.799999999999997</v>
      </c>
      <c r="V79" s="487">
        <v>5.83</v>
      </c>
      <c r="W79" s="315"/>
      <c r="X79" s="315"/>
      <c r="Y79" s="315"/>
      <c r="Z79" s="476" t="s">
        <v>268</v>
      </c>
      <c r="AA79" s="283"/>
      <c r="AB79" s="139">
        <v>50</v>
      </c>
      <c r="AC79" s="315"/>
      <c r="AD79" s="315"/>
      <c r="AE79" s="457" t="s">
        <v>425</v>
      </c>
      <c r="AF79" s="315"/>
      <c r="AG79" s="406">
        <v>44263</v>
      </c>
      <c r="AH79" s="477">
        <v>5</v>
      </c>
      <c r="AI79" s="315"/>
      <c r="AJ79" s="140">
        <v>23.678869372424799</v>
      </c>
      <c r="AK79" s="140">
        <v>23.674560839176699</v>
      </c>
      <c r="AL79" s="140">
        <v>23.682752457788101</v>
      </c>
      <c r="AM79" s="140">
        <f t="shared" si="77"/>
        <v>23.678727556463201</v>
      </c>
      <c r="AN79" s="363">
        <v>-3.4410714285714286</v>
      </c>
      <c r="AO79" s="363">
        <v>48.943513064185922</v>
      </c>
      <c r="AP79" s="361">
        <f t="shared" si="82"/>
        <v>21985057.182558708</v>
      </c>
      <c r="AQ79" s="469">
        <f t="shared" si="83"/>
        <v>24.657706433144536</v>
      </c>
      <c r="AR79" s="140">
        <v>30.177896790177499</v>
      </c>
      <c r="AS79" s="140">
        <v>30.121955836875902</v>
      </c>
      <c r="AT79" s="140">
        <v>30.158336028716601</v>
      </c>
      <c r="AU79" s="140">
        <f t="shared" si="78"/>
        <v>30.152729551923333</v>
      </c>
      <c r="AV79" s="478">
        <v>-3.5035151515151512</v>
      </c>
      <c r="AW79" s="478">
        <v>40.672666666666665</v>
      </c>
      <c r="AX79" s="362">
        <f t="shared" si="86"/>
        <v>1006.1914884712546</v>
      </c>
      <c r="AY79" s="353">
        <f t="shared" si="79"/>
        <v>201.23829769425092</v>
      </c>
      <c r="AZ79" s="140">
        <v>32.590014694856798</v>
      </c>
      <c r="BA79" s="140">
        <v>32.526554689853</v>
      </c>
      <c r="BB79" s="140">
        <v>33.048169966115999</v>
      </c>
      <c r="BC79" s="140">
        <f t="shared" si="80"/>
        <v>32.721579783608604</v>
      </c>
      <c r="BD79" s="150">
        <v>-3.4617</v>
      </c>
      <c r="BE79" s="640">
        <v>42.390999999999998</v>
      </c>
      <c r="BF79" s="353">
        <f t="shared" si="84"/>
        <v>621.23756744962839</v>
      </c>
      <c r="BG79" s="360">
        <f t="shared" si="81"/>
        <v>124.24751348992568</v>
      </c>
      <c r="BH79" s="353">
        <f t="shared" si="85"/>
        <v>0.61741485052064837</v>
      </c>
      <c r="BI79" s="412"/>
      <c r="BJ79" s="435"/>
      <c r="BK79" s="320"/>
      <c r="BL79" s="321"/>
      <c r="BM79" s="322"/>
      <c r="BN79" s="322"/>
      <c r="BO79" s="322"/>
      <c r="BP79" s="322"/>
      <c r="BQ79" s="322"/>
      <c r="BR79" s="322"/>
      <c r="BS79" s="321"/>
    </row>
    <row r="80" spans="1:71" s="277" customFormat="1" ht="15" x14ac:dyDescent="0.2">
      <c r="A80" s="343"/>
      <c r="B80" s="346">
        <v>44259</v>
      </c>
      <c r="C80" s="359" t="s">
        <v>251</v>
      </c>
      <c r="D80" s="682" t="s">
        <v>231</v>
      </c>
      <c r="E80" s="249" t="s">
        <v>252</v>
      </c>
      <c r="F80" s="683" t="s">
        <v>233</v>
      </c>
      <c r="G80" s="325"/>
      <c r="H80" s="325"/>
      <c r="I80" s="325"/>
      <c r="J80" s="325"/>
      <c r="K80" s="325"/>
      <c r="L80" s="261" t="s">
        <v>234</v>
      </c>
      <c r="M80" s="261"/>
      <c r="N80" s="285">
        <v>44260</v>
      </c>
      <c r="O80" s="261">
        <v>50</v>
      </c>
      <c r="P80" s="261" t="s">
        <v>235</v>
      </c>
      <c r="Q80" s="261" t="s">
        <v>236</v>
      </c>
      <c r="R80" s="325" t="s">
        <v>262</v>
      </c>
      <c r="S80" s="375">
        <v>8</v>
      </c>
      <c r="T80" s="375">
        <v>4.0999999999999996</v>
      </c>
      <c r="U80" s="375">
        <v>10.3</v>
      </c>
      <c r="V80" s="487">
        <v>2.68</v>
      </c>
      <c r="W80" s="315"/>
      <c r="X80" s="315"/>
      <c r="Y80" s="315"/>
      <c r="Z80" s="476" t="s">
        <v>268</v>
      </c>
      <c r="AA80" s="283"/>
      <c r="AB80" s="139">
        <v>50</v>
      </c>
      <c r="AC80" s="315"/>
      <c r="AD80" s="315"/>
      <c r="AE80" s="457" t="s">
        <v>425</v>
      </c>
      <c r="AF80" s="315"/>
      <c r="AG80" s="406">
        <v>44263</v>
      </c>
      <c r="AH80" s="477">
        <v>5</v>
      </c>
      <c r="AI80" s="315"/>
      <c r="AJ80" s="144">
        <v>23.422463352788601</v>
      </c>
      <c r="AK80" s="144">
        <v>23.5697427991546</v>
      </c>
      <c r="AL80" s="144">
        <v>23.5579404978523</v>
      </c>
      <c r="AM80" s="140">
        <f t="shared" si="77"/>
        <v>23.516715549931831</v>
      </c>
      <c r="AN80" s="363">
        <v>-3.4410714285714286</v>
      </c>
      <c r="AO80" s="363">
        <v>48.943513064185922</v>
      </c>
      <c r="AP80" s="361">
        <f t="shared" si="82"/>
        <v>24502446.458789367</v>
      </c>
      <c r="AQ80" s="469">
        <f t="shared" si="83"/>
        <v>27.481126233047803</v>
      </c>
      <c r="AR80" s="144">
        <v>29.017694137855099</v>
      </c>
      <c r="AS80" s="144">
        <v>29.092418299398702</v>
      </c>
      <c r="AT80" s="144">
        <v>29.017038776862002</v>
      </c>
      <c r="AU80" s="140">
        <f t="shared" si="78"/>
        <v>29.042383738038598</v>
      </c>
      <c r="AV80" s="478">
        <v>-3.5035151515151512</v>
      </c>
      <c r="AW80" s="478">
        <v>40.672666666666665</v>
      </c>
      <c r="AX80" s="362">
        <f t="shared" si="86"/>
        <v>2087.3919535541709</v>
      </c>
      <c r="AY80" s="353">
        <f t="shared" si="79"/>
        <v>417.47839071083416</v>
      </c>
      <c r="AZ80" s="144">
        <v>36.185031821322802</v>
      </c>
      <c r="BA80" s="144">
        <v>36.927944776296002</v>
      </c>
      <c r="BB80" s="144">
        <v>36.384535730098101</v>
      </c>
      <c r="BC80" s="140">
        <f t="shared" si="80"/>
        <v>36.499170775905633</v>
      </c>
      <c r="BD80" s="150">
        <v>-3.4617</v>
      </c>
      <c r="BE80" s="640">
        <v>42.390999999999998</v>
      </c>
      <c r="BF80" s="353">
        <f t="shared" si="84"/>
        <v>50.350590844060825</v>
      </c>
      <c r="BG80" s="360">
        <f t="shared" si="81"/>
        <v>10.070118168812165</v>
      </c>
      <c r="BH80" s="353">
        <f t="shared" si="85"/>
        <v>2.4121292006673511E-2</v>
      </c>
      <c r="BI80" s="412"/>
      <c r="BJ80" s="435"/>
      <c r="BK80" s="320"/>
      <c r="BL80" s="321"/>
      <c r="BM80" s="322"/>
      <c r="BN80" s="322"/>
      <c r="BO80" s="322"/>
      <c r="BP80" s="322"/>
      <c r="BQ80" s="322"/>
      <c r="BR80" s="322"/>
      <c r="BS80" s="321"/>
    </row>
    <row r="81" spans="1:71" s="277" customFormat="1" ht="15" x14ac:dyDescent="0.2">
      <c r="A81" s="343"/>
      <c r="B81" s="346">
        <v>44259</v>
      </c>
      <c r="C81" s="359" t="s">
        <v>253</v>
      </c>
      <c r="D81" s="682" t="s">
        <v>244</v>
      </c>
      <c r="E81" s="249" t="s">
        <v>252</v>
      </c>
      <c r="F81" s="683" t="s">
        <v>233</v>
      </c>
      <c r="G81" s="325"/>
      <c r="H81" s="325"/>
      <c r="I81" s="325"/>
      <c r="J81" s="325"/>
      <c r="K81" s="325"/>
      <c r="L81" s="261" t="s">
        <v>234</v>
      </c>
      <c r="M81" s="261"/>
      <c r="N81" s="285">
        <v>44260</v>
      </c>
      <c r="O81" s="261">
        <v>50</v>
      </c>
      <c r="P81" s="261" t="s">
        <v>235</v>
      </c>
      <c r="Q81" s="261" t="s">
        <v>236</v>
      </c>
      <c r="R81" s="325" t="s">
        <v>262</v>
      </c>
      <c r="S81" s="144">
        <v>8.01</v>
      </c>
      <c r="T81" s="141">
        <v>4.38</v>
      </c>
      <c r="U81" s="141">
        <v>48.2</v>
      </c>
      <c r="V81" s="487">
        <v>1.87</v>
      </c>
      <c r="W81" s="315"/>
      <c r="X81" s="315"/>
      <c r="Y81" s="315"/>
      <c r="Z81" s="476" t="s">
        <v>268</v>
      </c>
      <c r="AA81" s="283"/>
      <c r="AB81" s="139">
        <v>50</v>
      </c>
      <c r="AC81" s="315"/>
      <c r="AD81" s="315"/>
      <c r="AE81" s="457" t="s">
        <v>425</v>
      </c>
      <c r="AF81" s="315"/>
      <c r="AG81" s="406">
        <v>44263</v>
      </c>
      <c r="AH81" s="477">
        <v>5</v>
      </c>
      <c r="AI81" s="315"/>
      <c r="AJ81" s="144">
        <v>22.997985242756201</v>
      </c>
      <c r="AK81" s="144">
        <v>23.0838620797247</v>
      </c>
      <c r="AL81" s="144">
        <v>23.156752729819999</v>
      </c>
      <c r="AM81" s="140">
        <f t="shared" si="77"/>
        <v>23.079533350766965</v>
      </c>
      <c r="AN81" s="363">
        <v>-3.4410714285714286</v>
      </c>
      <c r="AO81" s="363">
        <v>48.943513064185922</v>
      </c>
      <c r="AP81" s="361">
        <f t="shared" si="82"/>
        <v>32829005.506332137</v>
      </c>
      <c r="AQ81" s="469">
        <f t="shared" si="83"/>
        <v>36.819916980221009</v>
      </c>
      <c r="AR81" s="144">
        <v>29.0901119111696</v>
      </c>
      <c r="AS81" s="144">
        <v>29.1274634026699</v>
      </c>
      <c r="AT81" s="144">
        <v>29.287071630825199</v>
      </c>
      <c r="AU81" s="140">
        <f t="shared" si="78"/>
        <v>29.168215648221565</v>
      </c>
      <c r="AV81" s="478">
        <v>-3.5035151515151512</v>
      </c>
      <c r="AW81" s="478">
        <v>40.672666666666665</v>
      </c>
      <c r="AX81" s="362">
        <f t="shared" si="86"/>
        <v>1921.7111150011917</v>
      </c>
      <c r="AY81" s="353">
        <f t="shared" ref="AY81" si="87">(AX81/AH81)*(AB81/O81)</f>
        <v>384.34222300023833</v>
      </c>
      <c r="AZ81" s="144">
        <v>35.168640155573698</v>
      </c>
      <c r="BA81" s="144">
        <v>35.0380859631532</v>
      </c>
      <c r="BB81" s="144">
        <v>35.483977708698703</v>
      </c>
      <c r="BC81" s="140">
        <f t="shared" si="80"/>
        <v>35.230234609141867</v>
      </c>
      <c r="BD81" s="150">
        <v>-3.4617</v>
      </c>
      <c r="BE81" s="640">
        <v>42.390999999999998</v>
      </c>
      <c r="BF81" s="353">
        <f t="shared" si="84"/>
        <v>117.10327043852934</v>
      </c>
      <c r="BG81" s="360">
        <f t="shared" ref="BG81" si="88">(BF81/AH81)*(AB81/O81)</f>
        <v>23.420654087705866</v>
      </c>
      <c r="BH81" s="353">
        <f>BF81/AX81</f>
        <v>6.0936979301624485E-2</v>
      </c>
      <c r="BI81" s="412"/>
      <c r="BJ81" s="435"/>
      <c r="BK81" s="320"/>
      <c r="BL81" s="321"/>
      <c r="BM81" s="322"/>
      <c r="BN81" s="322"/>
      <c r="BO81" s="322"/>
      <c r="BP81" s="322"/>
      <c r="BQ81" s="322"/>
      <c r="BR81" s="322"/>
      <c r="BS81" s="321"/>
    </row>
    <row r="82" spans="1:71" s="277" customFormat="1" ht="15" x14ac:dyDescent="0.2">
      <c r="A82" s="343"/>
      <c r="B82" s="346">
        <v>44259</v>
      </c>
      <c r="C82" s="479" t="s">
        <v>254</v>
      </c>
      <c r="D82" s="684"/>
      <c r="E82" s="250"/>
      <c r="F82" s="685"/>
      <c r="G82" s="250"/>
      <c r="H82" s="250"/>
      <c r="I82" s="250"/>
      <c r="J82" s="250"/>
      <c r="K82" s="250"/>
      <c r="L82" s="250"/>
      <c r="M82" s="4"/>
      <c r="N82" s="283"/>
      <c r="O82" s="314"/>
      <c r="P82" s="314"/>
      <c r="Q82" s="314"/>
      <c r="R82" s="315"/>
      <c r="S82" s="316"/>
      <c r="T82" s="315"/>
      <c r="U82" s="315"/>
      <c r="V82" s="417"/>
      <c r="W82" s="315"/>
      <c r="X82" s="315"/>
      <c r="Y82" s="315"/>
      <c r="Z82" s="476" t="s">
        <v>268</v>
      </c>
      <c r="AA82" s="283"/>
      <c r="AB82" s="139">
        <v>50</v>
      </c>
      <c r="AC82" s="315"/>
      <c r="AD82" s="315"/>
      <c r="AE82" s="457" t="s">
        <v>425</v>
      </c>
      <c r="AF82" s="315"/>
      <c r="AG82" s="406">
        <v>44263</v>
      </c>
      <c r="AH82" s="477">
        <v>5</v>
      </c>
      <c r="AI82" s="315"/>
      <c r="AJ82" s="144">
        <v>21.496668334472201</v>
      </c>
      <c r="AK82" s="144">
        <v>21.576273843486799</v>
      </c>
      <c r="AL82" s="144">
        <v>21.686237687510101</v>
      </c>
      <c r="AM82" s="140">
        <f t="shared" si="77"/>
        <v>21.586393288489699</v>
      </c>
      <c r="AN82" s="363">
        <v>-3.4410714285714286</v>
      </c>
      <c r="AO82" s="363">
        <v>48.943513064185922</v>
      </c>
      <c r="AP82" s="361">
        <f t="shared" si="82"/>
        <v>89160998.17380707</v>
      </c>
      <c r="AQ82" s="469">
        <f t="shared" si="83"/>
        <v>100</v>
      </c>
      <c r="AR82" s="144">
        <v>35.806517758017897</v>
      </c>
      <c r="AS82" s="144">
        <v>35.399440376626103</v>
      </c>
      <c r="AT82" s="144">
        <v>35.242631104471798</v>
      </c>
      <c r="AU82" s="140">
        <f t="shared" si="78"/>
        <v>35.482863079705261</v>
      </c>
      <c r="AV82" s="478">
        <v>-3.5035151515151512</v>
      </c>
      <c r="AW82" s="478">
        <v>40.672666666666665</v>
      </c>
      <c r="AX82" s="362">
        <f>IF(AND(AR82="No CT",AS82="No CT",AT82="No CT"),0,10^((AU82-AW82)/AV82))</f>
        <v>30.290978235694503</v>
      </c>
      <c r="AY82" s="250"/>
      <c r="AZ82" s="144">
        <v>36.497698255524398</v>
      </c>
      <c r="BA82" s="144">
        <v>36.5060368284487</v>
      </c>
      <c r="BB82" s="144">
        <v>36.042169377460603</v>
      </c>
      <c r="BC82" s="140">
        <f t="shared" si="80"/>
        <v>36.348634820477905</v>
      </c>
      <c r="BD82" s="150">
        <v>-3.4617</v>
      </c>
      <c r="BE82" s="640">
        <v>42.390999999999998</v>
      </c>
      <c r="BF82" s="353">
        <f t="shared" si="84"/>
        <v>55.653272515319692</v>
      </c>
      <c r="BG82" s="360"/>
      <c r="BH82" s="353">
        <f t="shared" ref="BH82" si="89">BF82/AX82</f>
        <v>1.83728871620721</v>
      </c>
      <c r="BI82" s="412"/>
      <c r="BJ82" s="435"/>
      <c r="BK82" s="320"/>
      <c r="BL82" s="321"/>
      <c r="BM82" s="322"/>
      <c r="BN82" s="322"/>
      <c r="BO82" s="322"/>
      <c r="BP82" s="322"/>
      <c r="BQ82" s="322"/>
      <c r="BR82" s="322"/>
      <c r="BS82" s="321"/>
    </row>
    <row r="83" spans="1:71" s="277" customFormat="1" ht="15" x14ac:dyDescent="0.2">
      <c r="A83" s="343"/>
      <c r="B83" s="346">
        <v>44259</v>
      </c>
      <c r="C83" s="359" t="s">
        <v>255</v>
      </c>
      <c r="D83" s="682"/>
      <c r="E83" s="249"/>
      <c r="F83" s="683"/>
      <c r="G83" s="325"/>
      <c r="H83" s="325"/>
      <c r="I83" s="325"/>
      <c r="J83" s="325"/>
      <c r="K83" s="325"/>
      <c r="L83" s="325"/>
      <c r="M83" s="324"/>
      <c r="N83" s="283"/>
      <c r="O83" s="314"/>
      <c r="P83" s="314"/>
      <c r="Q83" s="314"/>
      <c r="R83" s="315"/>
      <c r="S83" s="316"/>
      <c r="T83" s="315"/>
      <c r="U83" s="315"/>
      <c r="V83" s="417"/>
      <c r="W83" s="315"/>
      <c r="X83" s="315"/>
      <c r="Y83" s="315"/>
      <c r="Z83" s="283"/>
      <c r="AA83" s="283"/>
      <c r="AB83" s="139"/>
      <c r="AC83" s="315"/>
      <c r="AD83" s="315"/>
      <c r="AE83" s="315"/>
      <c r="AF83" s="315"/>
      <c r="AG83" s="406">
        <v>44263</v>
      </c>
      <c r="AH83" s="318"/>
      <c r="AI83" s="315"/>
      <c r="AJ83" s="144">
        <v>38.654418951408701</v>
      </c>
      <c r="AK83" s="144">
        <v>39.426026692429602</v>
      </c>
      <c r="AL83" s="144">
        <v>38.894652216072899</v>
      </c>
      <c r="AM83" s="140">
        <f t="shared" si="77"/>
        <v>38.991699286637065</v>
      </c>
      <c r="AN83" s="363">
        <v>-3.4410714285714299</v>
      </c>
      <c r="AO83" s="363">
        <v>48.9435130641859</v>
      </c>
      <c r="AP83" s="468">
        <f>IF(AND(AJ83="No CT",AK83="No CT",AL83="No CT"),0,10^((AM83-AO83)/AN83))</f>
        <v>779.95285580188136</v>
      </c>
      <c r="AQ83" s="469">
        <f t="shared" si="83"/>
        <v>8.7476909386037928E-4</v>
      </c>
      <c r="AR83" s="144">
        <v>39.942009257641303</v>
      </c>
      <c r="AS83" s="144">
        <v>39.519689962834399</v>
      </c>
      <c r="AT83" s="144">
        <v>38.5214449965925</v>
      </c>
      <c r="AU83" s="140">
        <f t="shared" si="78"/>
        <v>39.327714739022731</v>
      </c>
      <c r="AV83" s="470">
        <v>-3.5035151515151499</v>
      </c>
      <c r="AW83" s="470">
        <v>40.6726666666667</v>
      </c>
      <c r="AX83" s="362">
        <f>IF(AND(AR83="No CT",AS83="No CT",AT83="No CT"),0,10^((AU83-AW83)/AV83))</f>
        <v>2.420396025154306</v>
      </c>
      <c r="AY83" s="330"/>
      <c r="AZ83" s="144">
        <v>36.1587880815555</v>
      </c>
      <c r="BA83" s="144">
        <v>37.228725556099803</v>
      </c>
      <c r="BB83" s="144">
        <v>37.0273341334779</v>
      </c>
      <c r="BC83" s="140">
        <f t="shared" si="80"/>
        <v>36.804949257044399</v>
      </c>
      <c r="BD83" s="150">
        <v>-3.4617</v>
      </c>
      <c r="BE83" s="640">
        <v>42.390999999999998</v>
      </c>
      <c r="BF83" s="353">
        <f>IF(AND(AZ83="No CT",BA83="No CT",BB83="No CT"),0,10^((BC83-BE83)/BD83))</f>
        <v>41.083996891140508</v>
      </c>
      <c r="BG83" s="360"/>
      <c r="BH83" s="637"/>
      <c r="BI83" s="412"/>
      <c r="BJ83" s="435"/>
      <c r="BK83" s="320"/>
      <c r="BL83" s="321"/>
      <c r="BM83" s="322"/>
      <c r="BN83" s="322"/>
      <c r="BO83" s="322"/>
      <c r="BP83" s="322"/>
      <c r="BQ83" s="322"/>
      <c r="BR83" s="322"/>
      <c r="BS83" s="321"/>
    </row>
    <row r="84" spans="1:71" s="432" customFormat="1" x14ac:dyDescent="0.2">
      <c r="A84" s="418"/>
      <c r="B84" s="418"/>
      <c r="C84" s="419"/>
      <c r="D84" s="675"/>
      <c r="E84" s="676"/>
      <c r="F84" s="677"/>
      <c r="G84" s="420"/>
      <c r="H84" s="420"/>
      <c r="I84" s="420"/>
      <c r="J84" s="420"/>
      <c r="K84" s="420"/>
      <c r="L84" s="421"/>
      <c r="M84" s="421"/>
      <c r="N84" s="422"/>
      <c r="O84" s="420"/>
      <c r="P84" s="420"/>
      <c r="Q84" s="420"/>
      <c r="R84" s="421"/>
      <c r="S84" s="423"/>
      <c r="T84" s="421"/>
      <c r="U84" s="421"/>
      <c r="V84" s="417"/>
      <c r="W84" s="421"/>
      <c r="X84" s="421"/>
      <c r="Y84" s="421"/>
      <c r="Z84" s="422"/>
      <c r="AA84" s="422"/>
      <c r="AB84" s="420"/>
      <c r="AC84" s="421"/>
      <c r="AD84" s="421"/>
      <c r="AE84" s="421"/>
      <c r="AF84" s="421"/>
      <c r="AG84" s="422"/>
      <c r="AH84" s="424"/>
      <c r="AI84" s="421"/>
      <c r="AJ84" s="425"/>
      <c r="AK84" s="425"/>
      <c r="AL84" s="421"/>
      <c r="AM84" s="426"/>
      <c r="AN84" s="426"/>
      <c r="AO84" s="426"/>
      <c r="AP84" s="427"/>
      <c r="AQ84" s="425"/>
      <c r="AR84" s="421"/>
      <c r="AS84" s="421"/>
      <c r="AT84" s="421"/>
      <c r="AU84" s="426"/>
      <c r="AV84" s="426"/>
      <c r="AW84" s="426"/>
      <c r="AX84" s="428"/>
      <c r="AY84" s="426"/>
      <c r="AZ84" s="421"/>
      <c r="BA84" s="421"/>
      <c r="BB84" s="421"/>
      <c r="BC84" s="426"/>
      <c r="BD84" s="426"/>
      <c r="BE84" s="426"/>
      <c r="BF84" s="424"/>
      <c r="BG84" s="424"/>
      <c r="BH84" s="636"/>
      <c r="BI84" s="447"/>
      <c r="BJ84" s="438"/>
      <c r="BK84" s="429"/>
      <c r="BL84" s="430"/>
      <c r="BM84" s="431"/>
      <c r="BN84" s="431"/>
      <c r="BO84" s="431"/>
      <c r="BP84" s="431"/>
      <c r="BQ84" s="431"/>
      <c r="BR84" s="431"/>
      <c r="BS84" s="430"/>
    </row>
    <row r="85" spans="1:71" s="277" customFormat="1" ht="15" x14ac:dyDescent="0.2">
      <c r="A85" s="343"/>
      <c r="B85" s="346">
        <v>44260</v>
      </c>
      <c r="C85" s="455" t="s">
        <v>230</v>
      </c>
      <c r="D85" s="680" t="s">
        <v>231</v>
      </c>
      <c r="E85" s="249" t="s">
        <v>232</v>
      </c>
      <c r="F85" s="681" t="s">
        <v>233</v>
      </c>
      <c r="G85" s="314"/>
      <c r="H85" s="314"/>
      <c r="I85" s="314"/>
      <c r="J85" s="314"/>
      <c r="K85" s="324"/>
      <c r="L85" s="457" t="s">
        <v>234</v>
      </c>
      <c r="M85" s="457"/>
      <c r="N85" s="285">
        <v>44263</v>
      </c>
      <c r="O85" s="457">
        <v>50</v>
      </c>
      <c r="P85" s="457" t="s">
        <v>235</v>
      </c>
      <c r="Q85" s="457" t="s">
        <v>236</v>
      </c>
      <c r="R85" s="375" t="s">
        <v>89</v>
      </c>
      <c r="S85" s="375">
        <v>6.89</v>
      </c>
      <c r="T85" s="375">
        <v>3.97</v>
      </c>
      <c r="U85" s="375">
        <v>43.3</v>
      </c>
      <c r="V85" s="487">
        <v>0.04</v>
      </c>
      <c r="W85" s="315"/>
      <c r="X85" s="315"/>
      <c r="Y85" s="315"/>
      <c r="Z85" s="476" t="s">
        <v>269</v>
      </c>
      <c r="AA85" s="283"/>
      <c r="AB85" s="139">
        <v>50</v>
      </c>
      <c r="AC85" s="315"/>
      <c r="AD85" s="315"/>
      <c r="AE85" s="457" t="s">
        <v>425</v>
      </c>
      <c r="AF85" s="315"/>
      <c r="AG85" s="476">
        <v>44265</v>
      </c>
      <c r="AH85" s="463">
        <v>5</v>
      </c>
      <c r="AI85" s="315"/>
      <c r="AJ85" s="144">
        <v>22.47</v>
      </c>
      <c r="AK85" s="144">
        <v>22.46</v>
      </c>
      <c r="AL85" s="144">
        <v>22.54</v>
      </c>
      <c r="AM85" s="140">
        <f t="shared" ref="AM85:AM94" si="90">AVERAGE(AJ85:AL85)</f>
        <v>22.49</v>
      </c>
      <c r="AN85" s="467">
        <v>-3.4410714285714286</v>
      </c>
      <c r="AO85" s="467">
        <v>48.943513064185922</v>
      </c>
      <c r="AP85" s="468">
        <f>IF(AND(AJ85="No CT",AK85="No CT",AL85="No CT"),0,10^((AM85-AO85)/AN85))</f>
        <v>48705761.791314021</v>
      </c>
      <c r="AQ85" s="469">
        <f>AP85*100/$AP$93</f>
        <v>46.32354256526235</v>
      </c>
      <c r="AR85" s="144">
        <v>25.72</v>
      </c>
      <c r="AS85" s="144">
        <v>25.74</v>
      </c>
      <c r="AT85" s="144">
        <v>25.63</v>
      </c>
      <c r="AU85" s="140">
        <f t="shared" ref="AU85:AU94" si="91">AVERAGE(AR85:AT85)</f>
        <v>25.696666666666662</v>
      </c>
      <c r="AV85" s="470">
        <v>-3.5035151515151512</v>
      </c>
      <c r="AW85" s="470">
        <v>40.672666666666665</v>
      </c>
      <c r="AX85" s="471">
        <f>IF(AND(AR85="No CT",AS85="No CT",AT85="No CT"),0,10^((AU85-AW85)/AV85))</f>
        <v>18817.593134402316</v>
      </c>
      <c r="AY85" s="469">
        <f t="shared" ref="AY85:AY91" si="92">(AX85/AH85)*(AB85/O85)</f>
        <v>3763.5186268804632</v>
      </c>
      <c r="AZ85" s="144">
        <v>36.56</v>
      </c>
      <c r="BA85" s="144">
        <v>35.72</v>
      </c>
      <c r="BB85" s="144">
        <v>35.979999999999997</v>
      </c>
      <c r="BC85" s="140">
        <f t="shared" ref="BC85:BC94" si="93">AVERAGE(AZ85:BB85)</f>
        <v>36.086666666666666</v>
      </c>
      <c r="BD85" s="150">
        <v>-3.4617</v>
      </c>
      <c r="BE85" s="640">
        <v>42.390999999999998</v>
      </c>
      <c r="BF85" s="469">
        <f>IF(AND(AZ85="No CT",BA85="No CT",BB85="No CT"),0,10^((BC85-BE85)/BD85))</f>
        <v>66.247098855722498</v>
      </c>
      <c r="BG85" s="643">
        <f t="shared" ref="BG85:BG91" si="94">(BF85/AH85)*(AB85/O85)</f>
        <v>13.249419771144499</v>
      </c>
      <c r="BH85" s="469">
        <f>BF85/AX85</f>
        <v>3.5204873642745299E-3</v>
      </c>
      <c r="BI85" s="412"/>
      <c r="BJ85" s="435"/>
      <c r="BK85" s="320"/>
      <c r="BL85" s="321"/>
      <c r="BM85" s="322"/>
      <c r="BN85" s="322"/>
      <c r="BO85" s="322"/>
      <c r="BP85" s="322"/>
      <c r="BQ85" s="322"/>
      <c r="BR85" s="322"/>
      <c r="BS85" s="321"/>
    </row>
    <row r="86" spans="1:71" s="277" customFormat="1" ht="15" x14ac:dyDescent="0.2">
      <c r="A86" s="343"/>
      <c r="B86" s="346">
        <v>44260</v>
      </c>
      <c r="C86" s="359" t="s">
        <v>243</v>
      </c>
      <c r="D86" s="682" t="s">
        <v>244</v>
      </c>
      <c r="E86" s="249" t="s">
        <v>232</v>
      </c>
      <c r="F86" s="683" t="s">
        <v>233</v>
      </c>
      <c r="G86" s="314"/>
      <c r="H86" s="314"/>
      <c r="I86" s="314"/>
      <c r="J86" s="314"/>
      <c r="K86" s="324"/>
      <c r="L86" s="261" t="s">
        <v>234</v>
      </c>
      <c r="M86" s="261"/>
      <c r="N86" s="285">
        <v>44263</v>
      </c>
      <c r="O86" s="261">
        <v>50</v>
      </c>
      <c r="P86" s="261" t="s">
        <v>235</v>
      </c>
      <c r="Q86" s="261" t="s">
        <v>236</v>
      </c>
      <c r="R86" s="375" t="s">
        <v>89</v>
      </c>
      <c r="S86" s="145">
        <v>7.15</v>
      </c>
      <c r="T86" s="141">
        <v>3.91</v>
      </c>
      <c r="U86" s="141">
        <v>15.7</v>
      </c>
      <c r="V86" s="45">
        <v>1.58</v>
      </c>
      <c r="W86" s="315"/>
      <c r="X86" s="315"/>
      <c r="Y86" s="315"/>
      <c r="Z86" s="476" t="s">
        <v>269</v>
      </c>
      <c r="AA86" s="283"/>
      <c r="AB86" s="139">
        <v>50</v>
      </c>
      <c r="AC86" s="315"/>
      <c r="AD86" s="315"/>
      <c r="AE86" s="457" t="s">
        <v>425</v>
      </c>
      <c r="AF86" s="315"/>
      <c r="AG86" s="476">
        <v>44265</v>
      </c>
      <c r="AH86" s="477">
        <v>5</v>
      </c>
      <c r="AI86" s="315"/>
      <c r="AJ86" s="144">
        <v>22.25</v>
      </c>
      <c r="AK86" s="144">
        <v>22.24</v>
      </c>
      <c r="AL86" s="144">
        <v>22.33</v>
      </c>
      <c r="AM86" s="140">
        <f t="shared" si="90"/>
        <v>22.27333333333333</v>
      </c>
      <c r="AN86" s="363">
        <v>-3.4410714285714286</v>
      </c>
      <c r="AO86" s="363">
        <v>48.943513064185922</v>
      </c>
      <c r="AP86" s="361">
        <f t="shared" ref="AP86:AP93" si="95">IF(AND(AJ86="No CT",AK86="No CT",AL86="No CT"),0,10^((AM86-AO86)/AN86))</f>
        <v>56304774.745951623</v>
      </c>
      <c r="AQ86" s="469">
        <f t="shared" ref="AQ86:AQ94" si="96">AP86*100/$AP$93</f>
        <v>53.55088461087864</v>
      </c>
      <c r="AR86" s="144">
        <v>26.05</v>
      </c>
      <c r="AS86" s="144">
        <v>26.06</v>
      </c>
      <c r="AT86" s="144">
        <v>26.1</v>
      </c>
      <c r="AU86" s="140">
        <f t="shared" si="91"/>
        <v>26.070000000000004</v>
      </c>
      <c r="AV86" s="478">
        <v>-3.5035151515151512</v>
      </c>
      <c r="AW86" s="478">
        <v>40.672666666666665</v>
      </c>
      <c r="AX86" s="362">
        <f>IF(AND(AR86="No CT",AS86="No CT",AT86="No CT"),0,10^((AU86-AW86)/AV86))</f>
        <v>14723.275155170431</v>
      </c>
      <c r="AY86" s="353">
        <f t="shared" si="92"/>
        <v>2944.6550310340863</v>
      </c>
      <c r="AZ86" s="144">
        <v>37.11</v>
      </c>
      <c r="BA86" s="144">
        <v>34.14</v>
      </c>
      <c r="BB86" s="144">
        <v>37.520000000000003</v>
      </c>
      <c r="BC86" s="140">
        <f t="shared" si="93"/>
        <v>36.256666666666668</v>
      </c>
      <c r="BD86" s="150">
        <v>-3.4617</v>
      </c>
      <c r="BE86" s="640">
        <v>42.390999999999998</v>
      </c>
      <c r="BF86" s="353">
        <f t="shared" ref="BF86:BF93" si="97">IF(AND(AZ86="No CT",BA86="No CT",BB86="No CT"),0,10^((BC86-BE86)/BD86))</f>
        <v>59.164070336226857</v>
      </c>
      <c r="BG86" s="360">
        <f t="shared" si="94"/>
        <v>11.832814067245371</v>
      </c>
      <c r="BH86" s="353">
        <f t="shared" ref="BH86:BH91" si="98">BF86/AX86</f>
        <v>4.0184041738464673E-3</v>
      </c>
      <c r="BI86" s="412"/>
      <c r="BJ86" s="435"/>
      <c r="BK86" s="320"/>
      <c r="BL86" s="321"/>
      <c r="BM86" s="322"/>
      <c r="BN86" s="322"/>
      <c r="BO86" s="322"/>
      <c r="BP86" s="322"/>
      <c r="BQ86" s="322"/>
      <c r="BR86" s="322"/>
      <c r="BS86" s="321"/>
    </row>
    <row r="87" spans="1:71" s="277" customFormat="1" ht="15" x14ac:dyDescent="0.2">
      <c r="A87" s="343"/>
      <c r="B87" s="346">
        <v>44260</v>
      </c>
      <c r="C87" s="359" t="s">
        <v>245</v>
      </c>
      <c r="D87" s="682" t="s">
        <v>231</v>
      </c>
      <c r="E87" s="249" t="s">
        <v>246</v>
      </c>
      <c r="F87" s="683" t="s">
        <v>233</v>
      </c>
      <c r="G87" s="314"/>
      <c r="H87" s="314"/>
      <c r="I87" s="314"/>
      <c r="J87" s="314"/>
      <c r="K87" s="324"/>
      <c r="L87" s="261" t="s">
        <v>234</v>
      </c>
      <c r="M87" s="261"/>
      <c r="N87" s="285">
        <v>44263</v>
      </c>
      <c r="O87" s="261">
        <v>50</v>
      </c>
      <c r="P87" s="261" t="s">
        <v>235</v>
      </c>
      <c r="Q87" s="261" t="s">
        <v>236</v>
      </c>
      <c r="R87" s="375" t="s">
        <v>89</v>
      </c>
      <c r="S87" s="375">
        <v>7.39</v>
      </c>
      <c r="T87" s="375">
        <v>4.4000000000000004</v>
      </c>
      <c r="U87" s="375">
        <v>75.8</v>
      </c>
      <c r="V87" s="487">
        <v>7.52</v>
      </c>
      <c r="W87" s="315"/>
      <c r="X87" s="315"/>
      <c r="Y87" s="315"/>
      <c r="Z87" s="476" t="s">
        <v>269</v>
      </c>
      <c r="AA87" s="283"/>
      <c r="AB87" s="139">
        <v>50</v>
      </c>
      <c r="AC87" s="315"/>
      <c r="AD87" s="315"/>
      <c r="AE87" s="457" t="s">
        <v>425</v>
      </c>
      <c r="AF87" s="315"/>
      <c r="AG87" s="476">
        <v>44265</v>
      </c>
      <c r="AH87" s="477">
        <v>5</v>
      </c>
      <c r="AI87" s="315"/>
      <c r="AJ87" s="143">
        <v>23.25</v>
      </c>
      <c r="AK87" s="143">
        <v>23.36</v>
      </c>
      <c r="AL87" s="144">
        <v>23.27</v>
      </c>
      <c r="AM87" s="140">
        <f t="shared" si="90"/>
        <v>23.293333333333333</v>
      </c>
      <c r="AN87" s="363">
        <v>-3.4410714285714286</v>
      </c>
      <c r="AO87" s="363">
        <v>48.943513064185922</v>
      </c>
      <c r="AP87" s="361">
        <f t="shared" si="95"/>
        <v>28452859.59270538</v>
      </c>
      <c r="AQ87" s="469">
        <f t="shared" si="96"/>
        <v>27.061218302947765</v>
      </c>
      <c r="AR87" s="144">
        <v>25.08</v>
      </c>
      <c r="AS87" s="144">
        <v>25.11</v>
      </c>
      <c r="AT87" s="144">
        <v>25.05</v>
      </c>
      <c r="AU87" s="140">
        <f t="shared" si="91"/>
        <v>25.08</v>
      </c>
      <c r="AV87" s="478">
        <v>-3.5035151515151512</v>
      </c>
      <c r="AW87" s="478">
        <v>40.672666666666665</v>
      </c>
      <c r="AX87" s="362">
        <f t="shared" ref="AX87:AX92" si="99">IF(AND(AR87="No CT",AS87="No CT",AT87="No CT"),0,10^((AU87-AW87)/AV87))</f>
        <v>28221.349338645337</v>
      </c>
      <c r="AY87" s="353">
        <f t="shared" si="92"/>
        <v>5644.2698677290673</v>
      </c>
      <c r="AZ87" s="144">
        <v>29.21</v>
      </c>
      <c r="BA87" s="144">
        <v>29.46</v>
      </c>
      <c r="BB87" s="144">
        <v>29.27</v>
      </c>
      <c r="BC87" s="140">
        <f t="shared" si="93"/>
        <v>29.313333333333333</v>
      </c>
      <c r="BD87" s="150">
        <v>-3.4617</v>
      </c>
      <c r="BE87" s="640">
        <v>42.390999999999998</v>
      </c>
      <c r="BF87" s="353">
        <f t="shared" si="97"/>
        <v>5995.3741975249186</v>
      </c>
      <c r="BG87" s="360">
        <f t="shared" si="94"/>
        <v>1199.0748395049836</v>
      </c>
      <c r="BH87" s="353">
        <f t="shared" si="98"/>
        <v>0.21244108938884299</v>
      </c>
      <c r="BI87" s="412"/>
      <c r="BJ87" s="435"/>
      <c r="BK87" s="320"/>
      <c r="BL87" s="321"/>
      <c r="BM87" s="322"/>
      <c r="BN87" s="322"/>
      <c r="BO87" s="322"/>
      <c r="BP87" s="322"/>
      <c r="BQ87" s="322"/>
      <c r="BR87" s="322"/>
      <c r="BS87" s="321"/>
    </row>
    <row r="88" spans="1:71" s="277" customFormat="1" ht="15" x14ac:dyDescent="0.2">
      <c r="A88" s="343"/>
      <c r="B88" s="346">
        <v>44260</v>
      </c>
      <c r="C88" s="359" t="s">
        <v>247</v>
      </c>
      <c r="D88" s="682" t="s">
        <v>244</v>
      </c>
      <c r="E88" s="249" t="s">
        <v>246</v>
      </c>
      <c r="F88" s="683" t="s">
        <v>233</v>
      </c>
      <c r="G88" s="314"/>
      <c r="H88" s="314"/>
      <c r="I88" s="314"/>
      <c r="J88" s="314"/>
      <c r="K88" s="324"/>
      <c r="L88" s="261" t="s">
        <v>234</v>
      </c>
      <c r="M88" s="261"/>
      <c r="N88" s="285">
        <v>44263</v>
      </c>
      <c r="O88" s="261">
        <v>50</v>
      </c>
      <c r="P88" s="261" t="s">
        <v>235</v>
      </c>
      <c r="Q88" s="261" t="s">
        <v>236</v>
      </c>
      <c r="R88" s="375" t="s">
        <v>89</v>
      </c>
      <c r="S88" s="142">
        <v>7.04</v>
      </c>
      <c r="T88" s="141">
        <v>4.24</v>
      </c>
      <c r="U88" s="141">
        <v>58</v>
      </c>
      <c r="V88" s="45">
        <v>5.85</v>
      </c>
      <c r="W88" s="315"/>
      <c r="X88" s="315"/>
      <c r="Y88" s="315"/>
      <c r="Z88" s="476" t="s">
        <v>269</v>
      </c>
      <c r="AA88" s="283"/>
      <c r="AB88" s="139">
        <v>50</v>
      </c>
      <c r="AC88" s="315"/>
      <c r="AD88" s="315"/>
      <c r="AE88" s="457" t="s">
        <v>425</v>
      </c>
      <c r="AF88" s="315"/>
      <c r="AG88" s="476">
        <v>44265</v>
      </c>
      <c r="AH88" s="477">
        <v>5</v>
      </c>
      <c r="AI88" s="315"/>
      <c r="AJ88" s="143">
        <v>22.82</v>
      </c>
      <c r="AK88" s="143">
        <v>22.81</v>
      </c>
      <c r="AL88" s="144">
        <v>22.83</v>
      </c>
      <c r="AM88" s="140">
        <f t="shared" si="90"/>
        <v>22.819999999999997</v>
      </c>
      <c r="AN88" s="363">
        <v>-3.4410714285714286</v>
      </c>
      <c r="AO88" s="363">
        <v>48.943513064185922</v>
      </c>
      <c r="AP88" s="361">
        <f t="shared" si="95"/>
        <v>39055299.90886429</v>
      </c>
      <c r="AQ88" s="469">
        <f t="shared" si="96"/>
        <v>37.145088818834637</v>
      </c>
      <c r="AR88" s="144">
        <v>27.26</v>
      </c>
      <c r="AS88" s="144">
        <v>27.27</v>
      </c>
      <c r="AT88" s="144">
        <v>27.34</v>
      </c>
      <c r="AU88" s="140">
        <f t="shared" si="91"/>
        <v>27.290000000000003</v>
      </c>
      <c r="AV88" s="478">
        <v>-3.5035151515151512</v>
      </c>
      <c r="AW88" s="478">
        <v>40.672666666666665</v>
      </c>
      <c r="AX88" s="362">
        <f t="shared" si="99"/>
        <v>6603.6299572741809</v>
      </c>
      <c r="AY88" s="353">
        <f t="shared" si="92"/>
        <v>1320.7259914548363</v>
      </c>
      <c r="AZ88" s="144">
        <v>32.53</v>
      </c>
      <c r="BA88" s="144">
        <v>32.630000000000003</v>
      </c>
      <c r="BB88" s="144">
        <v>32.520000000000003</v>
      </c>
      <c r="BC88" s="140">
        <f t="shared" si="93"/>
        <v>32.56</v>
      </c>
      <c r="BD88" s="150">
        <v>-3.4617</v>
      </c>
      <c r="BE88" s="640">
        <v>42.390999999999998</v>
      </c>
      <c r="BF88" s="353">
        <f t="shared" si="97"/>
        <v>691.7260581918282</v>
      </c>
      <c r="BG88" s="360">
        <f t="shared" si="94"/>
        <v>138.34521163836564</v>
      </c>
      <c r="BH88" s="353">
        <f t="shared" si="98"/>
        <v>0.10474936704014773</v>
      </c>
      <c r="BI88" s="412"/>
      <c r="BJ88" s="435"/>
      <c r="BK88" s="320"/>
      <c r="BL88" s="321"/>
      <c r="BM88" s="322"/>
      <c r="BN88" s="322"/>
      <c r="BO88" s="322"/>
      <c r="BP88" s="322"/>
      <c r="BQ88" s="322"/>
      <c r="BR88" s="322"/>
      <c r="BS88" s="321"/>
    </row>
    <row r="89" spans="1:71" s="277" customFormat="1" ht="15" x14ac:dyDescent="0.2">
      <c r="A89" s="343"/>
      <c r="B89" s="346">
        <v>44260</v>
      </c>
      <c r="C89" s="359" t="s">
        <v>248</v>
      </c>
      <c r="D89" s="682" t="s">
        <v>231</v>
      </c>
      <c r="E89" s="249" t="s">
        <v>249</v>
      </c>
      <c r="F89" s="683" t="s">
        <v>233</v>
      </c>
      <c r="G89" s="314"/>
      <c r="H89" s="314"/>
      <c r="I89" s="314"/>
      <c r="J89" s="314"/>
      <c r="K89" s="324"/>
      <c r="L89" s="261" t="s">
        <v>234</v>
      </c>
      <c r="M89" s="261"/>
      <c r="N89" s="285">
        <v>44263</v>
      </c>
      <c r="O89" s="261">
        <v>50</v>
      </c>
      <c r="P89" s="261" t="s">
        <v>235</v>
      </c>
      <c r="Q89" s="261" t="s">
        <v>236</v>
      </c>
      <c r="R89" s="375" t="s">
        <v>89</v>
      </c>
      <c r="S89" s="375">
        <v>7.9</v>
      </c>
      <c r="T89" s="375">
        <v>4.1100000000000003</v>
      </c>
      <c r="U89" s="375">
        <v>6.69</v>
      </c>
      <c r="V89" s="487">
        <v>4.53</v>
      </c>
      <c r="W89" s="315"/>
      <c r="X89" s="315"/>
      <c r="Y89" s="315"/>
      <c r="Z89" s="476" t="s">
        <v>269</v>
      </c>
      <c r="AA89" s="283"/>
      <c r="AB89" s="139">
        <v>50</v>
      </c>
      <c r="AC89" s="315"/>
      <c r="AD89" s="315"/>
      <c r="AE89" s="457" t="s">
        <v>425</v>
      </c>
      <c r="AF89" s="315"/>
      <c r="AG89" s="476">
        <v>44265</v>
      </c>
      <c r="AH89" s="477">
        <v>5</v>
      </c>
      <c r="AI89" s="315"/>
      <c r="AJ89" s="143">
        <v>23.12</v>
      </c>
      <c r="AK89" s="143">
        <v>23.08</v>
      </c>
      <c r="AL89" s="144">
        <v>23.04</v>
      </c>
      <c r="AM89" s="140">
        <f t="shared" si="90"/>
        <v>23.080000000000002</v>
      </c>
      <c r="AN89" s="363">
        <v>-3.4410714285714286</v>
      </c>
      <c r="AO89" s="363">
        <v>48.943513064185922</v>
      </c>
      <c r="AP89" s="361">
        <f t="shared" si="95"/>
        <v>32818756.011042923</v>
      </c>
      <c r="AQ89" s="469">
        <f t="shared" si="96"/>
        <v>31.213576897335933</v>
      </c>
      <c r="AR89" s="144">
        <v>30.83</v>
      </c>
      <c r="AS89" s="144">
        <v>30.64</v>
      </c>
      <c r="AT89" s="144">
        <v>30.47</v>
      </c>
      <c r="AU89" s="140">
        <f t="shared" si="91"/>
        <v>30.646666666666665</v>
      </c>
      <c r="AV89" s="478">
        <v>-3.5035151515151512</v>
      </c>
      <c r="AW89" s="478">
        <v>40.672666666666665</v>
      </c>
      <c r="AX89" s="362">
        <f t="shared" si="99"/>
        <v>727.27279609004302</v>
      </c>
      <c r="AY89" s="353">
        <f t="shared" si="92"/>
        <v>145.4545592180086</v>
      </c>
      <c r="AZ89" s="144">
        <v>35.18</v>
      </c>
      <c r="BA89" s="144">
        <v>36.69</v>
      </c>
      <c r="BB89" s="144">
        <v>35.299999999999997</v>
      </c>
      <c r="BC89" s="140">
        <f t="shared" si="93"/>
        <v>35.723333333333336</v>
      </c>
      <c r="BD89" s="150">
        <v>-3.4617</v>
      </c>
      <c r="BE89" s="640">
        <v>42.390999999999998</v>
      </c>
      <c r="BF89" s="353">
        <f t="shared" si="97"/>
        <v>84.357738601410134</v>
      </c>
      <c r="BG89" s="360">
        <f t="shared" si="94"/>
        <v>16.871547720282027</v>
      </c>
      <c r="BH89" s="353">
        <f t="shared" si="98"/>
        <v>0.11599187960134545</v>
      </c>
      <c r="BI89" s="412"/>
      <c r="BJ89" s="435"/>
      <c r="BK89" s="320"/>
      <c r="BL89" s="321"/>
      <c r="BM89" s="322"/>
      <c r="BN89" s="322"/>
      <c r="BO89" s="322"/>
      <c r="BP89" s="322"/>
      <c r="BQ89" s="322"/>
      <c r="BR89" s="322"/>
      <c r="BS89" s="321"/>
    </row>
    <row r="90" spans="1:71" s="277" customFormat="1" ht="15" x14ac:dyDescent="0.2">
      <c r="A90" s="343"/>
      <c r="B90" s="346">
        <v>44260</v>
      </c>
      <c r="C90" s="359" t="s">
        <v>250</v>
      </c>
      <c r="D90" s="682" t="s">
        <v>244</v>
      </c>
      <c r="E90" s="249" t="s">
        <v>249</v>
      </c>
      <c r="F90" s="683" t="s">
        <v>233</v>
      </c>
      <c r="G90" s="314"/>
      <c r="H90" s="314"/>
      <c r="I90" s="314"/>
      <c r="J90" s="314"/>
      <c r="K90" s="324"/>
      <c r="L90" s="261" t="s">
        <v>234</v>
      </c>
      <c r="M90" s="261"/>
      <c r="N90" s="285">
        <v>44263</v>
      </c>
      <c r="O90" s="261">
        <v>50</v>
      </c>
      <c r="P90" s="261" t="s">
        <v>235</v>
      </c>
      <c r="Q90" s="261" t="s">
        <v>236</v>
      </c>
      <c r="R90" s="375" t="s">
        <v>89</v>
      </c>
      <c r="S90" s="142">
        <v>8.59</v>
      </c>
      <c r="T90" s="141">
        <v>4.29</v>
      </c>
      <c r="U90" s="141">
        <v>40.299999999999997</v>
      </c>
      <c r="V90" s="45">
        <v>7.04</v>
      </c>
      <c r="W90" s="315"/>
      <c r="X90" s="315"/>
      <c r="Y90" s="315"/>
      <c r="Z90" s="476" t="s">
        <v>269</v>
      </c>
      <c r="AA90" s="283"/>
      <c r="AB90" s="139">
        <v>50</v>
      </c>
      <c r="AC90" s="315"/>
      <c r="AD90" s="315"/>
      <c r="AE90" s="457" t="s">
        <v>425</v>
      </c>
      <c r="AF90" s="315"/>
      <c r="AG90" s="476">
        <v>44265</v>
      </c>
      <c r="AH90" s="477">
        <v>5</v>
      </c>
      <c r="AI90" s="315"/>
      <c r="AJ90" s="143">
        <v>23.15</v>
      </c>
      <c r="AK90" s="143">
        <v>23.09</v>
      </c>
      <c r="AL90" s="144">
        <v>23.06</v>
      </c>
      <c r="AM90" s="140">
        <f t="shared" si="90"/>
        <v>23.099999999999998</v>
      </c>
      <c r="AN90" s="363">
        <v>-3.4410714285714286</v>
      </c>
      <c r="AO90" s="363">
        <v>48.943513064185922</v>
      </c>
      <c r="AP90" s="361">
        <f t="shared" si="95"/>
        <v>32382470.00688361</v>
      </c>
      <c r="AQ90" s="469">
        <f t="shared" si="96"/>
        <v>30.798629824525623</v>
      </c>
      <c r="AR90" s="144">
        <v>28.36</v>
      </c>
      <c r="AS90" s="144">
        <v>28.34</v>
      </c>
      <c r="AT90" s="144">
        <v>28.29</v>
      </c>
      <c r="AU90" s="140">
        <f t="shared" si="91"/>
        <v>28.330000000000002</v>
      </c>
      <c r="AV90" s="478">
        <v>-3.5035151515151512</v>
      </c>
      <c r="AW90" s="478">
        <v>40.672666666666665</v>
      </c>
      <c r="AX90" s="362">
        <f t="shared" si="99"/>
        <v>3333.7881738892206</v>
      </c>
      <c r="AY90" s="353">
        <f t="shared" si="92"/>
        <v>666.75763477784415</v>
      </c>
      <c r="AZ90" s="144">
        <v>32.36</v>
      </c>
      <c r="BA90" s="144">
        <v>32.33</v>
      </c>
      <c r="BB90" s="144">
        <v>32.42</v>
      </c>
      <c r="BC90" s="140">
        <f t="shared" si="93"/>
        <v>32.369999999999997</v>
      </c>
      <c r="BD90" s="150">
        <v>-3.4617</v>
      </c>
      <c r="BE90" s="640">
        <v>42.390999999999998</v>
      </c>
      <c r="BF90" s="353">
        <f t="shared" si="97"/>
        <v>784.91108758791756</v>
      </c>
      <c r="BG90" s="360">
        <f t="shared" si="94"/>
        <v>156.98221751758351</v>
      </c>
      <c r="BH90" s="353">
        <f t="shared" si="98"/>
        <v>0.23544119981451456</v>
      </c>
      <c r="BI90" s="412"/>
      <c r="BJ90" s="435"/>
      <c r="BK90" s="320"/>
      <c r="BL90" s="321"/>
      <c r="BM90" s="322"/>
      <c r="BN90" s="322"/>
      <c r="BO90" s="322"/>
      <c r="BP90" s="322"/>
      <c r="BQ90" s="322"/>
      <c r="BR90" s="322"/>
      <c r="BS90" s="321"/>
    </row>
    <row r="91" spans="1:71" s="277" customFormat="1" ht="15" x14ac:dyDescent="0.2">
      <c r="A91" s="343"/>
      <c r="B91" s="346">
        <v>44260</v>
      </c>
      <c r="C91" s="359" t="s">
        <v>251</v>
      </c>
      <c r="D91" s="682" t="s">
        <v>231</v>
      </c>
      <c r="E91" s="249" t="s">
        <v>252</v>
      </c>
      <c r="F91" s="683" t="s">
        <v>233</v>
      </c>
      <c r="G91" s="314"/>
      <c r="H91" s="314"/>
      <c r="I91" s="314"/>
      <c r="J91" s="314"/>
      <c r="K91" s="324"/>
      <c r="L91" s="261" t="s">
        <v>234</v>
      </c>
      <c r="M91" s="261"/>
      <c r="N91" s="285">
        <v>44263</v>
      </c>
      <c r="O91" s="261">
        <v>50</v>
      </c>
      <c r="P91" s="261" t="s">
        <v>235</v>
      </c>
      <c r="Q91" s="261" t="s">
        <v>236</v>
      </c>
      <c r="R91" s="375" t="s">
        <v>89</v>
      </c>
      <c r="S91" s="375">
        <v>7.89</v>
      </c>
      <c r="T91" s="375">
        <v>4.0999999999999996</v>
      </c>
      <c r="U91" s="375">
        <v>14.8</v>
      </c>
      <c r="V91" s="487">
        <v>4.9000000000000004</v>
      </c>
      <c r="W91" s="315"/>
      <c r="X91" s="315"/>
      <c r="Y91" s="315"/>
      <c r="Z91" s="476" t="s">
        <v>269</v>
      </c>
      <c r="AA91" s="283"/>
      <c r="AB91" s="139">
        <v>50</v>
      </c>
      <c r="AC91" s="315"/>
      <c r="AD91" s="315"/>
      <c r="AE91" s="457" t="s">
        <v>425</v>
      </c>
      <c r="AF91" s="315"/>
      <c r="AG91" s="476">
        <v>44265</v>
      </c>
      <c r="AH91" s="477">
        <v>5</v>
      </c>
      <c r="AI91" s="315"/>
      <c r="AJ91" s="144">
        <v>22.87</v>
      </c>
      <c r="AK91" s="144">
        <v>23.03</v>
      </c>
      <c r="AL91" s="144">
        <v>22.86</v>
      </c>
      <c r="AM91" s="140">
        <f t="shared" si="90"/>
        <v>22.92</v>
      </c>
      <c r="AN91" s="363">
        <v>-3.4410714285714286</v>
      </c>
      <c r="AO91" s="363">
        <v>48.943513064185922</v>
      </c>
      <c r="AP91" s="361">
        <f t="shared" si="95"/>
        <v>36527442.097983323</v>
      </c>
      <c r="AQ91" s="469">
        <f t="shared" si="96"/>
        <v>34.740869593129837</v>
      </c>
      <c r="AR91" s="144">
        <v>28.12</v>
      </c>
      <c r="AS91" s="144">
        <v>28.2</v>
      </c>
      <c r="AT91" s="144">
        <v>28.13</v>
      </c>
      <c r="AU91" s="140">
        <f t="shared" si="91"/>
        <v>28.150000000000002</v>
      </c>
      <c r="AV91" s="478">
        <v>-3.5035151515151512</v>
      </c>
      <c r="AW91" s="478">
        <v>40.672666666666665</v>
      </c>
      <c r="AX91" s="362">
        <f t="shared" si="99"/>
        <v>3752.4505146579363</v>
      </c>
      <c r="AY91" s="353">
        <f t="shared" si="92"/>
        <v>750.49010293158722</v>
      </c>
      <c r="AZ91" s="144">
        <v>35.909999999999997</v>
      </c>
      <c r="BA91" s="144">
        <v>35.79</v>
      </c>
      <c r="BB91" s="144">
        <v>35.65</v>
      </c>
      <c r="BC91" s="140">
        <f t="shared" si="93"/>
        <v>35.783333333333331</v>
      </c>
      <c r="BD91" s="150">
        <v>-3.4617</v>
      </c>
      <c r="BE91" s="640">
        <v>42.390999999999998</v>
      </c>
      <c r="BF91" s="353">
        <f t="shared" si="97"/>
        <v>81.057350599451155</v>
      </c>
      <c r="BG91" s="360">
        <f t="shared" si="94"/>
        <v>16.21147011989023</v>
      </c>
      <c r="BH91" s="353">
        <f t="shared" si="98"/>
        <v>2.1601177759126327E-2</v>
      </c>
      <c r="BI91" s="412"/>
      <c r="BJ91" s="435"/>
      <c r="BK91" s="320"/>
      <c r="BL91" s="321"/>
      <c r="BM91" s="322"/>
      <c r="BN91" s="322"/>
      <c r="BO91" s="322"/>
      <c r="BP91" s="322"/>
      <c r="BQ91" s="322"/>
      <c r="BR91" s="322"/>
      <c r="BS91" s="321"/>
    </row>
    <row r="92" spans="1:71" s="277" customFormat="1" ht="15" x14ac:dyDescent="0.2">
      <c r="A92" s="343"/>
      <c r="B92" s="346">
        <v>44260</v>
      </c>
      <c r="C92" s="359" t="s">
        <v>253</v>
      </c>
      <c r="D92" s="682" t="s">
        <v>244</v>
      </c>
      <c r="E92" s="249" t="s">
        <v>252</v>
      </c>
      <c r="F92" s="683" t="s">
        <v>233</v>
      </c>
      <c r="G92" s="314"/>
      <c r="H92" s="314"/>
      <c r="I92" s="314"/>
      <c r="J92" s="314"/>
      <c r="K92" s="324"/>
      <c r="L92" s="261" t="s">
        <v>234</v>
      </c>
      <c r="M92" s="261"/>
      <c r="N92" s="285">
        <v>44263</v>
      </c>
      <c r="O92" s="261">
        <v>50</v>
      </c>
      <c r="P92" s="261" t="s">
        <v>235</v>
      </c>
      <c r="Q92" s="261" t="s">
        <v>236</v>
      </c>
      <c r="R92" s="375" t="s">
        <v>89</v>
      </c>
      <c r="S92" s="145">
        <v>7.67</v>
      </c>
      <c r="T92" s="141">
        <v>4.3099999999999996</v>
      </c>
      <c r="U92" s="141">
        <v>274</v>
      </c>
      <c r="V92" s="45">
        <v>4</v>
      </c>
      <c r="W92" s="315"/>
      <c r="X92" s="315"/>
      <c r="Y92" s="315"/>
      <c r="Z92" s="476" t="s">
        <v>269</v>
      </c>
      <c r="AA92" s="283"/>
      <c r="AB92" s="139">
        <v>50</v>
      </c>
      <c r="AC92" s="315"/>
      <c r="AD92" s="315"/>
      <c r="AE92" s="457" t="s">
        <v>425</v>
      </c>
      <c r="AF92" s="315"/>
      <c r="AG92" s="476">
        <v>44265</v>
      </c>
      <c r="AH92" s="477">
        <v>5</v>
      </c>
      <c r="AI92" s="315"/>
      <c r="AJ92" s="144">
        <v>22.53</v>
      </c>
      <c r="AK92" s="144">
        <v>22.6</v>
      </c>
      <c r="AL92" s="144">
        <v>22.68</v>
      </c>
      <c r="AM92" s="140">
        <f t="shared" si="90"/>
        <v>22.603333333333335</v>
      </c>
      <c r="AN92" s="363">
        <v>-3.4410714285714286</v>
      </c>
      <c r="AO92" s="363">
        <v>48.943513064185922</v>
      </c>
      <c r="AP92" s="361">
        <f t="shared" si="95"/>
        <v>45148659.688890055</v>
      </c>
      <c r="AQ92" s="469">
        <f t="shared" si="96"/>
        <v>42.940419817760095</v>
      </c>
      <c r="AR92" s="144">
        <v>25.18</v>
      </c>
      <c r="AS92" s="144">
        <v>25.26</v>
      </c>
      <c r="AT92" s="144">
        <v>25.38</v>
      </c>
      <c r="AU92" s="140">
        <f t="shared" si="91"/>
        <v>25.27333333333333</v>
      </c>
      <c r="AV92" s="478">
        <v>-3.5035151515151512</v>
      </c>
      <c r="AW92" s="478">
        <v>40.672666666666665</v>
      </c>
      <c r="AX92" s="362">
        <f t="shared" si="99"/>
        <v>24853.93172792453</v>
      </c>
      <c r="AY92" s="353">
        <f t="shared" ref="AY92" si="100">(AX92/AH92)*(AB92/O92)</f>
        <v>4970.7863455849056</v>
      </c>
      <c r="AZ92" s="144">
        <v>35.950000000000003</v>
      </c>
      <c r="BA92" s="144">
        <v>36.56</v>
      </c>
      <c r="BB92" s="144">
        <v>36.08</v>
      </c>
      <c r="BC92" s="140">
        <f t="shared" si="93"/>
        <v>36.196666666666665</v>
      </c>
      <c r="BD92" s="150">
        <v>-3.4617</v>
      </c>
      <c r="BE92" s="640">
        <v>42.390999999999998</v>
      </c>
      <c r="BF92" s="353">
        <f t="shared" si="97"/>
        <v>61.573036166477962</v>
      </c>
      <c r="BG92" s="360">
        <f t="shared" ref="BG92" si="101">(BF92/AH92)*(AB92/O92)</f>
        <v>12.314607233295593</v>
      </c>
      <c r="BH92" s="353">
        <f>BF92/AX92</f>
        <v>2.4773962059812791E-3</v>
      </c>
      <c r="BI92" s="412"/>
      <c r="BJ92" s="435"/>
      <c r="BK92" s="320"/>
      <c r="BL92" s="321"/>
      <c r="BM92" s="322"/>
      <c r="BN92" s="322"/>
      <c r="BO92" s="322"/>
      <c r="BP92" s="322"/>
      <c r="BQ92" s="322"/>
      <c r="BR92" s="322"/>
      <c r="BS92" s="321"/>
    </row>
    <row r="93" spans="1:71" s="277" customFormat="1" ht="15" x14ac:dyDescent="0.2">
      <c r="A93" s="343"/>
      <c r="B93" s="346">
        <v>44260</v>
      </c>
      <c r="C93" s="479" t="s">
        <v>254</v>
      </c>
      <c r="D93" s="684"/>
      <c r="E93" s="250"/>
      <c r="F93" s="685"/>
      <c r="G93" s="314"/>
      <c r="H93" s="314"/>
      <c r="I93" s="314"/>
      <c r="J93" s="314"/>
      <c r="K93" s="314"/>
      <c r="L93" s="315"/>
      <c r="M93" s="315"/>
      <c r="N93" s="283"/>
      <c r="O93" s="314"/>
      <c r="P93" s="314"/>
      <c r="Q93" s="314"/>
      <c r="R93" s="315"/>
      <c r="S93" s="316"/>
      <c r="T93" s="315"/>
      <c r="U93" s="315"/>
      <c r="V93" s="417"/>
      <c r="W93" s="315"/>
      <c r="X93" s="315"/>
      <c r="Y93" s="315"/>
      <c r="Z93" s="476" t="s">
        <v>269</v>
      </c>
      <c r="AA93" s="283"/>
      <c r="AB93" s="139">
        <v>50</v>
      </c>
      <c r="AC93" s="315"/>
      <c r="AD93" s="315"/>
      <c r="AE93" s="457" t="s">
        <v>425</v>
      </c>
      <c r="AF93" s="315"/>
      <c r="AG93" s="476">
        <v>44265</v>
      </c>
      <c r="AH93" s="477">
        <v>5</v>
      </c>
      <c r="AI93" s="315"/>
      <c r="AJ93" s="144">
        <v>21.33</v>
      </c>
      <c r="AK93" s="144">
        <v>21.34</v>
      </c>
      <c r="AL93" s="144">
        <v>21.35</v>
      </c>
      <c r="AM93" s="140">
        <f t="shared" si="90"/>
        <v>21.340000000000003</v>
      </c>
      <c r="AN93" s="363">
        <v>-3.4410714285714286</v>
      </c>
      <c r="AO93" s="363">
        <v>48.943513064185922</v>
      </c>
      <c r="AP93" s="361">
        <f t="shared" si="95"/>
        <v>105142567.02776025</v>
      </c>
      <c r="AQ93" s="469">
        <f t="shared" si="96"/>
        <v>100</v>
      </c>
      <c r="AR93" s="144">
        <v>34.57</v>
      </c>
      <c r="AS93" s="144">
        <v>34.93</v>
      </c>
      <c r="AT93" s="144">
        <v>34.590000000000003</v>
      </c>
      <c r="AU93" s="140">
        <f t="shared" si="91"/>
        <v>34.696666666666665</v>
      </c>
      <c r="AV93" s="478">
        <v>-3.5035151515151512</v>
      </c>
      <c r="AW93" s="478">
        <v>40.672666666666665</v>
      </c>
      <c r="AX93" s="362">
        <f>IF(AND(AR93="No CT",AS93="No CT",AT93="No CT"),0,10^((AU93-AW93)/AV93))</f>
        <v>50.782663086056402</v>
      </c>
      <c r="AY93" s="250"/>
      <c r="AZ93" s="144">
        <v>35.56</v>
      </c>
      <c r="BA93" s="144">
        <v>36.67</v>
      </c>
      <c r="BB93" s="144">
        <v>36.57</v>
      </c>
      <c r="BC93" s="140">
        <f t="shared" si="93"/>
        <v>36.266666666666673</v>
      </c>
      <c r="BD93" s="150">
        <v>-3.4617</v>
      </c>
      <c r="BE93" s="640">
        <v>42.390999999999998</v>
      </c>
      <c r="BF93" s="353">
        <f t="shared" si="97"/>
        <v>58.771840407602397</v>
      </c>
      <c r="BG93" s="360"/>
      <c r="BH93" s="353">
        <f t="shared" ref="BH93" si="102">BF93/AX93</f>
        <v>1.1573209602656622</v>
      </c>
      <c r="BI93" s="412"/>
      <c r="BJ93" s="435"/>
      <c r="BK93" s="320"/>
      <c r="BL93" s="321"/>
      <c r="BM93" s="322"/>
      <c r="BN93" s="322"/>
      <c r="BO93" s="322"/>
      <c r="BP93" s="322"/>
      <c r="BQ93" s="322"/>
      <c r="BR93" s="322"/>
      <c r="BS93" s="321"/>
    </row>
    <row r="94" spans="1:71" s="277" customFormat="1" ht="15" x14ac:dyDescent="0.2">
      <c r="A94" s="343"/>
      <c r="B94" s="346">
        <v>44260</v>
      </c>
      <c r="C94" s="359" t="s">
        <v>255</v>
      </c>
      <c r="D94" s="682"/>
      <c r="E94" s="249"/>
      <c r="F94" s="683"/>
      <c r="G94" s="314"/>
      <c r="H94" s="314"/>
      <c r="I94" s="314"/>
      <c r="J94" s="314"/>
      <c r="K94" s="314"/>
      <c r="L94" s="315"/>
      <c r="M94" s="315"/>
      <c r="N94" s="283"/>
      <c r="O94" s="314"/>
      <c r="P94" s="314"/>
      <c r="Q94" s="314"/>
      <c r="R94" s="315"/>
      <c r="S94" s="316"/>
      <c r="T94" s="315"/>
      <c r="U94" s="315"/>
      <c r="V94" s="417"/>
      <c r="W94" s="315"/>
      <c r="X94" s="315"/>
      <c r="Y94" s="315"/>
      <c r="Z94" s="283"/>
      <c r="AA94" s="283"/>
      <c r="AB94" s="314"/>
      <c r="AC94" s="315"/>
      <c r="AD94" s="315"/>
      <c r="AE94" s="315"/>
      <c r="AF94" s="315"/>
      <c r="AG94" s="476">
        <v>44265</v>
      </c>
      <c r="AH94" s="318"/>
      <c r="AI94" s="315"/>
      <c r="AJ94" s="144">
        <v>38.32</v>
      </c>
      <c r="AK94" s="144">
        <v>39.76</v>
      </c>
      <c r="AL94" s="144">
        <v>38.86</v>
      </c>
      <c r="AM94" s="140">
        <f t="shared" si="90"/>
        <v>38.979999999999997</v>
      </c>
      <c r="AN94" s="363">
        <v>-3.4410714285714299</v>
      </c>
      <c r="AO94" s="363">
        <v>48.9435130641859</v>
      </c>
      <c r="AP94" s="468">
        <f>IF(AND(AJ94="No CT",AK94="No CT",AL94="No CT"),0,10^((AM94-AO94)/AN94))</f>
        <v>786.0827191413739</v>
      </c>
      <c r="AQ94" s="469">
        <f t="shared" si="96"/>
        <v>7.4763508383224905E-4</v>
      </c>
      <c r="AR94" s="144">
        <v>37.130000000000003</v>
      </c>
      <c r="AS94" s="144">
        <v>37.770000000000003</v>
      </c>
      <c r="AT94" s="144">
        <v>38.19</v>
      </c>
      <c r="AU94" s="140">
        <f t="shared" si="91"/>
        <v>37.696666666666665</v>
      </c>
      <c r="AV94" s="470">
        <v>-3.5035151515151499</v>
      </c>
      <c r="AW94" s="470">
        <v>40.6726666666667</v>
      </c>
      <c r="AX94" s="362">
        <f>IF(AND(AR94="No CT",AS94="No CT",AT94="No CT"),0,10^((AU94-AW94)/AV94))</f>
        <v>7.0702147381020737</v>
      </c>
      <c r="AY94" s="330"/>
      <c r="AZ94" s="144">
        <v>35.42</v>
      </c>
      <c r="BA94" s="144">
        <v>36.44</v>
      </c>
      <c r="BB94" s="144">
        <v>36.58</v>
      </c>
      <c r="BC94" s="140">
        <f t="shared" si="93"/>
        <v>36.146666666666668</v>
      </c>
      <c r="BD94" s="150">
        <v>-3.4617</v>
      </c>
      <c r="BE94" s="640">
        <v>42.390999999999998</v>
      </c>
      <c r="BF94" s="353">
        <f>IF(AND(AZ94="No CT",BA94="No CT",BB94="No CT"),0,10^((BC94-BE94)/BD94))</f>
        <v>63.655266335636611</v>
      </c>
      <c r="BG94" s="360"/>
      <c r="BH94" s="637"/>
      <c r="BI94" s="412"/>
      <c r="BJ94" s="435"/>
      <c r="BK94" s="320"/>
      <c r="BL94" s="321"/>
      <c r="BM94" s="322"/>
      <c r="BN94" s="322"/>
      <c r="BO94" s="322"/>
      <c r="BP94" s="322"/>
      <c r="BQ94" s="322"/>
      <c r="BR94" s="322"/>
      <c r="BS94" s="321"/>
    </row>
    <row r="95" spans="1:71" s="277" customFormat="1" x14ac:dyDescent="0.2">
      <c r="A95" s="342"/>
      <c r="B95" s="342"/>
      <c r="C95" s="300"/>
      <c r="D95" s="666"/>
      <c r="E95" s="667"/>
      <c r="F95" s="668"/>
      <c r="G95" s="301"/>
      <c r="H95" s="301"/>
      <c r="I95" s="301"/>
      <c r="J95" s="301"/>
      <c r="K95" s="301"/>
      <c r="L95" s="302"/>
      <c r="M95" s="302"/>
      <c r="N95" s="279"/>
      <c r="O95" s="301"/>
      <c r="P95" s="301"/>
      <c r="Q95" s="301"/>
      <c r="R95" s="302"/>
      <c r="S95" s="303"/>
      <c r="T95" s="302"/>
      <c r="U95" s="302"/>
      <c r="V95" s="417"/>
      <c r="W95" s="302"/>
      <c r="X95" s="302"/>
      <c r="Y95" s="302"/>
      <c r="Z95" s="279"/>
      <c r="AA95" s="279"/>
      <c r="AB95" s="301"/>
      <c r="AC95" s="302"/>
      <c r="AD95" s="302"/>
      <c r="AE95" s="302"/>
      <c r="AF95" s="302"/>
      <c r="AG95" s="279"/>
      <c r="AH95" s="304"/>
      <c r="AI95" s="302"/>
      <c r="AJ95" s="305"/>
      <c r="AK95" s="305"/>
      <c r="AL95" s="302"/>
      <c r="AM95" s="306"/>
      <c r="AN95" s="306"/>
      <c r="AO95" s="306"/>
      <c r="AP95" s="307"/>
      <c r="AQ95" s="305"/>
      <c r="AR95" s="302"/>
      <c r="AS95" s="302"/>
      <c r="AT95" s="302"/>
      <c r="AU95" s="306"/>
      <c r="AV95" s="306"/>
      <c r="AW95" s="306"/>
      <c r="AX95" s="308"/>
      <c r="AY95" s="306"/>
      <c r="AZ95" s="302"/>
      <c r="BA95" s="302"/>
      <c r="BB95" s="302"/>
      <c r="BC95" s="306"/>
      <c r="BD95" s="306"/>
      <c r="BE95" s="306"/>
      <c r="BF95" s="304"/>
      <c r="BG95" s="304"/>
      <c r="BH95" s="635"/>
      <c r="BI95" s="446"/>
      <c r="BJ95" s="329"/>
      <c r="BK95" s="309"/>
      <c r="BL95" s="310"/>
      <c r="BM95" s="311"/>
      <c r="BN95" s="311"/>
      <c r="BO95" s="311"/>
      <c r="BP95" s="311"/>
      <c r="BQ95" s="311"/>
      <c r="BR95" s="311"/>
      <c r="BS95" s="310"/>
    </row>
    <row r="96" spans="1:71" s="277" customFormat="1" ht="15" x14ac:dyDescent="0.2">
      <c r="A96" s="343"/>
      <c r="B96" s="346">
        <v>44263</v>
      </c>
      <c r="C96" s="455" t="s">
        <v>230</v>
      </c>
      <c r="D96" s="680" t="s">
        <v>231</v>
      </c>
      <c r="E96" s="249" t="s">
        <v>232</v>
      </c>
      <c r="F96" s="681" t="s">
        <v>233</v>
      </c>
      <c r="G96" s="314"/>
      <c r="H96" s="314"/>
      <c r="I96" s="314"/>
      <c r="J96" s="314"/>
      <c r="K96" s="324"/>
      <c r="L96" s="457" t="s">
        <v>234</v>
      </c>
      <c r="M96" s="457"/>
      <c r="N96" s="285">
        <v>44264</v>
      </c>
      <c r="O96" s="457">
        <v>50</v>
      </c>
      <c r="P96" s="457" t="s">
        <v>235</v>
      </c>
      <c r="Q96" s="457" t="s">
        <v>236</v>
      </c>
      <c r="R96" s="375" t="s">
        <v>89</v>
      </c>
      <c r="S96" s="375">
        <v>7.55</v>
      </c>
      <c r="T96" s="375">
        <v>3.55</v>
      </c>
      <c r="U96" s="375">
        <v>10.6</v>
      </c>
      <c r="V96" s="487">
        <v>1.6</v>
      </c>
      <c r="W96" s="315"/>
      <c r="X96" s="315"/>
      <c r="Y96" s="315"/>
      <c r="Z96" s="476" t="s">
        <v>270</v>
      </c>
      <c r="AA96" s="283"/>
      <c r="AB96" s="139">
        <v>50</v>
      </c>
      <c r="AC96" s="315"/>
      <c r="AD96" s="315"/>
      <c r="AE96" s="457" t="s">
        <v>425</v>
      </c>
      <c r="AF96" s="315"/>
      <c r="AG96" s="476">
        <v>44265</v>
      </c>
      <c r="AH96" s="463">
        <v>5</v>
      </c>
      <c r="AI96" s="315"/>
      <c r="AJ96" s="144">
        <v>22.44</v>
      </c>
      <c r="AK96" s="144">
        <v>22.41</v>
      </c>
      <c r="AL96" s="144">
        <v>22.22</v>
      </c>
      <c r="AM96" s="140">
        <f t="shared" ref="AM96:AM105" si="103">AVERAGE(AJ96:AL96)</f>
        <v>22.356666666666666</v>
      </c>
      <c r="AN96" s="467">
        <v>-3.4410714285714286</v>
      </c>
      <c r="AO96" s="467">
        <v>48.943513064185922</v>
      </c>
      <c r="AP96" s="468">
        <f>IF(AND(AJ96="No CT",AK96="No CT",AL96="No CT"),0,10^((AM96-AO96)/AN96))</f>
        <v>53251023.801553398</v>
      </c>
      <c r="AQ96" s="469">
        <f>AP96*100/$AP$104</f>
        <v>39.100407493500683</v>
      </c>
      <c r="AR96" s="144">
        <v>28.61</v>
      </c>
      <c r="AS96" s="144">
        <v>28.43</v>
      </c>
      <c r="AT96" s="144">
        <v>28.32</v>
      </c>
      <c r="AU96" s="140">
        <f t="shared" ref="AU96:AU105" si="104">AVERAGE(AR96:AT96)</f>
        <v>28.453333333333333</v>
      </c>
      <c r="AV96" s="470">
        <v>-3.5035151515151512</v>
      </c>
      <c r="AW96" s="470">
        <v>40.672666666666665</v>
      </c>
      <c r="AX96" s="471">
        <f>IF(AND(AR96="No CT",AS96="No CT",AT96="No CT"),0,10^((AU96-AW96)/AV96))</f>
        <v>3074.2222504531555</v>
      </c>
      <c r="AY96" s="469">
        <f t="shared" ref="AY96:AY102" si="105">(AX96/AH96)*(AB96/O96)</f>
        <v>614.84445009063109</v>
      </c>
      <c r="AZ96" s="144">
        <v>36.25</v>
      </c>
      <c r="BA96" s="144">
        <v>36.380000000000003</v>
      </c>
      <c r="BB96" s="144">
        <v>36.83</v>
      </c>
      <c r="BC96" s="140">
        <f t="shared" ref="BC96:BC105" si="106">AVERAGE(AZ96:BB96)</f>
        <v>36.486666666666665</v>
      </c>
      <c r="BD96" s="150">
        <v>-3.4617</v>
      </c>
      <c r="BE96" s="640">
        <v>42.390999999999998</v>
      </c>
      <c r="BF96" s="469">
        <f>IF(AND(AZ96="No CT",BA96="No CT",BB96="No CT"),0,10^((BC96-BE96)/BD96))</f>
        <v>50.771114961052561</v>
      </c>
      <c r="BG96" s="643">
        <f t="shared" ref="BG96:BG102" si="107">(BF96/AH96)*(AB96/O96)</f>
        <v>10.154222992210512</v>
      </c>
      <c r="BH96" s="469">
        <f>BF96/AX96</f>
        <v>1.6515108806322849E-2</v>
      </c>
      <c r="BI96" s="412"/>
      <c r="BJ96" s="435"/>
      <c r="BK96" s="320"/>
      <c r="BL96" s="321"/>
      <c r="BM96" s="322"/>
      <c r="BN96" s="322"/>
      <c r="BO96" s="322"/>
      <c r="BP96" s="322"/>
      <c r="BQ96" s="322"/>
      <c r="BR96" s="322"/>
      <c r="BS96" s="321"/>
    </row>
    <row r="97" spans="1:71" s="277" customFormat="1" ht="15" x14ac:dyDescent="0.2">
      <c r="A97" s="343"/>
      <c r="B97" s="346">
        <v>44263</v>
      </c>
      <c r="C97" s="359" t="s">
        <v>243</v>
      </c>
      <c r="D97" s="682" t="s">
        <v>244</v>
      </c>
      <c r="E97" s="249" t="s">
        <v>232</v>
      </c>
      <c r="F97" s="683" t="s">
        <v>233</v>
      </c>
      <c r="G97" s="314"/>
      <c r="H97" s="314"/>
      <c r="I97" s="314"/>
      <c r="J97" s="314"/>
      <c r="K97" s="324"/>
      <c r="L97" s="261" t="s">
        <v>234</v>
      </c>
      <c r="M97" s="261"/>
      <c r="N97" s="285">
        <v>44264</v>
      </c>
      <c r="O97" s="261">
        <v>50</v>
      </c>
      <c r="P97" s="261" t="s">
        <v>235</v>
      </c>
      <c r="Q97" s="261" t="s">
        <v>236</v>
      </c>
      <c r="R97" s="375" t="s">
        <v>89</v>
      </c>
      <c r="S97" s="145">
        <v>7.42</v>
      </c>
      <c r="T97" s="141">
        <v>4.38</v>
      </c>
      <c r="U97" s="141">
        <v>135</v>
      </c>
      <c r="V97" s="45">
        <v>2.66</v>
      </c>
      <c r="W97" s="315"/>
      <c r="X97" s="315"/>
      <c r="Y97" s="315"/>
      <c r="Z97" s="476" t="s">
        <v>270</v>
      </c>
      <c r="AA97" s="283"/>
      <c r="AB97" s="139">
        <v>50</v>
      </c>
      <c r="AC97" s="315"/>
      <c r="AD97" s="315"/>
      <c r="AE97" s="457" t="s">
        <v>425</v>
      </c>
      <c r="AF97" s="315"/>
      <c r="AG97" s="476">
        <v>44265</v>
      </c>
      <c r="AH97" s="477">
        <v>5</v>
      </c>
      <c r="AI97" s="315"/>
      <c r="AJ97" s="144">
        <v>22.45</v>
      </c>
      <c r="AK97" s="144">
        <v>22.58</v>
      </c>
      <c r="AL97" s="144">
        <v>22.46</v>
      </c>
      <c r="AM97" s="140">
        <f t="shared" si="103"/>
        <v>22.49666666666667</v>
      </c>
      <c r="AN97" s="363">
        <v>-3.4410714285714286</v>
      </c>
      <c r="AO97" s="363">
        <v>48.943513064185922</v>
      </c>
      <c r="AP97" s="361">
        <f t="shared" ref="AP97:AP104" si="108">IF(AND(AJ97="No CT",AK97="No CT",AL97="No CT"),0,10^((AM97-AO97)/AN97))</f>
        <v>48488970.040895596</v>
      </c>
      <c r="AQ97" s="469">
        <f t="shared" ref="AQ97:AQ105" si="109">AP97*100/$AP$104</f>
        <v>35.60379410928541</v>
      </c>
      <c r="AR97" s="144">
        <v>23.15</v>
      </c>
      <c r="AS97" s="144">
        <v>23.24</v>
      </c>
      <c r="AT97" s="144">
        <v>23.14</v>
      </c>
      <c r="AU97" s="140">
        <f t="shared" si="104"/>
        <v>23.176666666666666</v>
      </c>
      <c r="AV97" s="478">
        <v>-3.5035151515151512</v>
      </c>
      <c r="AW97" s="478">
        <v>40.672666666666665</v>
      </c>
      <c r="AX97" s="362">
        <f>IF(AND(AR97="No CT",AS97="No CT",AT97="No CT"),0,10^((AU97-AW97)/AV97))</f>
        <v>98592.001401876987</v>
      </c>
      <c r="AY97" s="353">
        <f t="shared" si="105"/>
        <v>19718.400280375397</v>
      </c>
      <c r="AZ97" s="144">
        <v>35.42</v>
      </c>
      <c r="BA97" s="144">
        <v>35.909999999999997</v>
      </c>
      <c r="BB97" s="144">
        <v>35.89</v>
      </c>
      <c r="BC97" s="140">
        <f t="shared" si="106"/>
        <v>35.74</v>
      </c>
      <c r="BD97" s="150">
        <v>-3.4617</v>
      </c>
      <c r="BE97" s="640">
        <v>42.390999999999998</v>
      </c>
      <c r="BF97" s="353">
        <f t="shared" ref="BF97:BF104" si="110">IF(AND(AZ97="No CT",BA97="No CT",BB97="No CT"),0,10^((BC97-BE97)/BD97))</f>
        <v>83.427713076494541</v>
      </c>
      <c r="BG97" s="360">
        <f t="shared" si="107"/>
        <v>16.685542615298907</v>
      </c>
      <c r="BH97" s="353">
        <f t="shared" ref="BH97:BH102" si="111">BF97/AX97</f>
        <v>8.4619149515415199E-4</v>
      </c>
      <c r="BI97" s="412"/>
      <c r="BJ97" s="435"/>
      <c r="BK97" s="320"/>
      <c r="BL97" s="321"/>
      <c r="BM97" s="322"/>
      <c r="BN97" s="322"/>
      <c r="BO97" s="322"/>
      <c r="BP97" s="322"/>
      <c r="BQ97" s="322"/>
      <c r="BR97" s="322"/>
      <c r="BS97" s="321"/>
    </row>
    <row r="98" spans="1:71" s="277" customFormat="1" ht="15" x14ac:dyDescent="0.2">
      <c r="A98" s="343"/>
      <c r="B98" s="346">
        <v>44263</v>
      </c>
      <c r="C98" s="359" t="s">
        <v>245</v>
      </c>
      <c r="D98" s="682" t="s">
        <v>231</v>
      </c>
      <c r="E98" s="249" t="s">
        <v>246</v>
      </c>
      <c r="F98" s="683" t="s">
        <v>233</v>
      </c>
      <c r="G98" s="314"/>
      <c r="H98" s="314"/>
      <c r="I98" s="314"/>
      <c r="J98" s="314"/>
      <c r="K98" s="324"/>
      <c r="L98" s="261" t="s">
        <v>234</v>
      </c>
      <c r="M98" s="261"/>
      <c r="N98" s="285">
        <v>44264</v>
      </c>
      <c r="O98" s="261">
        <v>50</v>
      </c>
      <c r="P98" s="261" t="s">
        <v>235</v>
      </c>
      <c r="Q98" s="261" t="s">
        <v>236</v>
      </c>
      <c r="R98" s="375" t="s">
        <v>89</v>
      </c>
      <c r="S98" s="375">
        <v>7.73</v>
      </c>
      <c r="T98" s="375">
        <v>4.3</v>
      </c>
      <c r="U98" s="375">
        <v>142</v>
      </c>
      <c r="V98" s="487">
        <v>5.31</v>
      </c>
      <c r="W98" s="315"/>
      <c r="X98" s="315"/>
      <c r="Y98" s="315"/>
      <c r="Z98" s="476" t="s">
        <v>270</v>
      </c>
      <c r="AA98" s="283"/>
      <c r="AB98" s="139">
        <v>50</v>
      </c>
      <c r="AC98" s="315"/>
      <c r="AD98" s="315"/>
      <c r="AE98" s="457" t="s">
        <v>425</v>
      </c>
      <c r="AF98" s="315"/>
      <c r="AG98" s="476">
        <v>44265</v>
      </c>
      <c r="AH98" s="477">
        <v>5</v>
      </c>
      <c r="AI98" s="315"/>
      <c r="AJ98" s="143">
        <v>23.22</v>
      </c>
      <c r="AK98" s="143">
        <v>23.26</v>
      </c>
      <c r="AL98" s="144">
        <v>23.34</v>
      </c>
      <c r="AM98" s="140">
        <f t="shared" si="103"/>
        <v>23.273333333333337</v>
      </c>
      <c r="AN98" s="363">
        <v>-3.4410714285714286</v>
      </c>
      <c r="AO98" s="363">
        <v>48.943513064185922</v>
      </c>
      <c r="AP98" s="361">
        <f t="shared" si="108"/>
        <v>28836202.321532693</v>
      </c>
      <c r="AQ98" s="469">
        <f t="shared" si="109"/>
        <v>21.173438196019582</v>
      </c>
      <c r="AR98" s="144">
        <v>28.03</v>
      </c>
      <c r="AS98" s="144">
        <v>28.03</v>
      </c>
      <c r="AT98" s="144">
        <v>28.11</v>
      </c>
      <c r="AU98" s="140">
        <f t="shared" si="104"/>
        <v>28.056666666666668</v>
      </c>
      <c r="AV98" s="478">
        <v>-3.5035151515151512</v>
      </c>
      <c r="AW98" s="478">
        <v>40.672666666666665</v>
      </c>
      <c r="AX98" s="362">
        <f t="shared" ref="AX98:AX103" si="112">IF(AND(AR98="No CT",AS98="No CT",AT98="No CT"),0,10^((AU98-AW98)/AV98))</f>
        <v>3989.8345348458206</v>
      </c>
      <c r="AY98" s="353">
        <f t="shared" si="105"/>
        <v>797.96690696916414</v>
      </c>
      <c r="AZ98" s="144">
        <v>32.619999999999997</v>
      </c>
      <c r="BA98" s="144">
        <v>32.619999999999997</v>
      </c>
      <c r="BB98" s="144">
        <v>32.68</v>
      </c>
      <c r="BC98" s="140">
        <f t="shared" si="106"/>
        <v>32.639999999999993</v>
      </c>
      <c r="BD98" s="150">
        <v>-3.4617</v>
      </c>
      <c r="BE98" s="640">
        <v>42.390999999999998</v>
      </c>
      <c r="BF98" s="353">
        <f t="shared" si="110"/>
        <v>655.8795707475</v>
      </c>
      <c r="BG98" s="360">
        <f t="shared" si="107"/>
        <v>131.17591414949999</v>
      </c>
      <c r="BH98" s="353">
        <f t="shared" si="111"/>
        <v>0.16438766194920543</v>
      </c>
      <c r="BI98" s="412"/>
      <c r="BJ98" s="435"/>
      <c r="BK98" s="320"/>
      <c r="BL98" s="321"/>
      <c r="BM98" s="322"/>
      <c r="BN98" s="322"/>
      <c r="BO98" s="322"/>
      <c r="BP98" s="322"/>
      <c r="BQ98" s="322"/>
      <c r="BR98" s="322"/>
      <c r="BS98" s="321"/>
    </row>
    <row r="99" spans="1:71" s="277" customFormat="1" ht="15" x14ac:dyDescent="0.2">
      <c r="A99" s="343"/>
      <c r="B99" s="346">
        <v>44263</v>
      </c>
      <c r="C99" s="359" t="s">
        <v>247</v>
      </c>
      <c r="D99" s="682" t="s">
        <v>244</v>
      </c>
      <c r="E99" s="249" t="s">
        <v>246</v>
      </c>
      <c r="F99" s="683" t="s">
        <v>233</v>
      </c>
      <c r="G99" s="314"/>
      <c r="H99" s="314"/>
      <c r="I99" s="314"/>
      <c r="J99" s="314"/>
      <c r="K99" s="324"/>
      <c r="L99" s="261" t="s">
        <v>234</v>
      </c>
      <c r="M99" s="261"/>
      <c r="N99" s="285">
        <v>44264</v>
      </c>
      <c r="O99" s="261">
        <v>50</v>
      </c>
      <c r="P99" s="261" t="s">
        <v>235</v>
      </c>
      <c r="Q99" s="261" t="s">
        <v>236</v>
      </c>
      <c r="R99" s="375" t="s">
        <v>89</v>
      </c>
      <c r="S99" s="142">
        <v>7.16</v>
      </c>
      <c r="T99" s="141">
        <v>4.25</v>
      </c>
      <c r="U99" s="141">
        <v>279</v>
      </c>
      <c r="V99" s="45">
        <v>5.38</v>
      </c>
      <c r="W99" s="315"/>
      <c r="X99" s="315"/>
      <c r="Y99" s="315"/>
      <c r="Z99" s="476" t="s">
        <v>270</v>
      </c>
      <c r="AA99" s="283"/>
      <c r="AB99" s="139">
        <v>50</v>
      </c>
      <c r="AC99" s="315"/>
      <c r="AD99" s="315"/>
      <c r="AE99" s="457" t="s">
        <v>425</v>
      </c>
      <c r="AF99" s="315"/>
      <c r="AG99" s="476">
        <v>44265</v>
      </c>
      <c r="AH99" s="477">
        <v>5</v>
      </c>
      <c r="AI99" s="315"/>
      <c r="AJ99" s="143">
        <v>23.34</v>
      </c>
      <c r="AK99" s="143">
        <v>23.29</v>
      </c>
      <c r="AL99" s="144">
        <v>23.44</v>
      </c>
      <c r="AM99" s="140">
        <f t="shared" si="103"/>
        <v>23.356666666666666</v>
      </c>
      <c r="AN99" s="363">
        <v>-3.4410714285714286</v>
      </c>
      <c r="AO99" s="363">
        <v>48.943513064185922</v>
      </c>
      <c r="AP99" s="361">
        <f t="shared" si="108"/>
        <v>27272239.398857839</v>
      </c>
      <c r="AQ99" s="469">
        <f t="shared" si="109"/>
        <v>20.025073653598724</v>
      </c>
      <c r="AR99" s="144">
        <v>27.16</v>
      </c>
      <c r="AS99" s="144">
        <v>27.15</v>
      </c>
      <c r="AT99" s="144">
        <v>27.28</v>
      </c>
      <c r="AU99" s="140">
        <f t="shared" si="104"/>
        <v>27.196666666666669</v>
      </c>
      <c r="AV99" s="478">
        <v>-3.5035151515151512</v>
      </c>
      <c r="AW99" s="478">
        <v>40.672666666666665</v>
      </c>
      <c r="AX99" s="362">
        <f t="shared" si="112"/>
        <v>7021.3826287531247</v>
      </c>
      <c r="AY99" s="353">
        <f t="shared" si="105"/>
        <v>1404.2765257506248</v>
      </c>
      <c r="AZ99" s="144">
        <v>31.08</v>
      </c>
      <c r="BA99" s="144">
        <v>31.13</v>
      </c>
      <c r="BB99" s="144">
        <v>31.26</v>
      </c>
      <c r="BC99" s="140">
        <f t="shared" si="106"/>
        <v>31.156666666666666</v>
      </c>
      <c r="BD99" s="150">
        <v>-3.4617</v>
      </c>
      <c r="BE99" s="640">
        <v>42.390999999999998</v>
      </c>
      <c r="BF99" s="353">
        <f t="shared" si="110"/>
        <v>1759.2300132947455</v>
      </c>
      <c r="BG99" s="360">
        <f t="shared" si="107"/>
        <v>351.84600265894909</v>
      </c>
      <c r="BH99" s="353">
        <f t="shared" si="111"/>
        <v>0.25055321812125114</v>
      </c>
      <c r="BI99" s="412"/>
      <c r="BJ99" s="435"/>
      <c r="BK99" s="320"/>
      <c r="BL99" s="321"/>
      <c r="BM99" s="322"/>
      <c r="BN99" s="322"/>
      <c r="BO99" s="322"/>
      <c r="BP99" s="322"/>
      <c r="BQ99" s="322"/>
      <c r="BR99" s="322"/>
      <c r="BS99" s="321"/>
    </row>
    <row r="100" spans="1:71" s="277" customFormat="1" ht="15" x14ac:dyDescent="0.2">
      <c r="A100" s="343"/>
      <c r="B100" s="346">
        <v>44263</v>
      </c>
      <c r="C100" s="359" t="s">
        <v>248</v>
      </c>
      <c r="D100" s="682" t="s">
        <v>231</v>
      </c>
      <c r="E100" s="249" t="s">
        <v>249</v>
      </c>
      <c r="F100" s="683" t="s">
        <v>233</v>
      </c>
      <c r="G100" s="314"/>
      <c r="H100" s="314"/>
      <c r="I100" s="314"/>
      <c r="J100" s="314"/>
      <c r="K100" s="324"/>
      <c r="L100" s="261" t="s">
        <v>234</v>
      </c>
      <c r="M100" s="261"/>
      <c r="N100" s="285">
        <v>44264</v>
      </c>
      <c r="O100" s="261">
        <v>50</v>
      </c>
      <c r="P100" s="261" t="s">
        <v>235</v>
      </c>
      <c r="Q100" s="261" t="s">
        <v>236</v>
      </c>
      <c r="R100" s="375" t="s">
        <v>89</v>
      </c>
      <c r="S100" s="375">
        <v>10.61</v>
      </c>
      <c r="T100" s="375">
        <v>4.1399999999999997</v>
      </c>
      <c r="U100" s="375">
        <v>126</v>
      </c>
      <c r="V100" s="487">
        <v>5</v>
      </c>
      <c r="W100" s="315"/>
      <c r="X100" s="315"/>
      <c r="Y100" s="315"/>
      <c r="Z100" s="476" t="s">
        <v>270</v>
      </c>
      <c r="AA100" s="283"/>
      <c r="AB100" s="139">
        <v>50</v>
      </c>
      <c r="AC100" s="315"/>
      <c r="AD100" s="315"/>
      <c r="AE100" s="457" t="s">
        <v>425</v>
      </c>
      <c r="AF100" s="315"/>
      <c r="AG100" s="476">
        <v>44265</v>
      </c>
      <c r="AH100" s="477">
        <v>5</v>
      </c>
      <c r="AI100" s="315"/>
      <c r="AJ100" s="143">
        <v>27.96</v>
      </c>
      <c r="AK100" s="143">
        <v>27.92</v>
      </c>
      <c r="AL100" s="144">
        <v>27.81</v>
      </c>
      <c r="AM100" s="140">
        <f t="shared" si="103"/>
        <v>27.896666666666665</v>
      </c>
      <c r="AN100" s="363">
        <v>-3.4410714285714286</v>
      </c>
      <c r="AO100" s="363">
        <v>48.943513064185922</v>
      </c>
      <c r="AP100" s="361">
        <f t="shared" si="108"/>
        <v>1307266.968716023</v>
      </c>
      <c r="AQ100" s="469">
        <f t="shared" si="109"/>
        <v>0.95988147326660078</v>
      </c>
      <c r="AR100" s="144">
        <v>25.52</v>
      </c>
      <c r="AS100" s="144">
        <v>25.6</v>
      </c>
      <c r="AT100" s="144">
        <v>25.42</v>
      </c>
      <c r="AU100" s="140">
        <f t="shared" si="104"/>
        <v>25.513333333333335</v>
      </c>
      <c r="AV100" s="478">
        <v>-3.5035151515151512</v>
      </c>
      <c r="AW100" s="478">
        <v>40.672666666666665</v>
      </c>
      <c r="AX100" s="362">
        <f t="shared" si="112"/>
        <v>21227.188261388466</v>
      </c>
      <c r="AY100" s="353">
        <f t="shared" si="105"/>
        <v>4245.4376522776929</v>
      </c>
      <c r="AZ100" s="144">
        <v>31.69</v>
      </c>
      <c r="BA100" s="144">
        <v>31.99</v>
      </c>
      <c r="BB100" s="144">
        <v>32</v>
      </c>
      <c r="BC100" s="140">
        <f t="shared" si="106"/>
        <v>31.893333333333334</v>
      </c>
      <c r="BD100" s="150">
        <v>-3.4617</v>
      </c>
      <c r="BE100" s="640">
        <v>42.390999999999998</v>
      </c>
      <c r="BF100" s="353">
        <f t="shared" si="110"/>
        <v>1077.7492809254293</v>
      </c>
      <c r="BG100" s="360">
        <f t="shared" si="107"/>
        <v>215.54985618508584</v>
      </c>
      <c r="BH100" s="353">
        <f t="shared" si="111"/>
        <v>5.0772116761493964E-2</v>
      </c>
      <c r="BI100" s="412"/>
      <c r="BJ100" s="435"/>
      <c r="BK100" s="320"/>
      <c r="BL100" s="321"/>
      <c r="BM100" s="322"/>
      <c r="BN100" s="322"/>
      <c r="BO100" s="322"/>
      <c r="BP100" s="322"/>
      <c r="BQ100" s="322"/>
      <c r="BR100" s="322"/>
      <c r="BS100" s="321"/>
    </row>
    <row r="101" spans="1:71" s="277" customFormat="1" ht="15" x14ac:dyDescent="0.2">
      <c r="A101" s="343"/>
      <c r="B101" s="346">
        <v>44263</v>
      </c>
      <c r="C101" s="359" t="s">
        <v>250</v>
      </c>
      <c r="D101" s="682" t="s">
        <v>244</v>
      </c>
      <c r="E101" s="249" t="s">
        <v>249</v>
      </c>
      <c r="F101" s="683" t="s">
        <v>233</v>
      </c>
      <c r="G101" s="314"/>
      <c r="H101" s="314"/>
      <c r="I101" s="314"/>
      <c r="J101" s="314"/>
      <c r="K101" s="324"/>
      <c r="L101" s="261" t="s">
        <v>234</v>
      </c>
      <c r="M101" s="261"/>
      <c r="N101" s="285">
        <v>44264</v>
      </c>
      <c r="O101" s="261">
        <v>50</v>
      </c>
      <c r="P101" s="261" t="s">
        <v>235</v>
      </c>
      <c r="Q101" s="261" t="s">
        <v>236</v>
      </c>
      <c r="R101" s="375" t="s">
        <v>89</v>
      </c>
      <c r="S101" s="142">
        <v>7.66</v>
      </c>
      <c r="T101" s="141">
        <v>4.3499999999999996</v>
      </c>
      <c r="U101" s="141">
        <v>91.4</v>
      </c>
      <c r="V101" s="45">
        <v>7.12</v>
      </c>
      <c r="W101" s="315"/>
      <c r="X101" s="315"/>
      <c r="Y101" s="315"/>
      <c r="Z101" s="476" t="s">
        <v>270</v>
      </c>
      <c r="AA101" s="283"/>
      <c r="AB101" s="139">
        <v>50</v>
      </c>
      <c r="AC101" s="315"/>
      <c r="AD101" s="315"/>
      <c r="AE101" s="457" t="s">
        <v>425</v>
      </c>
      <c r="AF101" s="315"/>
      <c r="AG101" s="476">
        <v>44265</v>
      </c>
      <c r="AH101" s="477">
        <v>5</v>
      </c>
      <c r="AI101" s="315"/>
      <c r="AJ101" s="143">
        <v>22.45</v>
      </c>
      <c r="AK101" s="143">
        <v>22.52</v>
      </c>
      <c r="AL101" s="144">
        <v>22.46</v>
      </c>
      <c r="AM101" s="140">
        <f t="shared" si="103"/>
        <v>22.47666666666667</v>
      </c>
      <c r="AN101" s="363">
        <v>-3.4410714285714286</v>
      </c>
      <c r="AO101" s="363">
        <v>48.943513064185922</v>
      </c>
      <c r="AP101" s="361">
        <f t="shared" si="108"/>
        <v>49142257.42077896</v>
      </c>
      <c r="AQ101" s="469">
        <f t="shared" si="109"/>
        <v>36.083480713227395</v>
      </c>
      <c r="AR101" s="144">
        <v>27.94</v>
      </c>
      <c r="AS101" s="144">
        <v>28.02</v>
      </c>
      <c r="AT101" s="144">
        <v>28.01</v>
      </c>
      <c r="AU101" s="140">
        <f t="shared" si="104"/>
        <v>27.99</v>
      </c>
      <c r="AV101" s="478">
        <v>-3.5035151515151512</v>
      </c>
      <c r="AW101" s="478">
        <v>40.672666666666665</v>
      </c>
      <c r="AX101" s="362">
        <f t="shared" si="112"/>
        <v>4168.534433838212</v>
      </c>
      <c r="AY101" s="353">
        <f t="shared" si="105"/>
        <v>833.70688676764235</v>
      </c>
      <c r="AZ101" s="144">
        <v>32.51</v>
      </c>
      <c r="BA101" s="144">
        <v>32.54</v>
      </c>
      <c r="BB101" s="144">
        <v>32.369999999999997</v>
      </c>
      <c r="BC101" s="140">
        <f t="shared" si="106"/>
        <v>32.473333333333329</v>
      </c>
      <c r="BD101" s="150">
        <v>-3.4617</v>
      </c>
      <c r="BE101" s="640">
        <v>42.390999999999998</v>
      </c>
      <c r="BF101" s="353">
        <f t="shared" si="110"/>
        <v>732.77392177285026</v>
      </c>
      <c r="BG101" s="360">
        <f t="shared" si="107"/>
        <v>146.55478435457005</v>
      </c>
      <c r="BH101" s="353">
        <f t="shared" si="111"/>
        <v>0.1757869422463047</v>
      </c>
      <c r="BI101" s="412"/>
      <c r="BJ101" s="435"/>
      <c r="BK101" s="320"/>
      <c r="BL101" s="321"/>
      <c r="BM101" s="322"/>
      <c r="BN101" s="322"/>
      <c r="BO101" s="322"/>
      <c r="BP101" s="322"/>
      <c r="BQ101" s="322"/>
      <c r="BR101" s="322"/>
      <c r="BS101" s="321"/>
    </row>
    <row r="102" spans="1:71" s="277" customFormat="1" ht="15" x14ac:dyDescent="0.2">
      <c r="A102" s="343"/>
      <c r="B102" s="346">
        <v>44263</v>
      </c>
      <c r="C102" s="359" t="s">
        <v>251</v>
      </c>
      <c r="D102" s="682" t="s">
        <v>231</v>
      </c>
      <c r="E102" s="249" t="s">
        <v>252</v>
      </c>
      <c r="F102" s="683" t="s">
        <v>233</v>
      </c>
      <c r="G102" s="314"/>
      <c r="H102" s="314"/>
      <c r="I102" s="314"/>
      <c r="J102" s="314"/>
      <c r="K102" s="324"/>
      <c r="L102" s="261" t="s">
        <v>234</v>
      </c>
      <c r="M102" s="261"/>
      <c r="N102" s="285">
        <v>44264</v>
      </c>
      <c r="O102" s="261">
        <v>50</v>
      </c>
      <c r="P102" s="261" t="s">
        <v>235</v>
      </c>
      <c r="Q102" s="261" t="s">
        <v>236</v>
      </c>
      <c r="R102" s="375" t="s">
        <v>89</v>
      </c>
      <c r="S102" s="375">
        <v>8</v>
      </c>
      <c r="T102" s="375">
        <v>4.0199999999999996</v>
      </c>
      <c r="U102" s="375">
        <v>40.9</v>
      </c>
      <c r="V102" s="487">
        <v>5.96</v>
      </c>
      <c r="W102" s="315"/>
      <c r="X102" s="315"/>
      <c r="Y102" s="315"/>
      <c r="Z102" s="476" t="s">
        <v>270</v>
      </c>
      <c r="AA102" s="283"/>
      <c r="AB102" s="139">
        <v>50</v>
      </c>
      <c r="AC102" s="315"/>
      <c r="AD102" s="315"/>
      <c r="AE102" s="457" t="s">
        <v>425</v>
      </c>
      <c r="AF102" s="315"/>
      <c r="AG102" s="476">
        <v>44265</v>
      </c>
      <c r="AH102" s="477">
        <v>5</v>
      </c>
      <c r="AI102" s="315"/>
      <c r="AJ102" s="144">
        <v>23.14</v>
      </c>
      <c r="AK102" s="144">
        <v>23.08</v>
      </c>
      <c r="AL102" s="144">
        <v>23.1</v>
      </c>
      <c r="AM102" s="140">
        <f t="shared" si="103"/>
        <v>23.106666666666666</v>
      </c>
      <c r="AN102" s="363">
        <v>-3.4410714285714286</v>
      </c>
      <c r="AO102" s="363">
        <v>48.943513064185922</v>
      </c>
      <c r="AP102" s="361">
        <f t="shared" si="108"/>
        <v>32238334.034106024</v>
      </c>
      <c r="AQ102" s="469">
        <f t="shared" si="109"/>
        <v>23.671507281111953</v>
      </c>
      <c r="AR102" s="144">
        <v>28.27</v>
      </c>
      <c r="AS102" s="144">
        <v>28.26</v>
      </c>
      <c r="AT102" s="144">
        <v>28.24</v>
      </c>
      <c r="AU102" s="140">
        <f t="shared" si="104"/>
        <v>28.256666666666664</v>
      </c>
      <c r="AV102" s="478">
        <v>-3.5035151515151512</v>
      </c>
      <c r="AW102" s="478">
        <v>40.672666666666665</v>
      </c>
      <c r="AX102" s="362">
        <f t="shared" si="112"/>
        <v>3498.399164701782</v>
      </c>
      <c r="AY102" s="353">
        <f t="shared" si="105"/>
        <v>699.67983294035639</v>
      </c>
      <c r="AZ102" s="144">
        <v>35.700000000000003</v>
      </c>
      <c r="BA102" s="144">
        <v>36.1</v>
      </c>
      <c r="BB102" s="144">
        <v>36.119999999999997</v>
      </c>
      <c r="BC102" s="140">
        <f t="shared" si="106"/>
        <v>35.973333333333336</v>
      </c>
      <c r="BD102" s="150">
        <v>-3.4617</v>
      </c>
      <c r="BE102" s="640">
        <v>42.390999999999998</v>
      </c>
      <c r="BF102" s="353">
        <f t="shared" si="110"/>
        <v>71.434182169520071</v>
      </c>
      <c r="BG102" s="360">
        <f t="shared" si="107"/>
        <v>14.286836433904014</v>
      </c>
      <c r="BH102" s="353">
        <f t="shared" si="111"/>
        <v>2.0419105655603315E-2</v>
      </c>
      <c r="BI102" s="412"/>
      <c r="BJ102" s="435"/>
      <c r="BK102" s="320"/>
      <c r="BL102" s="321"/>
      <c r="BM102" s="322"/>
      <c r="BN102" s="322"/>
      <c r="BO102" s="322"/>
      <c r="BP102" s="322"/>
      <c r="BQ102" s="322"/>
      <c r="BR102" s="322"/>
      <c r="BS102" s="321"/>
    </row>
    <row r="103" spans="1:71" s="277" customFormat="1" ht="15" x14ac:dyDescent="0.2">
      <c r="A103" s="343"/>
      <c r="B103" s="346">
        <v>44263</v>
      </c>
      <c r="C103" s="359" t="s">
        <v>253</v>
      </c>
      <c r="D103" s="682" t="s">
        <v>244</v>
      </c>
      <c r="E103" s="249" t="s">
        <v>252</v>
      </c>
      <c r="F103" s="683" t="s">
        <v>233</v>
      </c>
      <c r="G103" s="314"/>
      <c r="H103" s="314"/>
      <c r="I103" s="314"/>
      <c r="J103" s="314"/>
      <c r="K103" s="324"/>
      <c r="L103" s="261" t="s">
        <v>234</v>
      </c>
      <c r="M103" s="261"/>
      <c r="N103" s="285">
        <v>44264</v>
      </c>
      <c r="O103" s="261">
        <v>50</v>
      </c>
      <c r="P103" s="261" t="s">
        <v>235</v>
      </c>
      <c r="Q103" s="261" t="s">
        <v>236</v>
      </c>
      <c r="R103" s="375" t="s">
        <v>89</v>
      </c>
      <c r="S103" s="145">
        <v>7.86</v>
      </c>
      <c r="T103" s="141">
        <v>3.72</v>
      </c>
      <c r="U103" s="141">
        <v>24</v>
      </c>
      <c r="V103" s="45">
        <v>4.2699999999999996</v>
      </c>
      <c r="W103" s="315"/>
      <c r="X103" s="315"/>
      <c r="Y103" s="315"/>
      <c r="Z103" s="476" t="s">
        <v>270</v>
      </c>
      <c r="AA103" s="283"/>
      <c r="AB103" s="139">
        <v>50</v>
      </c>
      <c r="AC103" s="315"/>
      <c r="AD103" s="315"/>
      <c r="AE103" s="457" t="s">
        <v>425</v>
      </c>
      <c r="AF103" s="315"/>
      <c r="AG103" s="476">
        <v>44265</v>
      </c>
      <c r="AH103" s="477">
        <v>5</v>
      </c>
      <c r="AI103" s="315"/>
      <c r="AJ103" s="144">
        <v>22.68</v>
      </c>
      <c r="AK103" s="144">
        <v>22.77</v>
      </c>
      <c r="AL103" s="144">
        <v>22.79</v>
      </c>
      <c r="AM103" s="140">
        <f t="shared" si="103"/>
        <v>22.74666666666667</v>
      </c>
      <c r="AN103" s="363">
        <v>-3.4410714285714286</v>
      </c>
      <c r="AO103" s="363">
        <v>48.943513064185922</v>
      </c>
      <c r="AP103" s="361">
        <f t="shared" si="108"/>
        <v>41019576.190268874</v>
      </c>
      <c r="AQ103" s="469">
        <f t="shared" si="109"/>
        <v>30.119273391386397</v>
      </c>
      <c r="AR103" s="144">
        <v>29.47</v>
      </c>
      <c r="AS103" s="144">
        <v>29.63</v>
      </c>
      <c r="AT103" s="144">
        <v>29.54</v>
      </c>
      <c r="AU103" s="140">
        <f t="shared" si="104"/>
        <v>29.546666666666663</v>
      </c>
      <c r="AV103" s="478">
        <v>-3.5035151515151512</v>
      </c>
      <c r="AW103" s="478">
        <v>40.672666666666665</v>
      </c>
      <c r="AX103" s="362">
        <f t="shared" si="112"/>
        <v>1498.5378874033061</v>
      </c>
      <c r="AY103" s="353">
        <f t="shared" ref="AY103" si="113">(AX103/AH103)*(AB103/O103)</f>
        <v>299.7075774806612</v>
      </c>
      <c r="AZ103" s="144">
        <v>35.26</v>
      </c>
      <c r="BA103" s="144">
        <v>35.880000000000003</v>
      </c>
      <c r="BB103" s="144">
        <v>35.409999999999997</v>
      </c>
      <c r="BC103" s="140">
        <f t="shared" si="106"/>
        <v>35.516666666666666</v>
      </c>
      <c r="BD103" s="150">
        <v>-3.4617</v>
      </c>
      <c r="BE103" s="640">
        <v>42.390999999999998</v>
      </c>
      <c r="BF103" s="353">
        <f t="shared" si="110"/>
        <v>96.788965185662761</v>
      </c>
      <c r="BG103" s="360">
        <f t="shared" ref="BG103" si="114">(BF103/AH103)*(AB103/O103)</f>
        <v>19.357793037132552</v>
      </c>
      <c r="BH103" s="353">
        <f>BF103/AX103</f>
        <v>6.45889343200928E-2</v>
      </c>
      <c r="BI103" s="412"/>
      <c r="BJ103" s="435"/>
      <c r="BK103" s="320"/>
      <c r="BL103" s="321"/>
      <c r="BM103" s="322"/>
      <c r="BN103" s="322"/>
      <c r="BO103" s="322"/>
      <c r="BP103" s="322"/>
      <c r="BQ103" s="322"/>
      <c r="BR103" s="322"/>
      <c r="BS103" s="321"/>
    </row>
    <row r="104" spans="1:71" s="277" customFormat="1" ht="15" x14ac:dyDescent="0.2">
      <c r="A104" s="343"/>
      <c r="B104" s="346">
        <v>44263</v>
      </c>
      <c r="C104" s="479" t="s">
        <v>254</v>
      </c>
      <c r="D104" s="684"/>
      <c r="E104" s="250"/>
      <c r="F104" s="685"/>
      <c r="G104" s="314"/>
      <c r="H104" s="314"/>
      <c r="I104" s="314"/>
      <c r="J104" s="314"/>
      <c r="K104" s="314"/>
      <c r="L104" s="315"/>
      <c r="M104" s="315"/>
      <c r="N104" s="283"/>
      <c r="O104" s="314"/>
      <c r="P104" s="314"/>
      <c r="Q104" s="314"/>
      <c r="R104" s="315"/>
      <c r="S104" s="316"/>
      <c r="T104" s="315"/>
      <c r="U104" s="315"/>
      <c r="V104" s="417"/>
      <c r="W104" s="315"/>
      <c r="X104" s="315"/>
      <c r="Y104" s="315"/>
      <c r="Z104" s="476" t="s">
        <v>270</v>
      </c>
      <c r="AA104" s="283"/>
      <c r="AB104" s="139">
        <v>50</v>
      </c>
      <c r="AC104" s="315"/>
      <c r="AD104" s="315"/>
      <c r="AE104" s="457" t="s">
        <v>425</v>
      </c>
      <c r="AF104" s="315"/>
      <c r="AG104" s="476">
        <v>44265</v>
      </c>
      <c r="AH104" s="477">
        <v>5</v>
      </c>
      <c r="AI104" s="315"/>
      <c r="AJ104" s="144">
        <v>20.88</v>
      </c>
      <c r="AK104" s="144">
        <v>20.99</v>
      </c>
      <c r="AL104" s="144">
        <v>20.99</v>
      </c>
      <c r="AM104" s="140">
        <f t="shared" si="103"/>
        <v>20.953333333333333</v>
      </c>
      <c r="AN104" s="363">
        <v>-3.4410714285714286</v>
      </c>
      <c r="AO104" s="363">
        <v>48.943513064185922</v>
      </c>
      <c r="AP104" s="361">
        <f t="shared" si="108"/>
        <v>136190457.37670344</v>
      </c>
      <c r="AQ104" s="469">
        <f t="shared" si="109"/>
        <v>100</v>
      </c>
      <c r="AR104" s="144">
        <v>33.21</v>
      </c>
      <c r="AS104" s="144">
        <v>33.06</v>
      </c>
      <c r="AT104" s="144">
        <v>33.450000000000003</v>
      </c>
      <c r="AU104" s="140">
        <f t="shared" si="104"/>
        <v>33.24</v>
      </c>
      <c r="AV104" s="478">
        <v>-3.5035151515151512</v>
      </c>
      <c r="AW104" s="478">
        <v>40.672666666666665</v>
      </c>
      <c r="AX104" s="362">
        <f>IF(AND(AR104="No CT",AS104="No CT",AT104="No CT"),0,10^((AU104-AW104)/AV104))</f>
        <v>132.27823008408262</v>
      </c>
      <c r="AY104" s="319"/>
      <c r="AZ104" s="144">
        <v>36.56</v>
      </c>
      <c r="BA104" s="144">
        <v>37.119999999999997</v>
      </c>
      <c r="BB104" s="144">
        <v>36.9</v>
      </c>
      <c r="BC104" s="140">
        <f t="shared" si="106"/>
        <v>36.860000000000007</v>
      </c>
      <c r="BD104" s="150">
        <v>-3.4617</v>
      </c>
      <c r="BE104" s="640">
        <v>42.390999999999998</v>
      </c>
      <c r="BF104" s="353">
        <f t="shared" si="110"/>
        <v>39.606811537150406</v>
      </c>
      <c r="BG104" s="360"/>
      <c r="BH104" s="353">
        <f t="shared" ref="BH104" si="115">BF104/AX104</f>
        <v>0.29942048296211965</v>
      </c>
      <c r="BI104" s="412"/>
      <c r="BJ104" s="435"/>
      <c r="BK104" s="320"/>
      <c r="BL104" s="321"/>
      <c r="BM104" s="322"/>
      <c r="BN104" s="322"/>
      <c r="BO104" s="322"/>
      <c r="BP104" s="322"/>
      <c r="BQ104" s="322"/>
      <c r="BR104" s="322"/>
      <c r="BS104" s="321"/>
    </row>
    <row r="105" spans="1:71" s="277" customFormat="1" ht="15" x14ac:dyDescent="0.2">
      <c r="A105" s="343"/>
      <c r="B105" s="346">
        <v>44263</v>
      </c>
      <c r="C105" s="359" t="s">
        <v>255</v>
      </c>
      <c r="D105" s="682"/>
      <c r="E105" s="249"/>
      <c r="F105" s="683"/>
      <c r="G105" s="314"/>
      <c r="H105" s="314"/>
      <c r="I105" s="314"/>
      <c r="J105" s="314"/>
      <c r="K105" s="314"/>
      <c r="L105" s="315"/>
      <c r="M105" s="315"/>
      <c r="N105" s="283"/>
      <c r="O105" s="314"/>
      <c r="P105" s="314"/>
      <c r="Q105" s="314"/>
      <c r="R105" s="315"/>
      <c r="S105" s="316"/>
      <c r="T105" s="315"/>
      <c r="U105" s="315"/>
      <c r="V105" s="417"/>
      <c r="W105" s="315"/>
      <c r="X105" s="315"/>
      <c r="Y105" s="315"/>
      <c r="Z105" s="283"/>
      <c r="AA105" s="283"/>
      <c r="AB105" s="314"/>
      <c r="AC105" s="315"/>
      <c r="AD105" s="315"/>
      <c r="AE105" s="315"/>
      <c r="AF105" s="315"/>
      <c r="AG105" s="476">
        <v>44265</v>
      </c>
      <c r="AH105" s="477">
        <v>5</v>
      </c>
      <c r="AI105" s="315"/>
      <c r="AJ105" s="144">
        <v>38.32</v>
      </c>
      <c r="AK105" s="144">
        <v>39.76</v>
      </c>
      <c r="AL105" s="144">
        <v>38.86</v>
      </c>
      <c r="AM105" s="140">
        <f t="shared" si="103"/>
        <v>38.979999999999997</v>
      </c>
      <c r="AN105" s="363">
        <v>-3.4410714285714299</v>
      </c>
      <c r="AO105" s="363">
        <v>48.9435130641859</v>
      </c>
      <c r="AP105" s="468">
        <f>IF(AND(AJ105="No CT",AK105="No CT",AL105="No CT"),0,10^((AM105-AO105)/AN105))</f>
        <v>786.0827191413739</v>
      </c>
      <c r="AQ105" s="469">
        <f t="shared" si="109"/>
        <v>5.7719368469926315E-4</v>
      </c>
      <c r="AR105" s="144">
        <v>37.130000000000003</v>
      </c>
      <c r="AS105" s="144">
        <v>37.770000000000003</v>
      </c>
      <c r="AT105" s="144">
        <v>38.19</v>
      </c>
      <c r="AU105" s="140">
        <f t="shared" si="104"/>
        <v>37.696666666666665</v>
      </c>
      <c r="AV105" s="470">
        <v>-3.5035151515151499</v>
      </c>
      <c r="AW105" s="470">
        <v>40.6726666666667</v>
      </c>
      <c r="AX105" s="362">
        <f>IF(AND(AR105="No CT",AS105="No CT",AT105="No CT"),0,10^((AU105-AW105)/AV105))</f>
        <v>7.0702147381020737</v>
      </c>
      <c r="AY105" s="319"/>
      <c r="AZ105" s="144">
        <v>35.42</v>
      </c>
      <c r="BA105" s="144">
        <v>36.44</v>
      </c>
      <c r="BB105" s="144">
        <v>36.58</v>
      </c>
      <c r="BC105" s="140">
        <f t="shared" si="106"/>
        <v>36.146666666666668</v>
      </c>
      <c r="BD105" s="150">
        <v>-3.4617</v>
      </c>
      <c r="BE105" s="640">
        <v>42.390999999999998</v>
      </c>
      <c r="BF105" s="353">
        <f>IF(AND(AZ105="No CT",BA105="No CT",BB105="No CT"),0,10^((BC105-BE105)/BD105))</f>
        <v>63.655266335636611</v>
      </c>
      <c r="BG105" s="360"/>
      <c r="BH105" s="637"/>
      <c r="BI105" s="412"/>
      <c r="BJ105" s="435"/>
      <c r="BK105" s="320"/>
      <c r="BL105" s="321"/>
      <c r="BM105" s="322"/>
      <c r="BN105" s="322"/>
      <c r="BO105" s="322"/>
      <c r="BP105" s="322"/>
      <c r="BQ105" s="322"/>
      <c r="BR105" s="322"/>
      <c r="BS105" s="321"/>
    </row>
    <row r="106" spans="1:71" s="432" customFormat="1" x14ac:dyDescent="0.2">
      <c r="A106" s="418"/>
      <c r="B106" s="418"/>
      <c r="C106" s="419"/>
      <c r="D106" s="675"/>
      <c r="E106" s="676"/>
      <c r="F106" s="677"/>
      <c r="G106" s="420"/>
      <c r="H106" s="420"/>
      <c r="I106" s="420"/>
      <c r="J106" s="420"/>
      <c r="K106" s="420"/>
      <c r="L106" s="421"/>
      <c r="M106" s="421"/>
      <c r="N106" s="422"/>
      <c r="O106" s="420"/>
      <c r="P106" s="420"/>
      <c r="Q106" s="420"/>
      <c r="R106" s="421"/>
      <c r="S106" s="423"/>
      <c r="T106" s="421"/>
      <c r="U106" s="421"/>
      <c r="V106" s="421"/>
      <c r="W106" s="421"/>
      <c r="X106" s="421"/>
      <c r="Y106" s="421"/>
      <c r="Z106" s="422"/>
      <c r="AA106" s="422"/>
      <c r="AB106" s="420"/>
      <c r="AC106" s="421"/>
      <c r="AD106" s="421"/>
      <c r="AE106" s="421"/>
      <c r="AF106" s="421"/>
      <c r="AG106" s="422"/>
      <c r="AH106" s="424"/>
      <c r="AI106" s="421"/>
      <c r="AJ106" s="425"/>
      <c r="AK106" s="425"/>
      <c r="AL106" s="421"/>
      <c r="AM106" s="426"/>
      <c r="AN106" s="426"/>
      <c r="AO106" s="426"/>
      <c r="AP106" s="427"/>
      <c r="AQ106" s="425"/>
      <c r="AR106" s="421"/>
      <c r="AS106" s="421"/>
      <c r="AT106" s="421"/>
      <c r="AU106" s="426"/>
      <c r="AV106" s="426"/>
      <c r="AW106" s="426"/>
      <c r="AX106" s="428"/>
      <c r="AY106" s="426"/>
      <c r="AZ106" s="421"/>
      <c r="BA106" s="421"/>
      <c r="BB106" s="421"/>
      <c r="BC106" s="426"/>
      <c r="BD106" s="426"/>
      <c r="BE106" s="426"/>
      <c r="BF106" s="424"/>
      <c r="BG106" s="424"/>
      <c r="BH106" s="636"/>
      <c r="BI106" s="447"/>
      <c r="BJ106" s="438"/>
      <c r="BK106" s="429"/>
      <c r="BL106" s="430"/>
      <c r="BM106" s="431"/>
      <c r="BN106" s="431"/>
      <c r="BO106" s="431"/>
      <c r="BP106" s="431"/>
      <c r="BQ106" s="431"/>
      <c r="BR106" s="431"/>
      <c r="BS106" s="430"/>
    </row>
    <row r="107" spans="1:71" s="277" customFormat="1" ht="15" x14ac:dyDescent="0.2">
      <c r="A107" s="343"/>
      <c r="B107" s="346">
        <v>44264</v>
      </c>
      <c r="C107" s="455" t="s">
        <v>230</v>
      </c>
      <c r="D107" s="680" t="s">
        <v>231</v>
      </c>
      <c r="E107" s="249" t="s">
        <v>232</v>
      </c>
      <c r="F107" s="681" t="s">
        <v>233</v>
      </c>
      <c r="G107" s="314"/>
      <c r="H107" s="314"/>
      <c r="I107" s="314"/>
      <c r="J107" s="314"/>
      <c r="K107" s="324"/>
      <c r="L107" s="457" t="s">
        <v>234</v>
      </c>
      <c r="M107" s="457"/>
      <c r="N107" s="285">
        <v>44265</v>
      </c>
      <c r="O107" s="457">
        <v>50</v>
      </c>
      <c r="P107" s="457" t="s">
        <v>235</v>
      </c>
      <c r="Q107" s="457" t="s">
        <v>236</v>
      </c>
      <c r="R107" s="375" t="s">
        <v>89</v>
      </c>
      <c r="S107" s="375">
        <v>7.07</v>
      </c>
      <c r="T107" s="375">
        <v>3.93</v>
      </c>
      <c r="U107" s="375">
        <v>241</v>
      </c>
      <c r="V107" s="375">
        <v>1.39</v>
      </c>
      <c r="W107" s="315"/>
      <c r="X107" s="315"/>
      <c r="Y107" s="315"/>
      <c r="Z107" s="476" t="s">
        <v>271</v>
      </c>
      <c r="AA107" s="283"/>
      <c r="AB107" s="139">
        <v>50</v>
      </c>
      <c r="AC107" s="315"/>
      <c r="AD107" s="315"/>
      <c r="AE107" s="457" t="s">
        <v>425</v>
      </c>
      <c r="AF107" s="315"/>
      <c r="AG107" s="476">
        <v>44270</v>
      </c>
      <c r="AH107" s="463">
        <v>5</v>
      </c>
      <c r="AI107" s="315"/>
      <c r="AJ107" s="144">
        <v>21.7625195169284</v>
      </c>
      <c r="AK107" s="144">
        <v>21.668209478984799</v>
      </c>
      <c r="AL107" s="144">
        <v>21.582420135120799</v>
      </c>
      <c r="AM107" s="140">
        <f t="shared" ref="AM107:AM116" si="116">AVERAGE(AJ107:AL107)</f>
        <v>21.671049710344665</v>
      </c>
      <c r="AN107" s="467">
        <v>-3.4410714285714286</v>
      </c>
      <c r="AO107" s="467">
        <v>48.943513064185922</v>
      </c>
      <c r="AP107" s="468">
        <f>IF(AND(AJ107="No CT",AK107="No CT",AL107="No CT"),0,10^((AM107-AO107)/AN107))</f>
        <v>84250630.449847773</v>
      </c>
      <c r="AQ107" s="469">
        <f>AP107*100/$AP$115</f>
        <v>26.520902299500477</v>
      </c>
      <c r="AR107" s="144">
        <v>28.1134310606745</v>
      </c>
      <c r="AS107" s="144">
        <v>28.053647706081001</v>
      </c>
      <c r="AT107" s="144">
        <v>27.864702789166799</v>
      </c>
      <c r="AU107" s="140">
        <f t="shared" ref="AU107:AU116" si="117">AVERAGE(AR107:AT107)</f>
        <v>28.010593851974097</v>
      </c>
      <c r="AV107" s="470">
        <v>-3.5035151515151512</v>
      </c>
      <c r="AW107" s="470">
        <v>40.672666666666665</v>
      </c>
      <c r="AX107" s="471">
        <f>IF(AND(AR107="No CT",AS107="No CT",AT107="No CT"),0,10^((AU107-AW107)/AV107))</f>
        <v>4112.4945848184097</v>
      </c>
      <c r="AY107" s="469">
        <f t="shared" ref="AY107:AY113" si="118">(AX107/AH107)*(AB107/O107)</f>
        <v>822.49891696368195</v>
      </c>
      <c r="AZ107" s="144">
        <v>37.650126991319397</v>
      </c>
      <c r="BA107" s="144">
        <v>37.629065024710101</v>
      </c>
      <c r="BB107" s="144">
        <v>37.201771950582</v>
      </c>
      <c r="BC107" s="140">
        <f t="shared" ref="BC107:BC116" si="119">AVERAGE(AZ107:BB107)</f>
        <v>37.493654655537163</v>
      </c>
      <c r="BD107" s="150">
        <v>-3.4617</v>
      </c>
      <c r="BE107" s="640">
        <v>42.390999999999998</v>
      </c>
      <c r="BF107" s="469">
        <f>IF(AND(AZ107="No CT",BA107="No CT",BB107="No CT"),0,10^((BC107-BE107)/BD107))</f>
        <v>25.984994825583829</v>
      </c>
      <c r="BG107" s="643">
        <f t="shared" ref="BG107:BG113" si="120">(BF107/AH107)*(AB107/O107)</f>
        <v>5.1969989651167658</v>
      </c>
      <c r="BH107" s="469">
        <f>BF107/AX107</f>
        <v>6.3185480952386991E-3</v>
      </c>
      <c r="BI107" s="412"/>
      <c r="BJ107" s="435"/>
      <c r="BK107" s="320"/>
      <c r="BL107" s="321"/>
      <c r="BM107" s="322"/>
      <c r="BN107" s="322"/>
      <c r="BO107" s="322"/>
      <c r="BP107" s="322"/>
      <c r="BQ107" s="322"/>
      <c r="BR107" s="322"/>
      <c r="BS107" s="321"/>
    </row>
    <row r="108" spans="1:71" s="277" customFormat="1" ht="15" x14ac:dyDescent="0.2">
      <c r="A108" s="343"/>
      <c r="B108" s="346">
        <v>44264</v>
      </c>
      <c r="C108" s="359" t="s">
        <v>243</v>
      </c>
      <c r="D108" s="682" t="s">
        <v>244</v>
      </c>
      <c r="E108" s="249" t="s">
        <v>232</v>
      </c>
      <c r="F108" s="683" t="s">
        <v>233</v>
      </c>
      <c r="G108" s="314"/>
      <c r="H108" s="314"/>
      <c r="I108" s="314"/>
      <c r="J108" s="314"/>
      <c r="K108" s="324"/>
      <c r="L108" s="261" t="s">
        <v>234</v>
      </c>
      <c r="M108" s="261"/>
      <c r="N108" s="285">
        <v>44265</v>
      </c>
      <c r="O108" s="261">
        <v>50</v>
      </c>
      <c r="P108" s="261" t="s">
        <v>235</v>
      </c>
      <c r="Q108" s="261" t="s">
        <v>236</v>
      </c>
      <c r="R108" s="375" t="s">
        <v>89</v>
      </c>
      <c r="S108" s="145">
        <v>7.17</v>
      </c>
      <c r="T108" s="141">
        <v>4.4400000000000004</v>
      </c>
      <c r="U108" s="141">
        <v>31.2</v>
      </c>
      <c r="V108" s="141">
        <v>2.75</v>
      </c>
      <c r="W108" s="315"/>
      <c r="X108" s="315"/>
      <c r="Y108" s="315"/>
      <c r="Z108" s="476" t="s">
        <v>271</v>
      </c>
      <c r="AA108" s="283"/>
      <c r="AB108" s="139">
        <v>50</v>
      </c>
      <c r="AC108" s="315"/>
      <c r="AD108" s="315"/>
      <c r="AE108" s="261" t="s">
        <v>241</v>
      </c>
      <c r="AF108" s="314"/>
      <c r="AG108" s="476">
        <v>44270</v>
      </c>
      <c r="AH108" s="477">
        <v>5</v>
      </c>
      <c r="AI108" s="315"/>
      <c r="AJ108" s="144">
        <v>20.710372595510801</v>
      </c>
      <c r="AK108" s="144">
        <v>20.703710799746801</v>
      </c>
      <c r="AL108" s="144">
        <v>20.691197863672301</v>
      </c>
      <c r="AM108" s="140">
        <f t="shared" si="116"/>
        <v>20.701760419643303</v>
      </c>
      <c r="AN108" s="363">
        <v>-3.4410714285714286</v>
      </c>
      <c r="AO108" s="363">
        <v>48.943513064185922</v>
      </c>
      <c r="AP108" s="361">
        <f t="shared" ref="AP108:AP115" si="121">IF(AND(AJ108="No CT",AK108="No CT",AL108="No CT"),0,10^((AM108-AO108)/AN108))</f>
        <v>161159372.87351537</v>
      </c>
      <c r="AQ108" s="469">
        <f t="shared" ref="AQ108:AQ116" si="122">AP108*100/$AP$115</f>
        <v>50.7306824863646</v>
      </c>
      <c r="AR108" s="144">
        <v>26.343723958737701</v>
      </c>
      <c r="AS108" s="144">
        <v>26.460886161478701</v>
      </c>
      <c r="AT108" s="144">
        <v>26.438227367456498</v>
      </c>
      <c r="AU108" s="140">
        <f t="shared" si="117"/>
        <v>26.414279162557634</v>
      </c>
      <c r="AV108" s="478">
        <v>-3.5035151515151512</v>
      </c>
      <c r="AW108" s="478">
        <v>40.672666666666665</v>
      </c>
      <c r="AX108" s="362">
        <f>IF(AND(AR108="No CT",AS108="No CT",AT108="No CT"),0,10^((AU108-AW108)/AV108))</f>
        <v>11741.880215409625</v>
      </c>
      <c r="AY108" s="353">
        <f t="shared" si="118"/>
        <v>2348.3760430819248</v>
      </c>
      <c r="AZ108" s="144">
        <v>37.650197700959097</v>
      </c>
      <c r="BA108" s="144">
        <v>39.490375892852299</v>
      </c>
      <c r="BB108" s="144">
        <v>37.273681711639803</v>
      </c>
      <c r="BC108" s="140">
        <f t="shared" si="119"/>
        <v>38.138085101817069</v>
      </c>
      <c r="BD108" s="150">
        <v>-3.4617</v>
      </c>
      <c r="BE108" s="640">
        <v>42.390999999999998</v>
      </c>
      <c r="BF108" s="353">
        <f t="shared" ref="BF108:BF115" si="123">IF(AND(AZ108="No CT",BA108="No CT",BB108="No CT"),0,10^((BC108-BE108)/BD108))</f>
        <v>16.926319197134983</v>
      </c>
      <c r="BG108" s="360">
        <f t="shared" si="120"/>
        <v>3.3852638394269965</v>
      </c>
      <c r="BH108" s="353">
        <f t="shared" ref="BH108:BH113" si="124">BF108/AX108</f>
        <v>1.4415339695700085E-3</v>
      </c>
      <c r="BI108" s="412"/>
      <c r="BJ108" s="435"/>
      <c r="BK108" s="320"/>
      <c r="BL108" s="321"/>
      <c r="BM108" s="322"/>
      <c r="BN108" s="322"/>
      <c r="BO108" s="322"/>
      <c r="BP108" s="322"/>
      <c r="BQ108" s="322"/>
      <c r="BR108" s="322"/>
      <c r="BS108" s="321"/>
    </row>
    <row r="109" spans="1:71" s="277" customFormat="1" ht="15" x14ac:dyDescent="0.2">
      <c r="A109" s="343"/>
      <c r="B109" s="346">
        <v>44264</v>
      </c>
      <c r="C109" s="359" t="s">
        <v>245</v>
      </c>
      <c r="D109" s="682" t="s">
        <v>231</v>
      </c>
      <c r="E109" s="249" t="s">
        <v>246</v>
      </c>
      <c r="F109" s="683" t="s">
        <v>233</v>
      </c>
      <c r="G109" s="314"/>
      <c r="H109" s="314"/>
      <c r="I109" s="314"/>
      <c r="J109" s="314"/>
      <c r="K109" s="324"/>
      <c r="L109" s="261" t="s">
        <v>234</v>
      </c>
      <c r="M109" s="261"/>
      <c r="N109" s="285">
        <v>44265</v>
      </c>
      <c r="O109" s="261">
        <v>50</v>
      </c>
      <c r="P109" s="261" t="s">
        <v>235</v>
      </c>
      <c r="Q109" s="261" t="s">
        <v>236</v>
      </c>
      <c r="R109" s="375" t="s">
        <v>89</v>
      </c>
      <c r="S109" s="375">
        <v>7.61</v>
      </c>
      <c r="T109" s="375">
        <v>4.2300000000000004</v>
      </c>
      <c r="U109" s="375">
        <v>92.2</v>
      </c>
      <c r="V109" s="375">
        <v>2.2200000000000002</v>
      </c>
      <c r="W109" s="315"/>
      <c r="X109" s="315"/>
      <c r="Y109" s="315"/>
      <c r="Z109" s="476" t="s">
        <v>271</v>
      </c>
      <c r="AA109" s="283"/>
      <c r="AB109" s="139">
        <v>50</v>
      </c>
      <c r="AC109" s="315"/>
      <c r="AD109" s="315"/>
      <c r="AE109" s="261" t="s">
        <v>241</v>
      </c>
      <c r="AF109" s="314"/>
      <c r="AG109" s="476">
        <v>44270</v>
      </c>
      <c r="AH109" s="477">
        <v>5</v>
      </c>
      <c r="AI109" s="315"/>
      <c r="AJ109" s="143">
        <v>22.122703151233399</v>
      </c>
      <c r="AK109" s="143">
        <v>22.1747389713072</v>
      </c>
      <c r="AL109" s="144">
        <v>22.231941785829999</v>
      </c>
      <c r="AM109" s="140">
        <f t="shared" si="116"/>
        <v>22.176461302790202</v>
      </c>
      <c r="AN109" s="363">
        <v>-3.4410714285714286</v>
      </c>
      <c r="AO109" s="363">
        <v>48.943513064185922</v>
      </c>
      <c r="AP109" s="361">
        <f t="shared" si="121"/>
        <v>60075435.969707616</v>
      </c>
      <c r="AQ109" s="469">
        <f t="shared" si="122"/>
        <v>18.910894309579508</v>
      </c>
      <c r="AR109" s="144">
        <v>26.799802563004899</v>
      </c>
      <c r="AS109" s="144">
        <v>26.881598460682898</v>
      </c>
      <c r="AT109" s="144">
        <v>26.942497161535599</v>
      </c>
      <c r="AU109" s="140">
        <f t="shared" si="117"/>
        <v>26.8746327284078</v>
      </c>
      <c r="AV109" s="478">
        <v>-3.5035151515151512</v>
      </c>
      <c r="AW109" s="478">
        <v>40.672666666666665</v>
      </c>
      <c r="AX109" s="362">
        <f t="shared" ref="AX109:AX114" si="125">IF(AND(AR109="No CT",AS109="No CT",AT109="No CT"),0,10^((AU109-AW109)/AV109))</f>
        <v>8676.4091128376185</v>
      </c>
      <c r="AY109" s="353">
        <f t="shared" si="118"/>
        <v>1735.2818225675237</v>
      </c>
      <c r="AZ109" s="144">
        <v>35.190401546641901</v>
      </c>
      <c r="BA109" s="144">
        <v>34.900483462059398</v>
      </c>
      <c r="BB109" s="144">
        <v>34.734265262860802</v>
      </c>
      <c r="BC109" s="140">
        <f t="shared" si="119"/>
        <v>34.941716757187365</v>
      </c>
      <c r="BD109" s="150">
        <v>-3.4617</v>
      </c>
      <c r="BE109" s="640">
        <v>42.390999999999998</v>
      </c>
      <c r="BF109" s="353">
        <f t="shared" si="123"/>
        <v>141.87789499902647</v>
      </c>
      <c r="BG109" s="360">
        <f t="shared" si="120"/>
        <v>28.375578999805292</v>
      </c>
      <c r="BH109" s="353">
        <f t="shared" si="124"/>
        <v>1.6352144436009117E-2</v>
      </c>
      <c r="BI109" s="412"/>
      <c r="BJ109" s="435"/>
      <c r="BK109" s="320"/>
      <c r="BL109" s="321"/>
      <c r="BM109" s="322"/>
      <c r="BN109" s="322"/>
      <c r="BO109" s="322"/>
      <c r="BP109" s="322"/>
      <c r="BQ109" s="322"/>
      <c r="BR109" s="322"/>
      <c r="BS109" s="321"/>
    </row>
    <row r="110" spans="1:71" s="277" customFormat="1" ht="15" x14ac:dyDescent="0.2">
      <c r="A110" s="343"/>
      <c r="B110" s="346">
        <v>44264</v>
      </c>
      <c r="C110" s="359" t="s">
        <v>247</v>
      </c>
      <c r="D110" s="682" t="s">
        <v>244</v>
      </c>
      <c r="E110" s="249" t="s">
        <v>246</v>
      </c>
      <c r="F110" s="683" t="s">
        <v>233</v>
      </c>
      <c r="G110" s="314"/>
      <c r="H110" s="314"/>
      <c r="I110" s="314"/>
      <c r="J110" s="314"/>
      <c r="K110" s="324"/>
      <c r="L110" s="261" t="s">
        <v>234</v>
      </c>
      <c r="M110" s="261"/>
      <c r="N110" s="285">
        <v>44265</v>
      </c>
      <c r="O110" s="261">
        <v>50</v>
      </c>
      <c r="P110" s="261" t="s">
        <v>235</v>
      </c>
      <c r="Q110" s="261" t="s">
        <v>236</v>
      </c>
      <c r="R110" s="375" t="s">
        <v>89</v>
      </c>
      <c r="S110" s="142">
        <v>7.37</v>
      </c>
      <c r="T110" s="141">
        <v>4.34</v>
      </c>
      <c r="U110" s="141">
        <v>107</v>
      </c>
      <c r="V110" s="141">
        <v>6.26</v>
      </c>
      <c r="W110" s="315"/>
      <c r="X110" s="315"/>
      <c r="Y110" s="315"/>
      <c r="Z110" s="476" t="s">
        <v>271</v>
      </c>
      <c r="AA110" s="283"/>
      <c r="AB110" s="139">
        <v>50</v>
      </c>
      <c r="AC110" s="315"/>
      <c r="AD110" s="315"/>
      <c r="AE110" s="261" t="s">
        <v>241</v>
      </c>
      <c r="AF110" s="314"/>
      <c r="AG110" s="476">
        <v>44270</v>
      </c>
      <c r="AH110" s="477">
        <v>5</v>
      </c>
      <c r="AI110" s="315"/>
      <c r="AJ110" s="143">
        <v>21.7449806916322</v>
      </c>
      <c r="AK110" s="143">
        <v>21.6985455935896</v>
      </c>
      <c r="AL110" s="144">
        <v>21.812216983947899</v>
      </c>
      <c r="AM110" s="140">
        <f t="shared" si="116"/>
        <v>21.751914423056565</v>
      </c>
      <c r="AN110" s="363">
        <v>-3.4410714285714286</v>
      </c>
      <c r="AO110" s="363">
        <v>48.943513064185922</v>
      </c>
      <c r="AP110" s="361">
        <f t="shared" si="121"/>
        <v>79812937.416752785</v>
      </c>
      <c r="AQ110" s="469">
        <f t="shared" si="122"/>
        <v>25.123979537765834</v>
      </c>
      <c r="AR110" s="144">
        <v>27.0728981284261</v>
      </c>
      <c r="AS110" s="144">
        <v>27.104417942961401</v>
      </c>
      <c r="AT110" s="144">
        <v>27.242765043042301</v>
      </c>
      <c r="AU110" s="140">
        <f t="shared" si="117"/>
        <v>27.14002703814327</v>
      </c>
      <c r="AV110" s="478">
        <v>-3.5035151515151512</v>
      </c>
      <c r="AW110" s="478">
        <v>40.672666666666665</v>
      </c>
      <c r="AX110" s="362">
        <f t="shared" si="125"/>
        <v>7287.6776564092479</v>
      </c>
      <c r="AY110" s="353">
        <f t="shared" si="118"/>
        <v>1457.5355312818497</v>
      </c>
      <c r="AZ110" s="144">
        <v>32.107800934225203</v>
      </c>
      <c r="BA110" s="144">
        <v>32.178861888748898</v>
      </c>
      <c r="BB110" s="144">
        <v>32.116282452326502</v>
      </c>
      <c r="BC110" s="140">
        <f t="shared" si="119"/>
        <v>32.134315091766872</v>
      </c>
      <c r="BD110" s="150">
        <v>-3.4617</v>
      </c>
      <c r="BE110" s="640">
        <v>42.390999999999998</v>
      </c>
      <c r="BF110" s="353">
        <f t="shared" si="123"/>
        <v>918.12970344557311</v>
      </c>
      <c r="BG110" s="360">
        <f t="shared" si="120"/>
        <v>183.62594068911463</v>
      </c>
      <c r="BH110" s="353">
        <f t="shared" si="124"/>
        <v>0.12598385202151627</v>
      </c>
      <c r="BI110" s="412"/>
      <c r="BJ110" s="435"/>
      <c r="BK110" s="320"/>
      <c r="BL110" s="321"/>
      <c r="BM110" s="322"/>
      <c r="BN110" s="322"/>
      <c r="BO110" s="322"/>
      <c r="BP110" s="322"/>
      <c r="BQ110" s="322"/>
      <c r="BR110" s="322"/>
      <c r="BS110" s="321"/>
    </row>
    <row r="111" spans="1:71" s="277" customFormat="1" ht="15" x14ac:dyDescent="0.2">
      <c r="A111" s="343"/>
      <c r="B111" s="346">
        <v>44264</v>
      </c>
      <c r="C111" s="359" t="s">
        <v>248</v>
      </c>
      <c r="D111" s="682" t="s">
        <v>231</v>
      </c>
      <c r="E111" s="249" t="s">
        <v>249</v>
      </c>
      <c r="F111" s="683" t="s">
        <v>233</v>
      </c>
      <c r="G111" s="314"/>
      <c r="H111" s="314"/>
      <c r="I111" s="314"/>
      <c r="J111" s="314"/>
      <c r="K111" s="324"/>
      <c r="L111" s="261" t="s">
        <v>234</v>
      </c>
      <c r="M111" s="261"/>
      <c r="N111" s="285">
        <v>44265</v>
      </c>
      <c r="O111" s="261">
        <v>50</v>
      </c>
      <c r="P111" s="261" t="s">
        <v>235</v>
      </c>
      <c r="Q111" s="261" t="s">
        <v>236</v>
      </c>
      <c r="R111" s="375" t="s">
        <v>89</v>
      </c>
      <c r="S111" s="375">
        <v>7.98</v>
      </c>
      <c r="T111" s="375">
        <v>4.32</v>
      </c>
      <c r="U111" s="375">
        <v>25.2</v>
      </c>
      <c r="V111" s="375">
        <v>4.09</v>
      </c>
      <c r="W111" s="315"/>
      <c r="X111" s="315"/>
      <c r="Y111" s="315"/>
      <c r="Z111" s="476" t="s">
        <v>271</v>
      </c>
      <c r="AA111" s="283"/>
      <c r="AB111" s="139">
        <v>50</v>
      </c>
      <c r="AC111" s="315"/>
      <c r="AD111" s="315"/>
      <c r="AE111" s="261" t="s">
        <v>241</v>
      </c>
      <c r="AF111" s="314"/>
      <c r="AG111" s="476">
        <v>44270</v>
      </c>
      <c r="AH111" s="477">
        <v>5</v>
      </c>
      <c r="AI111" s="315"/>
      <c r="AJ111" s="143">
        <v>21.215969887797701</v>
      </c>
      <c r="AK111" s="143">
        <v>21.2286559205399</v>
      </c>
      <c r="AL111" s="144">
        <v>20.9641244048745</v>
      </c>
      <c r="AM111" s="140">
        <f t="shared" si="116"/>
        <v>21.136250071070702</v>
      </c>
      <c r="AN111" s="363">
        <v>-3.4410714285714286</v>
      </c>
      <c r="AO111" s="363">
        <v>48.943513064185922</v>
      </c>
      <c r="AP111" s="361">
        <f t="shared" si="121"/>
        <v>120500754.02195673</v>
      </c>
      <c r="AQ111" s="469">
        <f t="shared" si="122"/>
        <v>37.931926531218352</v>
      </c>
      <c r="AR111" s="144">
        <v>27.8389160423629</v>
      </c>
      <c r="AS111" s="144">
        <v>27.743696090627701</v>
      </c>
      <c r="AT111" s="144">
        <v>27.496600217429101</v>
      </c>
      <c r="AU111" s="140">
        <f t="shared" si="117"/>
        <v>27.693070783473235</v>
      </c>
      <c r="AV111" s="478">
        <v>-3.5035151515151512</v>
      </c>
      <c r="AW111" s="478">
        <v>40.672666666666665</v>
      </c>
      <c r="AX111" s="362">
        <f t="shared" si="125"/>
        <v>5066.8167037806616</v>
      </c>
      <c r="AY111" s="353">
        <f t="shared" si="118"/>
        <v>1013.3633407561323</v>
      </c>
      <c r="AZ111" s="144">
        <v>34.510468277339598</v>
      </c>
      <c r="BA111" s="144">
        <v>34.022163774805499</v>
      </c>
      <c r="BB111" s="144">
        <v>34.343641305267198</v>
      </c>
      <c r="BC111" s="140">
        <f t="shared" si="119"/>
        <v>34.292091119137432</v>
      </c>
      <c r="BD111" s="150">
        <v>-3.4617</v>
      </c>
      <c r="BE111" s="640">
        <v>42.390999999999998</v>
      </c>
      <c r="BF111" s="353">
        <f t="shared" si="123"/>
        <v>218.56247884119136</v>
      </c>
      <c r="BG111" s="360">
        <f t="shared" si="120"/>
        <v>43.71249576823827</v>
      </c>
      <c r="BH111" s="353">
        <f t="shared" si="124"/>
        <v>4.313605398002824E-2</v>
      </c>
      <c r="BI111" s="412"/>
      <c r="BJ111" s="435"/>
      <c r="BK111" s="320"/>
      <c r="BL111" s="321"/>
      <c r="BM111" s="322"/>
      <c r="BN111" s="322"/>
      <c r="BO111" s="322"/>
      <c r="BP111" s="322"/>
      <c r="BQ111" s="322"/>
      <c r="BR111" s="322"/>
      <c r="BS111" s="321"/>
    </row>
    <row r="112" spans="1:71" s="277" customFormat="1" ht="15" x14ac:dyDescent="0.2">
      <c r="A112" s="343"/>
      <c r="B112" s="346">
        <v>44264</v>
      </c>
      <c r="C112" s="359" t="s">
        <v>250</v>
      </c>
      <c r="D112" s="682" t="s">
        <v>244</v>
      </c>
      <c r="E112" s="249" t="s">
        <v>249</v>
      </c>
      <c r="F112" s="683" t="s">
        <v>233</v>
      </c>
      <c r="G112" s="314"/>
      <c r="H112" s="314"/>
      <c r="I112" s="314"/>
      <c r="J112" s="314"/>
      <c r="K112" s="324"/>
      <c r="L112" s="261" t="s">
        <v>234</v>
      </c>
      <c r="M112" s="261"/>
      <c r="N112" s="285">
        <v>44265</v>
      </c>
      <c r="O112" s="261">
        <v>50</v>
      </c>
      <c r="P112" s="261" t="s">
        <v>235</v>
      </c>
      <c r="Q112" s="261" t="s">
        <v>236</v>
      </c>
      <c r="R112" s="375" t="s">
        <v>89</v>
      </c>
      <c r="S112" s="142">
        <v>8.51</v>
      </c>
      <c r="T112" s="141">
        <v>4.1900000000000004</v>
      </c>
      <c r="U112" s="141">
        <v>52.2</v>
      </c>
      <c r="V112" s="141">
        <v>7.23</v>
      </c>
      <c r="W112" s="315"/>
      <c r="X112" s="315"/>
      <c r="Y112" s="315"/>
      <c r="Z112" s="476" t="s">
        <v>271</v>
      </c>
      <c r="AA112" s="283"/>
      <c r="AB112" s="139">
        <v>50</v>
      </c>
      <c r="AC112" s="315"/>
      <c r="AD112" s="315"/>
      <c r="AE112" s="261" t="s">
        <v>241</v>
      </c>
      <c r="AF112" s="314"/>
      <c r="AG112" s="476">
        <v>44270</v>
      </c>
      <c r="AH112" s="477">
        <v>5</v>
      </c>
      <c r="AI112" s="315"/>
      <c r="AJ112" s="143">
        <v>21.768831656842099</v>
      </c>
      <c r="AK112" s="143">
        <v>21.6524692604767</v>
      </c>
      <c r="AL112" s="144">
        <v>21.678018218344199</v>
      </c>
      <c r="AM112" s="140">
        <f t="shared" si="116"/>
        <v>21.699773045220997</v>
      </c>
      <c r="AN112" s="363">
        <v>-3.4410714285714286</v>
      </c>
      <c r="AO112" s="363">
        <v>48.943513064185922</v>
      </c>
      <c r="AP112" s="361">
        <f t="shared" si="121"/>
        <v>82646782.832305551</v>
      </c>
      <c r="AQ112" s="469">
        <f t="shared" si="122"/>
        <v>26.016033840463315</v>
      </c>
      <c r="AR112" s="144">
        <v>27.8791830964452</v>
      </c>
      <c r="AS112" s="144">
        <v>27.8048210090368</v>
      </c>
      <c r="AT112" s="144">
        <v>27.836378654357699</v>
      </c>
      <c r="AU112" s="140">
        <f t="shared" si="117"/>
        <v>27.840127586613235</v>
      </c>
      <c r="AV112" s="478">
        <v>-3.5035151515151512</v>
      </c>
      <c r="AW112" s="478">
        <v>40.672666666666665</v>
      </c>
      <c r="AX112" s="362">
        <f t="shared" si="125"/>
        <v>4600.0348288963405</v>
      </c>
      <c r="AY112" s="353">
        <f t="shared" si="118"/>
        <v>920.00696577926806</v>
      </c>
      <c r="AZ112" s="144">
        <v>33.069943344323796</v>
      </c>
      <c r="BA112" s="144">
        <v>33.1529133573368</v>
      </c>
      <c r="BB112" s="144">
        <v>33.499744160535201</v>
      </c>
      <c r="BC112" s="140">
        <f t="shared" si="119"/>
        <v>33.240866954065261</v>
      </c>
      <c r="BD112" s="150">
        <v>-3.4617</v>
      </c>
      <c r="BE112" s="640">
        <v>42.390999999999998</v>
      </c>
      <c r="BF112" s="353">
        <f t="shared" si="123"/>
        <v>439.79310596018826</v>
      </c>
      <c r="BG112" s="360">
        <f t="shared" si="120"/>
        <v>87.958621192037654</v>
      </c>
      <c r="BH112" s="353">
        <f t="shared" si="124"/>
        <v>9.5606473063532274E-2</v>
      </c>
      <c r="BI112" s="412"/>
      <c r="BJ112" s="435"/>
      <c r="BK112" s="320"/>
      <c r="BL112" s="321"/>
      <c r="BM112" s="322"/>
      <c r="BN112" s="322"/>
      <c r="BO112" s="322"/>
      <c r="BP112" s="322"/>
      <c r="BQ112" s="322"/>
      <c r="BR112" s="322"/>
      <c r="BS112" s="321"/>
    </row>
    <row r="113" spans="1:71" s="277" customFormat="1" ht="15" x14ac:dyDescent="0.2">
      <c r="A113" s="343"/>
      <c r="B113" s="346">
        <v>44264</v>
      </c>
      <c r="C113" s="359" t="s">
        <v>251</v>
      </c>
      <c r="D113" s="682" t="s">
        <v>231</v>
      </c>
      <c r="E113" s="249" t="s">
        <v>252</v>
      </c>
      <c r="F113" s="683" t="s">
        <v>233</v>
      </c>
      <c r="G113" s="314"/>
      <c r="H113" s="314"/>
      <c r="I113" s="314"/>
      <c r="J113" s="314"/>
      <c r="K113" s="324"/>
      <c r="L113" s="261" t="s">
        <v>234</v>
      </c>
      <c r="M113" s="261"/>
      <c r="N113" s="285">
        <v>44265</v>
      </c>
      <c r="O113" s="261">
        <v>50</v>
      </c>
      <c r="P113" s="261" t="s">
        <v>235</v>
      </c>
      <c r="Q113" s="261" t="s">
        <v>236</v>
      </c>
      <c r="R113" s="375" t="s">
        <v>89</v>
      </c>
      <c r="S113" s="375">
        <v>8.0399999999999991</v>
      </c>
      <c r="T113" s="375">
        <v>4.0999999999999996</v>
      </c>
      <c r="U113" s="375">
        <v>8.36</v>
      </c>
      <c r="V113" s="375">
        <v>8.1300000000000008</v>
      </c>
      <c r="W113" s="315"/>
      <c r="X113" s="315"/>
      <c r="Y113" s="315"/>
      <c r="Z113" s="476" t="s">
        <v>271</v>
      </c>
      <c r="AA113" s="283"/>
      <c r="AB113" s="139">
        <v>50</v>
      </c>
      <c r="AC113" s="315"/>
      <c r="AD113" s="315"/>
      <c r="AE113" s="261" t="s">
        <v>241</v>
      </c>
      <c r="AF113" s="314"/>
      <c r="AG113" s="476">
        <v>44270</v>
      </c>
      <c r="AH113" s="477">
        <v>5</v>
      </c>
      <c r="AI113" s="315"/>
      <c r="AJ113" s="144">
        <v>21.2031754923213</v>
      </c>
      <c r="AK113" s="144">
        <v>21.1117124563802</v>
      </c>
      <c r="AL113" s="144">
        <v>21.231678047332</v>
      </c>
      <c r="AM113" s="140">
        <f t="shared" si="116"/>
        <v>21.182188665344498</v>
      </c>
      <c r="AN113" s="363">
        <v>-3.4410714285714286</v>
      </c>
      <c r="AO113" s="363">
        <v>48.943513064185922</v>
      </c>
      <c r="AP113" s="361">
        <f t="shared" si="121"/>
        <v>116852949.78175822</v>
      </c>
      <c r="AQ113" s="469">
        <f t="shared" si="122"/>
        <v>36.783649546874635</v>
      </c>
      <c r="AR113" s="144">
        <v>28.3335922588698</v>
      </c>
      <c r="AS113" s="144">
        <v>28.354676499339401</v>
      </c>
      <c r="AT113" s="144">
        <v>28.469287574313</v>
      </c>
      <c r="AU113" s="140">
        <f t="shared" si="117"/>
        <v>28.385852110840734</v>
      </c>
      <c r="AV113" s="478">
        <v>-3.5035151515151512</v>
      </c>
      <c r="AW113" s="478">
        <v>40.672666666666665</v>
      </c>
      <c r="AX113" s="362">
        <f t="shared" si="125"/>
        <v>3213.6329115327321</v>
      </c>
      <c r="AY113" s="353">
        <f t="shared" si="118"/>
        <v>642.72658230654645</v>
      </c>
      <c r="AZ113" s="144">
        <v>36.837832341472897</v>
      </c>
      <c r="BA113" s="144">
        <v>35.8957509355049</v>
      </c>
      <c r="BB113" s="144" t="s">
        <v>95</v>
      </c>
      <c r="BC113" s="140">
        <f t="shared" si="119"/>
        <v>36.366791638488898</v>
      </c>
      <c r="BD113" s="150">
        <v>-3.4617</v>
      </c>
      <c r="BE113" s="640">
        <v>42.390999999999998</v>
      </c>
      <c r="BF113" s="353">
        <f t="shared" si="123"/>
        <v>54.985179674039998</v>
      </c>
      <c r="BG113" s="360">
        <f t="shared" si="120"/>
        <v>10.997035934808</v>
      </c>
      <c r="BH113" s="353">
        <f t="shared" si="124"/>
        <v>1.7109975279601859E-2</v>
      </c>
      <c r="BI113" s="412"/>
      <c r="BJ113" s="435"/>
      <c r="BK113" s="320"/>
      <c r="BL113" s="321"/>
      <c r="BM113" s="322"/>
      <c r="BN113" s="322"/>
      <c r="BO113" s="322"/>
      <c r="BP113" s="322"/>
      <c r="BQ113" s="322"/>
      <c r="BR113" s="322"/>
      <c r="BS113" s="321"/>
    </row>
    <row r="114" spans="1:71" s="277" customFormat="1" ht="15" x14ac:dyDescent="0.2">
      <c r="A114" s="343"/>
      <c r="B114" s="346">
        <v>44264</v>
      </c>
      <c r="C114" s="359" t="s">
        <v>253</v>
      </c>
      <c r="D114" s="682" t="s">
        <v>244</v>
      </c>
      <c r="E114" s="249" t="s">
        <v>252</v>
      </c>
      <c r="F114" s="683" t="s">
        <v>233</v>
      </c>
      <c r="G114" s="314"/>
      <c r="H114" s="314"/>
      <c r="I114" s="314"/>
      <c r="J114" s="314"/>
      <c r="K114" s="324"/>
      <c r="L114" s="261" t="s">
        <v>234</v>
      </c>
      <c r="M114" s="261"/>
      <c r="N114" s="285">
        <v>44265</v>
      </c>
      <c r="O114" s="261">
        <v>50</v>
      </c>
      <c r="P114" s="261" t="s">
        <v>235</v>
      </c>
      <c r="Q114" s="261" t="s">
        <v>236</v>
      </c>
      <c r="R114" s="375" t="s">
        <v>89</v>
      </c>
      <c r="S114" s="145">
        <v>7.81</v>
      </c>
      <c r="T114" s="141">
        <v>3.81</v>
      </c>
      <c r="U114" s="141">
        <v>5.61</v>
      </c>
      <c r="V114" s="141">
        <v>8.35</v>
      </c>
      <c r="W114" s="315"/>
      <c r="X114" s="315"/>
      <c r="Y114" s="315"/>
      <c r="Z114" s="476" t="s">
        <v>271</v>
      </c>
      <c r="AA114" s="283"/>
      <c r="AB114" s="139">
        <v>50</v>
      </c>
      <c r="AC114" s="315"/>
      <c r="AD114" s="315"/>
      <c r="AE114" s="261" t="s">
        <v>241</v>
      </c>
      <c r="AF114" s="314"/>
      <c r="AG114" s="476">
        <v>44270</v>
      </c>
      <c r="AH114" s="477">
        <v>5</v>
      </c>
      <c r="AI114" s="315"/>
      <c r="AJ114" s="144">
        <v>20.6474206560287</v>
      </c>
      <c r="AK114" s="144">
        <v>20.5167115812791</v>
      </c>
      <c r="AL114" s="144">
        <v>20.638241984022201</v>
      </c>
      <c r="AM114" s="140">
        <f t="shared" si="116"/>
        <v>20.600791407109998</v>
      </c>
      <c r="AN114" s="363">
        <v>-3.4410714285714286</v>
      </c>
      <c r="AO114" s="363">
        <v>48.943513064185922</v>
      </c>
      <c r="AP114" s="361">
        <f t="shared" si="121"/>
        <v>172424067.86753935</v>
      </c>
      <c r="AQ114" s="469">
        <f t="shared" si="122"/>
        <v>54.276648537598128</v>
      </c>
      <c r="AR114" s="144">
        <v>28.1709889440429</v>
      </c>
      <c r="AS114" s="144">
        <v>28.102526789790399</v>
      </c>
      <c r="AT114" s="144">
        <v>28.241648051543699</v>
      </c>
      <c r="AU114" s="140">
        <f t="shared" si="117"/>
        <v>28.171721261792332</v>
      </c>
      <c r="AV114" s="478">
        <v>-3.5035151515151512</v>
      </c>
      <c r="AW114" s="478">
        <v>40.672666666666665</v>
      </c>
      <c r="AX114" s="362">
        <f t="shared" si="125"/>
        <v>3699.2622922590108</v>
      </c>
      <c r="AY114" s="353">
        <f t="shared" ref="AY114" si="126">(AX114/AH114)*(AB114/O114)</f>
        <v>739.85245845180214</v>
      </c>
      <c r="AZ114" s="144">
        <v>35.958180097155697</v>
      </c>
      <c r="BA114" s="144">
        <v>35.700903152892202</v>
      </c>
      <c r="BB114" s="144">
        <v>35.238153548770903</v>
      </c>
      <c r="BC114" s="140">
        <f t="shared" si="119"/>
        <v>35.632412266272929</v>
      </c>
      <c r="BD114" s="150">
        <v>-3.4617</v>
      </c>
      <c r="BE114" s="640">
        <v>42.390999999999998</v>
      </c>
      <c r="BF114" s="353">
        <f t="shared" si="123"/>
        <v>89.616873684966521</v>
      </c>
      <c r="BG114" s="360">
        <f t="shared" ref="BG114" si="127">(BF114/AH114)*(AB114/O114)</f>
        <v>17.923374736993303</v>
      </c>
      <c r="BH114" s="353">
        <f>BF114/AX114</f>
        <v>2.4225606784492325E-2</v>
      </c>
      <c r="BI114" s="412"/>
      <c r="BJ114" s="435"/>
      <c r="BK114" s="320"/>
      <c r="BL114" s="321"/>
      <c r="BM114" s="322"/>
      <c r="BN114" s="322"/>
      <c r="BO114" s="322"/>
      <c r="BP114" s="322"/>
      <c r="BQ114" s="322"/>
      <c r="BR114" s="322"/>
      <c r="BS114" s="321"/>
    </row>
    <row r="115" spans="1:71" s="277" customFormat="1" ht="15" x14ac:dyDescent="0.2">
      <c r="A115" s="343"/>
      <c r="B115" s="346">
        <v>44264</v>
      </c>
      <c r="C115" s="479" t="s">
        <v>254</v>
      </c>
      <c r="D115" s="684"/>
      <c r="E115" s="250"/>
      <c r="F115" s="685"/>
      <c r="G115" s="314"/>
      <c r="H115" s="314"/>
      <c r="I115" s="314"/>
      <c r="J115" s="314"/>
      <c r="K115" s="314"/>
      <c r="L115" s="315"/>
      <c r="M115" s="324"/>
      <c r="O115" s="314"/>
      <c r="P115" s="314"/>
      <c r="Q115" s="314"/>
      <c r="R115" s="315"/>
      <c r="S115" s="316"/>
      <c r="T115" s="315"/>
      <c r="U115" s="315"/>
      <c r="V115" s="417"/>
      <c r="W115" s="315"/>
      <c r="X115" s="315"/>
      <c r="Y115" s="315"/>
      <c r="Z115" s="283"/>
      <c r="AA115" s="283"/>
      <c r="AB115" s="139">
        <v>50</v>
      </c>
      <c r="AC115" s="315"/>
      <c r="AD115" s="315"/>
      <c r="AE115" s="261" t="s">
        <v>241</v>
      </c>
      <c r="AF115" s="314"/>
      <c r="AG115" s="476">
        <v>44270</v>
      </c>
      <c r="AH115" s="477">
        <v>5</v>
      </c>
      <c r="AI115" s="315"/>
      <c r="AJ115" s="144">
        <v>19.745374293224199</v>
      </c>
      <c r="AK115" s="144">
        <v>19.665773963464002</v>
      </c>
      <c r="AL115" s="144">
        <v>19.651579333430998</v>
      </c>
      <c r="AM115" s="140">
        <f t="shared" si="116"/>
        <v>19.687575863373066</v>
      </c>
      <c r="AN115" s="363">
        <v>-3.4410714285714286</v>
      </c>
      <c r="AO115" s="363">
        <v>48.943513064185922</v>
      </c>
      <c r="AP115" s="361">
        <f t="shared" si="121"/>
        <v>317676335.05981672</v>
      </c>
      <c r="AQ115" s="469">
        <f t="shared" si="122"/>
        <v>100</v>
      </c>
      <c r="AR115" s="144">
        <v>33.498978869906402</v>
      </c>
      <c r="AS115" s="144">
        <v>33.287908461546003</v>
      </c>
      <c r="AT115" s="144">
        <v>33.391324983015203</v>
      </c>
      <c r="AU115" s="140">
        <f t="shared" si="117"/>
        <v>33.392737438155869</v>
      </c>
      <c r="AV115" s="478">
        <v>-3.5035151515151512</v>
      </c>
      <c r="AW115" s="478">
        <v>40.672666666666665</v>
      </c>
      <c r="AX115" s="362">
        <f>IF(AND(AR115="No CT",AS115="No CT",AT115="No CT"),0,10^((AU115-AW115)/AV115))</f>
        <v>119.64454197816056</v>
      </c>
      <c r="AY115" s="319"/>
      <c r="AZ115" s="144">
        <v>38.031201722744797</v>
      </c>
      <c r="BA115" s="144" t="s">
        <v>95</v>
      </c>
      <c r="BB115" s="144">
        <v>38.3353866810995</v>
      </c>
      <c r="BC115" s="140">
        <f t="shared" si="119"/>
        <v>38.183294201922152</v>
      </c>
      <c r="BD115" s="150">
        <v>-3.4617</v>
      </c>
      <c r="BE115" s="640">
        <v>42.390999999999998</v>
      </c>
      <c r="BF115" s="353">
        <f t="shared" si="123"/>
        <v>16.424899818465619</v>
      </c>
      <c r="BG115" s="360"/>
      <c r="BH115" s="353">
        <f t="shared" ref="BH115" si="128">BF115/AX115</f>
        <v>0.1372808115347523</v>
      </c>
      <c r="BI115" s="412"/>
      <c r="BJ115" s="435"/>
      <c r="BK115" s="320"/>
      <c r="BL115" s="321"/>
      <c r="BM115" s="322"/>
      <c r="BN115" s="322"/>
      <c r="BO115" s="322"/>
      <c r="BP115" s="322"/>
      <c r="BQ115" s="322"/>
      <c r="BR115" s="322"/>
      <c r="BS115" s="321"/>
    </row>
    <row r="116" spans="1:71" s="277" customFormat="1" ht="15" x14ac:dyDescent="0.2">
      <c r="A116" s="343"/>
      <c r="B116" s="346">
        <v>44264</v>
      </c>
      <c r="C116" s="359" t="s">
        <v>255</v>
      </c>
      <c r="D116" s="682"/>
      <c r="E116" s="249"/>
      <c r="F116" s="683"/>
      <c r="G116" s="314"/>
      <c r="H116" s="314"/>
      <c r="I116" s="314"/>
      <c r="J116" s="314"/>
      <c r="K116" s="314"/>
      <c r="L116" s="315"/>
      <c r="M116" s="315"/>
      <c r="N116" s="283"/>
      <c r="O116" s="314"/>
      <c r="P116" s="314"/>
      <c r="Q116" s="314"/>
      <c r="R116" s="315"/>
      <c r="S116" s="316"/>
      <c r="T116" s="315"/>
      <c r="U116" s="315"/>
      <c r="V116" s="417"/>
      <c r="W116" s="315"/>
      <c r="X116" s="315"/>
      <c r="Y116" s="315"/>
      <c r="Z116" s="283"/>
      <c r="AA116" s="283"/>
      <c r="AB116" s="314"/>
      <c r="AC116" s="315"/>
      <c r="AD116" s="314"/>
      <c r="AE116" s="314"/>
      <c r="AF116" s="314"/>
      <c r="AG116" s="476">
        <v>44270</v>
      </c>
      <c r="AH116" s="477">
        <v>5</v>
      </c>
      <c r="AI116" s="315"/>
      <c r="AJ116" s="144" t="s">
        <v>95</v>
      </c>
      <c r="AK116" s="144" t="s">
        <v>95</v>
      </c>
      <c r="AL116" s="144">
        <v>39.8303199386987</v>
      </c>
      <c r="AM116" s="140">
        <f t="shared" si="116"/>
        <v>39.8303199386987</v>
      </c>
      <c r="AN116" s="363">
        <v>-3.4410714285714299</v>
      </c>
      <c r="AO116" s="363">
        <v>48.9435130641859</v>
      </c>
      <c r="AP116" s="468">
        <f>IF(AND(AJ116="No CT",AK116="No CT",AL116="No CT"),0,10^((AM116-AO116)/AN116))</f>
        <v>444.99915407273841</v>
      </c>
      <c r="AQ116" s="469">
        <f t="shared" si="122"/>
        <v>1.4007941573266624E-4</v>
      </c>
      <c r="AR116" s="144">
        <v>37.148738518620497</v>
      </c>
      <c r="AS116" s="144">
        <v>36.8536071873719</v>
      </c>
      <c r="AT116" s="144">
        <v>38.145320384809402</v>
      </c>
      <c r="AU116" s="140">
        <f t="shared" si="117"/>
        <v>37.382555363600602</v>
      </c>
      <c r="AV116" s="470">
        <v>-3.5035151515151499</v>
      </c>
      <c r="AW116" s="470">
        <v>40.6726666666667</v>
      </c>
      <c r="AX116" s="362">
        <f>IF(AND(AR116="No CT",AS116="No CT",AT116="No CT"),0,10^((AU116-AW116)/AV116))</f>
        <v>8.6913781703265833</v>
      </c>
      <c r="AY116" s="319"/>
      <c r="AZ116" s="144">
        <v>37.731433698524199</v>
      </c>
      <c r="BA116" s="144">
        <v>38.199408923248399</v>
      </c>
      <c r="BB116" s="144">
        <v>38.038611976802102</v>
      </c>
      <c r="BC116" s="140">
        <f t="shared" si="119"/>
        <v>37.989818199524898</v>
      </c>
      <c r="BD116" s="150">
        <v>-3.4617</v>
      </c>
      <c r="BE116" s="640">
        <v>42.390999999999998</v>
      </c>
      <c r="BF116" s="353">
        <f>IF(AND(AZ116="No CT",BA116="No CT",BB116="No CT"),0,10^((BC116-BE116)/BD116))</f>
        <v>18.680701825831903</v>
      </c>
      <c r="BG116" s="360"/>
      <c r="BH116" s="637"/>
      <c r="BI116" s="412"/>
      <c r="BJ116" s="435"/>
      <c r="BK116" s="320"/>
      <c r="BL116" s="321"/>
      <c r="BM116" s="322"/>
      <c r="BN116" s="322"/>
      <c r="BO116" s="322"/>
      <c r="BP116" s="322"/>
      <c r="BQ116" s="322"/>
      <c r="BR116" s="322"/>
      <c r="BS116" s="321"/>
    </row>
    <row r="117" spans="1:71" s="432" customFormat="1" x14ac:dyDescent="0.2">
      <c r="A117" s="418"/>
      <c r="B117" s="418"/>
      <c r="C117" s="419"/>
      <c r="D117" s="675"/>
      <c r="E117" s="676"/>
      <c r="F117" s="677"/>
      <c r="G117" s="420"/>
      <c r="H117" s="420"/>
      <c r="I117" s="420"/>
      <c r="J117" s="420"/>
      <c r="K117" s="420"/>
      <c r="L117" s="421"/>
      <c r="M117" s="421"/>
      <c r="N117" s="422"/>
      <c r="O117" s="420"/>
      <c r="P117" s="420"/>
      <c r="Q117" s="420"/>
      <c r="R117" s="421"/>
      <c r="S117" s="423"/>
      <c r="T117" s="421"/>
      <c r="U117" s="421"/>
      <c r="V117" s="421"/>
      <c r="W117" s="421"/>
      <c r="X117" s="421"/>
      <c r="Y117" s="421"/>
      <c r="Z117" s="422"/>
      <c r="AA117" s="422"/>
      <c r="AB117" s="420"/>
      <c r="AC117" s="421"/>
      <c r="AD117" s="421"/>
      <c r="AE117" s="421"/>
      <c r="AF117" s="421"/>
      <c r="AG117" s="422"/>
      <c r="AH117" s="424"/>
      <c r="AI117" s="421"/>
      <c r="AJ117" s="425"/>
      <c r="AK117" s="425"/>
      <c r="AL117" s="421"/>
      <c r="AM117" s="426"/>
      <c r="AN117" s="426"/>
      <c r="AO117" s="426"/>
      <c r="AP117" s="427"/>
      <c r="AQ117" s="425"/>
      <c r="AR117" s="421"/>
      <c r="AS117" s="421"/>
      <c r="AT117" s="421"/>
      <c r="AU117" s="426"/>
      <c r="AV117" s="426"/>
      <c r="AW117" s="426"/>
      <c r="AX117" s="428"/>
      <c r="AY117" s="426"/>
      <c r="AZ117" s="421"/>
      <c r="BA117" s="421"/>
      <c r="BB117" s="421"/>
      <c r="BC117" s="426"/>
      <c r="BD117" s="426"/>
      <c r="BE117" s="426"/>
      <c r="BF117" s="424"/>
      <c r="BG117" s="424"/>
      <c r="BH117" s="636"/>
      <c r="BI117" s="447"/>
      <c r="BJ117" s="438"/>
      <c r="BK117" s="429"/>
      <c r="BL117" s="430"/>
      <c r="BM117" s="431"/>
      <c r="BN117" s="431"/>
      <c r="BO117" s="431"/>
      <c r="BP117" s="431"/>
      <c r="BQ117" s="431"/>
      <c r="BR117" s="431"/>
      <c r="BS117" s="430"/>
    </row>
    <row r="118" spans="1:71" s="277" customFormat="1" ht="15" x14ac:dyDescent="0.2">
      <c r="A118" s="343"/>
      <c r="B118" s="346">
        <v>44265</v>
      </c>
      <c r="C118" s="455" t="s">
        <v>230</v>
      </c>
      <c r="D118" s="680" t="s">
        <v>231</v>
      </c>
      <c r="E118" s="249" t="s">
        <v>232</v>
      </c>
      <c r="F118" s="681" t="s">
        <v>233</v>
      </c>
      <c r="G118" s="314"/>
      <c r="H118" s="314"/>
      <c r="I118" s="314"/>
      <c r="J118" s="314"/>
      <c r="K118" s="324"/>
      <c r="L118" s="457" t="s">
        <v>234</v>
      </c>
      <c r="M118" s="457"/>
      <c r="N118" s="285">
        <v>44266</v>
      </c>
      <c r="O118" s="457">
        <v>50</v>
      </c>
      <c r="P118" s="457" t="s">
        <v>235</v>
      </c>
      <c r="Q118" s="457" t="s">
        <v>236</v>
      </c>
      <c r="R118" s="375" t="s">
        <v>89</v>
      </c>
      <c r="S118" s="375">
        <v>7.18</v>
      </c>
      <c r="T118" s="375">
        <v>4.33</v>
      </c>
      <c r="U118" s="375">
        <v>87.2</v>
      </c>
      <c r="V118" s="375">
        <v>6.1</v>
      </c>
      <c r="W118" s="315"/>
      <c r="X118" s="315"/>
      <c r="Y118" s="315"/>
      <c r="Z118" s="476" t="s">
        <v>272</v>
      </c>
      <c r="AA118" s="283"/>
      <c r="AB118" s="139">
        <v>50</v>
      </c>
      <c r="AC118" s="315"/>
      <c r="AD118" s="315"/>
      <c r="AE118" s="457" t="s">
        <v>425</v>
      </c>
      <c r="AF118" s="315"/>
      <c r="AG118" s="476">
        <v>44270</v>
      </c>
      <c r="AH118" s="463">
        <v>5</v>
      </c>
      <c r="AI118" s="315"/>
      <c r="AJ118" s="144">
        <v>21.924127324332499</v>
      </c>
      <c r="AK118" s="144">
        <v>21.966476787339701</v>
      </c>
      <c r="AL118" s="144">
        <v>21.852334725322901</v>
      </c>
      <c r="AM118" s="140">
        <f t="shared" ref="AM118:AM129" si="129">AVERAGE(AJ118:AL118)</f>
        <v>21.914312945665035</v>
      </c>
      <c r="AN118" s="467">
        <v>-3.4410714285714286</v>
      </c>
      <c r="AO118" s="467">
        <v>48.943513064185922</v>
      </c>
      <c r="AP118" s="468">
        <f>IF(AND(AJ118="No CT",AK118="No CT",AL118="No CT"),0,10^((AM118-AO118)/AN118))</f>
        <v>71594411.093391284</v>
      </c>
      <c r="AQ118" s="469">
        <f>AP118*100/$AP$128</f>
        <v>21.549305372928668</v>
      </c>
      <c r="AR118" s="144">
        <v>26.6207627423403</v>
      </c>
      <c r="AS118" s="144">
        <v>26.656637999175398</v>
      </c>
      <c r="AT118" s="144">
        <v>26.540380748023502</v>
      </c>
      <c r="AU118" s="140">
        <f t="shared" ref="AU118:AU129" si="130">AVERAGE(AR118:AT118)</f>
        <v>26.605927163179732</v>
      </c>
      <c r="AV118" s="470">
        <v>-3.5035151515151512</v>
      </c>
      <c r="AW118" s="470">
        <v>40.672666666666665</v>
      </c>
      <c r="AX118" s="471">
        <f>IF(AND(AR118="No CT",AS118="No CT",AT118="No CT"),0,10^((AU118-AW118)/AV118))</f>
        <v>10352.280060108518</v>
      </c>
      <c r="AY118" s="469">
        <f t="shared" ref="AY118:AY124" si="131">(AX118/AH118)*(AB118/O118)</f>
        <v>2070.4560120217038</v>
      </c>
      <c r="AZ118" s="144">
        <v>37.374033085452403</v>
      </c>
      <c r="BA118" s="144">
        <v>36.0093413652083</v>
      </c>
      <c r="BB118" s="144">
        <v>38.590942670830202</v>
      </c>
      <c r="BC118" s="140">
        <f t="shared" ref="BC118:BC129" si="132">AVERAGE(AZ118:BB118)</f>
        <v>37.324772373830307</v>
      </c>
      <c r="BD118" s="150">
        <v>-3.4617</v>
      </c>
      <c r="BE118" s="640">
        <v>42.390999999999998</v>
      </c>
      <c r="BF118" s="469">
        <f>IF(AND(AZ118="No CT",BA118="No CT",BB118="No CT"),0,10^((BC118-BE118)/BD118))</f>
        <v>29.074253497307236</v>
      </c>
      <c r="BG118" s="643">
        <f t="shared" ref="BG118:BG124" si="133">(BF118/AH118)*(AB118/O118)</f>
        <v>5.8148506994614468</v>
      </c>
      <c r="BH118" s="469">
        <f>BF118/AX118</f>
        <v>2.8084879203898261E-3</v>
      </c>
      <c r="BI118" s="412"/>
      <c r="BJ118" s="435"/>
      <c r="BK118" s="320"/>
      <c r="BL118" s="321"/>
      <c r="BM118" s="322"/>
      <c r="BN118" s="322"/>
      <c r="BO118" s="322"/>
      <c r="BP118" s="322"/>
      <c r="BQ118" s="322"/>
      <c r="BR118" s="322"/>
      <c r="BS118" s="321"/>
    </row>
    <row r="119" spans="1:71" s="277" customFormat="1" ht="15" x14ac:dyDescent="0.2">
      <c r="A119" s="343"/>
      <c r="B119" s="346">
        <v>44265</v>
      </c>
      <c r="C119" s="359" t="s">
        <v>243</v>
      </c>
      <c r="D119" s="682" t="s">
        <v>244</v>
      </c>
      <c r="E119" s="249" t="s">
        <v>232</v>
      </c>
      <c r="F119" s="683" t="s">
        <v>233</v>
      </c>
      <c r="G119" s="314"/>
      <c r="H119" s="314"/>
      <c r="I119" s="314"/>
      <c r="J119" s="314"/>
      <c r="K119" s="324"/>
      <c r="L119" s="261" t="s">
        <v>234</v>
      </c>
      <c r="M119" s="261"/>
      <c r="N119" s="285">
        <v>44266</v>
      </c>
      <c r="O119" s="261">
        <v>50</v>
      </c>
      <c r="P119" s="261" t="s">
        <v>235</v>
      </c>
      <c r="Q119" s="261" t="s">
        <v>236</v>
      </c>
      <c r="R119" s="375" t="s">
        <v>89</v>
      </c>
      <c r="S119" s="145">
        <v>7.19</v>
      </c>
      <c r="T119" s="141">
        <v>3.68</v>
      </c>
      <c r="U119" s="141">
        <v>44.2</v>
      </c>
      <c r="V119" s="141">
        <v>1.97</v>
      </c>
      <c r="W119" s="315"/>
      <c r="X119" s="315"/>
      <c r="Y119" s="315"/>
      <c r="Z119" s="476" t="s">
        <v>272</v>
      </c>
      <c r="AA119" s="283"/>
      <c r="AB119" s="139">
        <v>50</v>
      </c>
      <c r="AC119" s="315"/>
      <c r="AD119" s="315"/>
      <c r="AE119" s="457" t="s">
        <v>425</v>
      </c>
      <c r="AF119" s="314"/>
      <c r="AG119" s="476">
        <v>44270</v>
      </c>
      <c r="AH119" s="477">
        <v>5</v>
      </c>
      <c r="AI119" s="315"/>
      <c r="AJ119" s="165">
        <v>22.2597029186668</v>
      </c>
      <c r="AK119" s="165">
        <v>22.232001929871402</v>
      </c>
      <c r="AL119" s="165">
        <v>22.131449861812499</v>
      </c>
      <c r="AM119" s="140">
        <f t="shared" si="129"/>
        <v>22.207718236783567</v>
      </c>
      <c r="AN119" s="363">
        <v>-3.4410714285714286</v>
      </c>
      <c r="AO119" s="363">
        <v>48.943513064185922</v>
      </c>
      <c r="AP119" s="361">
        <f t="shared" ref="AP119:AP126" si="134">IF(AND(AJ119="No CT",AK119="No CT",AL119="No CT"),0,10^((AM119-AO119)/AN119))</f>
        <v>58831976.942722164</v>
      </c>
      <c r="AQ119" s="469">
        <f t="shared" ref="AQ119:AQ129" si="135">AP119*100/$AP$128</f>
        <v>17.707921854096305</v>
      </c>
      <c r="AR119" s="144">
        <v>23.938430585770899</v>
      </c>
      <c r="AS119" s="144">
        <v>24.002493415741998</v>
      </c>
      <c r="AT119" s="144">
        <v>23.816461177221001</v>
      </c>
      <c r="AU119" s="140">
        <f t="shared" si="130"/>
        <v>23.919128392911301</v>
      </c>
      <c r="AV119" s="478">
        <v>-3.5035151515151512</v>
      </c>
      <c r="AW119" s="478">
        <v>40.672666666666665</v>
      </c>
      <c r="AX119" s="362">
        <f>IF(AND(AR119="No CT",AS119="No CT",AT119="No CT"),0,10^((AU119-AW119)/AV119))</f>
        <v>60523.299699648138</v>
      </c>
      <c r="AY119" s="353">
        <f t="shared" si="131"/>
        <v>12104.659939929628</v>
      </c>
      <c r="AZ119" s="144">
        <v>37.166665562157199</v>
      </c>
      <c r="BA119" s="144">
        <v>36.938879835988899</v>
      </c>
      <c r="BB119" s="144">
        <v>36.929125655899</v>
      </c>
      <c r="BC119" s="140">
        <f t="shared" si="132"/>
        <v>37.011557018015033</v>
      </c>
      <c r="BD119" s="150">
        <v>-3.4617</v>
      </c>
      <c r="BE119" s="640">
        <v>42.390999999999998</v>
      </c>
      <c r="BF119" s="353">
        <f t="shared" ref="BF119:BF126" si="136">IF(AND(AZ119="No CT",BA119="No CT",BB119="No CT"),0,10^((BC119-BE119)/BD119))</f>
        <v>35.808719110074861</v>
      </c>
      <c r="BG119" s="360">
        <f t="shared" si="133"/>
        <v>7.1617438220149721</v>
      </c>
      <c r="BH119" s="353">
        <f t="shared" ref="BH119:BH124" si="137">BF119/AX119</f>
        <v>5.9165179836159927E-4</v>
      </c>
      <c r="BI119" s="412"/>
      <c r="BJ119" s="435"/>
      <c r="BK119" s="320"/>
      <c r="BL119" s="321"/>
      <c r="BM119" s="322"/>
      <c r="BN119" s="322"/>
      <c r="BO119" s="322"/>
      <c r="BP119" s="322"/>
      <c r="BQ119" s="322"/>
      <c r="BR119" s="322"/>
      <c r="BS119" s="321"/>
    </row>
    <row r="120" spans="1:71" s="277" customFormat="1" ht="15" x14ac:dyDescent="0.2">
      <c r="A120" s="343"/>
      <c r="B120" s="346">
        <v>44265</v>
      </c>
      <c r="C120" s="359" t="s">
        <v>245</v>
      </c>
      <c r="D120" s="682" t="s">
        <v>231</v>
      </c>
      <c r="E120" s="249" t="s">
        <v>246</v>
      </c>
      <c r="F120" s="683" t="s">
        <v>233</v>
      </c>
      <c r="G120" s="314"/>
      <c r="H120" s="314"/>
      <c r="I120" s="314"/>
      <c r="J120" s="314"/>
      <c r="K120" s="324"/>
      <c r="L120" s="261" t="s">
        <v>234</v>
      </c>
      <c r="M120" s="261"/>
      <c r="N120" s="285">
        <v>44266</v>
      </c>
      <c r="O120" s="261">
        <v>50</v>
      </c>
      <c r="P120" s="261" t="s">
        <v>235</v>
      </c>
      <c r="Q120" s="261" t="s">
        <v>236</v>
      </c>
      <c r="R120" s="375" t="s">
        <v>89</v>
      </c>
      <c r="S120" s="375">
        <v>7.5</v>
      </c>
      <c r="T120" s="375">
        <v>3.85</v>
      </c>
      <c r="U120" s="375">
        <v>108</v>
      </c>
      <c r="V120" s="375">
        <v>2.5</v>
      </c>
      <c r="W120" s="315"/>
      <c r="X120" s="315"/>
      <c r="Y120" s="315"/>
      <c r="Z120" s="476" t="s">
        <v>272</v>
      </c>
      <c r="AA120" s="283"/>
      <c r="AB120" s="139">
        <v>50</v>
      </c>
      <c r="AC120" s="315"/>
      <c r="AD120" s="315"/>
      <c r="AE120" s="457" t="s">
        <v>425</v>
      </c>
      <c r="AF120" s="222"/>
      <c r="AG120" s="476">
        <v>44270</v>
      </c>
      <c r="AH120" s="477">
        <v>5</v>
      </c>
      <c r="AI120" s="315"/>
      <c r="AJ120" s="165">
        <v>21.611690820171599</v>
      </c>
      <c r="AK120" s="165">
        <v>21.694359938624501</v>
      </c>
      <c r="AL120" s="165">
        <v>21.870734642079999</v>
      </c>
      <c r="AM120" s="140">
        <f t="shared" si="129"/>
        <v>21.725595133625365</v>
      </c>
      <c r="AN120" s="363">
        <v>-3.4410714285714286</v>
      </c>
      <c r="AO120" s="363">
        <v>48.943513064185922</v>
      </c>
      <c r="AP120" s="361">
        <f t="shared" si="134"/>
        <v>81231012.922048673</v>
      </c>
      <c r="AQ120" s="469">
        <f t="shared" si="135"/>
        <v>24.449840098916933</v>
      </c>
      <c r="AR120" s="144">
        <v>26.890655436618498</v>
      </c>
      <c r="AS120" s="144">
        <v>27.0167982576728</v>
      </c>
      <c r="AT120" s="144">
        <v>27.0759004656481</v>
      </c>
      <c r="AU120" s="140">
        <f t="shared" si="130"/>
        <v>26.994451386646464</v>
      </c>
      <c r="AV120" s="478">
        <v>-3.5035151515151512</v>
      </c>
      <c r="AW120" s="478">
        <v>40.672666666666665</v>
      </c>
      <c r="AX120" s="362">
        <f t="shared" ref="AX120:AX125" si="138">IF(AND(AR120="No CT",AS120="No CT",AT120="No CT"),0,10^((AU120-AW120)/AV120))</f>
        <v>8019.3739797667504</v>
      </c>
      <c r="AY120" s="353">
        <f t="shared" si="131"/>
        <v>1603.87479595335</v>
      </c>
      <c r="AZ120" s="144">
        <v>34.576527476204802</v>
      </c>
      <c r="BA120" s="144">
        <v>34.441881682198101</v>
      </c>
      <c r="BB120" s="144">
        <v>34.3201145485232</v>
      </c>
      <c r="BC120" s="140">
        <f t="shared" si="132"/>
        <v>34.446174568975373</v>
      </c>
      <c r="BD120" s="150">
        <v>-3.4617</v>
      </c>
      <c r="BE120" s="640">
        <v>42.390999999999998</v>
      </c>
      <c r="BF120" s="353">
        <f t="shared" si="136"/>
        <v>197.27165503764411</v>
      </c>
      <c r="BG120" s="360">
        <f t="shared" si="133"/>
        <v>39.454331007528822</v>
      </c>
      <c r="BH120" s="353">
        <f t="shared" si="137"/>
        <v>2.4599383385208069E-2</v>
      </c>
      <c r="BI120" s="412"/>
      <c r="BJ120" s="435"/>
      <c r="BK120" s="320"/>
      <c r="BL120" s="321"/>
      <c r="BM120" s="322"/>
      <c r="BN120" s="322"/>
      <c r="BO120" s="322"/>
      <c r="BP120" s="322"/>
      <c r="BQ120" s="322"/>
      <c r="BR120" s="322"/>
      <c r="BS120" s="321"/>
    </row>
    <row r="121" spans="1:71" s="277" customFormat="1" ht="15" x14ac:dyDescent="0.2">
      <c r="A121" s="343"/>
      <c r="B121" s="346">
        <v>44265</v>
      </c>
      <c r="C121" s="359" t="s">
        <v>247</v>
      </c>
      <c r="D121" s="682" t="s">
        <v>244</v>
      </c>
      <c r="E121" s="249" t="s">
        <v>246</v>
      </c>
      <c r="F121" s="683" t="s">
        <v>233</v>
      </c>
      <c r="G121" s="314"/>
      <c r="H121" s="314"/>
      <c r="I121" s="314"/>
      <c r="J121" s="314"/>
      <c r="K121" s="324"/>
      <c r="L121" s="261" t="s">
        <v>234</v>
      </c>
      <c r="M121" s="261"/>
      <c r="N121" s="285">
        <v>44266</v>
      </c>
      <c r="O121" s="261">
        <v>50</v>
      </c>
      <c r="P121" s="261" t="s">
        <v>235</v>
      </c>
      <c r="Q121" s="261" t="s">
        <v>236</v>
      </c>
      <c r="R121" s="375" t="s">
        <v>89</v>
      </c>
      <c r="S121" s="142">
        <v>7.18</v>
      </c>
      <c r="T121" s="141">
        <v>4.2300000000000004</v>
      </c>
      <c r="U121" s="141">
        <v>152</v>
      </c>
      <c r="V121" s="141">
        <v>3.37</v>
      </c>
      <c r="W121" s="315"/>
      <c r="X121" s="315"/>
      <c r="Y121" s="315"/>
      <c r="Z121" s="476" t="s">
        <v>272</v>
      </c>
      <c r="AA121" s="283"/>
      <c r="AB121" s="139">
        <v>50</v>
      </c>
      <c r="AC121" s="315"/>
      <c r="AD121" s="315"/>
      <c r="AE121" s="457" t="s">
        <v>425</v>
      </c>
      <c r="AF121" s="222"/>
      <c r="AG121" s="476">
        <v>44270</v>
      </c>
      <c r="AH121" s="477">
        <v>5</v>
      </c>
      <c r="AI121" s="315"/>
      <c r="AJ121" s="165">
        <v>22.3939597101404</v>
      </c>
      <c r="AK121" s="165">
        <v>22.3753703486726</v>
      </c>
      <c r="AL121" s="165">
        <v>22.489003772466699</v>
      </c>
      <c r="AM121" s="140">
        <f t="shared" si="129"/>
        <v>22.419444610426567</v>
      </c>
      <c r="AN121" s="363">
        <v>-3.4410714285714286</v>
      </c>
      <c r="AO121" s="363">
        <v>48.943513064185922</v>
      </c>
      <c r="AP121" s="361">
        <f t="shared" si="134"/>
        <v>51060403.432809003</v>
      </c>
      <c r="AQ121" s="469">
        <f t="shared" si="135"/>
        <v>15.368744699963097</v>
      </c>
      <c r="AR121" s="144">
        <v>27.0343616474158</v>
      </c>
      <c r="AS121" s="144">
        <v>27.0402819035852</v>
      </c>
      <c r="AT121" s="144">
        <v>27.153069169075199</v>
      </c>
      <c r="AU121" s="140">
        <f t="shared" si="130"/>
        <v>27.075904240025398</v>
      </c>
      <c r="AV121" s="478">
        <v>-3.5035151515151512</v>
      </c>
      <c r="AW121" s="478">
        <v>40.672666666666665</v>
      </c>
      <c r="AX121" s="362">
        <f t="shared" si="138"/>
        <v>7601.364753803151</v>
      </c>
      <c r="AY121" s="353">
        <f t="shared" si="131"/>
        <v>1520.2729507606302</v>
      </c>
      <c r="AZ121" s="144">
        <v>32.9659641224182</v>
      </c>
      <c r="BA121" s="144">
        <v>33.185396277592801</v>
      </c>
      <c r="BB121" s="144">
        <v>33.196145556011302</v>
      </c>
      <c r="BC121" s="140">
        <f t="shared" si="132"/>
        <v>33.115835318674101</v>
      </c>
      <c r="BD121" s="150">
        <v>-3.4617</v>
      </c>
      <c r="BE121" s="640">
        <v>42.390999999999998</v>
      </c>
      <c r="BF121" s="353">
        <f t="shared" si="136"/>
        <v>477.93295982270644</v>
      </c>
      <c r="BG121" s="360">
        <f t="shared" si="133"/>
        <v>95.586591964541284</v>
      </c>
      <c r="BH121" s="353">
        <f t="shared" si="137"/>
        <v>6.2874625189323366E-2</v>
      </c>
      <c r="BI121" s="412"/>
      <c r="BJ121" s="435"/>
      <c r="BK121" s="320"/>
      <c r="BL121" s="321"/>
      <c r="BM121" s="322"/>
      <c r="BN121" s="322"/>
      <c r="BO121" s="322"/>
      <c r="BP121" s="322"/>
      <c r="BQ121" s="322"/>
      <c r="BR121" s="322"/>
      <c r="BS121" s="321"/>
    </row>
    <row r="122" spans="1:71" s="277" customFormat="1" ht="15" x14ac:dyDescent="0.2">
      <c r="A122" s="343"/>
      <c r="B122" s="346">
        <v>44265</v>
      </c>
      <c r="C122" s="359" t="s">
        <v>248</v>
      </c>
      <c r="D122" s="682" t="s">
        <v>231</v>
      </c>
      <c r="E122" s="249" t="s">
        <v>249</v>
      </c>
      <c r="F122" s="683" t="s">
        <v>233</v>
      </c>
      <c r="G122" s="314"/>
      <c r="H122" s="314"/>
      <c r="I122" s="314"/>
      <c r="J122" s="314"/>
      <c r="K122" s="324"/>
      <c r="L122" s="261" t="s">
        <v>234</v>
      </c>
      <c r="M122" s="261"/>
      <c r="N122" s="285">
        <v>44266</v>
      </c>
      <c r="O122" s="261">
        <v>50</v>
      </c>
      <c r="P122" s="261" t="s">
        <v>235</v>
      </c>
      <c r="Q122" s="261" t="s">
        <v>236</v>
      </c>
      <c r="R122" s="375" t="s">
        <v>89</v>
      </c>
      <c r="S122" s="375">
        <v>8.6300000000000008</v>
      </c>
      <c r="T122" s="375">
        <v>4.4000000000000004</v>
      </c>
      <c r="U122" s="375">
        <v>118</v>
      </c>
      <c r="V122" s="375">
        <v>6.52</v>
      </c>
      <c r="W122" s="315"/>
      <c r="X122" s="315"/>
      <c r="Y122" s="315"/>
      <c r="Z122" s="476" t="s">
        <v>272</v>
      </c>
      <c r="AA122" s="283"/>
      <c r="AB122" s="139">
        <v>50</v>
      </c>
      <c r="AC122" s="315"/>
      <c r="AD122" s="315"/>
      <c r="AE122" s="457" t="s">
        <v>425</v>
      </c>
      <c r="AF122" s="222"/>
      <c r="AG122" s="476">
        <v>44270</v>
      </c>
      <c r="AH122" s="477">
        <v>5</v>
      </c>
      <c r="AI122" s="315"/>
      <c r="AJ122" s="165">
        <v>22.697231198746</v>
      </c>
      <c r="AK122" s="165">
        <v>22.591413359049302</v>
      </c>
      <c r="AL122" s="165">
        <v>22.287120643305901</v>
      </c>
      <c r="AM122" s="140">
        <f t="shared" si="129"/>
        <v>22.525255067033736</v>
      </c>
      <c r="AN122" s="363">
        <v>-3.4410714285714286</v>
      </c>
      <c r="AO122" s="363">
        <v>48.943513064185922</v>
      </c>
      <c r="AP122" s="361">
        <f t="shared" si="134"/>
        <v>47570198.69737649</v>
      </c>
      <c r="AQ122" s="469">
        <f t="shared" si="135"/>
        <v>14.318222927254229</v>
      </c>
      <c r="AR122" s="144">
        <v>25.264053554261999</v>
      </c>
      <c r="AS122" s="144">
        <v>25.1980373501892</v>
      </c>
      <c r="AT122" s="144">
        <v>24.978593959474701</v>
      </c>
      <c r="AU122" s="140">
        <f t="shared" si="130"/>
        <v>25.146894954641965</v>
      </c>
      <c r="AV122" s="478">
        <v>-3.5035151515151512</v>
      </c>
      <c r="AW122" s="478">
        <v>40.672666666666665</v>
      </c>
      <c r="AX122" s="362">
        <f t="shared" si="138"/>
        <v>27007.4827170063</v>
      </c>
      <c r="AY122" s="353">
        <f t="shared" si="131"/>
        <v>5401.4965434012602</v>
      </c>
      <c r="AZ122" s="144">
        <v>35.1092684012227</v>
      </c>
      <c r="BA122" s="144">
        <v>34.5212582659682</v>
      </c>
      <c r="BB122" s="144">
        <v>34.366842901157497</v>
      </c>
      <c r="BC122" s="140">
        <f t="shared" si="132"/>
        <v>34.665789856116135</v>
      </c>
      <c r="BD122" s="150">
        <v>-3.4617</v>
      </c>
      <c r="BE122" s="640">
        <v>42.390999999999998</v>
      </c>
      <c r="BF122" s="353">
        <f t="shared" si="136"/>
        <v>170.46029373670402</v>
      </c>
      <c r="BG122" s="360">
        <f t="shared" si="133"/>
        <v>34.092058747340801</v>
      </c>
      <c r="BH122" s="353">
        <f t="shared" si="137"/>
        <v>6.3115950317490024E-3</v>
      </c>
      <c r="BI122" s="412"/>
      <c r="BJ122" s="435"/>
      <c r="BK122" s="320"/>
      <c r="BL122" s="321"/>
      <c r="BM122" s="322"/>
      <c r="BN122" s="322"/>
      <c r="BO122" s="322"/>
      <c r="BP122" s="322"/>
      <c r="BQ122" s="322"/>
      <c r="BR122" s="322"/>
      <c r="BS122" s="321"/>
    </row>
    <row r="123" spans="1:71" s="520" customFormat="1" ht="15" x14ac:dyDescent="0.2">
      <c r="A123" s="504"/>
      <c r="B123" s="505">
        <v>44265</v>
      </c>
      <c r="C123" s="506" t="s">
        <v>248</v>
      </c>
      <c r="D123" s="688" t="s">
        <v>231</v>
      </c>
      <c r="E123" s="687" t="s">
        <v>249</v>
      </c>
      <c r="F123" s="689" t="s">
        <v>233</v>
      </c>
      <c r="G123" s="508"/>
      <c r="H123" s="508"/>
      <c r="I123" s="508"/>
      <c r="J123" s="508"/>
      <c r="K123" s="659"/>
      <c r="L123" s="509" t="s">
        <v>234</v>
      </c>
      <c r="M123" s="509"/>
      <c r="N123" s="510">
        <v>44266</v>
      </c>
      <c r="O123" s="509">
        <v>50</v>
      </c>
      <c r="P123" s="509" t="s">
        <v>235</v>
      </c>
      <c r="Q123" s="509" t="s">
        <v>236</v>
      </c>
      <c r="R123" s="511" t="s">
        <v>89</v>
      </c>
      <c r="S123" s="512">
        <v>8.6300000000000008</v>
      </c>
      <c r="T123" s="512">
        <v>4.4000000000000004</v>
      </c>
      <c r="U123" s="512">
        <v>118</v>
      </c>
      <c r="V123" s="512">
        <v>6.52</v>
      </c>
      <c r="W123" s="513"/>
      <c r="X123" s="513"/>
      <c r="Y123" s="513"/>
      <c r="Z123" s="476" t="s">
        <v>272</v>
      </c>
      <c r="AA123" s="514"/>
      <c r="AB123" s="139">
        <v>50</v>
      </c>
      <c r="AC123" s="315"/>
      <c r="AD123" s="315"/>
      <c r="AE123" s="457" t="s">
        <v>425</v>
      </c>
      <c r="AF123" s="222"/>
      <c r="AG123" s="476">
        <v>44270</v>
      </c>
      <c r="AH123" s="477">
        <v>5</v>
      </c>
      <c r="AI123" s="513"/>
      <c r="AJ123" s="522">
        <v>24.912971690999001</v>
      </c>
      <c r="AK123" s="522">
        <v>24.857390441246601</v>
      </c>
      <c r="AL123" s="522">
        <v>24.723924562542798</v>
      </c>
      <c r="AM123" s="523">
        <f t="shared" si="129"/>
        <v>24.8314288982628</v>
      </c>
      <c r="AN123" s="363">
        <v>-3.4410714285714286</v>
      </c>
      <c r="AO123" s="363">
        <v>48.943513064185922</v>
      </c>
      <c r="AP123" s="361">
        <f t="shared" si="134"/>
        <v>10165864.920062939</v>
      </c>
      <c r="AQ123" s="469">
        <f t="shared" si="135"/>
        <v>3.0598383895722967</v>
      </c>
      <c r="AR123" s="395">
        <v>25.988508593492501</v>
      </c>
      <c r="AS123" s="395">
        <v>25.9569744192592</v>
      </c>
      <c r="AT123" s="395">
        <v>25.8784126173977</v>
      </c>
      <c r="AU123" s="523">
        <f t="shared" si="130"/>
        <v>25.94129854338313</v>
      </c>
      <c r="AV123" s="478">
        <v>-3.5035151515151512</v>
      </c>
      <c r="AW123" s="478">
        <v>40.672666666666665</v>
      </c>
      <c r="AX123" s="362">
        <f t="shared" si="138"/>
        <v>16022.83569328114</v>
      </c>
      <c r="AY123" s="353">
        <f t="shared" si="131"/>
        <v>3204.5671386562281</v>
      </c>
      <c r="AZ123" s="395">
        <v>35.461228532859302</v>
      </c>
      <c r="BA123" s="395">
        <v>36.108806614957899</v>
      </c>
      <c r="BB123" s="395">
        <v>35.312012883306899</v>
      </c>
      <c r="BC123" s="523">
        <f t="shared" si="132"/>
        <v>35.627349343708033</v>
      </c>
      <c r="BD123" s="150">
        <v>-3.4617</v>
      </c>
      <c r="BE123" s="640">
        <v>42.390999999999998</v>
      </c>
      <c r="BF123" s="353">
        <f t="shared" si="136"/>
        <v>89.919181112151946</v>
      </c>
      <c r="BG123" s="360">
        <f t="shared" si="133"/>
        <v>17.983836222430391</v>
      </c>
      <c r="BH123" s="353">
        <f t="shared" si="137"/>
        <v>5.6119392867429686E-3</v>
      </c>
      <c r="BI123" s="515"/>
      <c r="BJ123" s="516"/>
      <c r="BK123" s="517"/>
      <c r="BL123" s="518"/>
      <c r="BM123" s="519"/>
      <c r="BN123" s="519"/>
      <c r="BO123" s="519"/>
      <c r="BP123" s="519"/>
      <c r="BQ123" s="519"/>
      <c r="BR123" s="519"/>
      <c r="BS123" s="518"/>
    </row>
    <row r="124" spans="1:71" s="277" customFormat="1" ht="15" x14ac:dyDescent="0.2">
      <c r="A124" s="343"/>
      <c r="B124" s="346">
        <v>44265</v>
      </c>
      <c r="C124" s="334" t="s">
        <v>250</v>
      </c>
      <c r="D124" s="691" t="s">
        <v>244</v>
      </c>
      <c r="E124" s="249" t="s">
        <v>249</v>
      </c>
      <c r="F124" s="692" t="s">
        <v>233</v>
      </c>
      <c r="G124" s="314"/>
      <c r="H124" s="314"/>
      <c r="I124" s="314"/>
      <c r="J124" s="314"/>
      <c r="K124" s="324"/>
      <c r="L124" s="261" t="s">
        <v>234</v>
      </c>
      <c r="M124" s="261"/>
      <c r="N124" s="285">
        <v>44266</v>
      </c>
      <c r="O124" s="261">
        <v>50</v>
      </c>
      <c r="P124" s="261" t="s">
        <v>235</v>
      </c>
      <c r="Q124" s="261" t="s">
        <v>236</v>
      </c>
      <c r="R124" s="375" t="s">
        <v>89</v>
      </c>
      <c r="S124" s="142">
        <v>8.7100000000000009</v>
      </c>
      <c r="T124" s="141">
        <v>4.43</v>
      </c>
      <c r="U124" s="141">
        <v>49.7</v>
      </c>
      <c r="V124" s="141">
        <v>4.9800000000000004</v>
      </c>
      <c r="W124" s="315"/>
      <c r="X124" s="315"/>
      <c r="Y124" s="315"/>
      <c r="Z124" s="476" t="s">
        <v>272</v>
      </c>
      <c r="AA124" s="283"/>
      <c r="AB124" s="139">
        <v>50</v>
      </c>
      <c r="AC124" s="315"/>
      <c r="AD124" s="315"/>
      <c r="AE124" s="457" t="s">
        <v>425</v>
      </c>
      <c r="AF124" s="222"/>
      <c r="AG124" s="476">
        <v>44270</v>
      </c>
      <c r="AH124" s="477">
        <v>5</v>
      </c>
      <c r="AI124" s="315"/>
      <c r="AJ124" s="165">
        <v>22.346137113120001</v>
      </c>
      <c r="AK124" s="165">
        <v>22.314641468167501</v>
      </c>
      <c r="AL124" s="165">
        <v>22.492090577387899</v>
      </c>
      <c r="AM124" s="140">
        <f t="shared" si="129"/>
        <v>22.384289719558467</v>
      </c>
      <c r="AN124" s="363">
        <v>-3.4410714285714286</v>
      </c>
      <c r="AO124" s="363">
        <v>48.943513064185922</v>
      </c>
      <c r="AP124" s="361">
        <f t="shared" si="134"/>
        <v>52275777.994270258</v>
      </c>
      <c r="AQ124" s="469">
        <f t="shared" si="135"/>
        <v>15.734562047538647</v>
      </c>
      <c r="AR124" s="144">
        <v>29.194426954696599</v>
      </c>
      <c r="AS124" s="144">
        <v>29.184953628406401</v>
      </c>
      <c r="AT124" s="144">
        <v>29.345422016803699</v>
      </c>
      <c r="AU124" s="140">
        <f t="shared" si="130"/>
        <v>29.241600866635565</v>
      </c>
      <c r="AV124" s="478">
        <v>-3.5035151515151512</v>
      </c>
      <c r="AW124" s="478">
        <v>40.672666666666665</v>
      </c>
      <c r="AX124" s="362">
        <f t="shared" si="138"/>
        <v>1831.2259484227095</v>
      </c>
      <c r="AY124" s="353">
        <f t="shared" si="131"/>
        <v>366.24518968454191</v>
      </c>
      <c r="AZ124" s="144">
        <v>32.883400258674698</v>
      </c>
      <c r="BA124" s="144">
        <v>32.951649915009199</v>
      </c>
      <c r="BB124" s="144">
        <v>33.046233196510101</v>
      </c>
      <c r="BC124" s="140">
        <f t="shared" si="132"/>
        <v>32.960427790064664</v>
      </c>
      <c r="BD124" s="150">
        <v>-3.4617</v>
      </c>
      <c r="BE124" s="640">
        <v>42.390999999999998</v>
      </c>
      <c r="BF124" s="353">
        <f t="shared" si="136"/>
        <v>529.98111579510612</v>
      </c>
      <c r="BG124" s="360">
        <f t="shared" si="133"/>
        <v>105.99622315902123</v>
      </c>
      <c r="BH124" s="353">
        <f t="shared" si="137"/>
        <v>0.28941328417260304</v>
      </c>
      <c r="BI124" s="412"/>
      <c r="BJ124" s="435"/>
      <c r="BK124" s="320"/>
      <c r="BL124" s="321"/>
      <c r="BM124" s="322"/>
      <c r="BN124" s="322"/>
      <c r="BO124" s="322"/>
      <c r="BP124" s="322"/>
      <c r="BQ124" s="322"/>
      <c r="BR124" s="322"/>
      <c r="BS124" s="321"/>
    </row>
    <row r="125" spans="1:71" s="520" customFormat="1" ht="15" x14ac:dyDescent="0.2">
      <c r="A125" s="504"/>
      <c r="B125" s="505">
        <v>44265</v>
      </c>
      <c r="C125" s="507" t="s">
        <v>250</v>
      </c>
      <c r="D125" s="688" t="s">
        <v>244</v>
      </c>
      <c r="E125" s="687" t="s">
        <v>249</v>
      </c>
      <c r="F125" s="693" t="s">
        <v>233</v>
      </c>
      <c r="G125" s="508"/>
      <c r="H125" s="508"/>
      <c r="I125" s="508"/>
      <c r="J125" s="508"/>
      <c r="K125" s="659"/>
      <c r="L125" s="509" t="s">
        <v>234</v>
      </c>
      <c r="M125" s="509"/>
      <c r="N125" s="510">
        <v>44266</v>
      </c>
      <c r="O125" s="509">
        <v>50</v>
      </c>
      <c r="P125" s="509" t="s">
        <v>235</v>
      </c>
      <c r="Q125" s="509" t="s">
        <v>236</v>
      </c>
      <c r="R125" s="511" t="s">
        <v>89</v>
      </c>
      <c r="S125" s="521">
        <v>8.7100000000000009</v>
      </c>
      <c r="T125" s="513">
        <v>4.43</v>
      </c>
      <c r="U125" s="513">
        <v>49.7</v>
      </c>
      <c r="V125" s="513">
        <v>4.9800000000000004</v>
      </c>
      <c r="W125" s="513"/>
      <c r="X125" s="513"/>
      <c r="Y125" s="513"/>
      <c r="Z125" s="476" t="s">
        <v>272</v>
      </c>
      <c r="AA125" s="514"/>
      <c r="AB125" s="139">
        <v>50</v>
      </c>
      <c r="AC125" s="315"/>
      <c r="AD125" s="315"/>
      <c r="AE125" s="457" t="s">
        <v>425</v>
      </c>
      <c r="AF125" s="222"/>
      <c r="AG125" s="476">
        <v>44270</v>
      </c>
      <c r="AH125" s="477">
        <v>5</v>
      </c>
      <c r="AI125" s="513"/>
      <c r="AJ125" s="522">
        <v>22.650201621557901</v>
      </c>
      <c r="AK125" s="522">
        <v>22.617186619587699</v>
      </c>
      <c r="AL125" s="522">
        <v>22.664992749911299</v>
      </c>
      <c r="AM125" s="523">
        <f t="shared" si="129"/>
        <v>22.644126997018969</v>
      </c>
      <c r="AN125" s="363">
        <v>-3.4410714285714286</v>
      </c>
      <c r="AO125" s="363">
        <v>48.943513064185922</v>
      </c>
      <c r="AP125" s="361">
        <f t="shared" si="134"/>
        <v>43932906.010370828</v>
      </c>
      <c r="AQ125" s="469">
        <f t="shared" si="135"/>
        <v>13.223428939204505</v>
      </c>
      <c r="AR125" s="395">
        <v>28.0996838178283</v>
      </c>
      <c r="AS125" s="395">
        <v>28.189624902436901</v>
      </c>
      <c r="AT125" s="395">
        <v>28.212088456616399</v>
      </c>
      <c r="AU125" s="523">
        <f t="shared" si="130"/>
        <v>28.167132392293865</v>
      </c>
      <c r="AV125" s="478">
        <v>-3.5035151515151512</v>
      </c>
      <c r="AW125" s="478">
        <v>40.672666666666665</v>
      </c>
      <c r="AX125" s="362">
        <f t="shared" si="138"/>
        <v>3710.4357497487454</v>
      </c>
      <c r="AY125" s="353">
        <f t="shared" ref="AY125:AY127" si="139">(AX125/AH125)*(AB125/O125)</f>
        <v>742.08714994974912</v>
      </c>
      <c r="AZ125" s="395">
        <v>32.979214858996798</v>
      </c>
      <c r="BA125" s="395">
        <v>33.107257317055002</v>
      </c>
      <c r="BB125" s="395">
        <v>32.995545288783099</v>
      </c>
      <c r="BC125" s="523">
        <f t="shared" si="132"/>
        <v>33.027339154944968</v>
      </c>
      <c r="BD125" s="150">
        <v>-3.4617</v>
      </c>
      <c r="BE125" s="640">
        <v>42.390999999999998</v>
      </c>
      <c r="BF125" s="353">
        <f t="shared" si="136"/>
        <v>506.91057022111454</v>
      </c>
      <c r="BG125" s="360">
        <f t="shared" ref="BG125:BG127" si="140">(BF125/AH125)*(AB125/O125)</f>
        <v>101.3821140442229</v>
      </c>
      <c r="BH125" s="353">
        <f>BF125/AX125</f>
        <v>0.13661753077261621</v>
      </c>
      <c r="BI125" s="515"/>
      <c r="BJ125" s="516"/>
      <c r="BK125" s="517"/>
      <c r="BL125" s="518"/>
      <c r="BM125" s="519"/>
      <c r="BN125" s="519"/>
      <c r="BO125" s="519"/>
      <c r="BP125" s="519"/>
      <c r="BQ125" s="519"/>
      <c r="BR125" s="519"/>
      <c r="BS125" s="518"/>
    </row>
    <row r="126" spans="1:71" s="277" customFormat="1" ht="15" x14ac:dyDescent="0.2">
      <c r="A126" s="343"/>
      <c r="B126" s="346">
        <v>44265</v>
      </c>
      <c r="C126" s="359" t="s">
        <v>251</v>
      </c>
      <c r="D126" s="682" t="s">
        <v>231</v>
      </c>
      <c r="E126" s="694" t="s">
        <v>252</v>
      </c>
      <c r="F126" s="692" t="s">
        <v>233</v>
      </c>
      <c r="G126" s="314"/>
      <c r="H126" s="314"/>
      <c r="I126" s="314"/>
      <c r="J126" s="314"/>
      <c r="K126" s="324"/>
      <c r="L126" s="261" t="s">
        <v>234</v>
      </c>
      <c r="M126" s="261"/>
      <c r="N126" s="285">
        <v>44266</v>
      </c>
      <c r="O126" s="261">
        <v>50</v>
      </c>
      <c r="P126" s="261" t="s">
        <v>235</v>
      </c>
      <c r="Q126" s="261" t="s">
        <v>236</v>
      </c>
      <c r="R126" s="375" t="s">
        <v>89</v>
      </c>
      <c r="S126" s="375">
        <v>7.85</v>
      </c>
      <c r="T126" s="375">
        <v>4.5</v>
      </c>
      <c r="U126" s="375">
        <v>279</v>
      </c>
      <c r="V126" s="375">
        <v>3.82</v>
      </c>
      <c r="W126" s="315"/>
      <c r="X126" s="315"/>
      <c r="Y126" s="315"/>
      <c r="Z126" s="476" t="s">
        <v>272</v>
      </c>
      <c r="AA126" s="283"/>
      <c r="AB126" s="139">
        <v>50</v>
      </c>
      <c r="AC126" s="315"/>
      <c r="AD126" s="315"/>
      <c r="AE126" s="457" t="s">
        <v>425</v>
      </c>
      <c r="AF126" s="222"/>
      <c r="AG126" s="476">
        <v>44270</v>
      </c>
      <c r="AH126" s="477">
        <v>5</v>
      </c>
      <c r="AI126" s="315"/>
      <c r="AJ126" s="165">
        <v>23.1668552990084</v>
      </c>
      <c r="AK126" s="165">
        <v>23.1161191824438</v>
      </c>
      <c r="AL126" s="165">
        <v>23.0762774438214</v>
      </c>
      <c r="AM126" s="140">
        <f t="shared" si="129"/>
        <v>23.119750641757864</v>
      </c>
      <c r="AN126" s="363">
        <v>-3.4410714285714286</v>
      </c>
      <c r="AO126" s="363">
        <v>48.943513064185922</v>
      </c>
      <c r="AP126" s="361">
        <f t="shared" si="134"/>
        <v>31957315.774874315</v>
      </c>
      <c r="AQ126" s="469">
        <f t="shared" si="135"/>
        <v>9.6188787087522485</v>
      </c>
      <c r="AR126" s="144">
        <v>26.040111416059901</v>
      </c>
      <c r="AS126" s="144">
        <v>26.018534199872601</v>
      </c>
      <c r="AT126" s="144">
        <v>25.9131503792823</v>
      </c>
      <c r="AU126" s="140">
        <f t="shared" si="130"/>
        <v>25.990598665071602</v>
      </c>
      <c r="AV126" s="478">
        <v>-3.5035151515151512</v>
      </c>
      <c r="AW126" s="478">
        <v>40.672666666666665</v>
      </c>
      <c r="AX126" s="362">
        <f>IF(AND(AR126="No CT",AS126="No CT",AT126="No CT"),0,10^((AU126-AW126)/AV126))</f>
        <v>15511.998808174198</v>
      </c>
      <c r="AY126" s="353">
        <f>(AX126/AH126)*(AB126/O126)</f>
        <v>3102.3997616348397</v>
      </c>
      <c r="AZ126" s="144">
        <v>36.144330229575402</v>
      </c>
      <c r="BA126" s="144">
        <v>37.120361165962201</v>
      </c>
      <c r="BB126" s="144">
        <v>37.309514370347401</v>
      </c>
      <c r="BC126" s="140">
        <f t="shared" si="132"/>
        <v>36.858068588628335</v>
      </c>
      <c r="BD126" s="150">
        <v>-3.4617</v>
      </c>
      <c r="BE126" s="640">
        <v>42.390999999999998</v>
      </c>
      <c r="BF126" s="353">
        <f t="shared" si="136"/>
        <v>39.657727026843276</v>
      </c>
      <c r="BG126" s="360">
        <f t="shared" si="140"/>
        <v>7.9315454053686549</v>
      </c>
      <c r="BH126" s="353">
        <f t="shared" ref="BH126" si="141">BF126/AX126</f>
        <v>2.556583939778622E-3</v>
      </c>
      <c r="BI126" s="412"/>
      <c r="BJ126" s="435"/>
      <c r="BK126" s="320"/>
      <c r="BL126" s="321"/>
      <c r="BM126" s="322"/>
      <c r="BN126" s="322"/>
      <c r="BO126" s="322"/>
      <c r="BP126" s="322"/>
      <c r="BQ126" s="322"/>
      <c r="BR126" s="322"/>
      <c r="BS126" s="321"/>
    </row>
    <row r="127" spans="1:71" s="277" customFormat="1" ht="15" x14ac:dyDescent="0.2">
      <c r="A127" s="343"/>
      <c r="B127" s="346">
        <v>44265</v>
      </c>
      <c r="C127" s="359" t="s">
        <v>253</v>
      </c>
      <c r="D127" s="682" t="s">
        <v>244</v>
      </c>
      <c r="E127" s="694" t="s">
        <v>252</v>
      </c>
      <c r="F127" s="692" t="s">
        <v>233</v>
      </c>
      <c r="G127" s="314"/>
      <c r="H127" s="314"/>
      <c r="I127" s="314"/>
      <c r="J127" s="314"/>
      <c r="K127" s="324"/>
      <c r="L127" s="261" t="s">
        <v>234</v>
      </c>
      <c r="M127" s="261"/>
      <c r="N127" s="285">
        <v>44266</v>
      </c>
      <c r="O127" s="261">
        <v>50</v>
      </c>
      <c r="P127" s="261" t="s">
        <v>235</v>
      </c>
      <c r="Q127" s="261" t="s">
        <v>236</v>
      </c>
      <c r="R127" s="375" t="s">
        <v>89</v>
      </c>
      <c r="S127" s="145">
        <v>7.52</v>
      </c>
      <c r="T127" s="141">
        <v>4.34</v>
      </c>
      <c r="U127" s="141">
        <v>295</v>
      </c>
      <c r="V127" s="141">
        <v>4.5599999999999996</v>
      </c>
      <c r="W127" s="315"/>
      <c r="X127" s="315"/>
      <c r="Y127" s="315"/>
      <c r="Z127" s="476" t="s">
        <v>272</v>
      </c>
      <c r="AA127" s="283"/>
      <c r="AB127" s="139">
        <v>50</v>
      </c>
      <c r="AC127" s="315"/>
      <c r="AD127" s="315"/>
      <c r="AE127" s="457" t="s">
        <v>425</v>
      </c>
      <c r="AF127" s="222"/>
      <c r="AG127" s="476">
        <v>44270</v>
      </c>
      <c r="AH127" s="477">
        <v>5</v>
      </c>
      <c r="AI127" s="315"/>
      <c r="AJ127" s="165">
        <v>22.080951914133198</v>
      </c>
      <c r="AK127" s="165">
        <v>22.090912636612099</v>
      </c>
      <c r="AL127" s="165">
        <v>22.069075383818401</v>
      </c>
      <c r="AM127" s="140">
        <f t="shared" si="129"/>
        <v>22.080313311521234</v>
      </c>
      <c r="AN127" s="363">
        <v>-3.4410714285714299</v>
      </c>
      <c r="AO127" s="363">
        <v>48.9435130641859</v>
      </c>
      <c r="AP127" s="468">
        <f>IF(AND(AJ127="No CT",AK127="No CT",AL127="No CT"),0,10^((AM127-AO127)/AN127))</f>
        <v>64067566.15238931</v>
      </c>
      <c r="AQ127" s="469">
        <f t="shared" si="135"/>
        <v>19.283789424808706</v>
      </c>
      <c r="AR127" s="144">
        <v>24.852480446997902</v>
      </c>
      <c r="AS127" s="144">
        <v>24.8529062162028</v>
      </c>
      <c r="AT127" s="144">
        <v>24.8288130559895</v>
      </c>
      <c r="AU127" s="140">
        <f t="shared" si="130"/>
        <v>24.844733239730065</v>
      </c>
      <c r="AV127" s="470">
        <v>-3.5035151515151499</v>
      </c>
      <c r="AW127" s="470">
        <v>40.6726666666667</v>
      </c>
      <c r="AX127" s="362">
        <f>IF(AND(AR127="No CT",AS127="No CT",AT127="No CT"),0,10^((AU127-AW127)/AV127))</f>
        <v>32940.440819005868</v>
      </c>
      <c r="AY127" s="353">
        <f t="shared" si="139"/>
        <v>6588.0881638011733</v>
      </c>
      <c r="AZ127" s="144">
        <v>37.807142993813599</v>
      </c>
      <c r="BA127" s="144">
        <v>38.392713562882498</v>
      </c>
      <c r="BB127" s="144" t="s">
        <v>95</v>
      </c>
      <c r="BC127" s="140">
        <f t="shared" si="132"/>
        <v>38.099928278348045</v>
      </c>
      <c r="BD127" s="150">
        <v>-3.4617</v>
      </c>
      <c r="BE127" s="640">
        <v>42.390999999999998</v>
      </c>
      <c r="BF127" s="353">
        <f>IF(AND(AZ127="No CT",BA127="No CT",BB127="No CT"),0,10^((BC127-BE127)/BD127))</f>
        <v>17.361414044781704</v>
      </c>
      <c r="BG127" s="360">
        <f t="shared" si="140"/>
        <v>3.4722828089563409</v>
      </c>
      <c r="BH127" s="353">
        <f t="shared" ref="BH127:BH128" si="142">BF127/AX127</f>
        <v>5.2705469669260074E-4</v>
      </c>
      <c r="BI127" s="412"/>
      <c r="BJ127" s="435"/>
      <c r="BK127" s="320"/>
      <c r="BL127" s="321"/>
      <c r="BM127" s="322"/>
      <c r="BN127" s="322"/>
      <c r="BO127" s="322"/>
      <c r="BP127" s="322"/>
      <c r="BQ127" s="322"/>
      <c r="BR127" s="322"/>
      <c r="BS127" s="321"/>
    </row>
    <row r="128" spans="1:71" s="277" customFormat="1" ht="15" x14ac:dyDescent="0.2">
      <c r="A128" s="341"/>
      <c r="B128" s="341"/>
      <c r="C128" s="225"/>
      <c r="D128" s="672"/>
      <c r="E128" s="249"/>
      <c r="F128" s="695"/>
      <c r="G128" s="222"/>
      <c r="H128" s="222"/>
      <c r="I128" s="222"/>
      <c r="J128" s="222"/>
      <c r="K128" s="222"/>
      <c r="L128" s="295"/>
      <c r="M128" s="295"/>
      <c r="N128" s="282"/>
      <c r="O128" s="222"/>
      <c r="P128" s="222"/>
      <c r="Q128" s="222"/>
      <c r="R128" s="295"/>
      <c r="S128" s="296"/>
      <c r="T128" s="295"/>
      <c r="U128" s="295"/>
      <c r="V128" s="295"/>
      <c r="W128" s="295"/>
      <c r="X128" s="295"/>
      <c r="Y128" s="295"/>
      <c r="Z128" s="476" t="s">
        <v>272</v>
      </c>
      <c r="AA128" s="282"/>
      <c r="AB128" s="139">
        <v>50</v>
      </c>
      <c r="AC128" s="315"/>
      <c r="AD128" s="315"/>
      <c r="AE128" s="457" t="s">
        <v>425</v>
      </c>
      <c r="AF128" s="295"/>
      <c r="AG128" s="476">
        <v>44270</v>
      </c>
      <c r="AH128" s="477">
        <v>5</v>
      </c>
      <c r="AI128" s="295"/>
      <c r="AJ128" s="165">
        <v>19.619539034200798</v>
      </c>
      <c r="AK128" s="165">
        <v>19.571041152792599</v>
      </c>
      <c r="AL128" s="165">
        <v>19.671247517651299</v>
      </c>
      <c r="AM128" s="140">
        <f t="shared" si="129"/>
        <v>19.620609234881567</v>
      </c>
      <c r="AN128" s="363">
        <v>-3.4410714285714299</v>
      </c>
      <c r="AO128" s="363">
        <v>48.9435130641859</v>
      </c>
      <c r="AP128" s="468">
        <f t="shared" ref="AP128:AP129" si="143">IF(AND(AJ128="No CT",AK128="No CT",AL128="No CT"),0,10^((AM128-AO128)/AN128))</f>
        <v>332235354.47844094</v>
      </c>
      <c r="AQ128" s="469">
        <f t="shared" si="135"/>
        <v>100</v>
      </c>
      <c r="AR128" s="144">
        <v>33.184080937612002</v>
      </c>
      <c r="AS128" s="144">
        <v>33.034422197697197</v>
      </c>
      <c r="AT128" s="144">
        <v>32.905345385281002</v>
      </c>
      <c r="AU128" s="140">
        <f t="shared" si="130"/>
        <v>33.041282840196736</v>
      </c>
      <c r="AV128" s="470">
        <v>-3.5035151515151499</v>
      </c>
      <c r="AW128" s="470">
        <v>40.6726666666667</v>
      </c>
      <c r="AX128" s="362">
        <f t="shared" ref="AX128:AX129" si="144">IF(AND(AR128="No CT",AS128="No CT",AT128="No CT"),0,10^((AU128-AW128)/AV128))</f>
        <v>150.73279137088218</v>
      </c>
      <c r="AY128" s="276"/>
      <c r="AZ128" s="144">
        <v>36.0952160741085</v>
      </c>
      <c r="BA128" s="144">
        <v>35.385327467886398</v>
      </c>
      <c r="BB128" s="144">
        <v>36.620797918218599</v>
      </c>
      <c r="BC128" s="140">
        <f t="shared" si="132"/>
        <v>36.033780486737832</v>
      </c>
      <c r="BD128" s="150">
        <v>-3.4617</v>
      </c>
      <c r="BE128" s="640">
        <v>42.390999999999998</v>
      </c>
      <c r="BF128" s="353">
        <f t="shared" ref="BF128:BF129" si="145">IF(AND(AZ128="No CT",BA128="No CT",BB128="No CT"),0,10^((BC128-BE128)/BD128))</f>
        <v>68.61899939571326</v>
      </c>
      <c r="BG128" s="360"/>
      <c r="BH128" s="353">
        <f t="shared" si="142"/>
        <v>0.45523604234777504</v>
      </c>
      <c r="BI128" s="362"/>
      <c r="BJ128" s="351"/>
      <c r="BK128" s="298"/>
      <c r="BL128" s="294"/>
      <c r="BM128" s="293"/>
      <c r="BN128" s="293"/>
      <c r="BO128" s="293"/>
      <c r="BP128" s="293"/>
      <c r="BQ128" s="293"/>
      <c r="BR128" s="293"/>
      <c r="BS128" s="294"/>
    </row>
    <row r="129" spans="1:71" s="277" customFormat="1" ht="15" x14ac:dyDescent="0.2">
      <c r="A129" s="343"/>
      <c r="B129" s="343"/>
      <c r="C129" s="334"/>
      <c r="D129" s="691"/>
      <c r="E129" s="694"/>
      <c r="F129" s="692"/>
      <c r="G129" s="314"/>
      <c r="H129" s="314"/>
      <c r="I129" s="314"/>
      <c r="J129" s="314"/>
      <c r="K129" s="314"/>
      <c r="L129" s="315"/>
      <c r="M129" s="315"/>
      <c r="N129" s="283"/>
      <c r="O129" s="314"/>
      <c r="P129" s="314"/>
      <c r="Q129" s="314"/>
      <c r="R129" s="315"/>
      <c r="S129" s="316"/>
      <c r="T129" s="315"/>
      <c r="U129" s="315"/>
      <c r="V129" s="417"/>
      <c r="W129" s="315"/>
      <c r="X129" s="315"/>
      <c r="Y129" s="315"/>
      <c r="Z129" s="283"/>
      <c r="AA129" s="283"/>
      <c r="AB129" s="314"/>
      <c r="AC129" s="315"/>
      <c r="AD129" s="315"/>
      <c r="AE129" s="315"/>
      <c r="AF129" s="315"/>
      <c r="AG129" s="476">
        <v>44270</v>
      </c>
      <c r="AH129" s="477">
        <v>5</v>
      </c>
      <c r="AI129" s="315"/>
      <c r="AJ129" s="165" t="s">
        <v>95</v>
      </c>
      <c r="AK129" s="165" t="s">
        <v>95</v>
      </c>
      <c r="AL129" s="165">
        <v>39.8303199386987</v>
      </c>
      <c r="AM129" s="140">
        <f t="shared" si="129"/>
        <v>39.8303199386987</v>
      </c>
      <c r="AN129" s="363">
        <v>-3.4410714285714299</v>
      </c>
      <c r="AO129" s="363">
        <v>48.9435130641859</v>
      </c>
      <c r="AP129" s="468">
        <f t="shared" si="143"/>
        <v>444.99915407273841</v>
      </c>
      <c r="AQ129" s="469">
        <f t="shared" si="135"/>
        <v>1.3394093917889008E-4</v>
      </c>
      <c r="AR129" s="144">
        <v>37.148738518620497</v>
      </c>
      <c r="AS129" s="144">
        <v>36.8536071873719</v>
      </c>
      <c r="AT129" s="144">
        <v>38.145320384809402</v>
      </c>
      <c r="AU129" s="140">
        <f t="shared" si="130"/>
        <v>37.382555363600602</v>
      </c>
      <c r="AV129" s="470">
        <v>-3.5035151515151499</v>
      </c>
      <c r="AW129" s="470">
        <v>40.6726666666667</v>
      </c>
      <c r="AX129" s="362">
        <f t="shared" si="144"/>
        <v>8.6913781703265833</v>
      </c>
      <c r="AY129" s="319"/>
      <c r="AZ129" s="144">
        <v>37.731433698524199</v>
      </c>
      <c r="BA129" s="144">
        <v>38.199408923248399</v>
      </c>
      <c r="BB129" s="144">
        <v>38.038611976802102</v>
      </c>
      <c r="BC129" s="140">
        <f t="shared" si="132"/>
        <v>37.989818199524898</v>
      </c>
      <c r="BD129" s="150">
        <v>-3.4617</v>
      </c>
      <c r="BE129" s="640">
        <v>42.390999999999998</v>
      </c>
      <c r="BF129" s="353">
        <f t="shared" si="145"/>
        <v>18.680701825831903</v>
      </c>
      <c r="BG129" s="360"/>
      <c r="BH129" s="353">
        <f t="shared" ref="BH129" si="146">BF129/AX129</f>
        <v>2.1493371315506762</v>
      </c>
      <c r="BI129" s="412"/>
      <c r="BJ129" s="435"/>
      <c r="BK129" s="320"/>
      <c r="BL129" s="321"/>
      <c r="BM129" s="322"/>
      <c r="BN129" s="322"/>
      <c r="BO129" s="322"/>
      <c r="BP129" s="322"/>
      <c r="BQ129" s="322"/>
      <c r="BR129" s="322"/>
      <c r="BS129" s="321"/>
    </row>
    <row r="130" spans="1:71" s="432" customFormat="1" x14ac:dyDescent="0.2">
      <c r="A130" s="500"/>
      <c r="B130" s="500"/>
      <c r="C130" s="501"/>
      <c r="D130" s="696"/>
      <c r="E130" s="676"/>
      <c r="F130" s="677"/>
      <c r="G130" s="420"/>
      <c r="H130" s="420"/>
      <c r="I130" s="420"/>
      <c r="J130" s="420"/>
      <c r="K130" s="420"/>
      <c r="L130" s="421"/>
      <c r="M130" s="421"/>
      <c r="N130" s="422"/>
      <c r="O130" s="420"/>
      <c r="P130" s="420"/>
      <c r="Q130" s="420"/>
      <c r="R130" s="421"/>
      <c r="S130" s="423"/>
      <c r="T130" s="421"/>
      <c r="U130" s="421"/>
      <c r="V130" s="421"/>
      <c r="W130" s="421"/>
      <c r="X130" s="421"/>
      <c r="Y130" s="421"/>
      <c r="Z130" s="422"/>
      <c r="AA130" s="422"/>
      <c r="AB130" s="420"/>
      <c r="AC130" s="421"/>
      <c r="AD130" s="420"/>
      <c r="AE130" s="420"/>
      <c r="AF130" s="420"/>
      <c r="AG130" s="422"/>
      <c r="AH130" s="424"/>
      <c r="AI130" s="421"/>
      <c r="AJ130" s="502"/>
      <c r="AK130" s="502"/>
      <c r="AL130" s="502"/>
      <c r="AM130" s="426"/>
      <c r="AN130" s="426"/>
      <c r="AO130" s="426"/>
      <c r="AP130" s="427"/>
      <c r="AQ130" s="503"/>
      <c r="AR130" s="420"/>
      <c r="AS130" s="420"/>
      <c r="AT130" s="420"/>
      <c r="AU130" s="426"/>
      <c r="AV130" s="426"/>
      <c r="AW130" s="426"/>
      <c r="AX130" s="428"/>
      <c r="AY130" s="426"/>
      <c r="AZ130" s="425"/>
      <c r="BA130" s="425"/>
      <c r="BB130" s="425"/>
      <c r="BC130" s="426"/>
      <c r="BD130" s="426"/>
      <c r="BE130" s="426"/>
      <c r="BF130" s="424"/>
      <c r="BG130" s="424"/>
      <c r="BH130" s="636"/>
      <c r="BI130" s="447"/>
      <c r="BJ130" s="438"/>
      <c r="BK130" s="429"/>
      <c r="BL130" s="430"/>
      <c r="BM130" s="431"/>
      <c r="BN130" s="431"/>
      <c r="BO130" s="431"/>
      <c r="BP130" s="431"/>
      <c r="BQ130" s="431"/>
      <c r="BR130" s="431"/>
      <c r="BS130" s="430"/>
    </row>
    <row r="131" spans="1:71" s="277" customFormat="1" ht="15" x14ac:dyDescent="0.2">
      <c r="A131" s="343"/>
      <c r="B131" s="346">
        <v>44266</v>
      </c>
      <c r="C131" s="455" t="s">
        <v>230</v>
      </c>
      <c r="D131" s="680" t="s">
        <v>231</v>
      </c>
      <c r="E131" s="249" t="s">
        <v>232</v>
      </c>
      <c r="F131" s="681" t="s">
        <v>233</v>
      </c>
      <c r="G131" s="314"/>
      <c r="H131" s="314"/>
      <c r="I131" s="314"/>
      <c r="J131" s="314"/>
      <c r="K131" s="324"/>
      <c r="L131" s="457" t="s">
        <v>234</v>
      </c>
      <c r="M131" s="457"/>
      <c r="N131" s="285">
        <v>44267</v>
      </c>
      <c r="O131" s="261">
        <v>50</v>
      </c>
      <c r="P131" s="261" t="s">
        <v>235</v>
      </c>
      <c r="Q131" s="261" t="s">
        <v>236</v>
      </c>
      <c r="R131" s="375" t="s">
        <v>273</v>
      </c>
      <c r="S131" s="375">
        <v>7.48</v>
      </c>
      <c r="T131" s="375">
        <v>4.08</v>
      </c>
      <c r="U131" s="375">
        <v>45.8</v>
      </c>
      <c r="V131" s="375">
        <v>8.19</v>
      </c>
      <c r="W131" s="315"/>
      <c r="X131" s="315"/>
      <c r="Y131" s="147"/>
      <c r="Z131" s="476" t="s">
        <v>274</v>
      </c>
      <c r="AA131" s="283"/>
      <c r="AB131" s="139">
        <v>50</v>
      </c>
      <c r="AC131" s="315"/>
      <c r="AD131" s="314"/>
      <c r="AE131" s="457" t="s">
        <v>425</v>
      </c>
      <c r="AF131" s="314"/>
      <c r="AG131" s="476">
        <v>44271</v>
      </c>
      <c r="AH131" s="463">
        <v>5</v>
      </c>
      <c r="AI131" s="315"/>
      <c r="AJ131" s="144">
        <v>21.7657183181351</v>
      </c>
      <c r="AK131" s="144">
        <v>21.598115970156101</v>
      </c>
      <c r="AL131" s="144">
        <v>21.4756052416495</v>
      </c>
      <c r="AM131" s="140">
        <f t="shared" ref="AM131:AM140" si="147">AVERAGE(AJ131:AL131)</f>
        <v>21.613146509980236</v>
      </c>
      <c r="AN131" s="467">
        <v>-3.4410714285714286</v>
      </c>
      <c r="AO131" s="467">
        <v>48.943513064185922</v>
      </c>
      <c r="AP131" s="468">
        <f>IF(AND(AJ131="No CT",AK131="No CT",AL131="No CT"),0,10^((AM131-AO131)/AN131))</f>
        <v>87579052.852724731</v>
      </c>
      <c r="AQ131" s="469">
        <f>AP131*100/$AP$139</f>
        <v>44.980154395176527</v>
      </c>
      <c r="AR131" s="170">
        <v>27.67</v>
      </c>
      <c r="AS131" s="170">
        <v>27.54</v>
      </c>
      <c r="AT131" s="170">
        <v>27.41</v>
      </c>
      <c r="AU131" s="140">
        <f t="shared" ref="AU131:AU140" si="148">AVERAGE(AR131:AT131)</f>
        <v>27.540000000000003</v>
      </c>
      <c r="AV131" s="478">
        <v>-3.5035151515151512</v>
      </c>
      <c r="AW131" s="478">
        <v>40.672666666666665</v>
      </c>
      <c r="AX131" s="362">
        <f t="shared" ref="AX131:AX134" si="149">IF(AND(AR131="No CT",AS131="No CT",AT131="No CT"),0,10^((AU131-AW131)/AV131))</f>
        <v>5603.0670998289152</v>
      </c>
      <c r="AY131" s="469">
        <f t="shared" ref="AY131:AY137" si="150">(AX131/AH131)*(AB131/O131)</f>
        <v>1120.6134199657831</v>
      </c>
      <c r="AZ131" s="165">
        <v>37.501640900634101</v>
      </c>
      <c r="BA131" s="165">
        <v>37.233865858634303</v>
      </c>
      <c r="BB131" s="165">
        <v>39.540241055279402</v>
      </c>
      <c r="BC131" s="140">
        <f t="shared" ref="BC131:BC140" si="151">AVERAGE(AZ131:BB131)</f>
        <v>38.091915938182602</v>
      </c>
      <c r="BD131" s="150">
        <v>-3.4617</v>
      </c>
      <c r="BE131" s="640">
        <v>42.390999999999998</v>
      </c>
      <c r="BF131" s="353">
        <f t="shared" ref="BF131:BF137" si="152">IF(AND(AZ131="No CT",BA131="No CT",BB131="No CT"),0,10^((BC131-BE131)/BD131))</f>
        <v>17.454188525505081</v>
      </c>
      <c r="BG131" s="360">
        <f>(BF131/AH131)*(AB131/O131)</f>
        <v>3.4908377051010162</v>
      </c>
      <c r="BH131" s="353">
        <f t="shared" ref="BH131:BH135" si="153">BF131/AX131</f>
        <v>3.1151132432517235E-3</v>
      </c>
      <c r="BI131" s="412"/>
      <c r="BJ131" s="435"/>
      <c r="BK131" s="320"/>
      <c r="BL131" s="321"/>
      <c r="BM131" s="322"/>
      <c r="BN131" s="322"/>
      <c r="BO131" s="322"/>
      <c r="BP131" s="322"/>
      <c r="BQ131" s="322"/>
      <c r="BR131" s="322"/>
      <c r="BS131" s="321"/>
    </row>
    <row r="132" spans="1:71" s="277" customFormat="1" ht="15" x14ac:dyDescent="0.2">
      <c r="A132" s="343"/>
      <c r="B132" s="346">
        <v>44266</v>
      </c>
      <c r="C132" s="359" t="s">
        <v>243</v>
      </c>
      <c r="D132" s="682" t="s">
        <v>244</v>
      </c>
      <c r="E132" s="249" t="s">
        <v>232</v>
      </c>
      <c r="F132" s="683" t="s">
        <v>233</v>
      </c>
      <c r="G132" s="314"/>
      <c r="H132" s="314"/>
      <c r="I132" s="314"/>
      <c r="J132" s="314"/>
      <c r="K132" s="324"/>
      <c r="L132" s="261" t="s">
        <v>234</v>
      </c>
      <c r="M132" s="261"/>
      <c r="N132" s="285">
        <v>44267</v>
      </c>
      <c r="O132" s="261">
        <v>50</v>
      </c>
      <c r="P132" s="261" t="s">
        <v>235</v>
      </c>
      <c r="Q132" s="261" t="s">
        <v>236</v>
      </c>
      <c r="R132" s="375" t="s">
        <v>273</v>
      </c>
      <c r="S132" s="145">
        <v>7.24</v>
      </c>
      <c r="T132" s="141">
        <v>3.71</v>
      </c>
      <c r="U132" s="141">
        <v>37.1</v>
      </c>
      <c r="V132" s="141">
        <v>5.61</v>
      </c>
      <c r="W132" s="315"/>
      <c r="X132" s="315"/>
      <c r="Y132" s="147" t="s">
        <v>275</v>
      </c>
      <c r="Z132" s="476" t="s">
        <v>274</v>
      </c>
      <c r="AA132" s="283"/>
      <c r="AB132" s="139">
        <v>50</v>
      </c>
      <c r="AC132" s="315"/>
      <c r="AD132" s="314"/>
      <c r="AE132" s="457" t="s">
        <v>425</v>
      </c>
      <c r="AF132" s="314"/>
      <c r="AG132" s="476">
        <v>44271</v>
      </c>
      <c r="AH132" s="477">
        <v>5</v>
      </c>
      <c r="AI132" s="315"/>
      <c r="AJ132" s="165">
        <v>21.320001212090698</v>
      </c>
      <c r="AK132" s="165">
        <v>21.451001842242601</v>
      </c>
      <c r="AL132" s="165">
        <v>21.376729480105201</v>
      </c>
      <c r="AM132" s="140">
        <f t="shared" si="147"/>
        <v>21.3825775114795</v>
      </c>
      <c r="AN132" s="363">
        <v>-3.4410714285714286</v>
      </c>
      <c r="AO132" s="363">
        <v>48.943513064185922</v>
      </c>
      <c r="AP132" s="361">
        <f t="shared" ref="AP132:AP139" si="154">IF(AND(AJ132="No CT",AK132="No CT",AL132="No CT"),0,10^((AM132-AO132)/AN132))</f>
        <v>102189258.12019697</v>
      </c>
      <c r="AQ132" s="469">
        <f t="shared" ref="AQ132:AQ140" si="155">AP132*100/$AP$139</f>
        <v>52.483881225623485</v>
      </c>
      <c r="AR132" s="170">
        <v>27.36</v>
      </c>
      <c r="AS132" s="170">
        <v>27.39</v>
      </c>
      <c r="AT132" s="170">
        <v>27.37</v>
      </c>
      <c r="AU132" s="140">
        <f t="shared" si="148"/>
        <v>27.373333333333335</v>
      </c>
      <c r="AV132" s="478">
        <v>-3.5035151515151512</v>
      </c>
      <c r="AW132" s="478">
        <v>40.672666666666665</v>
      </c>
      <c r="AX132" s="362">
        <f t="shared" si="149"/>
        <v>6251.6850931614463</v>
      </c>
      <c r="AY132" s="353">
        <f t="shared" si="150"/>
        <v>1250.3370186322893</v>
      </c>
      <c r="AZ132" s="165"/>
      <c r="BA132" s="165">
        <v>39.2011819608758</v>
      </c>
      <c r="BB132" s="165">
        <v>39.256211301336798</v>
      </c>
      <c r="BC132" s="140">
        <f t="shared" si="151"/>
        <v>39.228696631106303</v>
      </c>
      <c r="BD132" s="150">
        <v>-3.4617</v>
      </c>
      <c r="BE132" s="640">
        <v>42.390999999999998</v>
      </c>
      <c r="BF132" s="353">
        <f t="shared" si="152"/>
        <v>8.194296532829366</v>
      </c>
      <c r="BG132" s="360">
        <f>(BF132/AH132)*(AB132/O132)</f>
        <v>1.6388593065658732</v>
      </c>
      <c r="BH132" s="353">
        <f t="shared" si="153"/>
        <v>1.3107340518147485E-3</v>
      </c>
      <c r="BI132" s="412"/>
      <c r="BJ132" s="435"/>
      <c r="BK132" s="320"/>
      <c r="BL132" s="321"/>
      <c r="BM132" s="322"/>
      <c r="BN132" s="322"/>
      <c r="BO132" s="322"/>
      <c r="BP132" s="322"/>
      <c r="BQ132" s="322"/>
      <c r="BR132" s="322"/>
      <c r="BS132" s="321"/>
    </row>
    <row r="133" spans="1:71" s="277" customFormat="1" ht="15" x14ac:dyDescent="0.2">
      <c r="A133" s="339"/>
      <c r="B133" s="354">
        <v>44266</v>
      </c>
      <c r="C133" s="359" t="s">
        <v>245</v>
      </c>
      <c r="D133" s="682" t="s">
        <v>231</v>
      </c>
      <c r="E133" s="249" t="s">
        <v>246</v>
      </c>
      <c r="F133" s="683" t="s">
        <v>233</v>
      </c>
      <c r="G133" s="222"/>
      <c r="H133" s="222"/>
      <c r="I133" s="222"/>
      <c r="J133" s="222"/>
      <c r="K133" s="337"/>
      <c r="L133" s="261" t="s">
        <v>234</v>
      </c>
      <c r="M133" s="261"/>
      <c r="N133" s="352">
        <v>44267</v>
      </c>
      <c r="O133" s="261">
        <v>50</v>
      </c>
      <c r="P133" s="261" t="s">
        <v>235</v>
      </c>
      <c r="Q133" s="261" t="s">
        <v>236</v>
      </c>
      <c r="R133" s="375" t="s">
        <v>273</v>
      </c>
      <c r="S133" s="375">
        <v>7.74</v>
      </c>
      <c r="T133" s="375">
        <v>3.9</v>
      </c>
      <c r="U133" s="375">
        <v>65.3</v>
      </c>
      <c r="V133" s="375">
        <v>3.55</v>
      </c>
      <c r="W133" s="295"/>
      <c r="X133" s="295"/>
      <c r="Y133" s="147"/>
      <c r="Z133" s="476" t="s">
        <v>274</v>
      </c>
      <c r="AA133" s="282"/>
      <c r="AB133" s="139">
        <v>50</v>
      </c>
      <c r="AC133" s="295"/>
      <c r="AD133" s="222"/>
      <c r="AE133" s="457" t="s">
        <v>425</v>
      </c>
      <c r="AF133" s="222"/>
      <c r="AG133" s="476">
        <v>44271</v>
      </c>
      <c r="AH133" s="477">
        <v>5</v>
      </c>
      <c r="AI133" s="295"/>
      <c r="AJ133" s="165">
        <v>23.279738769889601</v>
      </c>
      <c r="AK133" s="165">
        <v>23.327365799486401</v>
      </c>
      <c r="AL133" s="165">
        <v>23.423244420600099</v>
      </c>
      <c r="AM133" s="140">
        <f t="shared" si="147"/>
        <v>23.343449663325369</v>
      </c>
      <c r="AN133" s="363">
        <v>-3.4410714285714286</v>
      </c>
      <c r="AO133" s="363">
        <v>48.943513064185922</v>
      </c>
      <c r="AP133" s="361">
        <f t="shared" si="154"/>
        <v>27514508.314058628</v>
      </c>
      <c r="AQ133" s="469">
        <f t="shared" si="155"/>
        <v>14.131310990025412</v>
      </c>
      <c r="AR133" s="170">
        <v>26.35</v>
      </c>
      <c r="AS133" s="170">
        <v>26.41</v>
      </c>
      <c r="AT133" s="170">
        <v>26.39</v>
      </c>
      <c r="AU133" s="140">
        <f t="shared" si="148"/>
        <v>26.383333333333336</v>
      </c>
      <c r="AV133" s="478">
        <v>-3.5035151515151512</v>
      </c>
      <c r="AW133" s="478">
        <v>40.672666666666665</v>
      </c>
      <c r="AX133" s="362">
        <f t="shared" si="149"/>
        <v>11983.134670097646</v>
      </c>
      <c r="AY133" s="353">
        <f t="shared" si="150"/>
        <v>2396.6269340195295</v>
      </c>
      <c r="AZ133" s="165">
        <v>35.566071020797203</v>
      </c>
      <c r="BA133" s="165">
        <v>36.2936654275602</v>
      </c>
      <c r="BB133" s="165">
        <v>35.870616640885501</v>
      </c>
      <c r="BC133" s="140">
        <f t="shared" si="151"/>
        <v>35.910117696414304</v>
      </c>
      <c r="BD133" s="150">
        <v>-3.4617</v>
      </c>
      <c r="BE133" s="640">
        <v>42.390999999999998</v>
      </c>
      <c r="BF133" s="353">
        <f t="shared" si="152"/>
        <v>74.501929387927063</v>
      </c>
      <c r="BG133" s="360">
        <f>(BF133/AH133)*(AB133/O133)</f>
        <v>14.900385877585412</v>
      </c>
      <c r="BH133" s="353">
        <f t="shared" si="153"/>
        <v>6.2172320881811452E-3</v>
      </c>
      <c r="BI133" s="362"/>
      <c r="BJ133" s="351"/>
      <c r="BK133" s="298"/>
      <c r="BL133" s="294"/>
      <c r="BM133" s="293"/>
      <c r="BN133" s="293"/>
      <c r="BO133" s="293"/>
      <c r="BP133" s="293"/>
      <c r="BQ133" s="293"/>
      <c r="BR133" s="293"/>
      <c r="BS133" s="294"/>
    </row>
    <row r="134" spans="1:71" s="277" customFormat="1" ht="15" x14ac:dyDescent="0.2">
      <c r="A134" s="339"/>
      <c r="B134" s="354">
        <v>44266</v>
      </c>
      <c r="C134" s="359" t="s">
        <v>247</v>
      </c>
      <c r="D134" s="682" t="s">
        <v>244</v>
      </c>
      <c r="E134" s="249" t="s">
        <v>246</v>
      </c>
      <c r="F134" s="683" t="s">
        <v>233</v>
      </c>
      <c r="G134" s="222"/>
      <c r="H134" s="222"/>
      <c r="I134" s="222"/>
      <c r="J134" s="222"/>
      <c r="K134" s="337"/>
      <c r="L134" s="261" t="s">
        <v>234</v>
      </c>
      <c r="M134" s="261"/>
      <c r="N134" s="352">
        <v>44267</v>
      </c>
      <c r="O134" s="261">
        <v>50</v>
      </c>
      <c r="P134" s="261" t="s">
        <v>235</v>
      </c>
      <c r="Q134" s="261" t="s">
        <v>236</v>
      </c>
      <c r="R134" s="375" t="s">
        <v>273</v>
      </c>
      <c r="S134" s="142">
        <v>7.38</v>
      </c>
      <c r="T134" s="141">
        <v>3.65</v>
      </c>
      <c r="U134" s="141">
        <v>54.9</v>
      </c>
      <c r="V134" s="141">
        <v>3.47</v>
      </c>
      <c r="W134" s="295"/>
      <c r="X134" s="295"/>
      <c r="Y134" s="147" t="s">
        <v>276</v>
      </c>
      <c r="Z134" s="476" t="s">
        <v>274</v>
      </c>
      <c r="AA134" s="282"/>
      <c r="AB134" s="139">
        <v>50</v>
      </c>
      <c r="AC134" s="295"/>
      <c r="AD134" s="222"/>
      <c r="AE134" s="457" t="s">
        <v>425</v>
      </c>
      <c r="AF134" s="222"/>
      <c r="AG134" s="476">
        <v>44271</v>
      </c>
      <c r="AH134" s="477">
        <v>5</v>
      </c>
      <c r="AI134" s="295"/>
      <c r="AJ134" s="165">
        <v>22.574643687205</v>
      </c>
      <c r="AK134" s="165">
        <v>22.5410800210521</v>
      </c>
      <c r="AL134" s="165">
        <v>22.638891129453199</v>
      </c>
      <c r="AM134" s="140">
        <f t="shared" si="147"/>
        <v>22.584871612570101</v>
      </c>
      <c r="AN134" s="363">
        <v>-3.4410714285714286</v>
      </c>
      <c r="AO134" s="363">
        <v>48.943513064185922</v>
      </c>
      <c r="AP134" s="361">
        <f t="shared" si="154"/>
        <v>45709868.339575425</v>
      </c>
      <c r="AQ134" s="469">
        <f t="shared" si="155"/>
        <v>23.476354999577129</v>
      </c>
      <c r="AR134" s="170">
        <v>27.76</v>
      </c>
      <c r="AS134" s="170">
        <v>27.83</v>
      </c>
      <c r="AT134" s="170">
        <v>27.94</v>
      </c>
      <c r="AU134" s="140">
        <f t="shared" si="148"/>
        <v>27.843333333333334</v>
      </c>
      <c r="AV134" s="478">
        <v>-3.5035151515151512</v>
      </c>
      <c r="AW134" s="478">
        <v>40.672666666666665</v>
      </c>
      <c r="AX134" s="362">
        <f t="shared" si="149"/>
        <v>4590.3532856172196</v>
      </c>
      <c r="AY134" s="353">
        <f t="shared" si="150"/>
        <v>918.07065712344388</v>
      </c>
      <c r="AZ134" s="165">
        <v>33.591567139719999</v>
      </c>
      <c r="BA134" s="165">
        <v>33.640637037828398</v>
      </c>
      <c r="BB134" s="165">
        <v>33.591771103375301</v>
      </c>
      <c r="BC134" s="140">
        <f t="shared" si="151"/>
        <v>33.607991760307897</v>
      </c>
      <c r="BD134" s="150">
        <v>-3.4617</v>
      </c>
      <c r="BE134" s="640">
        <v>42.390999999999998</v>
      </c>
      <c r="BF134" s="353">
        <f t="shared" si="152"/>
        <v>344.50465063065013</v>
      </c>
      <c r="BG134" s="360">
        <f>(BF134/AH134)*(AB134/O134)</f>
        <v>68.900930126130021</v>
      </c>
      <c r="BH134" s="353">
        <f t="shared" si="153"/>
        <v>7.5049702973859017E-2</v>
      </c>
      <c r="BI134" s="362"/>
      <c r="BJ134" s="351"/>
      <c r="BK134" s="298"/>
      <c r="BL134" s="294"/>
      <c r="BM134" s="293"/>
      <c r="BN134" s="293"/>
      <c r="BO134" s="293"/>
      <c r="BP134" s="293"/>
      <c r="BQ134" s="293"/>
      <c r="BR134" s="293"/>
      <c r="BS134" s="294"/>
    </row>
    <row r="135" spans="1:71" s="277" customFormat="1" ht="15" x14ac:dyDescent="0.2">
      <c r="A135" s="339"/>
      <c r="B135" s="354">
        <v>44266</v>
      </c>
      <c r="C135" s="359" t="s">
        <v>248</v>
      </c>
      <c r="D135" s="682" t="s">
        <v>231</v>
      </c>
      <c r="E135" s="249" t="s">
        <v>249</v>
      </c>
      <c r="F135" s="683" t="s">
        <v>233</v>
      </c>
      <c r="G135" s="222"/>
      <c r="H135" s="222"/>
      <c r="I135" s="222"/>
      <c r="J135" s="222"/>
      <c r="K135" s="337"/>
      <c r="L135" s="261" t="s">
        <v>234</v>
      </c>
      <c r="M135" s="261"/>
      <c r="N135" s="352">
        <v>44267</v>
      </c>
      <c r="O135" s="261">
        <v>50</v>
      </c>
      <c r="P135" s="261" t="s">
        <v>235</v>
      </c>
      <c r="Q135" s="261" t="s">
        <v>236</v>
      </c>
      <c r="R135" s="375" t="s">
        <v>273</v>
      </c>
      <c r="S135" s="375">
        <v>9.35</v>
      </c>
      <c r="T135" s="375">
        <v>4.08</v>
      </c>
      <c r="U135" s="375">
        <v>98.4</v>
      </c>
      <c r="V135" s="375">
        <v>6.21</v>
      </c>
      <c r="W135" s="295"/>
      <c r="X135" s="295"/>
      <c r="Y135" s="147"/>
      <c r="Z135" s="476" t="s">
        <v>274</v>
      </c>
      <c r="AA135" s="282"/>
      <c r="AB135" s="139">
        <v>50</v>
      </c>
      <c r="AC135" s="295"/>
      <c r="AD135" s="222"/>
      <c r="AE135" s="457" t="s">
        <v>425</v>
      </c>
      <c r="AF135" s="222"/>
      <c r="AG135" s="476">
        <v>44271</v>
      </c>
      <c r="AH135" s="477">
        <v>5</v>
      </c>
      <c r="AI135" s="295"/>
      <c r="AJ135" s="165">
        <v>23.310138044503699</v>
      </c>
      <c r="AK135" s="165">
        <v>23.0625074652637</v>
      </c>
      <c r="AL135" s="165">
        <v>23.044778325273899</v>
      </c>
      <c r="AM135" s="140">
        <f t="shared" si="147"/>
        <v>23.139141278347097</v>
      </c>
      <c r="AN135" s="363">
        <v>-3.4410714285714286</v>
      </c>
      <c r="AO135" s="363">
        <v>48.943513064185922</v>
      </c>
      <c r="AP135" s="361">
        <f t="shared" si="154"/>
        <v>31545341.70707332</v>
      </c>
      <c r="AQ135" s="469">
        <f t="shared" si="155"/>
        <v>16.201526440561576</v>
      </c>
      <c r="AR135" s="170">
        <v>25.79</v>
      </c>
      <c r="AS135" s="170">
        <v>25.5</v>
      </c>
      <c r="AT135" s="170">
        <v>25.37</v>
      </c>
      <c r="AU135" s="140">
        <f t="shared" si="148"/>
        <v>25.553333333333331</v>
      </c>
      <c r="AV135" s="470">
        <v>-3.5035151515151499</v>
      </c>
      <c r="AW135" s="470">
        <v>40.6726666666667</v>
      </c>
      <c r="AX135" s="362">
        <f>IF(AND(AR135="No CT",AS135="No CT",AT135="No CT"),0,10^((AU135-AW135)/AV135))</f>
        <v>20676.421015252559</v>
      </c>
      <c r="AY135" s="353">
        <f t="shared" si="150"/>
        <v>4135.2842030505117</v>
      </c>
      <c r="AZ135" s="165">
        <v>33.802347798257401</v>
      </c>
      <c r="BA135" s="165">
        <v>34.071447521684803</v>
      </c>
      <c r="BB135" s="165">
        <v>33.933649494278001</v>
      </c>
      <c r="BC135" s="140">
        <f t="shared" si="151"/>
        <v>33.935814938073399</v>
      </c>
      <c r="BD135" s="150">
        <v>-3.4617</v>
      </c>
      <c r="BE135" s="640">
        <v>42.390999999999998</v>
      </c>
      <c r="BF135" s="353">
        <f t="shared" si="152"/>
        <v>277.00973689512148</v>
      </c>
      <c r="BG135" s="360">
        <f>(BF135/AH135)*(AB135/O135)</f>
        <v>55.401947379024293</v>
      </c>
      <c r="BH135" s="353">
        <f t="shared" si="153"/>
        <v>1.3397373592401569E-2</v>
      </c>
      <c r="BI135" s="362"/>
      <c r="BJ135" s="351"/>
      <c r="BK135" s="298"/>
      <c r="BL135" s="294"/>
      <c r="BM135" s="293"/>
      <c r="BN135" s="293"/>
      <c r="BO135" s="293"/>
      <c r="BP135" s="293"/>
      <c r="BQ135" s="293"/>
      <c r="BR135" s="293"/>
      <c r="BS135" s="294"/>
    </row>
    <row r="136" spans="1:71" s="277" customFormat="1" ht="15" x14ac:dyDescent="0.2">
      <c r="A136" s="339"/>
      <c r="B136" s="354">
        <v>44266</v>
      </c>
      <c r="C136" s="359" t="s">
        <v>250</v>
      </c>
      <c r="D136" s="682" t="s">
        <v>244</v>
      </c>
      <c r="E136" s="249" t="s">
        <v>249</v>
      </c>
      <c r="F136" s="683" t="s">
        <v>233</v>
      </c>
      <c r="G136" s="222"/>
      <c r="H136" s="222"/>
      <c r="I136" s="222"/>
      <c r="J136" s="222"/>
      <c r="K136" s="337"/>
      <c r="L136" s="457" t="s">
        <v>234</v>
      </c>
      <c r="M136" s="457"/>
      <c r="N136" s="352">
        <v>44267</v>
      </c>
      <c r="O136" s="261">
        <v>50</v>
      </c>
      <c r="P136" s="261" t="s">
        <v>235</v>
      </c>
      <c r="Q136" s="261" t="s">
        <v>236</v>
      </c>
      <c r="R136" s="375" t="s">
        <v>273</v>
      </c>
      <c r="S136" s="142">
        <v>8.48</v>
      </c>
      <c r="T136" s="141">
        <v>4.3</v>
      </c>
      <c r="U136" s="141">
        <v>32.5</v>
      </c>
      <c r="V136" s="141">
        <v>5.83</v>
      </c>
      <c r="W136" s="295"/>
      <c r="X136" s="295"/>
      <c r="Y136" s="147" t="s">
        <v>277</v>
      </c>
      <c r="Z136" s="476" t="s">
        <v>274</v>
      </c>
      <c r="AA136" s="282"/>
      <c r="AB136" s="139">
        <v>50</v>
      </c>
      <c r="AC136" s="295"/>
      <c r="AD136" s="222"/>
      <c r="AE136" s="457" t="s">
        <v>425</v>
      </c>
      <c r="AF136" s="222"/>
      <c r="AG136" s="476">
        <v>44271</v>
      </c>
      <c r="AH136" s="477">
        <v>5</v>
      </c>
      <c r="AI136" s="295"/>
      <c r="AJ136" s="165">
        <v>21.835946552444302</v>
      </c>
      <c r="AK136" s="165">
        <v>21.674041488219402</v>
      </c>
      <c r="AL136" s="165">
        <v>21.700283201704199</v>
      </c>
      <c r="AM136" s="140">
        <f t="shared" si="147"/>
        <v>21.7367570807893</v>
      </c>
      <c r="AN136" s="363">
        <v>-3.4410714285714286</v>
      </c>
      <c r="AO136" s="363">
        <v>48.943513064185922</v>
      </c>
      <c r="AP136" s="361">
        <f t="shared" si="154"/>
        <v>80626559.318811908</v>
      </c>
      <c r="AQ136" s="469">
        <f t="shared" si="155"/>
        <v>41.409389213315627</v>
      </c>
      <c r="AR136" s="170">
        <v>27.12</v>
      </c>
      <c r="AS136" s="170">
        <v>27.05</v>
      </c>
      <c r="AT136" s="170">
        <v>27.07</v>
      </c>
      <c r="AU136" s="140">
        <f t="shared" si="148"/>
        <v>27.080000000000002</v>
      </c>
      <c r="AV136" s="470">
        <v>-3.5035151515151499</v>
      </c>
      <c r="AW136" s="470">
        <v>40.6726666666667</v>
      </c>
      <c r="AX136" s="362">
        <f>IF(AND(AR136="No CT",AS136="No CT",AT136="No CT"),0,10^((AU136-AW136)/AV136))</f>
        <v>7580.9307547622429</v>
      </c>
      <c r="AY136" s="353">
        <f t="shared" si="150"/>
        <v>1516.1861509524485</v>
      </c>
      <c r="AZ136" s="165">
        <v>34.051862942035598</v>
      </c>
      <c r="BA136" s="165">
        <v>33.794842492130002</v>
      </c>
      <c r="BB136" s="165">
        <v>33.779574938604803</v>
      </c>
      <c r="BC136" s="140">
        <f t="shared" si="151"/>
        <v>33.875426790923463</v>
      </c>
      <c r="BD136" s="150">
        <v>-3.4617</v>
      </c>
      <c r="BE136" s="640">
        <v>42.390999999999998</v>
      </c>
      <c r="BF136" s="353">
        <f t="shared" si="152"/>
        <v>288.36309983326777</v>
      </c>
      <c r="BG136" s="360">
        <f t="shared" ref="BG136:BG138" si="156">(BF136/AH136)*(AB136/O136)</f>
        <v>57.672619966653556</v>
      </c>
      <c r="BH136" s="353">
        <f>BF136/AX136</f>
        <v>3.8037954594443667E-2</v>
      </c>
      <c r="BI136" s="362"/>
      <c r="BJ136" s="351"/>
      <c r="BK136" s="298"/>
      <c r="BL136" s="294"/>
      <c r="BM136" s="293"/>
      <c r="BN136" s="293"/>
      <c r="BO136" s="293"/>
      <c r="BP136" s="293"/>
      <c r="BQ136" s="293"/>
      <c r="BR136" s="293"/>
      <c r="BS136" s="294"/>
    </row>
    <row r="137" spans="1:71" s="277" customFormat="1" ht="15" x14ac:dyDescent="0.2">
      <c r="A137" s="343"/>
      <c r="B137" s="346">
        <v>44266</v>
      </c>
      <c r="C137" s="359" t="s">
        <v>251</v>
      </c>
      <c r="D137" s="682" t="s">
        <v>231</v>
      </c>
      <c r="E137" s="249" t="s">
        <v>252</v>
      </c>
      <c r="F137" s="683" t="s">
        <v>233</v>
      </c>
      <c r="G137" s="314"/>
      <c r="H137" s="314"/>
      <c r="I137" s="314"/>
      <c r="J137" s="314"/>
      <c r="K137" s="324"/>
      <c r="L137" s="261" t="s">
        <v>234</v>
      </c>
      <c r="M137" s="261"/>
      <c r="N137" s="285">
        <v>44267</v>
      </c>
      <c r="O137" s="261">
        <v>50</v>
      </c>
      <c r="P137" s="261" t="s">
        <v>235</v>
      </c>
      <c r="Q137" s="261" t="s">
        <v>236</v>
      </c>
      <c r="R137" s="375" t="s">
        <v>273</v>
      </c>
      <c r="S137" s="375">
        <v>7.84</v>
      </c>
      <c r="T137" s="375">
        <v>3.9</v>
      </c>
      <c r="U137" s="375">
        <v>172</v>
      </c>
      <c r="V137" s="375">
        <v>3.64</v>
      </c>
      <c r="W137" s="315"/>
      <c r="X137" s="315"/>
      <c r="Y137" s="147"/>
      <c r="Z137" s="476" t="s">
        <v>274</v>
      </c>
      <c r="AA137" s="283"/>
      <c r="AB137" s="139">
        <v>50</v>
      </c>
      <c r="AC137" s="315"/>
      <c r="AD137" s="314"/>
      <c r="AE137" s="457" t="s">
        <v>425</v>
      </c>
      <c r="AF137" s="314"/>
      <c r="AG137" s="476">
        <v>44271</v>
      </c>
      <c r="AH137" s="477">
        <v>5</v>
      </c>
      <c r="AI137" s="315"/>
      <c r="AJ137" s="165">
        <v>21.583709474403701</v>
      </c>
      <c r="AK137" s="165">
        <v>21.556279810187402</v>
      </c>
      <c r="AL137" s="165">
        <v>21.642044529802799</v>
      </c>
      <c r="AM137" s="140">
        <f t="shared" si="147"/>
        <v>21.594011271464634</v>
      </c>
      <c r="AN137" s="363">
        <v>-3.4410714285714286</v>
      </c>
      <c r="AO137" s="363">
        <v>48.943513064185922</v>
      </c>
      <c r="AP137" s="361">
        <f t="shared" si="154"/>
        <v>88707651.461402267</v>
      </c>
      <c r="AQ137" s="469">
        <f t="shared" si="155"/>
        <v>45.559796878338155</v>
      </c>
      <c r="AR137" s="170">
        <v>24.87</v>
      </c>
      <c r="AS137" s="170">
        <v>24.86</v>
      </c>
      <c r="AT137" s="170">
        <v>24.9</v>
      </c>
      <c r="AU137" s="140">
        <f t="shared" si="148"/>
        <v>24.876666666666665</v>
      </c>
      <c r="AV137" s="470">
        <v>-3.5035151515151499</v>
      </c>
      <c r="AW137" s="470">
        <v>40.6726666666667</v>
      </c>
      <c r="AX137" s="362">
        <f t="shared" ref="AX137:AX140" si="157">IF(AND(AR137="No CT",AS137="No CT",AT137="No CT"),0,10^((AU137-AW137)/AV137))</f>
        <v>32256.312997591256</v>
      </c>
      <c r="AY137" s="353">
        <f t="shared" si="150"/>
        <v>6451.2625995182516</v>
      </c>
      <c r="AZ137" s="165">
        <v>38.710226763178902</v>
      </c>
      <c r="BA137" s="165">
        <v>37.9607993173016</v>
      </c>
      <c r="BB137" s="165">
        <v>39.1265216394522</v>
      </c>
      <c r="BC137" s="140">
        <f t="shared" si="151"/>
        <v>38.599182573310905</v>
      </c>
      <c r="BD137" s="150">
        <v>-3.4617</v>
      </c>
      <c r="BE137" s="640">
        <v>42.390999999999998</v>
      </c>
      <c r="BF137" s="353">
        <f t="shared" si="152"/>
        <v>12.455547042742799</v>
      </c>
      <c r="BG137" s="360">
        <f t="shared" si="156"/>
        <v>2.4911094085485597</v>
      </c>
      <c r="BH137" s="353">
        <f t="shared" ref="BH137:BH140" si="158">BF137/AX137</f>
        <v>3.8614292475624593E-4</v>
      </c>
      <c r="BI137" s="412"/>
      <c r="BJ137" s="435"/>
      <c r="BK137" s="320"/>
      <c r="BL137" s="321"/>
      <c r="BM137" s="322"/>
      <c r="BN137" s="322"/>
      <c r="BO137" s="322"/>
      <c r="BP137" s="322"/>
      <c r="BQ137" s="322"/>
      <c r="BR137" s="322"/>
      <c r="BS137" s="321"/>
    </row>
    <row r="138" spans="1:71" s="277" customFormat="1" ht="15" x14ac:dyDescent="0.2">
      <c r="A138" s="343"/>
      <c r="B138" s="346">
        <v>44266</v>
      </c>
      <c r="C138" s="359" t="s">
        <v>253</v>
      </c>
      <c r="D138" s="682" t="s">
        <v>244</v>
      </c>
      <c r="E138" s="249" t="s">
        <v>252</v>
      </c>
      <c r="F138" s="683" t="s">
        <v>233</v>
      </c>
      <c r="G138" s="314"/>
      <c r="H138" s="314"/>
      <c r="I138" s="314"/>
      <c r="J138" s="314"/>
      <c r="K138" s="324"/>
      <c r="L138" s="261" t="s">
        <v>234</v>
      </c>
      <c r="M138" s="261"/>
      <c r="N138" s="285">
        <v>44267</v>
      </c>
      <c r="O138" s="261">
        <v>50</v>
      </c>
      <c r="P138" s="261" t="s">
        <v>235</v>
      </c>
      <c r="Q138" s="261" t="s">
        <v>236</v>
      </c>
      <c r="R138" s="375" t="s">
        <v>273</v>
      </c>
      <c r="S138" s="145">
        <v>7.7</v>
      </c>
      <c r="T138" s="141">
        <v>4.3499999999999996</v>
      </c>
      <c r="U138" s="141">
        <v>184</v>
      </c>
      <c r="V138" s="141">
        <v>2.89</v>
      </c>
      <c r="W138" s="315"/>
      <c r="X138" s="315"/>
      <c r="Y138" s="147" t="s">
        <v>277</v>
      </c>
      <c r="Z138" s="476" t="s">
        <v>274</v>
      </c>
      <c r="AA138" s="283"/>
      <c r="AB138" s="139">
        <v>50</v>
      </c>
      <c r="AC138" s="315"/>
      <c r="AD138" s="314"/>
      <c r="AE138" s="457" t="s">
        <v>425</v>
      </c>
      <c r="AF138" s="314"/>
      <c r="AG138" s="476">
        <v>44271</v>
      </c>
      <c r="AH138" s="477">
        <v>5</v>
      </c>
      <c r="AI138" s="315"/>
      <c r="AJ138" s="165">
        <v>22.2668048529472</v>
      </c>
      <c r="AK138" s="165">
        <v>22.293716124407599</v>
      </c>
      <c r="AL138" s="165">
        <v>22.292966858132399</v>
      </c>
      <c r="AM138" s="140">
        <f t="shared" si="147"/>
        <v>22.284495945162401</v>
      </c>
      <c r="AN138" s="363">
        <v>-3.4410714285714286</v>
      </c>
      <c r="AO138" s="363">
        <v>48.943513064185922</v>
      </c>
      <c r="AP138" s="361">
        <f t="shared" si="154"/>
        <v>55885776.609583214</v>
      </c>
      <c r="AQ138" s="469">
        <f t="shared" si="155"/>
        <v>28.702649532195657</v>
      </c>
      <c r="AR138" s="170">
        <v>26.56</v>
      </c>
      <c r="AS138" s="170">
        <v>26.66</v>
      </c>
      <c r="AT138" s="170">
        <v>26.77</v>
      </c>
      <c r="AU138" s="140">
        <f t="shared" si="148"/>
        <v>26.66333333333333</v>
      </c>
      <c r="AV138" s="478">
        <v>-3.5035151515151499</v>
      </c>
      <c r="AW138" s="478">
        <v>40.6726666666667</v>
      </c>
      <c r="AX138" s="362">
        <f t="shared" si="157"/>
        <v>9968.9795656367041</v>
      </c>
      <c r="AY138" s="353">
        <f t="shared" ref="AY138" si="159">(AX138/AH138)*(AB138/O138)</f>
        <v>1993.7959131273408</v>
      </c>
      <c r="AZ138" s="165">
        <v>38.997662641094003</v>
      </c>
      <c r="BA138" s="165"/>
      <c r="BB138" s="165">
        <v>39.268309287494702</v>
      </c>
      <c r="BC138" s="140">
        <f t="shared" si="151"/>
        <v>39.132985964294349</v>
      </c>
      <c r="BD138" s="150">
        <v>-3.4617</v>
      </c>
      <c r="BE138" s="640">
        <v>42.390999999999998</v>
      </c>
      <c r="BF138" s="353">
        <f>IF(AND(AZ138="No CT",BA138="No CT",BB138="No CT"),0,10^((BC138-BE138)/BD138))</f>
        <v>8.7329331153376675</v>
      </c>
      <c r="BG138" s="360">
        <f t="shared" si="156"/>
        <v>1.7465866230675335</v>
      </c>
      <c r="BH138" s="353">
        <f t="shared" si="158"/>
        <v>8.7601073488406808E-4</v>
      </c>
      <c r="BI138" s="412"/>
      <c r="BJ138" s="435"/>
      <c r="BK138" s="320"/>
      <c r="BL138" s="321"/>
      <c r="BM138" s="322"/>
      <c r="BN138" s="322"/>
      <c r="BO138" s="322"/>
      <c r="BP138" s="322"/>
      <c r="BQ138" s="322"/>
      <c r="BR138" s="322"/>
      <c r="BS138" s="321"/>
    </row>
    <row r="139" spans="1:71" s="277" customFormat="1" ht="15" x14ac:dyDescent="0.2">
      <c r="A139" s="341"/>
      <c r="B139" s="346">
        <v>44266</v>
      </c>
      <c r="C139" s="479" t="s">
        <v>254</v>
      </c>
      <c r="D139" s="697"/>
      <c r="E139" s="250"/>
      <c r="F139" s="685"/>
      <c r="G139" s="222"/>
      <c r="H139" s="222"/>
      <c r="I139" s="222"/>
      <c r="J139" s="222"/>
      <c r="K139" s="222"/>
      <c r="L139" s="295"/>
      <c r="M139" s="295"/>
      <c r="N139" s="282"/>
      <c r="O139" s="222"/>
      <c r="P139" s="222"/>
      <c r="Q139" s="222"/>
      <c r="R139" s="295"/>
      <c r="S139" s="296"/>
      <c r="T139" s="295"/>
      <c r="U139" s="295"/>
      <c r="V139" s="295"/>
      <c r="W139" s="295"/>
      <c r="X139" s="295"/>
      <c r="Y139" s="147"/>
      <c r="Z139" s="275"/>
      <c r="AA139" s="282"/>
      <c r="AB139" s="222"/>
      <c r="AC139" s="295"/>
      <c r="AD139" s="295"/>
      <c r="AE139" s="457" t="s">
        <v>425</v>
      </c>
      <c r="AF139" s="295"/>
      <c r="AG139" s="476">
        <v>44271</v>
      </c>
      <c r="AH139" s="477">
        <v>5</v>
      </c>
      <c r="AI139" s="295"/>
      <c r="AJ139" s="165">
        <v>20.288364972869001</v>
      </c>
      <c r="AK139" s="165">
        <v>20.468156306538798</v>
      </c>
      <c r="AL139" s="165">
        <v>20.500979080343999</v>
      </c>
      <c r="AM139" s="140">
        <f t="shared" si="147"/>
        <v>20.419166786583933</v>
      </c>
      <c r="AN139" s="363">
        <v>-3.4410714285714286</v>
      </c>
      <c r="AO139" s="363">
        <v>48.943513064185922</v>
      </c>
      <c r="AP139" s="361">
        <f t="shared" si="154"/>
        <v>194705985.40701389</v>
      </c>
      <c r="AQ139" s="469">
        <f t="shared" si="155"/>
        <v>100</v>
      </c>
      <c r="AR139" s="170">
        <v>37.200000000000003</v>
      </c>
      <c r="AS139" s="170">
        <v>34.049999999999997</v>
      </c>
      <c r="AT139" s="170">
        <v>36.47</v>
      </c>
      <c r="AU139" s="140">
        <f t="shared" si="148"/>
        <v>35.906666666666666</v>
      </c>
      <c r="AV139" s="478">
        <v>-3.5035151515151499</v>
      </c>
      <c r="AW139" s="478">
        <v>40.6726666666667</v>
      </c>
      <c r="AX139" s="362">
        <f t="shared" si="157"/>
        <v>22.927043169507812</v>
      </c>
      <c r="AY139" s="353"/>
      <c r="AZ139" s="165">
        <v>38.107058617750504</v>
      </c>
      <c r="BA139" s="165">
        <v>38.199058873404901</v>
      </c>
      <c r="BB139" s="165">
        <v>38.170876953539398</v>
      </c>
      <c r="BC139" s="140">
        <f t="shared" si="151"/>
        <v>38.158998148231603</v>
      </c>
      <c r="BD139" s="150">
        <v>-3.4617</v>
      </c>
      <c r="BE139" s="640">
        <v>42.390999999999998</v>
      </c>
      <c r="BF139" s="353">
        <f t="shared" ref="BF139:BF140" si="160">IF(AND(AZ139="No CT",BA139="No CT",BB139="No CT"),0,10^((BC139-BE139)/BD139))</f>
        <v>16.692495266056568</v>
      </c>
      <c r="BG139" s="360"/>
      <c r="BH139" s="353">
        <f t="shared" si="158"/>
        <v>0.72807012847853925</v>
      </c>
      <c r="BI139" s="362"/>
      <c r="BJ139" s="351"/>
      <c r="BK139" s="298"/>
      <c r="BL139" s="294"/>
      <c r="BM139" s="293"/>
      <c r="BN139" s="293"/>
      <c r="BO139" s="293"/>
      <c r="BP139" s="293"/>
      <c r="BQ139" s="293"/>
      <c r="BR139" s="293"/>
      <c r="BS139" s="294"/>
    </row>
    <row r="140" spans="1:71" s="277" customFormat="1" ht="15" x14ac:dyDescent="0.2">
      <c r="A140" s="370"/>
      <c r="B140" s="524">
        <v>44266</v>
      </c>
      <c r="C140" s="525" t="s">
        <v>255</v>
      </c>
      <c r="D140" s="699"/>
      <c r="E140" s="698"/>
      <c r="F140" s="700"/>
      <c r="G140" s="327"/>
      <c r="H140" s="327"/>
      <c r="I140" s="327"/>
      <c r="J140" s="327"/>
      <c r="K140" s="327"/>
      <c r="L140" s="327"/>
      <c r="M140" s="327"/>
      <c r="N140" s="284"/>
      <c r="O140" s="327"/>
      <c r="P140" s="327"/>
      <c r="Q140" s="327"/>
      <c r="R140" s="327"/>
      <c r="S140" s="327"/>
      <c r="T140" s="327"/>
      <c r="U140" s="327"/>
      <c r="V140" s="492"/>
      <c r="W140" s="327"/>
      <c r="X140" s="327"/>
      <c r="Y140" s="156"/>
      <c r="Z140" s="326"/>
      <c r="AA140" s="284"/>
      <c r="AB140" s="327"/>
      <c r="AC140" s="327"/>
      <c r="AD140" s="327"/>
      <c r="AE140" s="526"/>
      <c r="AF140" s="327"/>
      <c r="AG140" s="527"/>
      <c r="AH140" s="477">
        <v>5</v>
      </c>
      <c r="AI140" s="327"/>
      <c r="AJ140" s="529" t="s">
        <v>95</v>
      </c>
      <c r="AK140" s="529" t="s">
        <v>95</v>
      </c>
      <c r="AL140" s="529" t="s">
        <v>95</v>
      </c>
      <c r="AM140" s="530" t="e">
        <f t="shared" si="147"/>
        <v>#DIV/0!</v>
      </c>
      <c r="AN140" s="531">
        <v>-3.4410714285714299</v>
      </c>
      <c r="AO140" s="531">
        <v>48.9435130641859</v>
      </c>
      <c r="AP140" s="532">
        <f>IF(AND(AJ140="No CT",AK140="No CT",AL140="No CT"),0,10^((AM140-AO140)/AN140))</f>
        <v>0</v>
      </c>
      <c r="AQ140" s="533">
        <f t="shared" si="155"/>
        <v>0</v>
      </c>
      <c r="AR140" s="534">
        <v>38.18</v>
      </c>
      <c r="AS140" s="534">
        <v>37.82</v>
      </c>
      <c r="AT140" s="534">
        <v>39.71</v>
      </c>
      <c r="AU140" s="530">
        <f t="shared" si="148"/>
        <v>38.57</v>
      </c>
      <c r="AV140" s="535">
        <v>-3.5035151515151499</v>
      </c>
      <c r="AW140" s="535">
        <v>40.6726666666667</v>
      </c>
      <c r="AX140" s="536">
        <f t="shared" si="157"/>
        <v>3.9825308394367087</v>
      </c>
      <c r="AY140" s="638"/>
      <c r="AZ140" s="529"/>
      <c r="BA140" s="529">
        <v>39.239278409675698</v>
      </c>
      <c r="BB140" s="529">
        <v>39.315284197608399</v>
      </c>
      <c r="BC140" s="530">
        <f t="shared" si="151"/>
        <v>39.277281303642049</v>
      </c>
      <c r="BD140" s="650">
        <v>-3.4617</v>
      </c>
      <c r="BE140" s="644">
        <v>42.390999999999998</v>
      </c>
      <c r="BF140" s="638">
        <f t="shared" si="160"/>
        <v>7.93371798697315</v>
      </c>
      <c r="BG140" s="556"/>
      <c r="BH140" s="638">
        <f t="shared" si="158"/>
        <v>1.99212970516389</v>
      </c>
      <c r="BI140" s="495"/>
      <c r="BJ140" s="496"/>
      <c r="BK140" s="497"/>
      <c r="BL140" s="373"/>
      <c r="BM140" s="374"/>
      <c r="BN140" s="374"/>
      <c r="BO140" s="374"/>
      <c r="BP140" s="374"/>
      <c r="BQ140" s="374"/>
      <c r="BR140" s="374"/>
      <c r="BS140" s="373"/>
    </row>
    <row r="141" spans="1:71" s="546" customFormat="1" ht="15" x14ac:dyDescent="0.2">
      <c r="A141" s="418"/>
      <c r="B141" s="418"/>
      <c r="C141" s="419"/>
      <c r="D141" s="540"/>
      <c r="E141" s="540"/>
      <c r="F141" s="421"/>
      <c r="G141" s="421"/>
      <c r="H141" s="421"/>
      <c r="I141" s="421"/>
      <c r="J141" s="421"/>
      <c r="K141" s="421"/>
      <c r="L141" s="421"/>
      <c r="M141" s="421"/>
      <c r="N141" s="422"/>
      <c r="O141" s="421"/>
      <c r="P141" s="421"/>
      <c r="Q141" s="421"/>
      <c r="R141" s="421"/>
      <c r="S141" s="421"/>
      <c r="T141" s="421"/>
      <c r="U141" s="421"/>
      <c r="V141" s="421"/>
      <c r="W141" s="421"/>
      <c r="X141" s="421"/>
      <c r="Y141" s="421"/>
      <c r="Z141" s="540"/>
      <c r="AA141" s="422"/>
      <c r="AB141" s="421"/>
      <c r="AC141" s="421"/>
      <c r="AD141" s="421"/>
      <c r="AE141" s="421"/>
      <c r="AF141" s="421"/>
      <c r="AG141" s="422"/>
      <c r="AH141" s="541"/>
      <c r="AI141" s="421"/>
      <c r="AJ141" s="421"/>
      <c r="AK141" s="421"/>
      <c r="AL141" s="421"/>
      <c r="AM141" s="425"/>
      <c r="AN141" s="425"/>
      <c r="AO141" s="425"/>
      <c r="AP141" s="542"/>
      <c r="AQ141" s="425"/>
      <c r="AR141" s="425"/>
      <c r="AS141" s="421"/>
      <c r="AT141" s="421"/>
      <c r="AU141" s="425"/>
      <c r="AV141" s="425"/>
      <c r="AW141" s="425"/>
      <c r="AX141" s="543"/>
      <c r="AY141" s="425"/>
      <c r="AZ141" s="421"/>
      <c r="BA141" s="421"/>
      <c r="BB141" s="421"/>
      <c r="BC141" s="425"/>
      <c r="BD141" s="425"/>
      <c r="BE141" s="425"/>
      <c r="BF141" s="421"/>
      <c r="BG141" s="542"/>
      <c r="BH141" s="542"/>
      <c r="BI141" s="544"/>
      <c r="BJ141" s="544"/>
      <c r="BK141" s="545"/>
    </row>
    <row r="142" spans="1:71" s="403" customFormat="1" ht="15" x14ac:dyDescent="0.2">
      <c r="A142" s="343"/>
      <c r="B142" s="454">
        <v>44267</v>
      </c>
      <c r="C142" s="455" t="s">
        <v>230</v>
      </c>
      <c r="D142" s="680" t="s">
        <v>231</v>
      </c>
      <c r="E142" s="679" t="s">
        <v>232</v>
      </c>
      <c r="F142" s="681" t="s">
        <v>233</v>
      </c>
      <c r="G142" s="314"/>
      <c r="H142" s="314"/>
      <c r="I142" s="314"/>
      <c r="J142" s="314"/>
      <c r="K142" s="324"/>
      <c r="L142" s="457" t="s">
        <v>234</v>
      </c>
      <c r="M142" s="457"/>
      <c r="N142" s="537">
        <v>44270</v>
      </c>
      <c r="O142" s="457">
        <v>50</v>
      </c>
      <c r="P142" s="457" t="s">
        <v>235</v>
      </c>
      <c r="Q142" s="457" t="s">
        <v>236</v>
      </c>
      <c r="R142" s="538" t="s">
        <v>89</v>
      </c>
      <c r="S142" s="375">
        <v>7.27</v>
      </c>
      <c r="T142" s="375">
        <v>4.2300000000000004</v>
      </c>
      <c r="U142" s="375">
        <v>23.1</v>
      </c>
      <c r="V142" s="375">
        <v>1.4</v>
      </c>
      <c r="W142" s="314"/>
      <c r="X142" s="314"/>
      <c r="Y142" s="314"/>
      <c r="Z142" s="476" t="s">
        <v>278</v>
      </c>
      <c r="AA142" s="286"/>
      <c r="AB142" s="139">
        <v>50</v>
      </c>
      <c r="AC142" s="314"/>
      <c r="AD142" s="314"/>
      <c r="AE142" s="457" t="s">
        <v>425</v>
      </c>
      <c r="AF142" s="314"/>
      <c r="AG142" s="476">
        <v>44271</v>
      </c>
      <c r="AH142" s="463">
        <v>5</v>
      </c>
      <c r="AI142" s="314"/>
      <c r="AJ142" s="144">
        <v>22.263965077385802</v>
      </c>
      <c r="AK142" s="144">
        <v>22.075173621204101</v>
      </c>
      <c r="AL142" s="144">
        <v>21.912035018204602</v>
      </c>
      <c r="AM142" s="140">
        <f t="shared" ref="AM142:AM151" si="161">AVERAGE(AJ142:AL142)</f>
        <v>22.083724572264838</v>
      </c>
      <c r="AN142" s="467">
        <v>-3.4410714285714286</v>
      </c>
      <c r="AO142" s="467">
        <v>48.943513064185922</v>
      </c>
      <c r="AP142" s="468">
        <f>IF(AND(AJ142="No CT",AK142="No CT",AL142="No CT"),0,10^((AM142-AO142)/AN142))</f>
        <v>63921489.916494429</v>
      </c>
      <c r="AQ142" s="469">
        <f>AP142*100/$AP$150</f>
        <v>36.876469319308789</v>
      </c>
      <c r="AR142" s="170">
        <v>28.97</v>
      </c>
      <c r="AS142" s="170">
        <v>28.76</v>
      </c>
      <c r="AT142" s="170">
        <v>28.47</v>
      </c>
      <c r="AU142" s="140">
        <f t="shared" ref="AU142:AU151" si="162">AVERAGE(AR142:AT142)</f>
        <v>28.733333333333334</v>
      </c>
      <c r="AV142" s="478">
        <v>-3.5035151515151512</v>
      </c>
      <c r="AW142" s="478">
        <v>40.672666666666665</v>
      </c>
      <c r="AX142" s="362">
        <f t="shared" ref="AX142:AX145" si="163">IF(AND(AR142="No CT",AS142="No CT",AT142="No CT"),0,10^((AU142-AW142)/AV142))</f>
        <v>2557.4993220653241</v>
      </c>
      <c r="AY142" s="469">
        <f t="shared" ref="AY142:AY148" si="164">(AX142/AH142)*(AB142/O142)</f>
        <v>511.49986441306481</v>
      </c>
      <c r="AZ142" s="165">
        <v>39.248753939128399</v>
      </c>
      <c r="BA142" s="165">
        <v>39.1178627598348</v>
      </c>
      <c r="BB142" s="165">
        <v>38.755335269177301</v>
      </c>
      <c r="BC142" s="140">
        <f t="shared" ref="BC142:BC151" si="165">AVERAGE(AZ142:BB142)</f>
        <v>39.040650656046836</v>
      </c>
      <c r="BD142" s="150">
        <v>-3.4617</v>
      </c>
      <c r="BE142" s="640">
        <v>42.390999999999998</v>
      </c>
      <c r="BF142" s="353">
        <f t="shared" ref="BF142:BF148" si="166">IF(AND(AZ142="No CT",BA142="No CT",BB142="No CT"),0,10^((BC142-BE142)/BD142))</f>
        <v>9.2861037978943664</v>
      </c>
      <c r="BG142" s="360">
        <f>(BF142/AH142)*(AB142/O142)</f>
        <v>1.8572207595788732</v>
      </c>
      <c r="BH142" s="353">
        <f t="shared" ref="BH142:BH146" si="167">BF142/AX142</f>
        <v>3.6309310887305793E-3</v>
      </c>
      <c r="BI142" s="402"/>
      <c r="BJ142" s="402"/>
      <c r="BK142" s="539"/>
      <c r="BL142" s="402"/>
      <c r="BM142" s="402"/>
      <c r="BN142" s="402"/>
      <c r="BO142" s="402"/>
      <c r="BP142" s="402"/>
      <c r="BQ142" s="402"/>
      <c r="BR142" s="402"/>
      <c r="BS142" s="402"/>
    </row>
    <row r="143" spans="1:71" s="277" customFormat="1" ht="15" x14ac:dyDescent="0.2">
      <c r="A143" s="498"/>
      <c r="B143" s="346">
        <v>44267</v>
      </c>
      <c r="C143" s="359" t="s">
        <v>243</v>
      </c>
      <c r="D143" s="682" t="s">
        <v>244</v>
      </c>
      <c r="E143" s="249" t="s">
        <v>232</v>
      </c>
      <c r="F143" s="683" t="s">
        <v>233</v>
      </c>
      <c r="G143" s="314"/>
      <c r="H143" s="314"/>
      <c r="I143" s="314"/>
      <c r="J143" s="314"/>
      <c r="K143" s="324"/>
      <c r="L143" s="261" t="s">
        <v>234</v>
      </c>
      <c r="M143" s="457"/>
      <c r="N143" s="537">
        <v>44270</v>
      </c>
      <c r="O143" s="261">
        <v>50</v>
      </c>
      <c r="P143" s="261" t="s">
        <v>235</v>
      </c>
      <c r="Q143" s="261" t="s">
        <v>236</v>
      </c>
      <c r="R143" s="538" t="s">
        <v>89</v>
      </c>
      <c r="S143" s="145">
        <v>7.23</v>
      </c>
      <c r="T143" s="141">
        <v>3.6</v>
      </c>
      <c r="U143" s="141">
        <v>11.2</v>
      </c>
      <c r="V143" s="141">
        <v>1.79</v>
      </c>
      <c r="W143" s="314"/>
      <c r="X143" s="314"/>
      <c r="Y143" s="314"/>
      <c r="Z143" s="476" t="s">
        <v>278</v>
      </c>
      <c r="AA143" s="286"/>
      <c r="AB143" s="139">
        <v>50</v>
      </c>
      <c r="AC143" s="314"/>
      <c r="AD143" s="314"/>
      <c r="AE143" s="457" t="s">
        <v>425</v>
      </c>
      <c r="AF143" s="314"/>
      <c r="AG143" s="476">
        <v>44271</v>
      </c>
      <c r="AH143" s="477">
        <v>5</v>
      </c>
      <c r="AI143" s="314"/>
      <c r="AJ143" s="165">
        <v>22.598260018618301</v>
      </c>
      <c r="AK143" s="165">
        <v>22.613327109985601</v>
      </c>
      <c r="AL143" s="165">
        <v>22.639389157619501</v>
      </c>
      <c r="AM143" s="140">
        <f t="shared" si="161"/>
        <v>22.616992095407799</v>
      </c>
      <c r="AN143" s="363">
        <v>-3.4410714285714286</v>
      </c>
      <c r="AO143" s="363">
        <v>48.943513064185922</v>
      </c>
      <c r="AP143" s="361">
        <f t="shared" ref="AP143:AP150" si="168">IF(AND(AJ143="No CT",AK143="No CT",AL143="No CT"),0,10^((AM143-AO143)/AN143))</f>
        <v>44737893.1603413</v>
      </c>
      <c r="AQ143" s="469">
        <f t="shared" ref="AQ143:AQ151" si="169">AP143*100/$AP$150</f>
        <v>25.809403796642876</v>
      </c>
      <c r="AR143" s="170">
        <v>29.41</v>
      </c>
      <c r="AS143" s="170">
        <v>29.67</v>
      </c>
      <c r="AT143" s="170">
        <v>29.69</v>
      </c>
      <c r="AU143" s="140">
        <f t="shared" si="162"/>
        <v>29.59</v>
      </c>
      <c r="AV143" s="478">
        <v>-3.5035151515151512</v>
      </c>
      <c r="AW143" s="478">
        <v>40.672666666666665</v>
      </c>
      <c r="AX143" s="362">
        <f t="shared" si="163"/>
        <v>1456.4621316122577</v>
      </c>
      <c r="AY143" s="353">
        <f t="shared" si="164"/>
        <v>291.29242632245155</v>
      </c>
      <c r="AZ143" s="144" t="s">
        <v>95</v>
      </c>
      <c r="BA143" s="144" t="s">
        <v>95</v>
      </c>
      <c r="BB143" s="144" t="s">
        <v>95</v>
      </c>
      <c r="BC143" s="140" t="e">
        <f t="shared" si="165"/>
        <v>#DIV/0!</v>
      </c>
      <c r="BD143" s="150">
        <v>-3.4617</v>
      </c>
      <c r="BE143" s="640">
        <v>42.390999999999998</v>
      </c>
      <c r="BF143" s="353">
        <f t="shared" si="166"/>
        <v>0</v>
      </c>
      <c r="BG143" s="360">
        <f>(BF143/AH143)*(AB143/O143)</f>
        <v>0</v>
      </c>
      <c r="BH143" s="353">
        <f t="shared" si="167"/>
        <v>0</v>
      </c>
      <c r="BI143" s="499"/>
      <c r="BJ143" s="442"/>
      <c r="BK143" s="331"/>
      <c r="BL143" s="367"/>
      <c r="BM143" s="368"/>
      <c r="BN143" s="368"/>
      <c r="BO143" s="368"/>
      <c r="BP143" s="368"/>
      <c r="BQ143" s="368"/>
      <c r="BR143" s="368"/>
      <c r="BS143" s="367"/>
    </row>
    <row r="144" spans="1:71" s="277" customFormat="1" ht="15" x14ac:dyDescent="0.2">
      <c r="A144" s="344"/>
      <c r="B144" s="346">
        <v>44267</v>
      </c>
      <c r="C144" s="359" t="s">
        <v>245</v>
      </c>
      <c r="D144" s="682" t="s">
        <v>231</v>
      </c>
      <c r="E144" s="249" t="s">
        <v>246</v>
      </c>
      <c r="F144" s="683" t="s">
        <v>233</v>
      </c>
      <c r="G144" s="222"/>
      <c r="H144" s="222"/>
      <c r="I144" s="222"/>
      <c r="J144" s="222"/>
      <c r="K144" s="337"/>
      <c r="L144" s="261" t="s">
        <v>234</v>
      </c>
      <c r="M144" s="457"/>
      <c r="N144" s="537">
        <v>44270</v>
      </c>
      <c r="O144" s="261">
        <v>50</v>
      </c>
      <c r="P144" s="261" t="s">
        <v>235</v>
      </c>
      <c r="Q144" s="261" t="s">
        <v>236</v>
      </c>
      <c r="R144" s="538" t="s">
        <v>89</v>
      </c>
      <c r="S144" s="375">
        <v>7.27</v>
      </c>
      <c r="T144" s="375">
        <v>4.3600000000000003</v>
      </c>
      <c r="U144" s="375">
        <v>43.5</v>
      </c>
      <c r="V144" s="375">
        <v>1.1200000000000001</v>
      </c>
      <c r="W144" s="315"/>
      <c r="X144" s="315"/>
      <c r="Y144" s="315"/>
      <c r="Z144" s="476" t="s">
        <v>278</v>
      </c>
      <c r="AA144" s="283"/>
      <c r="AB144" s="139">
        <v>50</v>
      </c>
      <c r="AC144" s="315"/>
      <c r="AD144" s="315"/>
      <c r="AE144" s="457" t="s">
        <v>425</v>
      </c>
      <c r="AF144" s="222"/>
      <c r="AG144" s="476">
        <v>44271</v>
      </c>
      <c r="AH144" s="477">
        <v>5</v>
      </c>
      <c r="AI144" s="315"/>
      <c r="AJ144" s="165">
        <v>22.405142582397001</v>
      </c>
      <c r="AK144" s="165">
        <v>22.436003935539699</v>
      </c>
      <c r="AL144" s="165">
        <v>22.5759548448728</v>
      </c>
      <c r="AM144" s="140">
        <f t="shared" si="161"/>
        <v>22.4723671209365</v>
      </c>
      <c r="AN144" s="363">
        <v>-3.4410714285714286</v>
      </c>
      <c r="AO144" s="363">
        <v>48.943513064185922</v>
      </c>
      <c r="AP144" s="361">
        <f t="shared" si="168"/>
        <v>49283844.807239741</v>
      </c>
      <c r="AQ144" s="469">
        <f t="shared" si="169"/>
        <v>28.43197480762699</v>
      </c>
      <c r="AR144" s="170">
        <v>28.34</v>
      </c>
      <c r="AS144" s="170">
        <v>28.41</v>
      </c>
      <c r="AT144" s="170">
        <v>28.43</v>
      </c>
      <c r="AU144" s="140">
        <f t="shared" si="162"/>
        <v>28.393333333333334</v>
      </c>
      <c r="AV144" s="478">
        <v>-3.5035151515151512</v>
      </c>
      <c r="AW144" s="478">
        <v>40.672666666666665</v>
      </c>
      <c r="AX144" s="362">
        <f t="shared" si="163"/>
        <v>3197.8708401589729</v>
      </c>
      <c r="AY144" s="353">
        <f t="shared" si="164"/>
        <v>639.57416803179456</v>
      </c>
      <c r="AZ144" s="165">
        <v>34.576080131489597</v>
      </c>
      <c r="BA144" s="165">
        <v>36.030387928935397</v>
      </c>
      <c r="BB144" s="165">
        <v>35.515343520494397</v>
      </c>
      <c r="BC144" s="140">
        <f t="shared" si="165"/>
        <v>35.373937193639797</v>
      </c>
      <c r="BD144" s="150">
        <v>-3.4617</v>
      </c>
      <c r="BE144" s="640">
        <v>42.390999999999998</v>
      </c>
      <c r="BF144" s="353">
        <f t="shared" si="166"/>
        <v>106.4282402712915</v>
      </c>
      <c r="BG144" s="360">
        <f>(BF144/AH144)*(AB144/O144)</f>
        <v>21.285648054258299</v>
      </c>
      <c r="BH144" s="353">
        <f t="shared" si="167"/>
        <v>3.3280968991856071E-2</v>
      </c>
      <c r="BI144" s="448"/>
      <c r="BJ144" s="441"/>
      <c r="BK144" s="320"/>
      <c r="BL144" s="321"/>
      <c r="BM144" s="322"/>
      <c r="BN144" s="322"/>
      <c r="BO144" s="322"/>
      <c r="BP144" s="322"/>
      <c r="BQ144" s="322"/>
      <c r="BR144" s="322"/>
      <c r="BS144" s="321"/>
    </row>
    <row r="145" spans="1:71" s="277" customFormat="1" ht="15" x14ac:dyDescent="0.2">
      <c r="A145" s="344"/>
      <c r="B145" s="346">
        <v>44267</v>
      </c>
      <c r="C145" s="359" t="s">
        <v>247</v>
      </c>
      <c r="D145" s="682" t="s">
        <v>244</v>
      </c>
      <c r="E145" s="249" t="s">
        <v>246</v>
      </c>
      <c r="F145" s="683" t="s">
        <v>233</v>
      </c>
      <c r="G145" s="222"/>
      <c r="H145" s="222"/>
      <c r="I145" s="222"/>
      <c r="J145" s="222"/>
      <c r="K145" s="337"/>
      <c r="L145" s="261" t="s">
        <v>234</v>
      </c>
      <c r="M145" s="457"/>
      <c r="N145" s="537">
        <v>44270</v>
      </c>
      <c r="O145" s="261">
        <v>50</v>
      </c>
      <c r="P145" s="261" t="s">
        <v>235</v>
      </c>
      <c r="Q145" s="261" t="s">
        <v>236</v>
      </c>
      <c r="R145" s="538" t="s">
        <v>89</v>
      </c>
      <c r="S145" s="142">
        <v>7.34</v>
      </c>
      <c r="T145" s="141">
        <v>4.41</v>
      </c>
      <c r="U145" s="141">
        <v>46.4</v>
      </c>
      <c r="V145" s="141">
        <v>0.66</v>
      </c>
      <c r="W145" s="315"/>
      <c r="X145" s="315"/>
      <c r="Y145" s="315"/>
      <c r="Z145" s="476" t="s">
        <v>278</v>
      </c>
      <c r="AA145" s="283"/>
      <c r="AB145" s="139">
        <v>50</v>
      </c>
      <c r="AC145" s="315"/>
      <c r="AD145" s="315"/>
      <c r="AE145" s="457" t="s">
        <v>425</v>
      </c>
      <c r="AF145" s="222"/>
      <c r="AG145" s="476">
        <v>44271</v>
      </c>
      <c r="AH145" s="477">
        <v>5</v>
      </c>
      <c r="AI145" s="315"/>
      <c r="AJ145" s="165">
        <v>21.8150970821385</v>
      </c>
      <c r="AK145" s="165">
        <v>21.926937915074699</v>
      </c>
      <c r="AL145" s="165">
        <v>22.032893781694099</v>
      </c>
      <c r="AM145" s="140">
        <f t="shared" si="161"/>
        <v>21.924976259635766</v>
      </c>
      <c r="AN145" s="363">
        <v>-3.4410714285714286</v>
      </c>
      <c r="AO145" s="363">
        <v>48.943513064185922</v>
      </c>
      <c r="AP145" s="361">
        <f t="shared" si="168"/>
        <v>71085379.400880083</v>
      </c>
      <c r="AQ145" s="469">
        <f t="shared" si="169"/>
        <v>41.009335294788769</v>
      </c>
      <c r="AR145" s="170">
        <v>28.21</v>
      </c>
      <c r="AS145" s="170">
        <v>28.24</v>
      </c>
      <c r="AT145" s="170">
        <v>28.36</v>
      </c>
      <c r="AU145" s="140">
        <f t="shared" si="162"/>
        <v>28.27</v>
      </c>
      <c r="AV145" s="478">
        <v>-3.5035151515151512</v>
      </c>
      <c r="AW145" s="478">
        <v>40.672666666666665</v>
      </c>
      <c r="AX145" s="362">
        <f t="shared" si="163"/>
        <v>3467.8767896419067</v>
      </c>
      <c r="AY145" s="353">
        <f t="shared" si="164"/>
        <v>693.57535792838132</v>
      </c>
      <c r="AZ145" s="165">
        <v>33.442328340149402</v>
      </c>
      <c r="BA145" s="165">
        <v>33.609447473436902</v>
      </c>
      <c r="BB145" s="165">
        <v>33.1890196129484</v>
      </c>
      <c r="BC145" s="140">
        <f t="shared" si="165"/>
        <v>33.41359847551157</v>
      </c>
      <c r="BD145" s="150">
        <v>-3.4617</v>
      </c>
      <c r="BE145" s="640">
        <v>42.390999999999998</v>
      </c>
      <c r="BF145" s="353">
        <f t="shared" si="166"/>
        <v>392.05818810545776</v>
      </c>
      <c r="BG145" s="360">
        <f>(BF145/AH145)*(AB145/O145)</f>
        <v>78.411637621091558</v>
      </c>
      <c r="BH145" s="353">
        <f t="shared" si="167"/>
        <v>0.11305424381756704</v>
      </c>
      <c r="BI145" s="448"/>
      <c r="BJ145" s="441"/>
      <c r="BK145" s="320"/>
      <c r="BL145" s="321"/>
      <c r="BM145" s="322"/>
      <c r="BN145" s="322"/>
      <c r="BO145" s="322"/>
      <c r="BP145" s="322"/>
      <c r="BQ145" s="322"/>
      <c r="BR145" s="322"/>
      <c r="BS145" s="321"/>
    </row>
    <row r="146" spans="1:71" s="277" customFormat="1" ht="15" x14ac:dyDescent="0.2">
      <c r="A146" s="344"/>
      <c r="B146" s="346">
        <v>44267</v>
      </c>
      <c r="C146" s="359" t="s">
        <v>248</v>
      </c>
      <c r="D146" s="682" t="s">
        <v>231</v>
      </c>
      <c r="E146" s="249" t="s">
        <v>249</v>
      </c>
      <c r="F146" s="683" t="s">
        <v>233</v>
      </c>
      <c r="G146" s="222"/>
      <c r="H146" s="222"/>
      <c r="I146" s="222"/>
      <c r="J146" s="222"/>
      <c r="K146" s="337"/>
      <c r="L146" s="261" t="s">
        <v>234</v>
      </c>
      <c r="M146" s="457"/>
      <c r="N146" s="537">
        <v>44270</v>
      </c>
      <c r="O146" s="261">
        <v>50</v>
      </c>
      <c r="P146" s="261" t="s">
        <v>235</v>
      </c>
      <c r="Q146" s="261" t="s">
        <v>236</v>
      </c>
      <c r="R146" s="538" t="s">
        <v>89</v>
      </c>
      <c r="S146" s="375">
        <v>7.56</v>
      </c>
      <c r="T146" s="375">
        <v>3.9</v>
      </c>
      <c r="U146" s="375">
        <v>10.5</v>
      </c>
      <c r="V146" s="375">
        <v>3.83</v>
      </c>
      <c r="W146" s="315"/>
      <c r="X146" s="315"/>
      <c r="Y146" s="315"/>
      <c r="Z146" s="476" t="s">
        <v>278</v>
      </c>
      <c r="AA146" s="283"/>
      <c r="AB146" s="139">
        <v>50</v>
      </c>
      <c r="AC146" s="315"/>
      <c r="AD146" s="315"/>
      <c r="AE146" s="457" t="s">
        <v>425</v>
      </c>
      <c r="AF146" s="222"/>
      <c r="AG146" s="476">
        <v>44271</v>
      </c>
      <c r="AH146" s="477">
        <v>5</v>
      </c>
      <c r="AI146" s="315"/>
      <c r="AJ146" s="165">
        <v>22.0149883573267</v>
      </c>
      <c r="AK146" s="165">
        <v>21.9595244374453</v>
      </c>
      <c r="AL146" s="165">
        <v>21.919124224957599</v>
      </c>
      <c r="AM146" s="140">
        <f t="shared" si="161"/>
        <v>21.964545673243197</v>
      </c>
      <c r="AN146" s="363">
        <v>-3.4410714285714286</v>
      </c>
      <c r="AO146" s="363">
        <v>48.943513064185922</v>
      </c>
      <c r="AP146" s="361">
        <f t="shared" si="168"/>
        <v>69227895.707250282</v>
      </c>
      <c r="AQ146" s="469">
        <f t="shared" si="169"/>
        <v>39.937748250607868</v>
      </c>
      <c r="AR146" s="170">
        <v>28.97</v>
      </c>
      <c r="AS146" s="170">
        <v>28.81</v>
      </c>
      <c r="AT146" s="170">
        <v>28.81</v>
      </c>
      <c r="AU146" s="140">
        <f t="shared" si="162"/>
        <v>28.863333333333333</v>
      </c>
      <c r="AV146" s="470">
        <v>-3.5035151515151499</v>
      </c>
      <c r="AW146" s="470">
        <v>40.6726666666667</v>
      </c>
      <c r="AX146" s="362">
        <f>IF(AND(AR146="No CT",AS146="No CT",AT146="No CT"),0,10^((AU146-AW146)/AV146))</f>
        <v>2348.0640338332082</v>
      </c>
      <c r="AY146" s="353">
        <f t="shared" si="164"/>
        <v>469.61280676664165</v>
      </c>
      <c r="AZ146" s="165">
        <v>36.679903122643999</v>
      </c>
      <c r="BA146" s="165">
        <v>36.615137217103303</v>
      </c>
      <c r="BB146" s="165">
        <v>38.870099606436497</v>
      </c>
      <c r="BC146" s="140">
        <f t="shared" si="165"/>
        <v>37.388379982061267</v>
      </c>
      <c r="BD146" s="150">
        <v>-3.4617</v>
      </c>
      <c r="BE146" s="640">
        <v>42.390999999999998</v>
      </c>
      <c r="BF146" s="353">
        <f t="shared" si="166"/>
        <v>27.869803003585755</v>
      </c>
      <c r="BG146" s="360">
        <f>(BF146/AH146)*(AB146/O146)</f>
        <v>5.5739606007171512</v>
      </c>
      <c r="BH146" s="353">
        <f t="shared" si="167"/>
        <v>1.1869268726069781E-2</v>
      </c>
      <c r="BI146" s="448"/>
      <c r="BJ146" s="441"/>
      <c r="BK146" s="320"/>
      <c r="BL146" s="321"/>
      <c r="BM146" s="322"/>
      <c r="BN146" s="322"/>
      <c r="BO146" s="322"/>
      <c r="BP146" s="322"/>
      <c r="BQ146" s="322"/>
      <c r="BR146" s="322"/>
      <c r="BS146" s="321"/>
    </row>
    <row r="147" spans="1:71" s="277" customFormat="1" ht="15" x14ac:dyDescent="0.2">
      <c r="A147" s="344"/>
      <c r="B147" s="346">
        <v>44267</v>
      </c>
      <c r="C147" s="359" t="s">
        <v>250</v>
      </c>
      <c r="D147" s="682" t="s">
        <v>244</v>
      </c>
      <c r="E147" s="249" t="s">
        <v>249</v>
      </c>
      <c r="F147" s="683" t="s">
        <v>233</v>
      </c>
      <c r="G147" s="222"/>
      <c r="H147" s="222"/>
      <c r="I147" s="222"/>
      <c r="J147" s="222"/>
      <c r="K147" s="337"/>
      <c r="L147" s="457" t="s">
        <v>234</v>
      </c>
      <c r="M147" s="457"/>
      <c r="N147" s="537">
        <v>44270</v>
      </c>
      <c r="O147" s="261">
        <v>50</v>
      </c>
      <c r="P147" s="261" t="s">
        <v>235</v>
      </c>
      <c r="Q147" s="261" t="s">
        <v>236</v>
      </c>
      <c r="R147" s="538" t="s">
        <v>89</v>
      </c>
      <c r="S147" s="142">
        <v>7.5</v>
      </c>
      <c r="T147" s="141">
        <v>4.37</v>
      </c>
      <c r="U147" s="141">
        <v>53.2</v>
      </c>
      <c r="V147" s="141">
        <v>2.96</v>
      </c>
      <c r="W147" s="315"/>
      <c r="X147" s="315"/>
      <c r="Y147" s="315"/>
      <c r="Z147" s="476" t="s">
        <v>278</v>
      </c>
      <c r="AA147" s="283"/>
      <c r="AB147" s="139">
        <v>50</v>
      </c>
      <c r="AC147" s="315"/>
      <c r="AD147" s="315"/>
      <c r="AE147" s="457" t="s">
        <v>425</v>
      </c>
      <c r="AF147" s="222"/>
      <c r="AG147" s="476">
        <v>44271</v>
      </c>
      <c r="AH147" s="477">
        <v>5</v>
      </c>
      <c r="AI147" s="315"/>
      <c r="AJ147" s="165">
        <v>21.9007043488314</v>
      </c>
      <c r="AK147" s="165">
        <v>21.947043310217499</v>
      </c>
      <c r="AL147" s="165">
        <v>22.002569279888299</v>
      </c>
      <c r="AM147" s="140">
        <f t="shared" si="161"/>
        <v>21.950105646312398</v>
      </c>
      <c r="AN147" s="363">
        <v>-3.4410714285714286</v>
      </c>
      <c r="AO147" s="363">
        <v>48.943513064185922</v>
      </c>
      <c r="AP147" s="361">
        <f t="shared" si="168"/>
        <v>69900053.150271103</v>
      </c>
      <c r="AQ147" s="469">
        <f t="shared" si="169"/>
        <v>40.325517580729603</v>
      </c>
      <c r="AR147" s="170">
        <v>27.01</v>
      </c>
      <c r="AS147" s="170">
        <v>27.08</v>
      </c>
      <c r="AT147" s="170">
        <v>27.14</v>
      </c>
      <c r="AU147" s="140">
        <f t="shared" si="162"/>
        <v>27.076666666666668</v>
      </c>
      <c r="AV147" s="470">
        <v>-3.5035151515151499</v>
      </c>
      <c r="AW147" s="470">
        <v>40.6726666666667</v>
      </c>
      <c r="AX147" s="362">
        <f>IF(AND(AR147="No CT",AS147="No CT",AT147="No CT"),0,10^((AU147-AW147)/AV147))</f>
        <v>7597.5567925515561</v>
      </c>
      <c r="AY147" s="353">
        <f t="shared" si="164"/>
        <v>1519.5113585103113</v>
      </c>
      <c r="AZ147" s="165">
        <v>34.585670095658799</v>
      </c>
      <c r="BA147" s="165">
        <v>34.210567416581</v>
      </c>
      <c r="BB147" s="165">
        <v>34.390955766036299</v>
      </c>
      <c r="BC147" s="140">
        <f t="shared" si="165"/>
        <v>34.395731092758702</v>
      </c>
      <c r="BD147" s="150">
        <v>-3.4617</v>
      </c>
      <c r="BE147" s="640">
        <v>42.390999999999998</v>
      </c>
      <c r="BF147" s="353">
        <f t="shared" si="166"/>
        <v>204.0030065192006</v>
      </c>
      <c r="BG147" s="360">
        <f t="shared" ref="BG147:BG149" si="170">(BF147/AH147)*(AB147/O147)</f>
        <v>40.800601303840118</v>
      </c>
      <c r="BH147" s="353">
        <f>BF147/AX147</f>
        <v>2.685113281669704E-2</v>
      </c>
      <c r="BI147" s="448"/>
      <c r="BJ147" s="441"/>
      <c r="BK147" s="320"/>
      <c r="BL147" s="321"/>
      <c r="BM147" s="322"/>
      <c r="BN147" s="322"/>
      <c r="BO147" s="322"/>
      <c r="BP147" s="322"/>
      <c r="BQ147" s="322"/>
      <c r="BR147" s="322"/>
      <c r="BS147" s="321"/>
    </row>
    <row r="148" spans="1:71" s="277" customFormat="1" ht="15" x14ac:dyDescent="0.2">
      <c r="A148" s="344"/>
      <c r="B148" s="346">
        <v>44267</v>
      </c>
      <c r="C148" s="359" t="s">
        <v>251</v>
      </c>
      <c r="D148" s="682" t="s">
        <v>231</v>
      </c>
      <c r="E148" s="249" t="s">
        <v>252</v>
      </c>
      <c r="F148" s="683" t="s">
        <v>233</v>
      </c>
      <c r="G148" s="314"/>
      <c r="H148" s="314"/>
      <c r="I148" s="314"/>
      <c r="J148" s="314"/>
      <c r="K148" s="324"/>
      <c r="L148" s="261" t="s">
        <v>234</v>
      </c>
      <c r="M148" s="457"/>
      <c r="N148" s="537">
        <v>44270</v>
      </c>
      <c r="O148" s="261">
        <v>50</v>
      </c>
      <c r="P148" s="261" t="s">
        <v>235</v>
      </c>
      <c r="Q148" s="261" t="s">
        <v>236</v>
      </c>
      <c r="R148" s="538" t="s">
        <v>89</v>
      </c>
      <c r="S148" s="375">
        <v>7.03</v>
      </c>
      <c r="T148" s="375">
        <v>4.34</v>
      </c>
      <c r="U148" s="375">
        <v>153</v>
      </c>
      <c r="V148" s="375">
        <v>0.54</v>
      </c>
      <c r="W148" s="315"/>
      <c r="X148" s="315"/>
      <c r="Y148" s="315"/>
      <c r="Z148" s="476" t="s">
        <v>278</v>
      </c>
      <c r="AA148" s="283"/>
      <c r="AB148" s="139">
        <v>50</v>
      </c>
      <c r="AC148" s="315"/>
      <c r="AD148" s="315"/>
      <c r="AE148" s="457" t="s">
        <v>425</v>
      </c>
      <c r="AF148" s="314"/>
      <c r="AG148" s="476">
        <v>44271</v>
      </c>
      <c r="AH148" s="477">
        <v>5</v>
      </c>
      <c r="AI148" s="315"/>
      <c r="AJ148" s="165">
        <v>21.2155495885312</v>
      </c>
      <c r="AK148" s="165">
        <v>21.142196328911901</v>
      </c>
      <c r="AL148" s="165">
        <v>21.217176732999999</v>
      </c>
      <c r="AM148" s="140">
        <f t="shared" si="161"/>
        <v>21.191640883481032</v>
      </c>
      <c r="AN148" s="363">
        <v>-3.4410714285714286</v>
      </c>
      <c r="AO148" s="363">
        <v>48.943513064185922</v>
      </c>
      <c r="AP148" s="361">
        <f t="shared" si="168"/>
        <v>116116195.44747634</v>
      </c>
      <c r="AQ148" s="469">
        <f t="shared" si="169"/>
        <v>66.98772704590543</v>
      </c>
      <c r="AR148" s="170">
        <v>24.81</v>
      </c>
      <c r="AS148" s="170">
        <v>24.8</v>
      </c>
      <c r="AT148" s="170">
        <v>24.89</v>
      </c>
      <c r="AU148" s="140">
        <f t="shared" si="162"/>
        <v>24.833333333333332</v>
      </c>
      <c r="AV148" s="470">
        <v>-3.5035151515151499</v>
      </c>
      <c r="AW148" s="470">
        <v>40.6726666666667</v>
      </c>
      <c r="AX148" s="362">
        <f t="shared" ref="AX148:AX158" si="171">IF(AND(AR148="No CT",AS148="No CT",AT148="No CT"),0,10^((AU148-AW148)/AV148))</f>
        <v>33188.166094865919</v>
      </c>
      <c r="AY148" s="353">
        <f t="shared" si="164"/>
        <v>6637.6332189731838</v>
      </c>
      <c r="AZ148" s="165">
        <v>37.598961077410699</v>
      </c>
      <c r="BA148" s="165" t="s">
        <v>95</v>
      </c>
      <c r="BB148" s="165" t="s">
        <v>95</v>
      </c>
      <c r="BC148" s="140">
        <f t="shared" si="165"/>
        <v>37.598961077410699</v>
      </c>
      <c r="BD148" s="150">
        <v>-3.4617</v>
      </c>
      <c r="BE148" s="640">
        <v>42.390999999999998</v>
      </c>
      <c r="BF148" s="353">
        <f t="shared" si="166"/>
        <v>24.227142797135752</v>
      </c>
      <c r="BG148" s="360">
        <f t="shared" si="170"/>
        <v>4.84542855942715</v>
      </c>
      <c r="BH148" s="353">
        <f t="shared" ref="BH148:BH151" si="172">BF148/AX148</f>
        <v>7.2999341777078776E-4</v>
      </c>
      <c r="BI148" s="448"/>
      <c r="BJ148" s="441"/>
      <c r="BK148" s="320"/>
      <c r="BL148" s="321"/>
      <c r="BM148" s="322"/>
      <c r="BN148" s="322"/>
      <c r="BO148" s="322"/>
      <c r="BP148" s="322"/>
      <c r="BQ148" s="322"/>
      <c r="BR148" s="322"/>
      <c r="BS148" s="321"/>
    </row>
    <row r="149" spans="1:71" s="277" customFormat="1" ht="15" x14ac:dyDescent="0.2">
      <c r="A149" s="344"/>
      <c r="B149" s="346">
        <v>44267</v>
      </c>
      <c r="C149" s="359" t="s">
        <v>253</v>
      </c>
      <c r="D149" s="682" t="s">
        <v>244</v>
      </c>
      <c r="E149" s="249" t="s">
        <v>252</v>
      </c>
      <c r="F149" s="683" t="s">
        <v>233</v>
      </c>
      <c r="G149" s="314"/>
      <c r="H149" s="314"/>
      <c r="I149" s="314"/>
      <c r="J149" s="314"/>
      <c r="K149" s="324"/>
      <c r="L149" s="261" t="s">
        <v>234</v>
      </c>
      <c r="M149" s="457"/>
      <c r="N149" s="537">
        <v>44270</v>
      </c>
      <c r="O149" s="261">
        <v>50</v>
      </c>
      <c r="P149" s="261" t="s">
        <v>235</v>
      </c>
      <c r="Q149" s="261" t="s">
        <v>236</v>
      </c>
      <c r="R149" s="538" t="s">
        <v>89</v>
      </c>
      <c r="S149" s="145">
        <v>6.74</v>
      </c>
      <c r="T149" s="141">
        <v>4.3499999999999996</v>
      </c>
      <c r="U149" s="141">
        <v>155</v>
      </c>
      <c r="V149" s="141">
        <v>1.2</v>
      </c>
      <c r="W149" s="315"/>
      <c r="X149" s="315"/>
      <c r="Y149" s="315"/>
      <c r="Z149" s="476" t="s">
        <v>278</v>
      </c>
      <c r="AA149" s="283"/>
      <c r="AB149" s="139">
        <v>50</v>
      </c>
      <c r="AC149" s="315"/>
      <c r="AD149" s="315"/>
      <c r="AE149" s="457" t="s">
        <v>425</v>
      </c>
      <c r="AF149" s="314"/>
      <c r="AG149" s="476">
        <v>44271</v>
      </c>
      <c r="AH149" s="477">
        <v>5</v>
      </c>
      <c r="AI149" s="315"/>
      <c r="AJ149" s="165">
        <v>22.0751948131362</v>
      </c>
      <c r="AK149" s="165">
        <v>22.156629077289001</v>
      </c>
      <c r="AL149" s="165">
        <v>22.180228476744698</v>
      </c>
      <c r="AM149" s="140">
        <f t="shared" si="161"/>
        <v>22.137350789056637</v>
      </c>
      <c r="AN149" s="363">
        <v>-3.4410714285714286</v>
      </c>
      <c r="AO149" s="363">
        <v>48.943513064185922</v>
      </c>
      <c r="AP149" s="361">
        <f t="shared" si="168"/>
        <v>61668406.510186329</v>
      </c>
      <c r="AQ149" s="469">
        <f t="shared" si="169"/>
        <v>35.576659799613523</v>
      </c>
      <c r="AR149" s="170">
        <v>25.92</v>
      </c>
      <c r="AS149" s="170">
        <v>26.08</v>
      </c>
      <c r="AT149" s="170">
        <v>26.15</v>
      </c>
      <c r="AU149" s="140">
        <f t="shared" si="162"/>
        <v>26.05</v>
      </c>
      <c r="AV149" s="478">
        <v>-3.5035151515151499</v>
      </c>
      <c r="AW149" s="478">
        <v>40.6726666666667</v>
      </c>
      <c r="AX149" s="362">
        <f t="shared" si="171"/>
        <v>14918.081687406813</v>
      </c>
      <c r="AY149" s="353">
        <f t="shared" ref="AY149" si="173">(AX149/AH149)*(AB149/O149)</f>
        <v>2983.6163374813627</v>
      </c>
      <c r="AZ149" s="165">
        <v>35.888898344987602</v>
      </c>
      <c r="BA149" s="165">
        <v>36.923805075387399</v>
      </c>
      <c r="BB149" s="165">
        <v>36.125474739016603</v>
      </c>
      <c r="BC149" s="140">
        <f t="shared" si="165"/>
        <v>36.31272605313054</v>
      </c>
      <c r="BD149" s="150">
        <v>-3.4617</v>
      </c>
      <c r="BE149" s="640">
        <v>42.390999999999998</v>
      </c>
      <c r="BF149" s="353">
        <f>IF(AND(AZ149="No CT",BA149="No CT",BB149="No CT"),0,10^((BC149-BE149)/BD149))</f>
        <v>56.998557726301598</v>
      </c>
      <c r="BG149" s="360">
        <f t="shared" si="170"/>
        <v>11.39971154526032</v>
      </c>
      <c r="BH149" s="353">
        <f t="shared" si="172"/>
        <v>3.8207699167123656E-3</v>
      </c>
      <c r="BI149" s="448"/>
      <c r="BJ149" s="441"/>
      <c r="BK149" s="320"/>
      <c r="BL149" s="321"/>
      <c r="BM149" s="322"/>
      <c r="BN149" s="322"/>
      <c r="BO149" s="322"/>
      <c r="BP149" s="322"/>
      <c r="BQ149" s="322"/>
      <c r="BR149" s="322"/>
      <c r="BS149" s="321"/>
    </row>
    <row r="150" spans="1:71" s="277" customFormat="1" ht="15" x14ac:dyDescent="0.2">
      <c r="A150" s="344"/>
      <c r="B150" s="346">
        <v>44267</v>
      </c>
      <c r="C150" s="479" t="s">
        <v>254</v>
      </c>
      <c r="D150" s="697"/>
      <c r="E150" s="250"/>
      <c r="F150" s="685"/>
      <c r="G150" s="222"/>
      <c r="H150" s="222"/>
      <c r="I150" s="222"/>
      <c r="J150" s="222"/>
      <c r="K150" s="222"/>
      <c r="L150" s="295"/>
      <c r="M150" s="295"/>
      <c r="N150" s="282"/>
      <c r="O150" s="222"/>
      <c r="P150" s="222"/>
      <c r="Q150" s="222"/>
      <c r="R150" s="295"/>
      <c r="S150" s="315"/>
      <c r="T150" s="315"/>
      <c r="U150" s="315"/>
      <c r="V150" s="417"/>
      <c r="W150" s="315"/>
      <c r="X150" s="315"/>
      <c r="Y150" s="315"/>
      <c r="Z150" s="317"/>
      <c r="AA150" s="283"/>
      <c r="AB150" s="315"/>
      <c r="AC150" s="315"/>
      <c r="AD150" s="315"/>
      <c r="AE150" s="457" t="s">
        <v>425</v>
      </c>
      <c r="AF150" s="295"/>
      <c r="AG150" s="476">
        <v>44271</v>
      </c>
      <c r="AH150" s="477">
        <v>5</v>
      </c>
      <c r="AI150" s="315"/>
      <c r="AJ150" s="165">
        <v>20.5941548415908</v>
      </c>
      <c r="AK150" s="165">
        <v>20.6153658672666</v>
      </c>
      <c r="AL150" s="165">
        <v>20.569113538399701</v>
      </c>
      <c r="AM150" s="140">
        <f t="shared" si="161"/>
        <v>20.592878082419034</v>
      </c>
      <c r="AN150" s="363">
        <v>-3.4410714285714286</v>
      </c>
      <c r="AO150" s="363">
        <v>48.943513064185922</v>
      </c>
      <c r="AP150" s="361">
        <f t="shared" si="168"/>
        <v>173339506.45601711</v>
      </c>
      <c r="AQ150" s="469">
        <f t="shared" si="169"/>
        <v>100</v>
      </c>
      <c r="AR150" s="170">
        <v>36.950000000000003</v>
      </c>
      <c r="AS150" s="170">
        <v>37.21</v>
      </c>
      <c r="AT150" s="170">
        <v>36.47</v>
      </c>
      <c r="AU150" s="140">
        <f t="shared" si="162"/>
        <v>36.876666666666665</v>
      </c>
      <c r="AV150" s="478">
        <v>-3.5035151515151499</v>
      </c>
      <c r="AW150" s="478">
        <v>40.6726666666667</v>
      </c>
      <c r="AX150" s="362">
        <f t="shared" si="171"/>
        <v>12.119459588881208</v>
      </c>
      <c r="AY150" s="353"/>
      <c r="AZ150" s="165" t="s">
        <v>95</v>
      </c>
      <c r="BA150" s="165" t="s">
        <v>95</v>
      </c>
      <c r="BB150" s="165">
        <v>38.909842196399097</v>
      </c>
      <c r="BC150" s="140">
        <f t="shared" si="165"/>
        <v>38.909842196399097</v>
      </c>
      <c r="BD150" s="150">
        <v>-3.4617</v>
      </c>
      <c r="BE150" s="640">
        <v>42.390999999999998</v>
      </c>
      <c r="BF150" s="353">
        <f t="shared" ref="BF150:BF151" si="174">IF(AND(AZ150="No CT",BA150="No CT",BB150="No CT"),0,10^((BC150-BE150)/BD150))</f>
        <v>10.130266740890134</v>
      </c>
      <c r="BG150" s="360"/>
      <c r="BH150" s="353">
        <f t="shared" si="172"/>
        <v>0.83586785917286077</v>
      </c>
      <c r="BI150" s="448"/>
      <c r="BJ150" s="441"/>
      <c r="BK150" s="320"/>
      <c r="BL150" s="321"/>
      <c r="BM150" s="322"/>
      <c r="BN150" s="322"/>
      <c r="BO150" s="322"/>
      <c r="BP150" s="322"/>
      <c r="BQ150" s="322"/>
      <c r="BR150" s="322"/>
      <c r="BS150" s="321"/>
    </row>
    <row r="151" spans="1:71" s="277" customFormat="1" ht="15" x14ac:dyDescent="0.2">
      <c r="A151" s="344"/>
      <c r="B151" s="346">
        <v>44267</v>
      </c>
      <c r="C151" s="359" t="s">
        <v>255</v>
      </c>
      <c r="D151" s="697"/>
      <c r="E151" s="249"/>
      <c r="F151" s="683"/>
      <c r="G151" s="315"/>
      <c r="H151" s="315"/>
      <c r="I151" s="315"/>
      <c r="J151" s="315"/>
      <c r="K151" s="315"/>
      <c r="L151" s="315"/>
      <c r="M151" s="315"/>
      <c r="N151" s="283"/>
      <c r="O151" s="315"/>
      <c r="P151" s="315"/>
      <c r="Q151" s="315"/>
      <c r="R151" s="315"/>
      <c r="S151" s="143"/>
      <c r="T151" s="315"/>
      <c r="U151" s="315"/>
      <c r="V151" s="417"/>
      <c r="W151" s="315"/>
      <c r="X151" s="315"/>
      <c r="Y151" s="315"/>
      <c r="Z151" s="317"/>
      <c r="AA151" s="283"/>
      <c r="AB151" s="315"/>
      <c r="AC151" s="315"/>
      <c r="AD151" s="315"/>
      <c r="AE151" s="315"/>
      <c r="AF151" s="315"/>
      <c r="AG151" s="338"/>
      <c r="AH151" s="477">
        <v>5</v>
      </c>
      <c r="AI151" s="315"/>
      <c r="AJ151" s="165" t="s">
        <v>95</v>
      </c>
      <c r="AK151" s="165" t="s">
        <v>95</v>
      </c>
      <c r="AL151" s="165" t="s">
        <v>95</v>
      </c>
      <c r="AM151" s="140" t="e">
        <f t="shared" si="161"/>
        <v>#DIV/0!</v>
      </c>
      <c r="AN151" s="531">
        <v>-3.4410714285714299</v>
      </c>
      <c r="AO151" s="531">
        <v>48.9435130641859</v>
      </c>
      <c r="AP151" s="532">
        <f>IF(AND(AJ151="No CT",AK151="No CT",AL151="No CT"),0,10^((AM151-AO151)/AN151))</f>
        <v>0</v>
      </c>
      <c r="AQ151" s="469">
        <f t="shared" si="169"/>
        <v>0</v>
      </c>
      <c r="AR151" s="170">
        <v>38.18</v>
      </c>
      <c r="AS151" s="170">
        <v>37.82</v>
      </c>
      <c r="AT151" s="170">
        <v>39.71</v>
      </c>
      <c r="AU151" s="140">
        <f t="shared" si="162"/>
        <v>38.57</v>
      </c>
      <c r="AV151" s="535">
        <v>-3.5035151515151499</v>
      </c>
      <c r="AW151" s="535">
        <v>40.6726666666667</v>
      </c>
      <c r="AX151" s="536">
        <f t="shared" si="171"/>
        <v>3.9825308394367087</v>
      </c>
      <c r="AY151" s="638"/>
      <c r="AZ151" s="144" t="s">
        <v>95</v>
      </c>
      <c r="BA151" s="144">
        <v>39.239278409675698</v>
      </c>
      <c r="BB151" s="144">
        <v>39.315284197608399</v>
      </c>
      <c r="BC151" s="140">
        <f t="shared" si="165"/>
        <v>39.277281303642049</v>
      </c>
      <c r="BD151" s="650">
        <v>-3.4617</v>
      </c>
      <c r="BE151" s="644">
        <v>42.390999999999998</v>
      </c>
      <c r="BF151" s="638">
        <f t="shared" si="174"/>
        <v>7.93371798697315</v>
      </c>
      <c r="BG151" s="556"/>
      <c r="BH151" s="638">
        <f t="shared" si="172"/>
        <v>1.99212970516389</v>
      </c>
      <c r="BI151" s="448"/>
      <c r="BJ151" s="441"/>
      <c r="BK151" s="320"/>
      <c r="BL151" s="321"/>
      <c r="BM151" s="322"/>
      <c r="BN151" s="322"/>
      <c r="BO151" s="322"/>
      <c r="BP151" s="322"/>
      <c r="BQ151" s="322"/>
      <c r="BR151" s="322"/>
      <c r="BS151" s="321"/>
    </row>
    <row r="152" spans="1:71" s="432" customFormat="1" x14ac:dyDescent="0.2">
      <c r="A152" s="418"/>
      <c r="B152" s="547"/>
      <c r="C152" s="419"/>
      <c r="D152" s="675"/>
      <c r="E152" s="701"/>
      <c r="F152" s="702"/>
      <c r="G152" s="421"/>
      <c r="H152" s="421"/>
      <c r="I152" s="421"/>
      <c r="J152" s="421"/>
      <c r="K152" s="421"/>
      <c r="L152" s="421"/>
      <c r="M152" s="421"/>
      <c r="N152" s="422"/>
      <c r="O152" s="421"/>
      <c r="P152" s="421"/>
      <c r="Q152" s="421"/>
      <c r="R152" s="421"/>
      <c r="S152" s="421"/>
      <c r="T152" s="421"/>
      <c r="U152" s="421"/>
      <c r="V152" s="421"/>
      <c r="W152" s="421"/>
      <c r="X152" s="421"/>
      <c r="Y152" s="421"/>
      <c r="Z152" s="540"/>
      <c r="AA152" s="422"/>
      <c r="AB152" s="421"/>
      <c r="AC152" s="421"/>
      <c r="AD152" s="421"/>
      <c r="AE152" s="421"/>
      <c r="AF152" s="421"/>
      <c r="AG152" s="548"/>
      <c r="AH152" s="429"/>
      <c r="AI152" s="421"/>
      <c r="AJ152" s="421"/>
      <c r="AK152" s="421"/>
      <c r="AL152" s="421"/>
      <c r="AM152" s="425"/>
      <c r="AN152" s="425"/>
      <c r="AO152" s="425"/>
      <c r="AP152" s="542"/>
      <c r="AQ152" s="425"/>
      <c r="AR152" s="421"/>
      <c r="AS152" s="421"/>
      <c r="AT152" s="421"/>
      <c r="AU152" s="425"/>
      <c r="AV152" s="425"/>
      <c r="AW152" s="425"/>
      <c r="AX152" s="543"/>
      <c r="AY152" s="542"/>
      <c r="AZ152" s="421"/>
      <c r="BA152" s="421"/>
      <c r="BB152" s="421"/>
      <c r="BC152" s="425"/>
      <c r="BD152" s="425"/>
      <c r="BE152" s="425"/>
      <c r="BF152" s="421"/>
      <c r="BG152" s="542"/>
      <c r="BH152" s="639"/>
      <c r="BI152" s="549"/>
      <c r="BJ152" s="550"/>
      <c r="BK152" s="429"/>
      <c r="BL152" s="430"/>
      <c r="BM152" s="431"/>
      <c r="BN152" s="431"/>
      <c r="BO152" s="431"/>
      <c r="BP152" s="431"/>
      <c r="BQ152" s="431"/>
      <c r="BR152" s="431"/>
      <c r="BS152" s="430"/>
    </row>
    <row r="153" spans="1:71" s="277" customFormat="1" ht="15" x14ac:dyDescent="0.2">
      <c r="A153" s="344"/>
      <c r="B153" s="346">
        <v>44270</v>
      </c>
      <c r="C153" s="323" t="s">
        <v>279</v>
      </c>
      <c r="D153" s="697" t="s">
        <v>280</v>
      </c>
      <c r="E153" s="679" t="s">
        <v>232</v>
      </c>
      <c r="F153" s="703" t="s">
        <v>233</v>
      </c>
      <c r="G153" s="315"/>
      <c r="H153" s="315"/>
      <c r="I153" s="315"/>
      <c r="J153" s="315"/>
      <c r="K153" s="324"/>
      <c r="L153" s="457" t="s">
        <v>234</v>
      </c>
      <c r="M153" s="457"/>
      <c r="N153" s="537">
        <v>44271</v>
      </c>
      <c r="O153" s="457">
        <v>50</v>
      </c>
      <c r="P153" s="457" t="s">
        <v>235</v>
      </c>
      <c r="Q153" s="457" t="s">
        <v>236</v>
      </c>
      <c r="R153" s="538" t="s">
        <v>89</v>
      </c>
      <c r="S153" s="145">
        <v>7.55</v>
      </c>
      <c r="T153" s="141">
        <v>4.2300000000000004</v>
      </c>
      <c r="U153" s="141">
        <v>7.64</v>
      </c>
      <c r="V153" s="141">
        <v>0.26</v>
      </c>
      <c r="W153" s="315"/>
      <c r="X153" s="315"/>
      <c r="Y153" s="315"/>
      <c r="Z153" s="476" t="s">
        <v>281</v>
      </c>
      <c r="AA153" s="283"/>
      <c r="AB153" s="139">
        <v>50</v>
      </c>
      <c r="AC153" s="315"/>
      <c r="AD153" s="315"/>
      <c r="AE153" s="457" t="s">
        <v>425</v>
      </c>
      <c r="AF153" s="315"/>
      <c r="AG153" s="476">
        <v>44273</v>
      </c>
      <c r="AH153" s="463">
        <v>5</v>
      </c>
      <c r="AI153" s="315" t="s">
        <v>63</v>
      </c>
      <c r="AJ153" s="165">
        <v>21.793619383156901</v>
      </c>
      <c r="AK153" s="165">
        <v>21.567382511358598</v>
      </c>
      <c r="AL153" s="165">
        <v>21.557596534655801</v>
      </c>
      <c r="AM153" s="140">
        <f t="shared" ref="AM153:AM158" si="175">AVERAGE(AJ153:AL153)</f>
        <v>21.639532809723764</v>
      </c>
      <c r="AN153" s="467">
        <v>-3.4410714285714286</v>
      </c>
      <c r="AO153" s="467">
        <v>48.943513064185922</v>
      </c>
      <c r="AP153" s="468">
        <f>IF(AND(AJ153="No CT",AK153="No CT",AL153="No CT"),0,10^((AM153-AO153)/AN153))</f>
        <v>86046299.219820634</v>
      </c>
      <c r="AQ153" s="469">
        <f>AP153*100/$AP$157</f>
        <v>82.20252068954504</v>
      </c>
      <c r="AR153" s="165">
        <v>29.358742981288099</v>
      </c>
      <c r="AS153" s="165">
        <v>29.2975772586747</v>
      </c>
      <c r="AT153" s="165">
        <v>29.199113455325399</v>
      </c>
      <c r="AU153" s="140">
        <f t="shared" ref="AU153:AU158" si="176">AVERAGE(AR153:AT153)</f>
        <v>29.285144565096065</v>
      </c>
      <c r="AV153" s="535">
        <v>-3.5035151515151499</v>
      </c>
      <c r="AW153" s="535">
        <v>40.6726666666667</v>
      </c>
      <c r="AX153" s="536">
        <f t="shared" si="171"/>
        <v>1779.5629665738618</v>
      </c>
      <c r="AY153" s="469">
        <f>(AX153/AH153)*(AB153/O153)</f>
        <v>355.91259331477238</v>
      </c>
      <c r="AZ153" s="144">
        <v>35.639125354898702</v>
      </c>
      <c r="BA153" s="144">
        <v>35.949874026713999</v>
      </c>
      <c r="BB153" s="144">
        <v>36.033657686280897</v>
      </c>
      <c r="BC153" s="144">
        <f t="shared" ref="BC153:BC158" si="177">AVERAGE(AZ153:BB153)</f>
        <v>35.874219022631195</v>
      </c>
      <c r="BD153" s="651">
        <v>-3.4617</v>
      </c>
      <c r="BE153" s="645">
        <v>42.390999999999998</v>
      </c>
      <c r="BF153" s="297">
        <f t="shared" ref="BF153:BF158" si="178">IF(AND(AZ153="No CT",BA153="No CT",BB153="No CT"),0,10^((BC153-BE153)/BD153))</f>
        <v>76.302323669076955</v>
      </c>
      <c r="BG153" s="646">
        <f>(BF153/AH153)*(AB153/O153)</f>
        <v>15.260464733815391</v>
      </c>
      <c r="BH153" s="297">
        <f t="shared" ref="BH153:BH157" si="179">BF153/AX153</f>
        <v>4.2877001321273554E-2</v>
      </c>
      <c r="BI153" s="559"/>
      <c r="BJ153" s="441"/>
      <c r="BK153" s="320"/>
      <c r="BL153" s="321"/>
      <c r="BM153" s="322"/>
      <c r="BN153" s="322"/>
      <c r="BO153" s="322"/>
      <c r="BP153" s="322"/>
      <c r="BQ153" s="322"/>
      <c r="BR153" s="322"/>
      <c r="BS153" s="321"/>
    </row>
    <row r="154" spans="1:71" s="277" customFormat="1" ht="15" x14ac:dyDescent="0.2">
      <c r="A154" s="344"/>
      <c r="B154" s="346">
        <v>44270</v>
      </c>
      <c r="C154" s="323" t="s">
        <v>282</v>
      </c>
      <c r="D154" s="697" t="s">
        <v>280</v>
      </c>
      <c r="E154" s="249" t="s">
        <v>246</v>
      </c>
      <c r="F154" s="703" t="s">
        <v>233</v>
      </c>
      <c r="G154" s="315"/>
      <c r="H154" s="315"/>
      <c r="I154" s="315"/>
      <c r="J154" s="315"/>
      <c r="K154" s="324"/>
      <c r="L154" s="261" t="s">
        <v>234</v>
      </c>
      <c r="M154" s="457"/>
      <c r="N154" s="537">
        <v>44271</v>
      </c>
      <c r="O154" s="261">
        <v>50</v>
      </c>
      <c r="P154" s="261" t="s">
        <v>235</v>
      </c>
      <c r="Q154" s="261" t="s">
        <v>236</v>
      </c>
      <c r="R154" s="538" t="s">
        <v>89</v>
      </c>
      <c r="S154" s="142">
        <v>7.19</v>
      </c>
      <c r="T154" s="141">
        <v>4</v>
      </c>
      <c r="U154" s="141">
        <v>67.099999999999994</v>
      </c>
      <c r="V154" s="141">
        <v>0.97</v>
      </c>
      <c r="W154" s="315"/>
      <c r="X154" s="315"/>
      <c r="Y154" s="315"/>
      <c r="Z154" s="476" t="s">
        <v>281</v>
      </c>
      <c r="AA154" s="283"/>
      <c r="AB154" s="139">
        <v>50</v>
      </c>
      <c r="AC154" s="315"/>
      <c r="AD154" s="315"/>
      <c r="AE154" s="457" t="s">
        <v>425</v>
      </c>
      <c r="AF154" s="315"/>
      <c r="AG154" s="476">
        <v>44274</v>
      </c>
      <c r="AH154" s="477">
        <v>5</v>
      </c>
      <c r="AI154" s="315" t="s">
        <v>63</v>
      </c>
      <c r="AJ154" s="165">
        <v>23.307416367881899</v>
      </c>
      <c r="AK154" s="165">
        <v>23.313559251321099</v>
      </c>
      <c r="AL154" s="165">
        <v>22.8426617752501</v>
      </c>
      <c r="AM154" s="140">
        <f t="shared" si="175"/>
        <v>23.15454579815103</v>
      </c>
      <c r="AN154" s="363">
        <v>-3.4410714285714286</v>
      </c>
      <c r="AO154" s="363">
        <v>48.943513064185922</v>
      </c>
      <c r="AP154" s="361">
        <f t="shared" ref="AP154:AP157" si="180">IF(AND(AJ154="No CT",AK154="No CT",AL154="No CT"),0,10^((AM154-AO154)/AN154))</f>
        <v>31221845.64907923</v>
      </c>
      <c r="AQ154" s="469">
        <f t="shared" ref="AQ154:AQ158" si="181">AP154*100/$AP$157</f>
        <v>29.827133022625386</v>
      </c>
      <c r="AR154" s="165">
        <v>28.288973328094499</v>
      </c>
      <c r="AS154" s="165">
        <v>28.298414698838201</v>
      </c>
      <c r="AT154" s="165">
        <v>28.5282000621905</v>
      </c>
      <c r="AU154" s="140">
        <f t="shared" si="176"/>
        <v>28.371862696374404</v>
      </c>
      <c r="AV154" s="535">
        <v>-3.5035151515151499</v>
      </c>
      <c r="AW154" s="535">
        <v>40.6726666666667</v>
      </c>
      <c r="AX154" s="536">
        <f t="shared" si="171"/>
        <v>3243.3157551981494</v>
      </c>
      <c r="AY154" s="469">
        <f t="shared" ref="AY154:AY158" si="182">(AX154/AH154)*(AB154/O154)</f>
        <v>648.66315103962984</v>
      </c>
      <c r="AZ154" s="165">
        <v>32.052533330620498</v>
      </c>
      <c r="BA154" s="165">
        <v>31.8969677745581</v>
      </c>
      <c r="BB154" s="165">
        <v>31.337337453087201</v>
      </c>
      <c r="BC154" s="144">
        <f t="shared" si="177"/>
        <v>31.762279519421934</v>
      </c>
      <c r="BD154" s="651">
        <v>-3.4617</v>
      </c>
      <c r="BE154" s="645">
        <v>42.390999999999998</v>
      </c>
      <c r="BF154" s="297">
        <f t="shared" si="178"/>
        <v>1175.9150960126801</v>
      </c>
      <c r="BG154" s="646">
        <f>(BF154/AH154)*(AB154/O154)</f>
        <v>235.18301920253603</v>
      </c>
      <c r="BH154" s="297">
        <f t="shared" si="179"/>
        <v>0.36256571507970181</v>
      </c>
      <c r="BI154" s="559"/>
      <c r="BJ154" s="441"/>
      <c r="BK154" s="320"/>
      <c r="BL154" s="321"/>
      <c r="BM154" s="322"/>
      <c r="BN154" s="322"/>
      <c r="BO154" s="322"/>
      <c r="BP154" s="322"/>
      <c r="BQ154" s="322"/>
      <c r="BR154" s="322"/>
      <c r="BS154" s="321"/>
    </row>
    <row r="155" spans="1:71" s="277" customFormat="1" ht="15" x14ac:dyDescent="0.2">
      <c r="A155" s="344"/>
      <c r="B155" s="346">
        <v>44270</v>
      </c>
      <c r="C155" s="323" t="s">
        <v>283</v>
      </c>
      <c r="D155" s="697" t="s">
        <v>280</v>
      </c>
      <c r="E155" s="249" t="s">
        <v>249</v>
      </c>
      <c r="F155" s="703" t="s">
        <v>233</v>
      </c>
      <c r="G155" s="315"/>
      <c r="H155" s="315"/>
      <c r="I155" s="315"/>
      <c r="J155" s="315"/>
      <c r="K155" s="324"/>
      <c r="L155" s="261" t="s">
        <v>234</v>
      </c>
      <c r="M155" s="457"/>
      <c r="N155" s="537">
        <v>44271</v>
      </c>
      <c r="O155" s="261">
        <v>50</v>
      </c>
      <c r="P155" s="261" t="s">
        <v>235</v>
      </c>
      <c r="Q155" s="261" t="s">
        <v>236</v>
      </c>
      <c r="R155" s="538" t="s">
        <v>89</v>
      </c>
      <c r="S155" s="142">
        <v>7.31</v>
      </c>
      <c r="T155" s="141">
        <v>3.77</v>
      </c>
      <c r="U155" s="141">
        <v>75.400000000000006</v>
      </c>
      <c r="V155" s="141">
        <v>3.81</v>
      </c>
      <c r="W155" s="315"/>
      <c r="X155" s="315"/>
      <c r="Y155" s="315"/>
      <c r="Z155" s="476" t="s">
        <v>281</v>
      </c>
      <c r="AA155" s="283"/>
      <c r="AB155" s="139">
        <v>50</v>
      </c>
      <c r="AC155" s="315"/>
      <c r="AD155" s="315"/>
      <c r="AE155" s="457" t="s">
        <v>425</v>
      </c>
      <c r="AF155" s="315"/>
      <c r="AG155" s="476">
        <v>44275</v>
      </c>
      <c r="AH155" s="477">
        <v>5</v>
      </c>
      <c r="AI155" s="315" t="s">
        <v>63</v>
      </c>
      <c r="AJ155" s="165">
        <v>22.075030954781798</v>
      </c>
      <c r="AK155" s="165">
        <v>22.162405502239</v>
      </c>
      <c r="AL155" s="165">
        <v>22.0418512201543</v>
      </c>
      <c r="AM155" s="140">
        <f t="shared" si="175"/>
        <v>22.093095892391698</v>
      </c>
      <c r="AN155" s="363">
        <v>-3.4410714285714286</v>
      </c>
      <c r="AO155" s="363">
        <v>48.943513064185922</v>
      </c>
      <c r="AP155" s="361">
        <f t="shared" si="180"/>
        <v>63521905.365222886</v>
      </c>
      <c r="AQ155" s="469">
        <f t="shared" si="181"/>
        <v>60.684315157870898</v>
      </c>
      <c r="AR155" s="165">
        <v>27.7760363177911</v>
      </c>
      <c r="AS155" s="165">
        <v>27.8229630944866</v>
      </c>
      <c r="AT155" s="165">
        <v>27.784181714000901</v>
      </c>
      <c r="AU155" s="140">
        <f t="shared" si="176"/>
        <v>27.794393708759532</v>
      </c>
      <c r="AV155" s="535">
        <v>-3.5035151515151499</v>
      </c>
      <c r="AW155" s="535">
        <v>40.6726666666667</v>
      </c>
      <c r="AX155" s="536">
        <f t="shared" si="171"/>
        <v>4740.3982808671517</v>
      </c>
      <c r="AY155" s="469">
        <f t="shared" si="182"/>
        <v>948.07965617343029</v>
      </c>
      <c r="AZ155" s="165">
        <v>31.564926045639101</v>
      </c>
      <c r="BA155" s="165">
        <v>31.567440923958898</v>
      </c>
      <c r="BB155" s="165">
        <v>31.389311833741498</v>
      </c>
      <c r="BC155" s="144">
        <f t="shared" si="177"/>
        <v>31.507226267779831</v>
      </c>
      <c r="BD155" s="651">
        <v>-3.4617</v>
      </c>
      <c r="BE155" s="645">
        <v>42.390999999999998</v>
      </c>
      <c r="BF155" s="297">
        <f t="shared" si="178"/>
        <v>1393.3318922338019</v>
      </c>
      <c r="BG155" s="646">
        <f>(BF155/AH155)*(AB155/O155)</f>
        <v>278.6663784467604</v>
      </c>
      <c r="BH155" s="297">
        <f t="shared" si="179"/>
        <v>0.29392717862072182</v>
      </c>
      <c r="BI155" s="559"/>
      <c r="BJ155" s="441"/>
      <c r="BK155" s="320"/>
      <c r="BL155" s="321"/>
      <c r="BM155" s="322"/>
      <c r="BN155" s="322"/>
      <c r="BO155" s="322"/>
      <c r="BP155" s="322"/>
      <c r="BQ155" s="322"/>
      <c r="BR155" s="322"/>
      <c r="BS155" s="321"/>
    </row>
    <row r="156" spans="1:71" s="277" customFormat="1" ht="15" x14ac:dyDescent="0.2">
      <c r="A156" s="344"/>
      <c r="B156" s="346">
        <v>44270</v>
      </c>
      <c r="C156" s="323" t="s">
        <v>283</v>
      </c>
      <c r="D156" s="697" t="s">
        <v>280</v>
      </c>
      <c r="E156" s="249" t="s">
        <v>252</v>
      </c>
      <c r="F156" s="703" t="s">
        <v>233</v>
      </c>
      <c r="G156" s="315"/>
      <c r="H156" s="315"/>
      <c r="I156" s="315"/>
      <c r="J156" s="315"/>
      <c r="K156" s="324"/>
      <c r="L156" s="261" t="s">
        <v>234</v>
      </c>
      <c r="M156" s="457"/>
      <c r="N156" s="537">
        <v>44271</v>
      </c>
      <c r="O156" s="261">
        <v>50</v>
      </c>
      <c r="P156" s="261" t="s">
        <v>235</v>
      </c>
      <c r="Q156" s="261" t="s">
        <v>236</v>
      </c>
      <c r="R156" s="538" t="s">
        <v>89</v>
      </c>
      <c r="S156" s="145">
        <v>7.53</v>
      </c>
      <c r="T156" s="141">
        <v>3.7</v>
      </c>
      <c r="U156" s="141">
        <v>38.4</v>
      </c>
      <c r="V156" s="141">
        <v>0.53</v>
      </c>
      <c r="W156" s="315"/>
      <c r="X156" s="315"/>
      <c r="Y156" s="315"/>
      <c r="Z156" s="476" t="s">
        <v>281</v>
      </c>
      <c r="AA156" s="283"/>
      <c r="AB156" s="139">
        <v>50</v>
      </c>
      <c r="AC156" s="315"/>
      <c r="AD156" s="315"/>
      <c r="AE156" s="457" t="s">
        <v>425</v>
      </c>
      <c r="AF156" s="315"/>
      <c r="AG156" s="476">
        <v>44276</v>
      </c>
      <c r="AH156" s="477">
        <v>5</v>
      </c>
      <c r="AI156" s="315" t="s">
        <v>63</v>
      </c>
      <c r="AJ156" s="165">
        <v>22.170041721031101</v>
      </c>
      <c r="AK156" s="165">
        <v>22.222573398277401</v>
      </c>
      <c r="AL156" s="165">
        <v>22.333657401474099</v>
      </c>
      <c r="AM156" s="140">
        <f t="shared" si="175"/>
        <v>22.242090840260868</v>
      </c>
      <c r="AN156" s="363">
        <v>-3.4410714285714286</v>
      </c>
      <c r="AO156" s="363">
        <v>48.943513064185922</v>
      </c>
      <c r="AP156" s="361">
        <f t="shared" si="180"/>
        <v>57494263.837091804</v>
      </c>
      <c r="AQ156" s="469">
        <f t="shared" si="181"/>
        <v>54.925934705510656</v>
      </c>
      <c r="AR156" s="165">
        <v>27.346062629726202</v>
      </c>
      <c r="AS156" s="165">
        <v>27.390530465453399</v>
      </c>
      <c r="AT156" s="165">
        <v>27.5548721264054</v>
      </c>
      <c r="AU156" s="140">
        <f t="shared" si="176"/>
        <v>27.430488407195</v>
      </c>
      <c r="AV156" s="535">
        <v>-3.5035151515151499</v>
      </c>
      <c r="AW156" s="535">
        <v>40.6726666666667</v>
      </c>
      <c r="AX156" s="536">
        <f t="shared" si="171"/>
        <v>6021.2056015207663</v>
      </c>
      <c r="AY156" s="469">
        <f t="shared" si="182"/>
        <v>1204.2411203041534</v>
      </c>
      <c r="AZ156" s="165">
        <v>35.169313851014998</v>
      </c>
      <c r="BA156" s="165">
        <v>35.154743903485297</v>
      </c>
      <c r="BB156" s="165">
        <v>35.300380837768799</v>
      </c>
      <c r="BC156" s="144">
        <f t="shared" si="177"/>
        <v>35.208146197423034</v>
      </c>
      <c r="BD156" s="651">
        <v>-3.4617</v>
      </c>
      <c r="BE156" s="645">
        <v>42.390999999999998</v>
      </c>
      <c r="BF156" s="297">
        <f t="shared" si="178"/>
        <v>118.83649198460097</v>
      </c>
      <c r="BG156" s="646">
        <f>(BF156/AH156)*(AB156/O156)</f>
        <v>23.767298396920193</v>
      </c>
      <c r="BH156" s="297">
        <f t="shared" si="179"/>
        <v>1.9736328544334481E-2</v>
      </c>
      <c r="BI156" s="559"/>
      <c r="BJ156" s="441"/>
      <c r="BK156" s="320"/>
      <c r="BL156" s="321"/>
      <c r="BM156" s="322"/>
      <c r="BN156" s="322"/>
      <c r="BO156" s="322"/>
      <c r="BP156" s="322"/>
      <c r="BQ156" s="322"/>
      <c r="BR156" s="322"/>
      <c r="BS156" s="321"/>
    </row>
    <row r="157" spans="1:71" s="277" customFormat="1" ht="15" x14ac:dyDescent="0.2">
      <c r="A157" s="341"/>
      <c r="B157" s="341"/>
      <c r="C157" s="225" t="s">
        <v>254</v>
      </c>
      <c r="D157" s="672"/>
      <c r="E157" s="249"/>
      <c r="F157" s="704"/>
      <c r="G157" s="295"/>
      <c r="H157" s="295"/>
      <c r="I157" s="295"/>
      <c r="J157" s="295"/>
      <c r="K157" s="295"/>
      <c r="L157" s="295"/>
      <c r="M157" s="295"/>
      <c r="N157" s="282"/>
      <c r="O157" s="295"/>
      <c r="P157" s="295"/>
      <c r="Q157" s="295"/>
      <c r="R157" s="295"/>
      <c r="S157" s="297"/>
      <c r="T157" s="295"/>
      <c r="U157" s="295"/>
      <c r="V157" s="295"/>
      <c r="W157" s="295"/>
      <c r="X157" s="295"/>
      <c r="Y157" s="295"/>
      <c r="Z157" s="352" t="s">
        <v>281</v>
      </c>
      <c r="AA157" s="282"/>
      <c r="AB157" s="551">
        <v>50</v>
      </c>
      <c r="AC157" s="295"/>
      <c r="AD157" s="295"/>
      <c r="AE157" s="457" t="s">
        <v>425</v>
      </c>
      <c r="AF157" s="295"/>
      <c r="AG157" s="476">
        <v>44277</v>
      </c>
      <c r="AH157" s="360">
        <v>5</v>
      </c>
      <c r="AI157" s="295" t="s">
        <v>63</v>
      </c>
      <c r="AJ157" s="355">
        <v>21.290503505576101</v>
      </c>
      <c r="AK157" s="355">
        <v>21.330362062750201</v>
      </c>
      <c r="AL157" s="355">
        <v>21.419073871751898</v>
      </c>
      <c r="AM157" s="413">
        <f t="shared" si="175"/>
        <v>21.346646480026067</v>
      </c>
      <c r="AN157" s="363">
        <v>-3.4410714285714286</v>
      </c>
      <c r="AO157" s="363">
        <v>48.943513064185922</v>
      </c>
      <c r="AP157" s="361">
        <f t="shared" si="180"/>
        <v>104675986.20824832</v>
      </c>
      <c r="AQ157" s="469">
        <f t="shared" si="181"/>
        <v>100</v>
      </c>
      <c r="AR157" s="355">
        <v>35.987528164426102</v>
      </c>
      <c r="AS157" s="355">
        <v>36.100156635548799</v>
      </c>
      <c r="AT157" s="355">
        <v>35.949576289053098</v>
      </c>
      <c r="AU157" s="413">
        <f t="shared" si="176"/>
        <v>36.012420363009333</v>
      </c>
      <c r="AV157" s="552">
        <v>-3.5035151515151499</v>
      </c>
      <c r="AW157" s="552">
        <v>40.6726666666667</v>
      </c>
      <c r="AX157" s="536">
        <f t="shared" si="171"/>
        <v>21.387647742532891</v>
      </c>
      <c r="AY157" s="469" t="e">
        <f t="shared" si="182"/>
        <v>#DIV/0!</v>
      </c>
      <c r="AZ157" s="355" t="s">
        <v>95</v>
      </c>
      <c r="BA157" s="355">
        <v>37.142136716266698</v>
      </c>
      <c r="BB157" s="355" t="s">
        <v>95</v>
      </c>
      <c r="BC157" s="78">
        <f t="shared" si="177"/>
        <v>37.142136716266698</v>
      </c>
      <c r="BD157" s="652">
        <v>-3.4617</v>
      </c>
      <c r="BE157" s="647">
        <v>42.390999999999998</v>
      </c>
      <c r="BF157" s="297">
        <f t="shared" si="178"/>
        <v>32.829746012160115</v>
      </c>
      <c r="BG157" s="646"/>
      <c r="BH157" s="297">
        <f t="shared" si="179"/>
        <v>1.5349862877567741</v>
      </c>
      <c r="BI157" s="560"/>
      <c r="BJ157" s="553"/>
      <c r="BK157" s="298"/>
      <c r="BL157" s="294"/>
      <c r="BM157" s="293"/>
      <c r="BN157" s="293"/>
      <c r="BO157" s="293"/>
      <c r="BP157" s="293"/>
      <c r="BQ157" s="293"/>
      <c r="BR157" s="293"/>
      <c r="BS157" s="294"/>
    </row>
    <row r="158" spans="1:71" s="277" customFormat="1" ht="15" x14ac:dyDescent="0.2">
      <c r="A158" s="370"/>
      <c r="B158" s="524"/>
      <c r="C158" s="371" t="s">
        <v>255</v>
      </c>
      <c r="D158" s="699"/>
      <c r="E158" s="705"/>
      <c r="F158" s="706"/>
      <c r="G158" s="327"/>
      <c r="H158" s="327"/>
      <c r="I158" s="327"/>
      <c r="J158" s="327"/>
      <c r="K158" s="324"/>
      <c r="L158" s="555"/>
      <c r="M158" s="337"/>
      <c r="N158" s="284"/>
      <c r="O158" s="255"/>
      <c r="P158" s="555"/>
      <c r="Q158" s="327"/>
      <c r="R158" s="146"/>
      <c r="S158" s="494"/>
      <c r="T158" s="327"/>
      <c r="U158" s="327"/>
      <c r="V158" s="492"/>
      <c r="W158" s="327"/>
      <c r="X158" s="327"/>
      <c r="Y158" s="327"/>
      <c r="Z158" s="326"/>
      <c r="AA158" s="284"/>
      <c r="AB158" s="327"/>
      <c r="AC158" s="327"/>
      <c r="AD158" s="327"/>
      <c r="AE158" s="327"/>
      <c r="AF158" s="327"/>
      <c r="AG158" s="476">
        <v>44278</v>
      </c>
      <c r="AH158" s="556">
        <v>5</v>
      </c>
      <c r="AI158" s="327" t="s">
        <v>63</v>
      </c>
      <c r="AJ158" s="529" t="s">
        <v>95</v>
      </c>
      <c r="AK158" s="529" t="s">
        <v>95</v>
      </c>
      <c r="AL158" s="529" t="s">
        <v>95</v>
      </c>
      <c r="AM158" s="530" t="e">
        <f t="shared" si="175"/>
        <v>#DIV/0!</v>
      </c>
      <c r="AN158" s="531">
        <v>-3.4410714285714299</v>
      </c>
      <c r="AO158" s="531">
        <v>48.9435130641859</v>
      </c>
      <c r="AP158" s="532">
        <f>IF(AND(AJ158="No CT",AK158="No CT",AL158="No CT"),0,10^((AM158-AO158)/AN158))</f>
        <v>0</v>
      </c>
      <c r="AQ158" s="533">
        <f t="shared" si="181"/>
        <v>0</v>
      </c>
      <c r="AR158" s="529">
        <v>39.755551859520303</v>
      </c>
      <c r="AS158" s="529" t="s">
        <v>95</v>
      </c>
      <c r="AT158" s="529">
        <v>38.5744349427166</v>
      </c>
      <c r="AU158" s="530">
        <f t="shared" si="176"/>
        <v>39.164993401118451</v>
      </c>
      <c r="AV158" s="535">
        <v>-3.5035151515151499</v>
      </c>
      <c r="AW158" s="535">
        <v>40.6726666666667</v>
      </c>
      <c r="AX158" s="536">
        <f t="shared" si="171"/>
        <v>2.6935906487305123</v>
      </c>
      <c r="AY158" s="533" t="e">
        <f t="shared" si="182"/>
        <v>#DIV/0!</v>
      </c>
      <c r="AZ158" s="529">
        <v>37.219286877818497</v>
      </c>
      <c r="BA158" s="529" t="s">
        <v>95</v>
      </c>
      <c r="BB158" s="529">
        <v>37.135395391810199</v>
      </c>
      <c r="BC158" s="144">
        <f t="shared" si="177"/>
        <v>37.177341134814348</v>
      </c>
      <c r="BD158" s="651">
        <v>-3.4617</v>
      </c>
      <c r="BE158" s="645">
        <v>42.390999999999998</v>
      </c>
      <c r="BF158" s="297">
        <f t="shared" si="178"/>
        <v>32.069916712695175</v>
      </c>
      <c r="BG158" s="646"/>
      <c r="BH158" s="297">
        <f>BF158/AX158</f>
        <v>11.906009819201632</v>
      </c>
      <c r="BI158" s="561"/>
      <c r="BJ158" s="496"/>
      <c r="BK158" s="328"/>
      <c r="BL158" s="373"/>
      <c r="BM158" s="374"/>
      <c r="BN158" s="374"/>
      <c r="BO158" s="374"/>
      <c r="BP158" s="374"/>
      <c r="BQ158" s="374"/>
      <c r="BR158" s="374"/>
      <c r="BS158" s="373"/>
    </row>
    <row r="159" spans="1:71" s="546" customFormat="1" x14ac:dyDescent="0.2">
      <c r="A159" s="418"/>
      <c r="B159" s="418"/>
      <c r="C159" s="419"/>
      <c r="D159" s="540"/>
      <c r="E159" s="540"/>
      <c r="F159" s="421"/>
      <c r="G159" s="421"/>
      <c r="H159" s="421"/>
      <c r="I159" s="421"/>
      <c r="J159" s="421"/>
      <c r="K159" s="421"/>
      <c r="L159" s="421"/>
      <c r="M159" s="421"/>
      <c r="N159" s="422"/>
      <c r="O159" s="566"/>
      <c r="P159" s="421"/>
      <c r="Q159" s="421"/>
      <c r="R159" s="566"/>
      <c r="S159" s="425"/>
      <c r="T159" s="421"/>
      <c r="U159" s="421"/>
      <c r="V159" s="421"/>
      <c r="W159" s="421"/>
      <c r="X159" s="421"/>
      <c r="Y159" s="421"/>
      <c r="Z159" s="540"/>
      <c r="AA159" s="422"/>
      <c r="AB159" s="421"/>
      <c r="AC159" s="421"/>
      <c r="AD159" s="421"/>
      <c r="AE159" s="421"/>
      <c r="AF159" s="421"/>
      <c r="AG159" s="422"/>
      <c r="AH159" s="421"/>
      <c r="AI159" s="421"/>
      <c r="AJ159" s="421"/>
      <c r="AK159" s="567"/>
      <c r="AL159" s="421"/>
      <c r="AM159" s="425"/>
      <c r="AN159" s="425"/>
      <c r="AO159" s="425"/>
      <c r="AP159" s="542"/>
      <c r="AQ159" s="425"/>
      <c r="AR159" s="421"/>
      <c r="AS159" s="421"/>
      <c r="AT159" s="421"/>
      <c r="AU159" s="425"/>
      <c r="AV159" s="425"/>
      <c r="AW159" s="425"/>
      <c r="AX159" s="543"/>
      <c r="AY159" s="542"/>
      <c r="AZ159" s="421"/>
      <c r="BA159" s="421"/>
      <c r="BB159" s="421"/>
      <c r="BC159" s="425"/>
      <c r="BD159" s="425"/>
      <c r="BE159" s="425"/>
      <c r="BF159" s="421"/>
      <c r="BG159" s="542"/>
      <c r="BH159" s="542"/>
      <c r="BI159" s="568"/>
      <c r="BJ159" s="544"/>
      <c r="BK159" s="421"/>
    </row>
    <row r="160" spans="1:71" s="403" customFormat="1" ht="15" x14ac:dyDescent="0.2">
      <c r="A160" s="343"/>
      <c r="B160" s="343">
        <v>44270</v>
      </c>
      <c r="C160" s="334" t="s">
        <v>279</v>
      </c>
      <c r="D160" s="690" t="s">
        <v>280</v>
      </c>
      <c r="E160" s="669" t="s">
        <v>232</v>
      </c>
      <c r="F160" s="314" t="s">
        <v>233</v>
      </c>
      <c r="G160" s="314"/>
      <c r="H160" s="314"/>
      <c r="I160" s="314"/>
      <c r="J160" s="314"/>
      <c r="K160" s="314"/>
      <c r="L160" s="222" t="s">
        <v>234</v>
      </c>
      <c r="M160" s="222"/>
      <c r="N160" s="286"/>
      <c r="O160" s="139">
        <v>200</v>
      </c>
      <c r="P160" s="222" t="s">
        <v>284</v>
      </c>
      <c r="Q160" s="314" t="s">
        <v>285</v>
      </c>
      <c r="R160" s="139" t="s">
        <v>63</v>
      </c>
      <c r="W160" s="314"/>
      <c r="X160" s="314"/>
      <c r="Y160" s="314"/>
      <c r="Z160" s="385" t="s">
        <v>286</v>
      </c>
      <c r="AA160" s="286"/>
      <c r="AB160" s="139">
        <v>50</v>
      </c>
      <c r="AC160" s="314"/>
      <c r="AD160" s="314"/>
      <c r="AE160" s="222" t="s">
        <v>425</v>
      </c>
      <c r="AF160" s="314"/>
      <c r="AG160" s="406">
        <v>44273</v>
      </c>
      <c r="AH160" s="463">
        <v>5</v>
      </c>
      <c r="AI160" s="314" t="s">
        <v>63</v>
      </c>
      <c r="AJ160" s="165">
        <v>20.130366719706899</v>
      </c>
      <c r="AK160" s="165">
        <v>20.0436491173452</v>
      </c>
      <c r="AL160" s="165">
        <v>19.879764015629299</v>
      </c>
      <c r="AM160" s="140">
        <f t="shared" ref="AM160:AM165" si="183">AVERAGE(AJ160:AL160)</f>
        <v>20.017926617560466</v>
      </c>
      <c r="AN160" s="467">
        <v>-3.4410714285714286</v>
      </c>
      <c r="AO160" s="467">
        <v>48.943513064185922</v>
      </c>
      <c r="AP160" s="468">
        <f>IF(AND(AJ160="No CT",AK160="No CT",AL160="No CT"),0,10^((AM160-AO160)/AN160))</f>
        <v>254672803.30651572</v>
      </c>
      <c r="AQ160" s="469">
        <f>AP160*100/$AP$164</f>
        <v>122.21206449201964</v>
      </c>
      <c r="AR160" s="165">
        <v>25.42058971514</v>
      </c>
      <c r="AS160" s="165">
        <v>25.284531216626799</v>
      </c>
      <c r="AT160" s="165">
        <v>25.172668177582199</v>
      </c>
      <c r="AU160" s="140">
        <f t="shared" ref="AU160:AU165" si="184">AVERAGE(AR160:AT160)</f>
        <v>25.292596369782999</v>
      </c>
      <c r="AV160" s="535">
        <v>-3.5035151515151499</v>
      </c>
      <c r="AW160" s="535">
        <v>40.6726666666667</v>
      </c>
      <c r="AX160" s="536">
        <f t="shared" ref="AX160" si="185">IF(AND(AR160="No CT",AS160="No CT",AT160="No CT"),0,10^((AU160-AW160)/AV160))</f>
        <v>24541.262360432727</v>
      </c>
      <c r="AY160" s="469">
        <f>(AX160/AH160)*(AB160/O160)</f>
        <v>1227.0631180216365</v>
      </c>
      <c r="AZ160" s="144">
        <v>37.049826377246099</v>
      </c>
      <c r="BA160" s="144">
        <v>34.550701604980503</v>
      </c>
      <c r="BB160" s="144">
        <v>35.004772783620297</v>
      </c>
      <c r="BC160" s="144">
        <f t="shared" ref="BC160:BC165" si="186">AVERAGE(AZ160:BB160)</f>
        <v>35.535100255282295</v>
      </c>
      <c r="BD160" s="651">
        <v>-3.4617</v>
      </c>
      <c r="BE160" s="645">
        <v>42.390999999999998</v>
      </c>
      <c r="BF160" s="297">
        <f t="shared" ref="BF160" si="187">IF(AND(AZ160="No CT",BA160="No CT",BB160="No CT"),0,10^((BC160-BE160)/BD160))</f>
        <v>95.609453593125096</v>
      </c>
      <c r="BG160" s="646">
        <f>(BF160/AH160)*(AB160/O160)</f>
        <v>4.7804726796562544</v>
      </c>
      <c r="BH160" s="297">
        <f t="shared" ref="BH160" si="188">BF160/AX160</f>
        <v>3.895865346652822E-3</v>
      </c>
      <c r="BI160" s="562"/>
      <c r="BJ160" s="558"/>
      <c r="BK160" s="314"/>
      <c r="BL160" s="402"/>
      <c r="BM160" s="402"/>
      <c r="BN160" s="402"/>
      <c r="BO160" s="402"/>
      <c r="BP160" s="402"/>
      <c r="BQ160" s="402"/>
      <c r="BR160" s="402"/>
      <c r="BS160" s="402"/>
    </row>
    <row r="161" spans="1:71" s="357" customFormat="1" ht="15" x14ac:dyDescent="0.2">
      <c r="A161" s="341"/>
      <c r="B161" s="341">
        <v>44270</v>
      </c>
      <c r="C161" s="225" t="s">
        <v>282</v>
      </c>
      <c r="D161" s="275" t="s">
        <v>280</v>
      </c>
      <c r="E161" s="275" t="s">
        <v>246</v>
      </c>
      <c r="F161" s="295" t="s">
        <v>233</v>
      </c>
      <c r="G161" s="295"/>
      <c r="H161" s="295"/>
      <c r="I161" s="295"/>
      <c r="J161" s="295"/>
      <c r="K161" s="295"/>
      <c r="L161" s="295" t="s">
        <v>234</v>
      </c>
      <c r="M161" s="295"/>
      <c r="N161" s="282"/>
      <c r="O161" s="41">
        <v>50</v>
      </c>
      <c r="P161" s="295" t="s">
        <v>284</v>
      </c>
      <c r="Q161" s="295" t="s">
        <v>285</v>
      </c>
      <c r="R161" s="41" t="s">
        <v>63</v>
      </c>
      <c r="W161" s="295"/>
      <c r="X161" s="295"/>
      <c r="Y161" s="295"/>
      <c r="Z161" s="278" t="s">
        <v>286</v>
      </c>
      <c r="AA161" s="282"/>
      <c r="AB161" s="141">
        <v>50</v>
      </c>
      <c r="AC161" s="315"/>
      <c r="AD161" s="315"/>
      <c r="AE161" s="222" t="s">
        <v>425</v>
      </c>
      <c r="AF161" s="295"/>
      <c r="AG161" s="406">
        <v>44274</v>
      </c>
      <c r="AH161" s="477">
        <v>5</v>
      </c>
      <c r="AI161" s="315" t="s">
        <v>63</v>
      </c>
      <c r="AJ161" s="554">
        <v>20.256975431569899</v>
      </c>
      <c r="AK161" s="554">
        <v>20.248882855670299</v>
      </c>
      <c r="AL161" s="554">
        <v>20.2534058168517</v>
      </c>
      <c r="AM161" s="144">
        <f t="shared" si="183"/>
        <v>20.253088034697299</v>
      </c>
      <c r="AN161" s="467">
        <v>-3.4410714285714286</v>
      </c>
      <c r="AO161" s="467">
        <v>48.943513064185922</v>
      </c>
      <c r="AP161" s="468">
        <f t="shared" ref="AP161:AP165" si="189">IF(AND(AJ161="No CT",AK161="No CT",AL161="No CT"),0,10^((AM161-AO161)/AN161))</f>
        <v>217592026.49938965</v>
      </c>
      <c r="AQ161" s="469">
        <f t="shared" ref="AQ161:AQ165" si="190">AP161*100/$AP$164</f>
        <v>104.41778796256843</v>
      </c>
      <c r="AR161" s="165">
        <v>28.029741026070901</v>
      </c>
      <c r="AS161" s="165">
        <v>28.0953603651806</v>
      </c>
      <c r="AT161" s="165">
        <v>28.027537184988098</v>
      </c>
      <c r="AU161" s="140">
        <f t="shared" si="184"/>
        <v>28.050879525413205</v>
      </c>
      <c r="AV161" s="535">
        <v>-3.5035151515151499</v>
      </c>
      <c r="AW161" s="535">
        <v>40.6726666666667</v>
      </c>
      <c r="AX161" s="536">
        <f t="shared" ref="AX161:AX165" si="191">IF(AND(AR161="No CT",AS161="No CT",AT161="No CT"),0,10^((AU161-AW161)/AV161))</f>
        <v>4005.0384985237515</v>
      </c>
      <c r="AY161" s="469">
        <f t="shared" ref="AY161:AY165" si="192">(AX161/AH161)*(AB161/O161)</f>
        <v>801.00769970475028</v>
      </c>
      <c r="AZ161" s="165">
        <v>31.2482649242042</v>
      </c>
      <c r="BA161" s="165">
        <v>31.790015780151599</v>
      </c>
      <c r="BB161" s="165">
        <v>31.301619662801102</v>
      </c>
      <c r="BC161" s="144">
        <f t="shared" si="186"/>
        <v>31.446633455718967</v>
      </c>
      <c r="BD161" s="651">
        <v>-3.4617</v>
      </c>
      <c r="BE161" s="645">
        <v>42.390999999999998</v>
      </c>
      <c r="BF161" s="297">
        <f t="shared" ref="BF161:BF165" si="193">IF(AND(AZ161="No CT",BA161="No CT",BB161="No CT"),0,10^((BC161-BE161)/BD161))</f>
        <v>1450.6356665283827</v>
      </c>
      <c r="BG161" s="646">
        <f t="shared" ref="BG161:BG165" si="194">(BF161/AH161)*(AB161/O161)</f>
        <v>290.12713330567652</v>
      </c>
      <c r="BH161" s="297">
        <f t="shared" ref="BH161:BH165" si="195">BF161/AX161</f>
        <v>0.36220267721847965</v>
      </c>
      <c r="BI161" s="563"/>
      <c r="BJ161" s="356"/>
      <c r="BK161" s="295"/>
    </row>
    <row r="162" spans="1:71" s="357" customFormat="1" ht="15" x14ac:dyDescent="0.2">
      <c r="A162" s="344"/>
      <c r="B162" s="344">
        <v>44270</v>
      </c>
      <c r="C162" s="323" t="s">
        <v>283</v>
      </c>
      <c r="D162" s="317" t="s">
        <v>280</v>
      </c>
      <c r="E162" s="275" t="s">
        <v>249</v>
      </c>
      <c r="F162" s="315" t="s">
        <v>233</v>
      </c>
      <c r="G162" s="315"/>
      <c r="H162" s="315"/>
      <c r="I162" s="315"/>
      <c r="J162" s="315"/>
      <c r="K162" s="315"/>
      <c r="L162" s="295" t="s">
        <v>234</v>
      </c>
      <c r="M162" s="295"/>
      <c r="N162" s="283"/>
      <c r="O162" s="141">
        <v>50</v>
      </c>
      <c r="P162" s="295" t="s">
        <v>284</v>
      </c>
      <c r="Q162" s="315" t="s">
        <v>285</v>
      </c>
      <c r="R162" s="141" t="s">
        <v>63</v>
      </c>
      <c r="W162" s="315"/>
      <c r="X162" s="315"/>
      <c r="Y162" s="315"/>
      <c r="Z162" s="278" t="s">
        <v>286</v>
      </c>
      <c r="AA162" s="283"/>
      <c r="AB162" s="141">
        <v>50</v>
      </c>
      <c r="AC162" s="315"/>
      <c r="AD162" s="315"/>
      <c r="AE162" s="222" t="s">
        <v>425</v>
      </c>
      <c r="AF162" s="315"/>
      <c r="AG162" s="406">
        <v>44275</v>
      </c>
      <c r="AH162" s="477">
        <v>5</v>
      </c>
      <c r="AI162" s="315" t="s">
        <v>63</v>
      </c>
      <c r="AJ162" s="554">
        <v>20.448881685377099</v>
      </c>
      <c r="AK162" s="554">
        <v>20.491129999953699</v>
      </c>
      <c r="AL162" s="554">
        <v>20.545964914187898</v>
      </c>
      <c r="AM162" s="144">
        <f t="shared" si="183"/>
        <v>20.495325533172899</v>
      </c>
      <c r="AN162" s="467">
        <v>-3.4410714285714286</v>
      </c>
      <c r="AO162" s="467">
        <v>48.943513064185922</v>
      </c>
      <c r="AP162" s="468">
        <f t="shared" si="189"/>
        <v>185032077.53520983</v>
      </c>
      <c r="AQ162" s="469">
        <f t="shared" si="190"/>
        <v>88.792960611538106</v>
      </c>
      <c r="AR162" s="165">
        <v>27.9700540989123</v>
      </c>
      <c r="AS162" s="165">
        <v>28.042988005719401</v>
      </c>
      <c r="AT162" s="165">
        <v>28.093698012354899</v>
      </c>
      <c r="AU162" s="140">
        <f t="shared" si="184"/>
        <v>28.035580038995533</v>
      </c>
      <c r="AV162" s="535">
        <v>-3.5035151515151499</v>
      </c>
      <c r="AW162" s="535">
        <v>40.6726666666667</v>
      </c>
      <c r="AX162" s="536">
        <f t="shared" si="191"/>
        <v>4045.5129073194448</v>
      </c>
      <c r="AY162" s="469">
        <f t="shared" si="192"/>
        <v>809.10258146388901</v>
      </c>
      <c r="AZ162" s="165">
        <v>31.583779715561999</v>
      </c>
      <c r="BA162" s="165">
        <v>31.1388355503647</v>
      </c>
      <c r="BB162" s="165">
        <v>31.308841284510802</v>
      </c>
      <c r="BC162" s="144">
        <f t="shared" si="186"/>
        <v>31.343818850145833</v>
      </c>
      <c r="BD162" s="651">
        <v>-3.4617</v>
      </c>
      <c r="BE162" s="645">
        <v>42.390999999999998</v>
      </c>
      <c r="BF162" s="297">
        <f t="shared" si="193"/>
        <v>1553.3129476200456</v>
      </c>
      <c r="BG162" s="646">
        <f t="shared" si="194"/>
        <v>310.66258952400915</v>
      </c>
      <c r="BH162" s="297">
        <f t="shared" si="195"/>
        <v>0.38395945908605938</v>
      </c>
      <c r="BI162" s="564"/>
      <c r="BJ162" s="335"/>
      <c r="BK162" s="315"/>
      <c r="BL162" s="336"/>
      <c r="BM162" s="336"/>
      <c r="BN162" s="336"/>
      <c r="BO162" s="336"/>
      <c r="BP162" s="336"/>
      <c r="BQ162" s="336"/>
      <c r="BR162" s="336"/>
      <c r="BS162" s="336"/>
    </row>
    <row r="163" spans="1:71" s="357" customFormat="1" ht="15" x14ac:dyDescent="0.2">
      <c r="A163" s="344"/>
      <c r="B163" s="344">
        <v>44270</v>
      </c>
      <c r="C163" s="323" t="s">
        <v>283</v>
      </c>
      <c r="D163" s="317" t="s">
        <v>280</v>
      </c>
      <c r="E163" s="275" t="s">
        <v>252</v>
      </c>
      <c r="F163" s="315" t="s">
        <v>233</v>
      </c>
      <c r="G163" s="315"/>
      <c r="H163" s="315"/>
      <c r="I163" s="315"/>
      <c r="J163" s="315"/>
      <c r="K163" s="315"/>
      <c r="L163" s="295" t="s">
        <v>234</v>
      </c>
      <c r="M163" s="295"/>
      <c r="N163" s="283"/>
      <c r="O163" s="141">
        <v>50</v>
      </c>
      <c r="P163" s="295" t="s">
        <v>284</v>
      </c>
      <c r="Q163" s="315" t="s">
        <v>285</v>
      </c>
      <c r="R163" s="141" t="s">
        <v>63</v>
      </c>
      <c r="W163" s="315"/>
      <c r="X163" s="315"/>
      <c r="Y163" s="315"/>
      <c r="Z163" s="278" t="s">
        <v>286</v>
      </c>
      <c r="AA163" s="283"/>
      <c r="AB163" s="141">
        <v>50</v>
      </c>
      <c r="AC163" s="315"/>
      <c r="AD163" s="315"/>
      <c r="AE163" s="222" t="s">
        <v>425</v>
      </c>
      <c r="AF163" s="315"/>
      <c r="AG163" s="406">
        <v>44276</v>
      </c>
      <c r="AH163" s="477">
        <v>5</v>
      </c>
      <c r="AI163" s="315" t="s">
        <v>63</v>
      </c>
      <c r="AJ163" s="554">
        <v>20.255216710283499</v>
      </c>
      <c r="AK163" s="554">
        <v>20.323641063294399</v>
      </c>
      <c r="AL163" s="554">
        <v>20.596832384281502</v>
      </c>
      <c r="AM163" s="144">
        <f t="shared" si="183"/>
        <v>20.391896719286464</v>
      </c>
      <c r="AN163" s="467">
        <v>-3.4410714285714286</v>
      </c>
      <c r="AO163" s="467">
        <v>48.943513064185922</v>
      </c>
      <c r="AP163" s="468">
        <f t="shared" si="189"/>
        <v>198291537.00714436</v>
      </c>
      <c r="AQ163" s="469">
        <f t="shared" si="190"/>
        <v>95.155893343554425</v>
      </c>
      <c r="AR163" s="165">
        <v>26.918546875557499</v>
      </c>
      <c r="AS163" s="165">
        <v>27.007385038233402</v>
      </c>
      <c r="AT163" s="165">
        <v>27.195396672096699</v>
      </c>
      <c r="AU163" s="140">
        <f t="shared" si="184"/>
        <v>27.040442861962532</v>
      </c>
      <c r="AV163" s="535">
        <v>-3.5035151515151499</v>
      </c>
      <c r="AW163" s="535">
        <v>40.6726666666667</v>
      </c>
      <c r="AX163" s="536">
        <f t="shared" si="191"/>
        <v>7780.6025219582561</v>
      </c>
      <c r="AY163" s="469">
        <f t="shared" si="192"/>
        <v>1556.1205043916511</v>
      </c>
      <c r="AZ163" s="165">
        <v>34.147136655656197</v>
      </c>
      <c r="BA163" s="165">
        <v>34.295664225341802</v>
      </c>
      <c r="BB163" s="165">
        <v>34.001248175319297</v>
      </c>
      <c r="BC163" s="144">
        <f t="shared" si="186"/>
        <v>34.148016352105763</v>
      </c>
      <c r="BD163" s="651">
        <v>-3.4617</v>
      </c>
      <c r="BE163" s="645">
        <v>42.390999999999998</v>
      </c>
      <c r="BF163" s="297">
        <f t="shared" si="193"/>
        <v>240.54440773827218</v>
      </c>
      <c r="BG163" s="646">
        <f t="shared" si="194"/>
        <v>48.108881547654434</v>
      </c>
      <c r="BH163" s="297">
        <f t="shared" si="195"/>
        <v>3.091591005444793E-2</v>
      </c>
      <c r="BI163" s="564"/>
      <c r="BJ163" s="335"/>
      <c r="BK163" s="315"/>
      <c r="BL163" s="336"/>
      <c r="BM163" s="336"/>
      <c r="BN163" s="336"/>
      <c r="BO163" s="336"/>
      <c r="BP163" s="336"/>
      <c r="BQ163" s="336"/>
      <c r="BR163" s="336"/>
      <c r="BS163" s="336"/>
    </row>
    <row r="164" spans="1:71" s="357" customFormat="1" ht="15" x14ac:dyDescent="0.2">
      <c r="A164" s="341"/>
      <c r="C164" s="225" t="s">
        <v>254</v>
      </c>
      <c r="D164" s="275"/>
      <c r="E164" s="295"/>
      <c r="F164" s="295"/>
      <c r="G164" s="295"/>
      <c r="H164" s="295"/>
      <c r="I164" s="295"/>
      <c r="J164" s="295"/>
      <c r="K164" s="295"/>
      <c r="L164" s="295"/>
      <c r="M164" s="295"/>
      <c r="N164" s="282"/>
      <c r="O164" s="41" t="s">
        <v>238</v>
      </c>
      <c r="P164" s="295"/>
      <c r="Q164" s="295"/>
      <c r="R164" s="295"/>
      <c r="W164" s="295"/>
      <c r="X164" s="295"/>
      <c r="Y164" s="295"/>
      <c r="Z164" s="282" t="s">
        <v>286</v>
      </c>
      <c r="AA164" s="282"/>
      <c r="AB164" s="41">
        <v>50</v>
      </c>
      <c r="AC164" s="295"/>
      <c r="AD164" s="295"/>
      <c r="AE164" s="222" t="s">
        <v>425</v>
      </c>
      <c r="AF164" s="295"/>
      <c r="AG164" s="406">
        <v>44277</v>
      </c>
      <c r="AH164" s="360">
        <v>5</v>
      </c>
      <c r="AI164" s="295" t="s">
        <v>63</v>
      </c>
      <c r="AJ164" s="569">
        <v>20.832169367437199</v>
      </c>
      <c r="AK164" s="569">
        <v>20.674970050885701</v>
      </c>
      <c r="AL164" s="569">
        <v>19.445937755369499</v>
      </c>
      <c r="AM164" s="78">
        <f t="shared" si="183"/>
        <v>20.3176923912308</v>
      </c>
      <c r="AN164" s="467">
        <v>-3.4410714285714286</v>
      </c>
      <c r="AO164" s="467">
        <v>48.943513064185922</v>
      </c>
      <c r="AP164" s="468">
        <f t="shared" si="189"/>
        <v>208385975.9386895</v>
      </c>
      <c r="AQ164" s="469">
        <f t="shared" si="190"/>
        <v>100</v>
      </c>
      <c r="AR164" s="355">
        <v>37.283263581584698</v>
      </c>
      <c r="AS164" s="355">
        <v>37.887272098215803</v>
      </c>
      <c r="AT164" s="355"/>
      <c r="AU164" s="413">
        <f t="shared" si="184"/>
        <v>37.585267839900254</v>
      </c>
      <c r="AV164" s="552">
        <v>-3.5035151515151499</v>
      </c>
      <c r="AW164" s="552">
        <v>40.6726666666667</v>
      </c>
      <c r="AX164" s="536">
        <f t="shared" si="191"/>
        <v>7.6072713327791446</v>
      </c>
      <c r="AY164" s="469" t="e">
        <f t="shared" si="192"/>
        <v>#VALUE!</v>
      </c>
      <c r="AZ164" s="355">
        <v>36.361756995807703</v>
      </c>
      <c r="BA164" s="355" t="s">
        <v>95</v>
      </c>
      <c r="BB164" s="355" t="s">
        <v>95</v>
      </c>
      <c r="BC164" s="78">
        <f t="shared" si="186"/>
        <v>36.361756995807703</v>
      </c>
      <c r="BD164" s="652">
        <v>-3.4617</v>
      </c>
      <c r="BE164" s="647">
        <v>42.390999999999998</v>
      </c>
      <c r="BF164" s="297">
        <f t="shared" si="193"/>
        <v>55.169625128823213</v>
      </c>
      <c r="BG164" s="646" t="e">
        <f t="shared" si="194"/>
        <v>#VALUE!</v>
      </c>
      <c r="BH164" s="297">
        <f t="shared" si="195"/>
        <v>7.2522226059035857</v>
      </c>
      <c r="BI164" s="563"/>
      <c r="BJ164" s="356"/>
      <c r="BK164" s="295"/>
    </row>
    <row r="165" spans="1:71" s="357" customFormat="1" ht="15" x14ac:dyDescent="0.2">
      <c r="A165" s="344"/>
      <c r="B165" s="344"/>
      <c r="C165" s="371" t="s">
        <v>255</v>
      </c>
      <c r="D165" s="295"/>
      <c r="E165" s="380"/>
      <c r="F165" s="315"/>
      <c r="G165" s="315"/>
      <c r="H165" s="315"/>
      <c r="I165" s="315"/>
      <c r="J165" s="315"/>
      <c r="K165" s="315"/>
      <c r="L165" s="315"/>
      <c r="M165" s="315"/>
      <c r="N165" s="283"/>
      <c r="O165" s="141" t="s">
        <v>238</v>
      </c>
      <c r="P165" s="315"/>
      <c r="Q165" s="315"/>
      <c r="R165" s="315"/>
      <c r="W165" s="315"/>
      <c r="X165" s="315"/>
      <c r="Y165" s="315"/>
      <c r="Z165" s="278" t="s">
        <v>286</v>
      </c>
      <c r="AA165" s="283"/>
      <c r="AB165" s="315"/>
      <c r="AC165" s="315"/>
      <c r="AD165" s="315"/>
      <c r="AE165" s="315"/>
      <c r="AF165" s="315"/>
      <c r="AG165" s="406">
        <v>44278</v>
      </c>
      <c r="AH165" s="477">
        <v>5</v>
      </c>
      <c r="AI165" s="315" t="s">
        <v>63</v>
      </c>
      <c r="AJ165" s="554" t="s">
        <v>95</v>
      </c>
      <c r="AK165" s="554" t="s">
        <v>95</v>
      </c>
      <c r="AL165" s="554" t="s">
        <v>95</v>
      </c>
      <c r="AM165" s="144" t="e">
        <f t="shared" si="183"/>
        <v>#DIV/0!</v>
      </c>
      <c r="AN165" s="467">
        <v>-3.4410714285714286</v>
      </c>
      <c r="AO165" s="467">
        <v>48.943513064185922</v>
      </c>
      <c r="AP165" s="468">
        <f t="shared" si="189"/>
        <v>0</v>
      </c>
      <c r="AQ165" s="469">
        <f t="shared" si="190"/>
        <v>0</v>
      </c>
      <c r="AR165" s="165">
        <v>39.755551859520303</v>
      </c>
      <c r="AS165" s="165" t="s">
        <v>95</v>
      </c>
      <c r="AT165" s="165">
        <v>38.5744349427166</v>
      </c>
      <c r="AU165" s="140">
        <f t="shared" si="184"/>
        <v>39.164993401118451</v>
      </c>
      <c r="AV165" s="535">
        <v>-3.5035151515151499</v>
      </c>
      <c r="AW165" s="535">
        <v>40.6726666666667</v>
      </c>
      <c r="AX165" s="536">
        <f t="shared" si="191"/>
        <v>2.6935906487305123</v>
      </c>
      <c r="AY165" s="469" t="e">
        <f t="shared" si="192"/>
        <v>#VALUE!</v>
      </c>
      <c r="AZ165" s="165">
        <v>37.219286877818497</v>
      </c>
      <c r="BA165" s="165" t="s">
        <v>95</v>
      </c>
      <c r="BB165" s="165">
        <v>37.135395391810199</v>
      </c>
      <c r="BC165" s="144">
        <f t="shared" si="186"/>
        <v>37.177341134814348</v>
      </c>
      <c r="BD165" s="651">
        <v>-3.4617</v>
      </c>
      <c r="BE165" s="645">
        <v>42.390999999999998</v>
      </c>
      <c r="BF165" s="297">
        <f t="shared" si="193"/>
        <v>32.069916712695175</v>
      </c>
      <c r="BG165" s="646" t="e">
        <f t="shared" si="194"/>
        <v>#VALUE!</v>
      </c>
      <c r="BH165" s="297">
        <f t="shared" si="195"/>
        <v>11.906009819201632</v>
      </c>
      <c r="BI165" s="564"/>
      <c r="BJ165" s="335"/>
      <c r="BK165" s="315"/>
      <c r="BL165" s="336"/>
      <c r="BM165" s="336"/>
      <c r="BN165" s="336"/>
      <c r="BO165" s="336"/>
      <c r="BP165" s="336"/>
      <c r="BQ165" s="336"/>
      <c r="BR165" s="336"/>
      <c r="BS165" s="336"/>
    </row>
    <row r="166" spans="1:71" s="432" customFormat="1" x14ac:dyDescent="0.2">
      <c r="A166" s="500"/>
      <c r="B166" s="500"/>
      <c r="C166" s="501"/>
      <c r="D166" s="707"/>
      <c r="E166" s="708"/>
      <c r="F166" s="677"/>
      <c r="G166" s="420"/>
      <c r="H166" s="420"/>
      <c r="I166" s="420"/>
      <c r="J166" s="420"/>
      <c r="K166" s="420"/>
      <c r="L166" s="420"/>
      <c r="M166" s="420"/>
      <c r="N166" s="572"/>
      <c r="O166" s="420"/>
      <c r="P166" s="420"/>
      <c r="Q166" s="420"/>
      <c r="R166" s="420"/>
      <c r="S166" s="420"/>
      <c r="T166" s="420"/>
      <c r="U166" s="420"/>
      <c r="V166" s="420"/>
      <c r="W166" s="420"/>
      <c r="X166" s="420"/>
      <c r="Y166" s="420"/>
      <c r="Z166" s="573"/>
      <c r="AA166" s="572"/>
      <c r="AB166" s="420"/>
      <c r="AC166" s="420"/>
      <c r="AD166" s="420"/>
      <c r="AE166" s="420"/>
      <c r="AF166" s="420"/>
      <c r="AG166" s="574"/>
      <c r="AH166" s="575"/>
      <c r="AI166" s="420"/>
      <c r="AJ166" s="420"/>
      <c r="AK166" s="420"/>
      <c r="AL166" s="420"/>
      <c r="AM166" s="426"/>
      <c r="AN166" s="426"/>
      <c r="AO166" s="426"/>
      <c r="AP166" s="427"/>
      <c r="AQ166" s="426"/>
      <c r="AR166" s="420"/>
      <c r="AS166" s="420"/>
      <c r="AT166" s="420"/>
      <c r="AU166" s="426"/>
      <c r="AV166" s="425"/>
      <c r="AW166" s="425"/>
      <c r="AX166" s="543"/>
      <c r="AY166" s="427"/>
      <c r="AZ166" s="420"/>
      <c r="BA166" s="420"/>
      <c r="BB166" s="420"/>
      <c r="BC166" s="425"/>
      <c r="BD166" s="425"/>
      <c r="BE166" s="425"/>
      <c r="BF166" s="421"/>
      <c r="BG166" s="542"/>
      <c r="BH166" s="542"/>
      <c r="BI166" s="576"/>
      <c r="BJ166" s="577"/>
      <c r="BK166" s="575"/>
      <c r="BL166" s="578"/>
      <c r="BM166" s="579"/>
      <c r="BN166" s="579"/>
      <c r="BO166" s="579"/>
      <c r="BP166" s="579"/>
      <c r="BQ166" s="579"/>
      <c r="BR166" s="579"/>
      <c r="BS166" s="578"/>
    </row>
    <row r="167" spans="1:71" s="277" customFormat="1" ht="15" x14ac:dyDescent="0.2">
      <c r="A167" s="344"/>
      <c r="B167" s="344">
        <v>44271</v>
      </c>
      <c r="C167" s="323" t="s">
        <v>253</v>
      </c>
      <c r="D167" s="317" t="s">
        <v>244</v>
      </c>
      <c r="E167" s="709" t="s">
        <v>252</v>
      </c>
      <c r="F167" s="314" t="s">
        <v>233</v>
      </c>
      <c r="G167" s="315"/>
      <c r="H167" s="315"/>
      <c r="I167" s="315"/>
      <c r="J167" s="315"/>
      <c r="K167" s="314"/>
      <c r="L167" s="222" t="s">
        <v>234</v>
      </c>
      <c r="M167" s="222"/>
      <c r="N167" s="537">
        <v>44273</v>
      </c>
      <c r="O167" s="250">
        <v>50</v>
      </c>
      <c r="P167" s="457" t="s">
        <v>235</v>
      </c>
      <c r="Q167" s="457" t="s">
        <v>236</v>
      </c>
      <c r="R167" s="375" t="s">
        <v>89</v>
      </c>
      <c r="S167" s="250">
        <v>7.67</v>
      </c>
      <c r="T167" s="250">
        <v>4.03</v>
      </c>
      <c r="U167" s="250">
        <v>53.7</v>
      </c>
      <c r="V167" s="250">
        <v>1.69</v>
      </c>
      <c r="W167" s="315"/>
      <c r="X167" s="315"/>
      <c r="Y167" s="315"/>
      <c r="Z167" s="278" t="s">
        <v>287</v>
      </c>
      <c r="AA167" s="571"/>
      <c r="AB167" s="139">
        <v>50</v>
      </c>
      <c r="AC167" s="315"/>
      <c r="AD167" s="315"/>
      <c r="AE167" s="222" t="s">
        <v>425</v>
      </c>
      <c r="AF167" s="315"/>
      <c r="AG167" s="476">
        <v>44277</v>
      </c>
      <c r="AH167" s="463">
        <v>5</v>
      </c>
      <c r="AI167" s="314" t="s">
        <v>63</v>
      </c>
      <c r="AJ167" s="165">
        <v>23.730088262486401</v>
      </c>
      <c r="AK167" s="165">
        <v>23.817177227179901</v>
      </c>
      <c r="AL167" s="165">
        <v>23.876246000250202</v>
      </c>
      <c r="AM167" s="140">
        <f t="shared" ref="AM167:AM173" si="196">AVERAGE(AJ167:AL167)</f>
        <v>23.807837163305503</v>
      </c>
      <c r="AN167" s="467">
        <v>-3.4410714285714286</v>
      </c>
      <c r="AO167" s="467">
        <v>48.943513064185922</v>
      </c>
      <c r="AP167" s="468">
        <f t="shared" ref="AP167" si="197">IF(AND(AJ167="No CT",AK167="No CT",AL167="No CT"),0,10^((AM167-AO167)/AN167))</f>
        <v>20165427.029216547</v>
      </c>
      <c r="AQ167" s="469">
        <f>AP167*100/$AP$172</f>
        <v>12.712030832093442</v>
      </c>
      <c r="AR167" s="165">
        <v>31.248484127662099</v>
      </c>
      <c r="AS167" s="165">
        <v>31.422598470415199</v>
      </c>
      <c r="AT167" s="165">
        <v>31.426157756230399</v>
      </c>
      <c r="AU167" s="140">
        <f t="shared" ref="AU167:AU173" si="198">AVERAGE(AR167:AT167)</f>
        <v>31.365746784769232</v>
      </c>
      <c r="AV167" s="535">
        <v>-3.5035151515151499</v>
      </c>
      <c r="AW167" s="535">
        <v>40.6726666666667</v>
      </c>
      <c r="AX167" s="536">
        <f t="shared" ref="AX167:AX172" si="199">IF(AND(AR167="No CT",AS167="No CT",AT167="No CT"),0,10^((AU167-AW167)/AV167))</f>
        <v>453.36920187988335</v>
      </c>
      <c r="AY167" s="469">
        <f>(AX167/AH167)*(AB167/O167)</f>
        <v>90.673840375976667</v>
      </c>
      <c r="AZ167" s="144" t="s">
        <v>95</v>
      </c>
      <c r="BA167" s="144">
        <v>36.492143139983199</v>
      </c>
      <c r="BB167" s="144">
        <v>36.489577655757202</v>
      </c>
      <c r="BC167" s="140">
        <f t="shared" ref="BC167:BC173" si="200">AVERAGE(AZ167:BB167)</f>
        <v>36.4908603978702</v>
      </c>
      <c r="BD167" s="651">
        <v>-3.4617</v>
      </c>
      <c r="BE167" s="645">
        <v>42.390999999999998</v>
      </c>
      <c r="BF167" s="297">
        <f t="shared" ref="BF167:BF172" si="201">IF(AND(AZ167="No CT",BA167="No CT",BB167="No CT"),0,10^((BC167-BE167)/BD167))</f>
        <v>50.629686127217369</v>
      </c>
      <c r="BG167" s="646">
        <f>(BF167/AH167)*(AB167/O167)</f>
        <v>10.125937225443474</v>
      </c>
      <c r="BH167" s="297">
        <f t="shared" ref="BH167:BH172" si="202">BF167/AX167</f>
        <v>0.11167429529240787</v>
      </c>
      <c r="BI167" s="559"/>
      <c r="BJ167" s="441"/>
      <c r="BK167" s="320"/>
      <c r="BL167" s="321"/>
      <c r="BM167" s="322"/>
      <c r="BN167" s="322"/>
      <c r="BO167" s="322"/>
      <c r="BP167" s="322"/>
      <c r="BQ167" s="322"/>
      <c r="BR167" s="322"/>
      <c r="BS167" s="321"/>
    </row>
    <row r="168" spans="1:71" s="277" customFormat="1" ht="15" x14ac:dyDescent="0.2">
      <c r="A168" s="344"/>
      <c r="B168" s="344">
        <v>44272</v>
      </c>
      <c r="C168" s="323" t="s">
        <v>288</v>
      </c>
      <c r="D168" s="691" t="s">
        <v>289</v>
      </c>
      <c r="E168" s="709" t="s">
        <v>232</v>
      </c>
      <c r="F168" s="295" t="s">
        <v>233</v>
      </c>
      <c r="G168" s="315"/>
      <c r="H168" s="315"/>
      <c r="I168" s="315"/>
      <c r="J168" s="315"/>
      <c r="K168" s="315"/>
      <c r="L168" s="295" t="s">
        <v>234</v>
      </c>
      <c r="M168" s="295"/>
      <c r="N168" s="537">
        <v>44273</v>
      </c>
      <c r="O168" s="250">
        <v>50</v>
      </c>
      <c r="P168" s="261" t="s">
        <v>235</v>
      </c>
      <c r="Q168" s="457" t="s">
        <v>236</v>
      </c>
      <c r="R168" s="375" t="s">
        <v>89</v>
      </c>
      <c r="S168" s="570">
        <v>7.49</v>
      </c>
      <c r="T168" s="139">
        <v>4.34</v>
      </c>
      <c r="U168" s="139">
        <v>20.100000000000001</v>
      </c>
      <c r="V168" s="139">
        <v>0.32</v>
      </c>
      <c r="W168" s="315"/>
      <c r="X168" s="315"/>
      <c r="Y168" s="315"/>
      <c r="Z168" s="278" t="s">
        <v>287</v>
      </c>
      <c r="AA168" s="571"/>
      <c r="AB168" s="141">
        <v>50</v>
      </c>
      <c r="AC168" s="315"/>
      <c r="AD168" s="315"/>
      <c r="AE168" s="222" t="s">
        <v>425</v>
      </c>
      <c r="AF168" s="315"/>
      <c r="AG168" s="476">
        <v>44278</v>
      </c>
      <c r="AH168" s="477">
        <v>5</v>
      </c>
      <c r="AI168" s="315" t="s">
        <v>63</v>
      </c>
      <c r="AJ168" s="165">
        <v>22.8269730671771</v>
      </c>
      <c r="AK168" s="165">
        <v>22.583279302545801</v>
      </c>
      <c r="AL168" s="165">
        <v>22.560007324850801</v>
      </c>
      <c r="AM168" s="140">
        <f t="shared" si="196"/>
        <v>22.656753231524565</v>
      </c>
      <c r="AN168" s="467">
        <v>-3.4410714285714286</v>
      </c>
      <c r="AO168" s="467">
        <v>48.943513064185922</v>
      </c>
      <c r="AP168" s="468">
        <f t="shared" ref="AP168:AP173" si="203">IF(AND(AJ168="No CT",AK168="No CT",AL168="No CT"),0,10^((AM168-AO168)/AN168))</f>
        <v>43563288.584504612</v>
      </c>
      <c r="AQ168" s="469">
        <f t="shared" ref="AQ168:AQ173" si="204">AP168*100/$AP$172</f>
        <v>27.461747615424631</v>
      </c>
      <c r="AR168" s="165">
        <v>29.677730127856201</v>
      </c>
      <c r="AS168" s="165">
        <v>29.481527472068599</v>
      </c>
      <c r="AT168" s="165">
        <v>29.434409544684598</v>
      </c>
      <c r="AU168" s="140">
        <f t="shared" si="198"/>
        <v>29.531222381536466</v>
      </c>
      <c r="AV168" s="535">
        <v>-3.5035151515151499</v>
      </c>
      <c r="AW168" s="535">
        <v>40.6726666666667</v>
      </c>
      <c r="AX168" s="536">
        <f t="shared" si="199"/>
        <v>1513.8259764772317</v>
      </c>
      <c r="AY168" s="469">
        <f t="shared" ref="AY168:AY172" si="205">(AX168/AH168)*(AB168/O168)</f>
        <v>302.76519529544635</v>
      </c>
      <c r="AZ168" s="165">
        <v>37.0400099924953</v>
      </c>
      <c r="BA168" s="165">
        <v>37.497305965709003</v>
      </c>
      <c r="BB168" s="165">
        <v>37.546770895557898</v>
      </c>
      <c r="BC168" s="140">
        <f t="shared" si="200"/>
        <v>37.3613622845874</v>
      </c>
      <c r="BD168" s="651">
        <v>-3.4617</v>
      </c>
      <c r="BE168" s="645">
        <v>42.390999999999998</v>
      </c>
      <c r="BF168" s="297">
        <f t="shared" si="201"/>
        <v>28.375181445720468</v>
      </c>
      <c r="BG168" s="646">
        <f t="shared" ref="BG168:BG172" si="206">(BF168/AH168)*(AB168/O168)</f>
        <v>5.675036289144094</v>
      </c>
      <c r="BH168" s="297">
        <f t="shared" si="202"/>
        <v>1.8744018061938202E-2</v>
      </c>
      <c r="BI168" s="565"/>
      <c r="BJ168" s="443"/>
      <c r="BK168" s="320"/>
      <c r="BL168" s="321"/>
      <c r="BM168" s="322"/>
      <c r="BN168" s="322"/>
      <c r="BO168" s="322"/>
      <c r="BP168" s="322"/>
      <c r="BQ168" s="322"/>
      <c r="BR168" s="322"/>
      <c r="BS168" s="321"/>
    </row>
    <row r="169" spans="1:71" s="277" customFormat="1" ht="15" x14ac:dyDescent="0.2">
      <c r="A169" s="344"/>
      <c r="B169" s="344">
        <v>44272</v>
      </c>
      <c r="C169" s="323" t="s">
        <v>290</v>
      </c>
      <c r="D169" s="697" t="s">
        <v>289</v>
      </c>
      <c r="E169" s="709" t="s">
        <v>246</v>
      </c>
      <c r="F169" s="315" t="s">
        <v>233</v>
      </c>
      <c r="G169" s="315"/>
      <c r="H169" s="315"/>
      <c r="I169" s="315"/>
      <c r="J169" s="315"/>
      <c r="K169" s="315"/>
      <c r="L169" s="295" t="s">
        <v>234</v>
      </c>
      <c r="M169" s="295"/>
      <c r="N169" s="537">
        <v>44273</v>
      </c>
      <c r="O169" s="250">
        <v>50</v>
      </c>
      <c r="P169" s="261" t="s">
        <v>235</v>
      </c>
      <c r="Q169" s="261" t="s">
        <v>236</v>
      </c>
      <c r="R169" s="375" t="s">
        <v>89</v>
      </c>
      <c r="S169" s="142">
        <v>7.35</v>
      </c>
      <c r="T169" s="141">
        <v>4.2699999999999996</v>
      </c>
      <c r="U169" s="141">
        <v>106</v>
      </c>
      <c r="V169" s="141">
        <v>1.24</v>
      </c>
      <c r="W169" s="315"/>
      <c r="X169" s="315"/>
      <c r="Y169" s="315"/>
      <c r="Z169" s="278" t="s">
        <v>287</v>
      </c>
      <c r="AA169" s="571"/>
      <c r="AB169" s="141">
        <v>50</v>
      </c>
      <c r="AC169" s="315"/>
      <c r="AD169" s="315"/>
      <c r="AE169" s="222" t="s">
        <v>425</v>
      </c>
      <c r="AF169" s="315"/>
      <c r="AG169" s="476">
        <v>44279</v>
      </c>
      <c r="AH169" s="477">
        <v>5</v>
      </c>
      <c r="AI169" s="315" t="s">
        <v>63</v>
      </c>
      <c r="AJ169" s="165">
        <v>23.8622850549026</v>
      </c>
      <c r="AK169" s="165">
        <v>23.808312063656601</v>
      </c>
      <c r="AL169" s="165">
        <v>23.931268322502</v>
      </c>
      <c r="AM169" s="140">
        <f t="shared" si="196"/>
        <v>23.867288480353732</v>
      </c>
      <c r="AN169" s="467">
        <v>-3.4410714285714286</v>
      </c>
      <c r="AO169" s="467">
        <v>48.943513064185922</v>
      </c>
      <c r="AP169" s="468">
        <f t="shared" si="203"/>
        <v>19378959.036527228</v>
      </c>
      <c r="AQ169" s="469">
        <f t="shared" si="204"/>
        <v>12.216251330026051</v>
      </c>
      <c r="AR169" s="165">
        <v>29.809050886717699</v>
      </c>
      <c r="AS169" s="165">
        <v>29.8076942385104</v>
      </c>
      <c r="AT169" s="165">
        <v>29.892077811089699</v>
      </c>
      <c r="AU169" s="140">
        <f t="shared" si="198"/>
        <v>29.836274312105932</v>
      </c>
      <c r="AV169" s="535">
        <v>-3.5035151515151499</v>
      </c>
      <c r="AW169" s="535">
        <v>40.6726666666667</v>
      </c>
      <c r="AX169" s="536">
        <f t="shared" si="199"/>
        <v>1238.8128625205322</v>
      </c>
      <c r="AY169" s="469">
        <f t="shared" si="205"/>
        <v>247.76257250410646</v>
      </c>
      <c r="AZ169" s="165">
        <v>35.787853238491302</v>
      </c>
      <c r="BA169" s="165">
        <v>33.947708987857197</v>
      </c>
      <c r="BB169" s="165">
        <v>34.363066209116901</v>
      </c>
      <c r="BC169" s="140">
        <f t="shared" si="200"/>
        <v>34.6995428118218</v>
      </c>
      <c r="BD169" s="651">
        <v>-3.4617</v>
      </c>
      <c r="BE169" s="645">
        <v>42.390999999999998</v>
      </c>
      <c r="BF169" s="297">
        <f t="shared" si="201"/>
        <v>166.67590950488261</v>
      </c>
      <c r="BG169" s="646">
        <f t="shared" si="206"/>
        <v>33.335181900976522</v>
      </c>
      <c r="BH169" s="297">
        <f t="shared" si="202"/>
        <v>0.13454486512656799</v>
      </c>
      <c r="BI169" s="322"/>
      <c r="BJ169" s="443"/>
      <c r="BK169" s="320"/>
      <c r="BL169" s="321"/>
      <c r="BM169" s="322"/>
      <c r="BN169" s="322"/>
      <c r="BO169" s="322"/>
      <c r="BP169" s="322"/>
      <c r="BQ169" s="322"/>
      <c r="BR169" s="322"/>
      <c r="BS169" s="321"/>
    </row>
    <row r="170" spans="1:71" s="277" customFormat="1" ht="15" x14ac:dyDescent="0.2">
      <c r="A170" s="344"/>
      <c r="B170" s="344">
        <v>44272</v>
      </c>
      <c r="C170" s="323" t="s">
        <v>291</v>
      </c>
      <c r="D170" s="697" t="s">
        <v>289</v>
      </c>
      <c r="E170" s="709" t="s">
        <v>249</v>
      </c>
      <c r="F170" s="315" t="s">
        <v>233</v>
      </c>
      <c r="G170" s="315"/>
      <c r="H170" s="315"/>
      <c r="I170" s="315"/>
      <c r="J170" s="315"/>
      <c r="K170" s="315"/>
      <c r="L170" s="295" t="s">
        <v>234</v>
      </c>
      <c r="M170" s="295"/>
      <c r="N170" s="537">
        <v>44273</v>
      </c>
      <c r="O170" s="250">
        <v>50</v>
      </c>
      <c r="P170" s="261" t="s">
        <v>235</v>
      </c>
      <c r="Q170" s="261" t="s">
        <v>236</v>
      </c>
      <c r="R170" s="375" t="s">
        <v>89</v>
      </c>
      <c r="S170" s="142">
        <v>7.77</v>
      </c>
      <c r="T170" s="141">
        <v>3.95</v>
      </c>
      <c r="U170" s="141">
        <v>43.2</v>
      </c>
      <c r="V170" s="141">
        <v>3.06</v>
      </c>
      <c r="W170" s="315"/>
      <c r="X170" s="315"/>
      <c r="Y170" s="315"/>
      <c r="Z170" s="278" t="s">
        <v>287</v>
      </c>
      <c r="AA170" s="571"/>
      <c r="AB170" s="141">
        <v>50</v>
      </c>
      <c r="AC170" s="315"/>
      <c r="AD170" s="315"/>
      <c r="AE170" s="222" t="s">
        <v>425</v>
      </c>
      <c r="AF170" s="315"/>
      <c r="AG170" s="476">
        <v>44280</v>
      </c>
      <c r="AH170" s="477">
        <v>5</v>
      </c>
      <c r="AI170" s="315" t="s">
        <v>63</v>
      </c>
      <c r="AJ170" s="165">
        <v>23.1287897961993</v>
      </c>
      <c r="AK170" s="165">
        <v>23.110285320452501</v>
      </c>
      <c r="AL170" s="165" t="s">
        <v>95</v>
      </c>
      <c r="AM170" s="140">
        <f t="shared" si="196"/>
        <v>23.119537558325902</v>
      </c>
      <c r="AN170" s="467">
        <v>-3.4410714285714286</v>
      </c>
      <c r="AO170" s="467">
        <v>48.943513064185922</v>
      </c>
      <c r="AP170" s="468">
        <f t="shared" si="203"/>
        <v>31961872.710990235</v>
      </c>
      <c r="AQ170" s="469">
        <f t="shared" si="204"/>
        <v>20.148361389267297</v>
      </c>
      <c r="AR170" s="165">
        <v>28.990803994079201</v>
      </c>
      <c r="AS170" s="165">
        <v>29.022870961009399</v>
      </c>
      <c r="AT170" s="165">
        <v>28.093698012354899</v>
      </c>
      <c r="AU170" s="140">
        <f t="shared" si="198"/>
        <v>28.702457655814499</v>
      </c>
      <c r="AV170" s="535">
        <v>-3.5035151515151499</v>
      </c>
      <c r="AW170" s="535">
        <v>40.6726666666667</v>
      </c>
      <c r="AX170" s="536">
        <f t="shared" si="199"/>
        <v>2609.9266289358011</v>
      </c>
      <c r="AY170" s="469">
        <f t="shared" si="205"/>
        <v>521.98532578716026</v>
      </c>
      <c r="AZ170" s="165">
        <v>35.689600772130198</v>
      </c>
      <c r="BA170" s="165">
        <v>34.4526644376039</v>
      </c>
      <c r="BB170" s="165" t="s">
        <v>95</v>
      </c>
      <c r="BC170" s="140">
        <f t="shared" si="200"/>
        <v>35.071132604867046</v>
      </c>
      <c r="BD170" s="651">
        <v>-3.4617</v>
      </c>
      <c r="BE170" s="645">
        <v>42.390999999999998</v>
      </c>
      <c r="BF170" s="297">
        <f t="shared" si="201"/>
        <v>130.17562771330168</v>
      </c>
      <c r="BG170" s="646">
        <f t="shared" si="206"/>
        <v>26.035125542660335</v>
      </c>
      <c r="BH170" s="297">
        <f t="shared" si="202"/>
        <v>4.9877121552026484E-2</v>
      </c>
      <c r="BI170" s="322"/>
      <c r="BJ170" s="443"/>
      <c r="BK170" s="320"/>
      <c r="BL170" s="321"/>
      <c r="BM170" s="322"/>
      <c r="BN170" s="322"/>
      <c r="BO170" s="322"/>
      <c r="BP170" s="322"/>
      <c r="BQ170" s="322"/>
      <c r="BR170" s="322"/>
      <c r="BS170" s="321"/>
    </row>
    <row r="171" spans="1:71" s="277" customFormat="1" ht="15" x14ac:dyDescent="0.2">
      <c r="A171" s="344"/>
      <c r="B171" s="344">
        <v>44272</v>
      </c>
      <c r="C171" s="323" t="s">
        <v>253</v>
      </c>
      <c r="D171" s="697" t="s">
        <v>244</v>
      </c>
      <c r="E171" s="709" t="s">
        <v>252</v>
      </c>
      <c r="F171" s="314" t="s">
        <v>233</v>
      </c>
      <c r="G171" s="315"/>
      <c r="H171" s="315"/>
      <c r="I171" s="315"/>
      <c r="J171" s="315"/>
      <c r="K171" s="314"/>
      <c r="L171" s="222" t="s">
        <v>234</v>
      </c>
      <c r="M171" s="222"/>
      <c r="N171" s="537">
        <v>44273</v>
      </c>
      <c r="O171" s="250">
        <v>50</v>
      </c>
      <c r="P171" s="457" t="s">
        <v>235</v>
      </c>
      <c r="Q171" s="261" t="s">
        <v>236</v>
      </c>
      <c r="R171" s="375" t="s">
        <v>89</v>
      </c>
      <c r="S171" s="145">
        <v>7.73</v>
      </c>
      <c r="T171" s="141">
        <v>3.5</v>
      </c>
      <c r="U171" s="141">
        <v>26.1</v>
      </c>
      <c r="V171" s="141">
        <v>2.31</v>
      </c>
      <c r="W171" s="315"/>
      <c r="X171" s="315"/>
      <c r="Y171" s="315"/>
      <c r="Z171" s="278" t="s">
        <v>287</v>
      </c>
      <c r="AA171" s="571"/>
      <c r="AB171" s="41">
        <v>50</v>
      </c>
      <c r="AC171" s="315"/>
      <c r="AD171" s="315"/>
      <c r="AE171" s="222" t="s">
        <v>425</v>
      </c>
      <c r="AF171" s="315"/>
      <c r="AG171" s="476">
        <v>44281</v>
      </c>
      <c r="AH171" s="360">
        <v>5</v>
      </c>
      <c r="AI171" s="295" t="s">
        <v>63</v>
      </c>
      <c r="AJ171" s="165">
        <v>21.957639585885602</v>
      </c>
      <c r="AK171" s="165">
        <v>21.8064763623636</v>
      </c>
      <c r="AL171" s="165">
        <v>21.819378189432101</v>
      </c>
      <c r="AM171" s="140">
        <f t="shared" si="196"/>
        <v>21.861164712560434</v>
      </c>
      <c r="AN171" s="467">
        <v>-3.4410714285714286</v>
      </c>
      <c r="AO171" s="467">
        <v>48.943513064185922</v>
      </c>
      <c r="AP171" s="468">
        <f t="shared" si="203"/>
        <v>74186413.908798739</v>
      </c>
      <c r="AQ171" s="469">
        <f t="shared" si="204"/>
        <v>46.766179539106659</v>
      </c>
      <c r="AR171" s="165">
        <v>28.4427896066667</v>
      </c>
      <c r="AS171" s="165">
        <v>28.203027168779698</v>
      </c>
      <c r="AT171" s="165">
        <v>28.214156657214801</v>
      </c>
      <c r="AU171" s="140">
        <f t="shared" si="198"/>
        <v>28.286657810887068</v>
      </c>
      <c r="AV171" s="552">
        <v>-3.5035151515151499</v>
      </c>
      <c r="AW171" s="552">
        <v>40.6726666666667</v>
      </c>
      <c r="AX171" s="536">
        <f t="shared" si="199"/>
        <v>3430.1179930743911</v>
      </c>
      <c r="AY171" s="469">
        <f t="shared" si="205"/>
        <v>686.02359861487821</v>
      </c>
      <c r="AZ171" s="144" t="s">
        <v>95</v>
      </c>
      <c r="BA171" s="144">
        <v>36.051382312073102</v>
      </c>
      <c r="BB171" s="144">
        <v>35.336695643909003</v>
      </c>
      <c r="BC171" s="140">
        <f t="shared" si="200"/>
        <v>35.694038977991056</v>
      </c>
      <c r="BD171" s="652">
        <v>-3.4617</v>
      </c>
      <c r="BE171" s="647">
        <v>42.390999999999998</v>
      </c>
      <c r="BF171" s="297">
        <f t="shared" si="201"/>
        <v>86.017605311356547</v>
      </c>
      <c r="BG171" s="646">
        <f t="shared" si="206"/>
        <v>17.20352106227131</v>
      </c>
      <c r="BH171" s="297">
        <f t="shared" si="202"/>
        <v>2.507715637917737E-2</v>
      </c>
      <c r="BI171" s="322"/>
      <c r="BJ171" s="443"/>
      <c r="BK171" s="320"/>
      <c r="BL171" s="321"/>
      <c r="BM171" s="322"/>
      <c r="BN171" s="322"/>
      <c r="BO171" s="322"/>
      <c r="BP171" s="322"/>
      <c r="BQ171" s="322"/>
      <c r="BR171" s="322"/>
      <c r="BS171" s="321"/>
    </row>
    <row r="172" spans="1:71" s="277" customFormat="1" ht="15" x14ac:dyDescent="0.2">
      <c r="A172" s="344"/>
      <c r="B172" s="344"/>
      <c r="C172" s="323" t="s">
        <v>254</v>
      </c>
      <c r="D172" s="697"/>
      <c r="E172" s="709"/>
      <c r="F172" s="703"/>
      <c r="G172" s="315"/>
      <c r="H172" s="315"/>
      <c r="I172" s="315"/>
      <c r="J172" s="315"/>
      <c r="K172" s="315"/>
      <c r="L172" s="315"/>
      <c r="M172" s="315"/>
      <c r="N172" s="283"/>
      <c r="O172" s="139"/>
      <c r="P172" s="315"/>
      <c r="Q172" s="457"/>
      <c r="R172" s="315"/>
      <c r="S172" s="315"/>
      <c r="T172" s="315"/>
      <c r="U172" s="315"/>
      <c r="V172" s="417"/>
      <c r="W172" s="315"/>
      <c r="X172" s="315"/>
      <c r="Y172" s="315"/>
      <c r="Z172" s="278" t="s">
        <v>287</v>
      </c>
      <c r="AA172" s="571"/>
      <c r="AB172" s="41">
        <v>50</v>
      </c>
      <c r="AC172" s="315"/>
      <c r="AD172" s="315"/>
      <c r="AE172" s="222" t="s">
        <v>425</v>
      </c>
      <c r="AF172" s="315"/>
      <c r="AG172" s="476">
        <v>44282</v>
      </c>
      <c r="AH172" s="477">
        <v>5</v>
      </c>
      <c r="AI172" s="315" t="s">
        <v>63</v>
      </c>
      <c r="AJ172" s="165">
        <v>20.823292623592501</v>
      </c>
      <c r="AK172" s="165">
        <v>20.627460933941901</v>
      </c>
      <c r="AL172" s="165" t="s">
        <v>95</v>
      </c>
      <c r="AM172" s="140">
        <f t="shared" si="196"/>
        <v>20.725376778767199</v>
      </c>
      <c r="AN172" s="467">
        <v>-3.4410714285714286</v>
      </c>
      <c r="AO172" s="467">
        <v>48.943513064185922</v>
      </c>
      <c r="AP172" s="468">
        <f t="shared" si="203"/>
        <v>158632615.79185194</v>
      </c>
      <c r="AQ172" s="469">
        <f t="shared" si="204"/>
        <v>100</v>
      </c>
      <c r="AR172" s="165">
        <v>36.440261899925503</v>
      </c>
      <c r="AS172" s="165">
        <v>37.313674368188799</v>
      </c>
      <c r="AT172" s="165" t="s">
        <v>95</v>
      </c>
      <c r="AU172" s="140">
        <f t="shared" si="198"/>
        <v>36.876968134057151</v>
      </c>
      <c r="AV172" s="535">
        <v>-3.5035151515151499</v>
      </c>
      <c r="AW172" s="535">
        <v>40.6726666666667</v>
      </c>
      <c r="AX172" s="536">
        <f t="shared" si="199"/>
        <v>12.117058588315171</v>
      </c>
      <c r="AY172" s="469" t="e">
        <f t="shared" si="205"/>
        <v>#DIV/0!</v>
      </c>
      <c r="AZ172" s="165">
        <v>36.2209564500114</v>
      </c>
      <c r="BA172" s="165" t="s">
        <v>95</v>
      </c>
      <c r="BB172" s="165" t="s">
        <v>95</v>
      </c>
      <c r="BC172" s="140">
        <f t="shared" si="200"/>
        <v>36.2209564500114</v>
      </c>
      <c r="BD172" s="651">
        <v>-3.4617</v>
      </c>
      <c r="BE172" s="645">
        <v>42.390999999999998</v>
      </c>
      <c r="BF172" s="297">
        <f t="shared" si="201"/>
        <v>60.586218686066793</v>
      </c>
      <c r="BG172" s="646" t="e">
        <f t="shared" si="206"/>
        <v>#DIV/0!</v>
      </c>
      <c r="BH172" s="297">
        <f t="shared" si="202"/>
        <v>5.0000764001002542</v>
      </c>
      <c r="BI172" s="322"/>
      <c r="BJ172" s="443"/>
      <c r="BK172" s="320"/>
      <c r="BL172" s="321"/>
      <c r="BM172" s="322"/>
      <c r="BN172" s="322"/>
      <c r="BO172" s="322"/>
      <c r="BP172" s="322"/>
      <c r="BQ172" s="322"/>
      <c r="BR172" s="322"/>
      <c r="BS172" s="321"/>
    </row>
    <row r="173" spans="1:71" s="277" customFormat="1" ht="15" x14ac:dyDescent="0.2">
      <c r="A173" s="344"/>
      <c r="B173" s="344"/>
      <c r="C173" s="323" t="s">
        <v>255</v>
      </c>
      <c r="D173" s="697"/>
      <c r="E173" s="709"/>
      <c r="F173" s="703"/>
      <c r="G173" s="315"/>
      <c r="H173" s="315"/>
      <c r="I173" s="315"/>
      <c r="J173" s="315"/>
      <c r="K173" s="315"/>
      <c r="L173" s="315"/>
      <c r="M173" s="315"/>
      <c r="N173" s="283"/>
      <c r="O173" s="141"/>
      <c r="P173" s="315"/>
      <c r="Q173" s="315"/>
      <c r="R173" s="315"/>
      <c r="S173" s="315"/>
      <c r="T173" s="315"/>
      <c r="U173" s="315"/>
      <c r="V173" s="417"/>
      <c r="W173" s="315"/>
      <c r="X173" s="315"/>
      <c r="Y173" s="315"/>
      <c r="Z173" s="317"/>
      <c r="AA173" s="571"/>
      <c r="AB173" s="315"/>
      <c r="AC173" s="315"/>
      <c r="AD173" s="315"/>
      <c r="AE173" s="315"/>
      <c r="AF173" s="315"/>
      <c r="AG173" s="476">
        <v>44283</v>
      </c>
      <c r="AH173" s="477">
        <v>5</v>
      </c>
      <c r="AI173" s="314" t="s">
        <v>63</v>
      </c>
      <c r="AJ173" s="165">
        <v>39.964075439009697</v>
      </c>
      <c r="AK173" s="165">
        <v>38.6614763794162</v>
      </c>
      <c r="AL173" s="165" t="s">
        <v>95</v>
      </c>
      <c r="AM173" s="140">
        <f t="shared" si="196"/>
        <v>39.312775909212945</v>
      </c>
      <c r="AN173" s="467">
        <v>-3.4410714285714286</v>
      </c>
      <c r="AO173" s="467">
        <v>48.943513064185922</v>
      </c>
      <c r="AP173" s="468">
        <f t="shared" si="203"/>
        <v>629.16012016327579</v>
      </c>
      <c r="AQ173" s="469">
        <f t="shared" si="204"/>
        <v>3.9661460351181587E-4</v>
      </c>
      <c r="AR173" s="165">
        <v>39.112798781172103</v>
      </c>
      <c r="AS173" s="165" t="s">
        <v>95</v>
      </c>
      <c r="AT173" s="165" t="s">
        <v>95</v>
      </c>
      <c r="AU173" s="140">
        <f t="shared" si="198"/>
        <v>39.112798781172103</v>
      </c>
      <c r="AV173" s="535">
        <v>-3.5035151515151499</v>
      </c>
      <c r="AW173" s="535">
        <v>40.6726666666667</v>
      </c>
      <c r="AX173" s="536">
        <f t="shared" ref="AX173" si="207">IF(AND(AR173="No CT",AS173="No CT",AT173="No CT"),0,10^((AU173-AW173)/AV173))</f>
        <v>2.7875931068724777</v>
      </c>
      <c r="AY173" s="469" t="e">
        <f>(AX173/AH173)*(AB173/O173)</f>
        <v>#DIV/0!</v>
      </c>
      <c r="AZ173" s="165" t="s">
        <v>95</v>
      </c>
      <c r="BA173" s="165">
        <v>37.373613954883403</v>
      </c>
      <c r="BB173" s="165">
        <v>37.2273096032323</v>
      </c>
      <c r="BC173" s="140">
        <f t="shared" si="200"/>
        <v>37.300461779057855</v>
      </c>
      <c r="BD173" s="651">
        <v>-3.4617</v>
      </c>
      <c r="BE173" s="645">
        <v>42.390999999999998</v>
      </c>
      <c r="BF173" s="297">
        <f t="shared" ref="BF173" si="208">IF(AND(AZ173="No CT",BA173="No CT",BB173="No CT"),0,10^((BC173-BE173)/BD173))</f>
        <v>29.54821876296473</v>
      </c>
      <c r="BG173" s="646" t="e">
        <f t="shared" ref="BG173" si="209">(BF173/AH173)*(AB173/O173)</f>
        <v>#DIV/0!</v>
      </c>
      <c r="BH173" s="297">
        <f t="shared" ref="BH173" si="210">BF173/AX173</f>
        <v>10.599903798770749</v>
      </c>
      <c r="BI173" s="322"/>
      <c r="BJ173" s="443"/>
      <c r="BK173" s="320"/>
      <c r="BL173" s="321"/>
      <c r="BM173" s="322"/>
      <c r="BN173" s="322"/>
      <c r="BO173" s="322"/>
      <c r="BP173" s="322"/>
      <c r="BQ173" s="322"/>
      <c r="BR173" s="322"/>
      <c r="BS173" s="321"/>
    </row>
    <row r="174" spans="1:71" s="432" customFormat="1" x14ac:dyDescent="0.2">
      <c r="A174" s="418"/>
      <c r="B174" s="418"/>
      <c r="C174" s="419"/>
      <c r="D174" s="675"/>
      <c r="E174" s="701"/>
      <c r="F174" s="702"/>
      <c r="G174" s="421"/>
      <c r="H174" s="421"/>
      <c r="I174" s="421"/>
      <c r="J174" s="421"/>
      <c r="K174" s="421"/>
      <c r="L174" s="421"/>
      <c r="M174" s="421"/>
      <c r="N174" s="422"/>
      <c r="O174" s="421"/>
      <c r="P174" s="421"/>
      <c r="Q174" s="421"/>
      <c r="R174" s="421"/>
      <c r="S174" s="421"/>
      <c r="T174" s="421"/>
      <c r="U174" s="421"/>
      <c r="V174" s="421"/>
      <c r="W174" s="421"/>
      <c r="X174" s="421"/>
      <c r="Y174" s="421"/>
      <c r="Z174" s="540"/>
      <c r="AA174" s="589"/>
      <c r="AB174" s="421"/>
      <c r="AC174" s="421"/>
      <c r="AD174" s="421"/>
      <c r="AE174" s="421"/>
      <c r="AF174" s="421"/>
      <c r="AG174" s="548"/>
      <c r="AH174" s="429"/>
      <c r="AI174" s="421"/>
      <c r="AJ174" s="421"/>
      <c r="AK174" s="421"/>
      <c r="AL174" s="421"/>
      <c r="AM174" s="421"/>
      <c r="AN174" s="421"/>
      <c r="AO174" s="421"/>
      <c r="AP174" s="421"/>
      <c r="AQ174" s="421"/>
      <c r="AR174" s="421"/>
      <c r="AS174" s="421"/>
      <c r="AT174" s="421"/>
      <c r="AU174" s="421"/>
      <c r="AV174" s="421"/>
      <c r="AW174" s="421"/>
      <c r="AX174" s="543"/>
      <c r="AY174" s="421"/>
      <c r="AZ174" s="421"/>
      <c r="BA174" s="421"/>
      <c r="BB174" s="421"/>
      <c r="BC174" s="421"/>
      <c r="BD174" s="421"/>
      <c r="BE174" s="421"/>
      <c r="BF174" s="421"/>
      <c r="BG174" s="421"/>
      <c r="BH174" s="429"/>
      <c r="BI174" s="431"/>
      <c r="BJ174" s="482"/>
      <c r="BK174" s="429"/>
      <c r="BL174" s="430"/>
      <c r="BM174" s="431"/>
      <c r="BN174" s="431"/>
      <c r="BO174" s="431"/>
      <c r="BP174" s="431"/>
      <c r="BQ174" s="431"/>
      <c r="BR174" s="431"/>
      <c r="BS174" s="430"/>
    </row>
    <row r="175" spans="1:71" s="277" customFormat="1" ht="15" x14ac:dyDescent="0.2">
      <c r="A175" s="344"/>
      <c r="B175" s="344">
        <v>44273</v>
      </c>
      <c r="C175" s="323" t="s">
        <v>243</v>
      </c>
      <c r="D175" s="697" t="s">
        <v>244</v>
      </c>
      <c r="E175" s="709" t="s">
        <v>232</v>
      </c>
      <c r="F175" s="314" t="s">
        <v>233</v>
      </c>
      <c r="G175" s="315"/>
      <c r="H175" s="315"/>
      <c r="I175" s="315"/>
      <c r="J175" s="315"/>
      <c r="K175" s="314"/>
      <c r="L175" s="222" t="s">
        <v>234</v>
      </c>
      <c r="M175" s="315"/>
      <c r="N175" s="537">
        <v>44277</v>
      </c>
      <c r="O175" s="250">
        <v>50</v>
      </c>
      <c r="P175" s="457" t="s">
        <v>235</v>
      </c>
      <c r="Q175" s="457" t="s">
        <v>236</v>
      </c>
      <c r="R175" s="375" t="s">
        <v>89</v>
      </c>
      <c r="S175" s="8">
        <v>7.06</v>
      </c>
      <c r="T175" s="8">
        <v>4.17</v>
      </c>
      <c r="U175" s="8">
        <v>25.1</v>
      </c>
      <c r="V175" s="587">
        <v>481</v>
      </c>
      <c r="W175" s="315"/>
      <c r="X175" s="315"/>
      <c r="Y175" s="315"/>
      <c r="Z175" s="278" t="s">
        <v>292</v>
      </c>
      <c r="AA175" s="476">
        <v>44279</v>
      </c>
      <c r="AB175" s="139">
        <v>50</v>
      </c>
      <c r="AC175" s="8" t="s">
        <v>293</v>
      </c>
      <c r="AD175" s="315"/>
      <c r="AE175" s="222" t="s">
        <v>425</v>
      </c>
      <c r="AF175" s="315"/>
      <c r="AG175" s="476">
        <v>44280</v>
      </c>
      <c r="AH175" s="463">
        <v>5</v>
      </c>
      <c r="AI175" s="8" t="s">
        <v>294</v>
      </c>
      <c r="AJ175" s="8">
        <v>22.170631878364699</v>
      </c>
      <c r="AK175" s="8">
        <v>21.635665420530799</v>
      </c>
      <c r="AL175" s="8">
        <v>21.5377998034534</v>
      </c>
      <c r="AM175" s="140">
        <f t="shared" ref="AM175:AM187" si="211">AVERAGE(AJ175:AL175)</f>
        <v>21.781365700782967</v>
      </c>
      <c r="AN175" s="467">
        <v>-3.4410714285714286</v>
      </c>
      <c r="AO175" s="467">
        <v>48.943513064185922</v>
      </c>
      <c r="AP175" s="468">
        <f t="shared" ref="AP175" si="212">IF(AND(AJ175="No CT",AK175="No CT",AL175="No CT"),0,10^((AM175-AO175)/AN175))</f>
        <v>78255440.88323763</v>
      </c>
      <c r="AQ175" s="469">
        <f>AP175*100/$AP$186</f>
        <v>32.707074314352575</v>
      </c>
      <c r="AR175" s="8">
        <v>28.445183116633601</v>
      </c>
      <c r="AS175" s="8">
        <v>28.172341446355698</v>
      </c>
      <c r="AT175" s="8">
        <v>28.025847316419</v>
      </c>
      <c r="AU175" s="140">
        <f t="shared" ref="AU175:AU187" si="213">AVERAGE(AR175:AT175)</f>
        <v>28.214457293136103</v>
      </c>
      <c r="AV175" s="535">
        <v>-3.5035151515151499</v>
      </c>
      <c r="AW175" s="535">
        <v>40.6726666666667</v>
      </c>
      <c r="AX175" s="536">
        <f t="shared" ref="AX175" si="214">IF(AND(AR175="No CT",AS175="No CT",AT175="No CT"),0,10^((AU175-AW175)/AV175))</f>
        <v>3596.8065611407715</v>
      </c>
      <c r="AY175" s="469">
        <f>(AX175/AH175)*(AB175/O175)</f>
        <v>719.36131222815425</v>
      </c>
      <c r="AZ175" s="8">
        <v>36.312272323111102</v>
      </c>
      <c r="BA175" s="8">
        <v>35.638799630134201</v>
      </c>
      <c r="BB175" s="8">
        <v>35.5373205374203</v>
      </c>
      <c r="BC175" s="140">
        <f t="shared" ref="BC175:BC187" si="215">AVERAGE(AZ175:BB175)</f>
        <v>35.829464163555201</v>
      </c>
      <c r="BD175" s="651">
        <v>-3.4617</v>
      </c>
      <c r="BE175" s="645">
        <v>42.390999999999998</v>
      </c>
      <c r="BF175" s="297">
        <f t="shared" ref="BF175" si="216">IF(AND(AZ175="No CT",BA175="No CT",BB175="No CT"),0,10^((BC175-BE175)/BD175))</f>
        <v>78.607926750212911</v>
      </c>
      <c r="BG175" s="646">
        <f>(BF175/AH175)*(AB175/O175)</f>
        <v>15.721585350042583</v>
      </c>
      <c r="BH175" s="297">
        <f t="shared" ref="BH175" si="217">BF175/AX175</f>
        <v>2.1854921974253028E-2</v>
      </c>
      <c r="BI175" s="322"/>
      <c r="BJ175" s="443"/>
      <c r="BK175" s="320"/>
      <c r="BL175" s="321"/>
      <c r="BM175" s="322"/>
      <c r="BN175" s="322"/>
      <c r="BO175" s="322"/>
      <c r="BP175" s="322"/>
      <c r="BQ175" s="322"/>
      <c r="BR175" s="322"/>
      <c r="BS175" s="321"/>
    </row>
    <row r="176" spans="1:71" s="277" customFormat="1" ht="15" x14ac:dyDescent="0.2">
      <c r="A176" s="344"/>
      <c r="B176" s="344">
        <v>44273</v>
      </c>
      <c r="C176" s="323" t="s">
        <v>247</v>
      </c>
      <c r="D176" s="697" t="s">
        <v>244</v>
      </c>
      <c r="E176" s="709" t="s">
        <v>246</v>
      </c>
      <c r="F176" s="295" t="s">
        <v>233</v>
      </c>
      <c r="G176" s="315"/>
      <c r="H176" s="315"/>
      <c r="I176" s="315"/>
      <c r="J176" s="315"/>
      <c r="K176" s="314"/>
      <c r="L176" s="222" t="s">
        <v>234</v>
      </c>
      <c r="M176" s="315" t="s">
        <v>295</v>
      </c>
      <c r="N176" s="537">
        <v>44277</v>
      </c>
      <c r="O176" s="250">
        <v>50</v>
      </c>
      <c r="P176" s="457" t="s">
        <v>235</v>
      </c>
      <c r="Q176" s="457" t="s">
        <v>236</v>
      </c>
      <c r="R176" s="375" t="s">
        <v>89</v>
      </c>
      <c r="S176" s="8">
        <v>7.14</v>
      </c>
      <c r="T176" s="8">
        <v>4.16</v>
      </c>
      <c r="U176" s="8">
        <v>825</v>
      </c>
      <c r="V176" s="8">
        <v>184.8</v>
      </c>
      <c r="W176" s="315"/>
      <c r="X176" s="315"/>
      <c r="Y176" s="315"/>
      <c r="Z176" s="278" t="s">
        <v>292</v>
      </c>
      <c r="AA176" s="476">
        <v>44279</v>
      </c>
      <c r="AB176" s="141">
        <v>50</v>
      </c>
      <c r="AC176" s="8" t="s">
        <v>293</v>
      </c>
      <c r="AD176" s="315"/>
      <c r="AE176" s="222" t="s">
        <v>425</v>
      </c>
      <c r="AF176" s="315"/>
      <c r="AG176" s="476">
        <v>44281</v>
      </c>
      <c r="AH176" s="477">
        <v>5</v>
      </c>
      <c r="AI176" s="8" t="s">
        <v>294</v>
      </c>
      <c r="AJ176" s="8">
        <v>22.094875960319001</v>
      </c>
      <c r="AK176" s="8">
        <v>22.062209362553698</v>
      </c>
      <c r="AL176" s="8">
        <v>22.232787568080202</v>
      </c>
      <c r="AM176" s="140">
        <f t="shared" si="211"/>
        <v>22.129957630317634</v>
      </c>
      <c r="AN176" s="467">
        <v>-3.4410714285714286</v>
      </c>
      <c r="AO176" s="467">
        <v>48.943513064185922</v>
      </c>
      <c r="AP176" s="468">
        <f t="shared" ref="AP176:AP187" si="218">IF(AND(AJ176="No CT",AK176="No CT",AL176="No CT"),0,10^((AM176-AO176)/AN176))</f>
        <v>61974243.108081929</v>
      </c>
      <c r="AQ176" s="469">
        <f t="shared" ref="AQ176:AQ187" si="219">AP176*100/$AP$186</f>
        <v>25.902303431351218</v>
      </c>
      <c r="AR176" s="8">
        <v>27.454654113278199</v>
      </c>
      <c r="AS176" s="8">
        <v>27.523277816118899</v>
      </c>
      <c r="AT176" s="8">
        <v>27.730464503709701</v>
      </c>
      <c r="AU176" s="140">
        <f t="shared" si="213"/>
        <v>27.569465477702266</v>
      </c>
      <c r="AV176" s="535">
        <v>-3.5035151515151499</v>
      </c>
      <c r="AW176" s="535">
        <v>40.6726666666667</v>
      </c>
      <c r="AX176" s="536">
        <f t="shared" ref="AX176:AX187" si="220">IF(AND(AR176="No CT",AS176="No CT",AT176="No CT"),0,10^((AU176-AW176)/AV176))</f>
        <v>5495.6056602961089</v>
      </c>
      <c r="AY176" s="469">
        <f t="shared" ref="AY176:AY187" si="221">(AX176/AH176)*(AB176/O176)</f>
        <v>1099.1211320592217</v>
      </c>
      <c r="AZ176" s="8">
        <v>30.5705227577755</v>
      </c>
      <c r="BA176" s="8">
        <v>30.7221238868038</v>
      </c>
      <c r="BB176" s="8">
        <v>30.592577348936398</v>
      </c>
      <c r="BC176" s="140">
        <f t="shared" si="215"/>
        <v>30.628407997838565</v>
      </c>
      <c r="BD176" s="651">
        <v>-3.4617</v>
      </c>
      <c r="BE176" s="645">
        <v>42.390999999999998</v>
      </c>
      <c r="BF176" s="297">
        <f t="shared" ref="BF176:BF187" si="222">IF(AND(AZ176="No CT",BA176="No CT",BB176="No CT"),0,10^((BC176-BE176)/BD176))</f>
        <v>2499.9053397523217</v>
      </c>
      <c r="BG176" s="646">
        <f t="shared" ref="BG176:BG187" si="223">(BF176/AH176)*(AB176/O176)</f>
        <v>499.98106795046431</v>
      </c>
      <c r="BH176" s="297">
        <f t="shared" ref="BH176:BH187" si="224">BF176/AX176</f>
        <v>0.45489168879297359</v>
      </c>
      <c r="BI176" s="322"/>
      <c r="BJ176" s="443"/>
      <c r="BK176" s="320"/>
      <c r="BL176" s="321"/>
      <c r="BM176" s="322"/>
      <c r="BN176" s="322"/>
      <c r="BO176" s="322"/>
      <c r="BP176" s="322"/>
      <c r="BQ176" s="322"/>
      <c r="BR176" s="322"/>
      <c r="BS176" s="321"/>
    </row>
    <row r="177" spans="1:71" s="277" customFormat="1" ht="15" x14ac:dyDescent="0.2">
      <c r="A177" s="344"/>
      <c r="B177" s="344">
        <v>44273</v>
      </c>
      <c r="C177" s="323" t="s">
        <v>250</v>
      </c>
      <c r="D177" s="697" t="s">
        <v>244</v>
      </c>
      <c r="E177" s="709" t="s">
        <v>249</v>
      </c>
      <c r="F177" s="315" t="s">
        <v>233</v>
      </c>
      <c r="G177" s="315"/>
      <c r="H177" s="315"/>
      <c r="I177" s="315"/>
      <c r="J177" s="315"/>
      <c r="K177" s="314"/>
      <c r="L177" s="222" t="s">
        <v>234</v>
      </c>
      <c r="M177" s="315"/>
      <c r="N177" s="537">
        <v>44277</v>
      </c>
      <c r="O177" s="250">
        <v>50</v>
      </c>
      <c r="P177" s="457" t="s">
        <v>235</v>
      </c>
      <c r="Q177" s="261" t="s">
        <v>236</v>
      </c>
      <c r="R177" s="375" t="s">
        <v>89</v>
      </c>
      <c r="S177" s="8">
        <v>7.4</v>
      </c>
      <c r="T177" s="8">
        <v>4.04</v>
      </c>
      <c r="U177" s="8">
        <v>37.4</v>
      </c>
      <c r="V177" s="8">
        <v>84.9</v>
      </c>
      <c r="W177" s="315"/>
      <c r="X177" s="315"/>
      <c r="Y177" s="315"/>
      <c r="Z177" s="278" t="s">
        <v>292</v>
      </c>
      <c r="AA177" s="476">
        <v>44279</v>
      </c>
      <c r="AB177" s="141">
        <v>50</v>
      </c>
      <c r="AC177" s="8" t="s">
        <v>293</v>
      </c>
      <c r="AD177" s="315"/>
      <c r="AE177" s="222" t="s">
        <v>425</v>
      </c>
      <c r="AF177" s="315"/>
      <c r="AG177" s="476">
        <v>44282</v>
      </c>
      <c r="AH177" s="477">
        <v>5</v>
      </c>
      <c r="AI177" s="8" t="s">
        <v>294</v>
      </c>
      <c r="AJ177" s="8">
        <v>21.351970440978299</v>
      </c>
      <c r="AK177" s="8">
        <v>21.286570984308199</v>
      </c>
      <c r="AL177" s="8">
        <v>21.3436543667822</v>
      </c>
      <c r="AM177" s="140">
        <f t="shared" si="211"/>
        <v>21.327398597356233</v>
      </c>
      <c r="AN177" s="467">
        <v>-3.4410714285714286</v>
      </c>
      <c r="AO177" s="467">
        <v>48.943513064185922</v>
      </c>
      <c r="AP177" s="468">
        <f t="shared" si="218"/>
        <v>106032898.61402139</v>
      </c>
      <c r="AQ177" s="469">
        <f t="shared" si="219"/>
        <v>44.316738307174539</v>
      </c>
      <c r="AR177" s="8">
        <v>28.3649043739726</v>
      </c>
      <c r="AS177" s="8">
        <v>28.410812264521301</v>
      </c>
      <c r="AT177" s="8">
        <v>28.419139204874899</v>
      </c>
      <c r="AU177" s="140">
        <f t="shared" si="213"/>
        <v>28.398285281122934</v>
      </c>
      <c r="AV177" s="535">
        <v>-3.5035151515151499</v>
      </c>
      <c r="AW177" s="535">
        <v>40.6726666666667</v>
      </c>
      <c r="AX177" s="536">
        <f t="shared" si="220"/>
        <v>3187.480203825819</v>
      </c>
      <c r="AY177" s="469">
        <f t="shared" si="221"/>
        <v>637.4960407651638</v>
      </c>
      <c r="AZ177" s="8">
        <v>32.355383454201601</v>
      </c>
      <c r="BA177" s="8">
        <v>32.789934297757902</v>
      </c>
      <c r="BB177" s="8">
        <v>32.745104372539998</v>
      </c>
      <c r="BC177" s="140">
        <f t="shared" si="215"/>
        <v>32.6301407081665</v>
      </c>
      <c r="BD177" s="651">
        <v>-3.4617</v>
      </c>
      <c r="BE177" s="645">
        <v>42.390999999999998</v>
      </c>
      <c r="BF177" s="297">
        <f t="shared" si="222"/>
        <v>660.19496936366352</v>
      </c>
      <c r="BG177" s="646">
        <f t="shared" si="223"/>
        <v>132.0389938727327</v>
      </c>
      <c r="BH177" s="297">
        <f t="shared" si="224"/>
        <v>0.2071212767286382</v>
      </c>
      <c r="BI177" s="322"/>
      <c r="BJ177" s="443"/>
      <c r="BK177" s="320"/>
      <c r="BL177" s="321"/>
      <c r="BM177" s="322"/>
      <c r="BN177" s="322"/>
      <c r="BO177" s="322"/>
      <c r="BP177" s="322"/>
      <c r="BQ177" s="322"/>
      <c r="BR177" s="322"/>
      <c r="BS177" s="321"/>
    </row>
    <row r="178" spans="1:71" s="277" customFormat="1" ht="15" x14ac:dyDescent="0.2">
      <c r="A178" s="370"/>
      <c r="B178" s="344">
        <v>44273</v>
      </c>
      <c r="C178" s="371" t="s">
        <v>253</v>
      </c>
      <c r="D178" s="699" t="s">
        <v>244</v>
      </c>
      <c r="E178" s="709" t="s">
        <v>252</v>
      </c>
      <c r="F178" s="315" t="s">
        <v>233</v>
      </c>
      <c r="G178" s="327"/>
      <c r="H178" s="327"/>
      <c r="I178" s="327"/>
      <c r="J178" s="327"/>
      <c r="K178" s="660"/>
      <c r="L178" s="222" t="s">
        <v>234</v>
      </c>
      <c r="M178" s="327"/>
      <c r="N178" s="537">
        <v>44277</v>
      </c>
      <c r="O178" s="250">
        <v>50</v>
      </c>
      <c r="P178" s="457" t="s">
        <v>235</v>
      </c>
      <c r="Q178" s="261" t="s">
        <v>236</v>
      </c>
      <c r="R178" s="375" t="s">
        <v>89</v>
      </c>
      <c r="S178" s="8">
        <v>7.43</v>
      </c>
      <c r="T178" s="8">
        <v>4.17</v>
      </c>
      <c r="U178" s="8">
        <v>15.8</v>
      </c>
      <c r="V178" s="8" t="s">
        <v>238</v>
      </c>
      <c r="W178" s="327"/>
      <c r="X178" s="327"/>
      <c r="Y178" s="327"/>
      <c r="Z178" s="278" t="s">
        <v>292</v>
      </c>
      <c r="AA178" s="476">
        <v>44279</v>
      </c>
      <c r="AB178" s="141">
        <v>50</v>
      </c>
      <c r="AC178" s="8" t="s">
        <v>293</v>
      </c>
      <c r="AD178" s="327"/>
      <c r="AE178" s="222" t="s">
        <v>425</v>
      </c>
      <c r="AF178" s="327"/>
      <c r="AG178" s="476">
        <v>44283</v>
      </c>
      <c r="AH178" s="477">
        <v>5</v>
      </c>
      <c r="AI178" s="8" t="s">
        <v>294</v>
      </c>
      <c r="AJ178" s="8">
        <v>21.518090488179201</v>
      </c>
      <c r="AK178" s="8">
        <v>21.400072781372</v>
      </c>
      <c r="AL178" s="8">
        <v>21.289364422037401</v>
      </c>
      <c r="AM178" s="140">
        <f t="shared" si="211"/>
        <v>21.402509230529535</v>
      </c>
      <c r="AN178" s="467">
        <v>-3.4410714285714286</v>
      </c>
      <c r="AO178" s="467">
        <v>48.943513064185922</v>
      </c>
      <c r="AP178" s="468">
        <f t="shared" si="218"/>
        <v>100835381.54875098</v>
      </c>
      <c r="AQ178" s="469">
        <f t="shared" si="219"/>
        <v>42.144421916323708</v>
      </c>
      <c r="AR178" s="8">
        <v>29.6853573209141</v>
      </c>
      <c r="AS178" s="8">
        <v>29.518689194772701</v>
      </c>
      <c r="AT178" s="8">
        <v>29.263148726822902</v>
      </c>
      <c r="AU178" s="140">
        <f t="shared" si="213"/>
        <v>29.489065080836568</v>
      </c>
      <c r="AV178" s="535">
        <v>-3.5035151515151499</v>
      </c>
      <c r="AW178" s="535">
        <v>40.6726666666667</v>
      </c>
      <c r="AX178" s="536">
        <f t="shared" si="220"/>
        <v>1556.3555235579418</v>
      </c>
      <c r="AY178" s="469">
        <f t="shared" si="221"/>
        <v>311.27110471158835</v>
      </c>
      <c r="AZ178" s="8" t="s">
        <v>296</v>
      </c>
      <c r="BA178" s="8">
        <v>34.787461320929403</v>
      </c>
      <c r="BB178" s="8">
        <v>35.928658272340797</v>
      </c>
      <c r="BC178" s="140">
        <f t="shared" si="215"/>
        <v>35.358059796635104</v>
      </c>
      <c r="BD178" s="651">
        <v>-3.4617</v>
      </c>
      <c r="BE178" s="645">
        <v>42.390999999999998</v>
      </c>
      <c r="BF178" s="297">
        <f t="shared" si="222"/>
        <v>107.55818645391371</v>
      </c>
      <c r="BG178" s="646">
        <f t="shared" si="223"/>
        <v>21.51163729078274</v>
      </c>
      <c r="BH178" s="297">
        <f t="shared" si="224"/>
        <v>6.9109008080639495E-2</v>
      </c>
      <c r="BI178" s="322"/>
      <c r="BJ178" s="444"/>
      <c r="BK178" s="328"/>
      <c r="BL178" s="373"/>
      <c r="BM178" s="374"/>
      <c r="BN178" s="374"/>
      <c r="BO178" s="374"/>
      <c r="BP178" s="374"/>
      <c r="BQ178" s="374"/>
      <c r="BR178" s="374"/>
      <c r="BS178" s="373"/>
    </row>
    <row r="179" spans="1:71" s="357" customFormat="1" ht="15" x14ac:dyDescent="0.2">
      <c r="A179" s="344"/>
      <c r="B179" s="344">
        <v>44274</v>
      </c>
      <c r="C179" s="323" t="s">
        <v>230</v>
      </c>
      <c r="D179" s="697" t="s">
        <v>231</v>
      </c>
      <c r="E179" s="709" t="s">
        <v>232</v>
      </c>
      <c r="F179" s="314" t="s">
        <v>233</v>
      </c>
      <c r="G179" s="315"/>
      <c r="H179" s="315"/>
      <c r="I179" s="315"/>
      <c r="J179" s="315"/>
      <c r="K179" s="314"/>
      <c r="L179" s="222" t="s">
        <v>234</v>
      </c>
      <c r="M179" s="315"/>
      <c r="N179" s="537">
        <v>44277</v>
      </c>
      <c r="O179" s="250">
        <v>50</v>
      </c>
      <c r="P179" s="457" t="s">
        <v>235</v>
      </c>
      <c r="Q179" s="261" t="s">
        <v>236</v>
      </c>
      <c r="R179" s="375" t="s">
        <v>89</v>
      </c>
      <c r="S179" s="8">
        <v>7.3</v>
      </c>
      <c r="T179" s="8">
        <v>4.13</v>
      </c>
      <c r="U179" s="8">
        <v>46.8</v>
      </c>
      <c r="V179" s="8">
        <v>493</v>
      </c>
      <c r="W179" s="315"/>
      <c r="X179" s="315"/>
      <c r="Y179" s="315"/>
      <c r="Z179" s="278" t="s">
        <v>292</v>
      </c>
      <c r="AA179" s="476">
        <v>44279</v>
      </c>
      <c r="AB179" s="41">
        <v>50</v>
      </c>
      <c r="AC179" s="8" t="s">
        <v>293</v>
      </c>
      <c r="AD179" s="315"/>
      <c r="AE179" s="222" t="s">
        <v>425</v>
      </c>
      <c r="AF179" s="315"/>
      <c r="AG179" s="476">
        <v>44284</v>
      </c>
      <c r="AH179" s="360">
        <v>5</v>
      </c>
      <c r="AI179" s="8" t="s">
        <v>294</v>
      </c>
      <c r="AJ179" s="8">
        <v>21.1565538527055</v>
      </c>
      <c r="AK179" s="8">
        <v>21.2852874968079</v>
      </c>
      <c r="AL179" s="8">
        <v>21.243777885782102</v>
      </c>
      <c r="AM179" s="140">
        <f t="shared" si="211"/>
        <v>21.228539745098498</v>
      </c>
      <c r="AN179" s="467">
        <v>-3.4410714285714286</v>
      </c>
      <c r="AO179" s="467">
        <v>48.943513064185922</v>
      </c>
      <c r="AP179" s="468">
        <f t="shared" si="218"/>
        <v>113284299.69911218</v>
      </c>
      <c r="AQ179" s="469">
        <f t="shared" si="219"/>
        <v>47.347481109162167</v>
      </c>
      <c r="AR179" s="8">
        <v>27.8299841910145</v>
      </c>
      <c r="AS179" s="8">
        <v>27.958976501360901</v>
      </c>
      <c r="AT179" s="8">
        <v>27.951030799503901</v>
      </c>
      <c r="AU179" s="140">
        <f t="shared" si="213"/>
        <v>27.913330497293099</v>
      </c>
      <c r="AV179" s="535">
        <v>-3.5035151515151499</v>
      </c>
      <c r="AW179" s="535">
        <v>40.6726666666667</v>
      </c>
      <c r="AX179" s="536">
        <f t="shared" si="220"/>
        <v>4383.9640807660526</v>
      </c>
      <c r="AY179" s="469">
        <f t="shared" si="221"/>
        <v>876.79281615321054</v>
      </c>
      <c r="AZ179" s="588">
        <v>38.622751451098999</v>
      </c>
      <c r="BA179" s="588">
        <v>39.8703923663765</v>
      </c>
      <c r="BB179" s="588">
        <v>39.779745545040399</v>
      </c>
      <c r="BC179" s="140">
        <f t="shared" si="215"/>
        <v>39.424296454171966</v>
      </c>
      <c r="BD179" s="651">
        <v>-3.4617</v>
      </c>
      <c r="BE179" s="645">
        <v>42.390999999999998</v>
      </c>
      <c r="BF179" s="297">
        <f t="shared" si="222"/>
        <v>7.1946172944658509</v>
      </c>
      <c r="BG179" s="646">
        <f t="shared" si="223"/>
        <v>1.4389234588931701</v>
      </c>
      <c r="BH179" s="297">
        <f t="shared" si="224"/>
        <v>1.6411214056317417E-3</v>
      </c>
      <c r="BI179" s="322"/>
      <c r="BJ179" s="445"/>
      <c r="BK179" s="315"/>
      <c r="BL179" s="336"/>
      <c r="BM179" s="336"/>
      <c r="BN179" s="336"/>
      <c r="BO179" s="336"/>
      <c r="BP179" s="336"/>
      <c r="BQ179" s="336"/>
      <c r="BR179" s="336"/>
      <c r="BS179" s="336"/>
    </row>
    <row r="180" spans="1:71" s="357" customFormat="1" ht="15" x14ac:dyDescent="0.2">
      <c r="A180" s="344"/>
      <c r="B180" s="344">
        <v>44274</v>
      </c>
      <c r="C180" s="323" t="s">
        <v>243</v>
      </c>
      <c r="D180" s="697" t="s">
        <v>244</v>
      </c>
      <c r="E180" s="709" t="s">
        <v>232</v>
      </c>
      <c r="F180" s="314" t="s">
        <v>233</v>
      </c>
      <c r="G180" s="315"/>
      <c r="H180" s="315"/>
      <c r="I180" s="315"/>
      <c r="J180" s="315"/>
      <c r="K180" s="314"/>
      <c r="L180" s="222" t="s">
        <v>234</v>
      </c>
      <c r="M180" s="315"/>
      <c r="N180" s="537">
        <v>44277</v>
      </c>
      <c r="O180" s="250">
        <v>50</v>
      </c>
      <c r="P180" s="457" t="s">
        <v>235</v>
      </c>
      <c r="Q180" s="457" t="s">
        <v>236</v>
      </c>
      <c r="R180" s="375" t="s">
        <v>89</v>
      </c>
      <c r="S180" s="8">
        <v>7.25</v>
      </c>
      <c r="T180" s="8">
        <v>3.97</v>
      </c>
      <c r="U180" s="8">
        <v>28.2</v>
      </c>
      <c r="V180" s="8">
        <v>483</v>
      </c>
      <c r="W180" s="315"/>
      <c r="X180" s="315"/>
      <c r="Y180" s="315"/>
      <c r="Z180" s="278" t="s">
        <v>292</v>
      </c>
      <c r="AA180" s="476">
        <v>44279</v>
      </c>
      <c r="AB180" s="41">
        <v>50</v>
      </c>
      <c r="AC180" s="8" t="s">
        <v>293</v>
      </c>
      <c r="AD180" s="315"/>
      <c r="AE180" s="222" t="s">
        <v>425</v>
      </c>
      <c r="AF180" s="315"/>
      <c r="AG180" s="476">
        <v>44285</v>
      </c>
      <c r="AH180" s="477">
        <v>5</v>
      </c>
      <c r="AI180" s="8" t="s">
        <v>294</v>
      </c>
      <c r="AJ180" s="8">
        <v>21.187401117173899</v>
      </c>
      <c r="AK180" s="8">
        <v>21.0629999023975</v>
      </c>
      <c r="AL180" s="8">
        <v>21.060485224134201</v>
      </c>
      <c r="AM180" s="140">
        <f t="shared" si="211"/>
        <v>21.103628747901865</v>
      </c>
      <c r="AN180" s="467">
        <v>-3.4410714285714286</v>
      </c>
      <c r="AO180" s="467">
        <v>48.943513064185922</v>
      </c>
      <c r="AP180" s="468">
        <f t="shared" si="218"/>
        <v>123160021.09070918</v>
      </c>
      <c r="AQ180" s="469">
        <f t="shared" si="219"/>
        <v>51.475065719473818</v>
      </c>
      <c r="AR180" s="8">
        <v>27.959802986671999</v>
      </c>
      <c r="AS180" s="8">
        <v>27.908792978296201</v>
      </c>
      <c r="AT180" s="8">
        <v>27.828238332174799</v>
      </c>
      <c r="AU180" s="140">
        <f t="shared" si="213"/>
        <v>27.898944765714333</v>
      </c>
      <c r="AV180" s="535">
        <v>-3.5035151515151499</v>
      </c>
      <c r="AW180" s="535">
        <v>40.6726666666667</v>
      </c>
      <c r="AX180" s="536">
        <f t="shared" si="220"/>
        <v>4425.6093130331265</v>
      </c>
      <c r="AY180" s="469">
        <f t="shared" si="221"/>
        <v>885.12186260662531</v>
      </c>
      <c r="AZ180" s="588">
        <v>36.7443655408943</v>
      </c>
      <c r="BA180" s="588">
        <v>35.3696215637504</v>
      </c>
      <c r="BB180" s="588">
        <v>36.799320415643002</v>
      </c>
      <c r="BC180" s="140">
        <f t="shared" si="215"/>
        <v>36.304435840095898</v>
      </c>
      <c r="BD180" s="651">
        <v>-3.4617</v>
      </c>
      <c r="BE180" s="645">
        <v>42.390999999999998</v>
      </c>
      <c r="BF180" s="297">
        <f t="shared" si="222"/>
        <v>57.313734196664512</v>
      </c>
      <c r="BG180" s="646">
        <f t="shared" si="223"/>
        <v>11.462746839332903</v>
      </c>
      <c r="BH180" s="297">
        <f t="shared" si="224"/>
        <v>1.2950473063195921E-2</v>
      </c>
      <c r="BI180" s="322"/>
      <c r="BJ180" s="445"/>
      <c r="BK180" s="315"/>
      <c r="BL180" s="336"/>
      <c r="BM180" s="336"/>
      <c r="BN180" s="336"/>
      <c r="BO180" s="336"/>
      <c r="BP180" s="336"/>
      <c r="BQ180" s="336"/>
      <c r="BR180" s="336"/>
      <c r="BS180" s="336"/>
    </row>
    <row r="181" spans="1:71" s="357" customFormat="1" ht="15" x14ac:dyDescent="0.2">
      <c r="A181" s="344"/>
      <c r="B181" s="344">
        <v>44274</v>
      </c>
      <c r="C181" s="323" t="s">
        <v>245</v>
      </c>
      <c r="D181" s="697" t="s">
        <v>231</v>
      </c>
      <c r="E181" s="709" t="s">
        <v>246</v>
      </c>
      <c r="F181" s="295" t="s">
        <v>233</v>
      </c>
      <c r="G181" s="315"/>
      <c r="H181" s="315"/>
      <c r="I181" s="315"/>
      <c r="J181" s="315"/>
      <c r="K181" s="314"/>
      <c r="L181" s="222" t="s">
        <v>234</v>
      </c>
      <c r="M181" s="315"/>
      <c r="N181" s="537">
        <v>44277</v>
      </c>
      <c r="O181" s="250">
        <v>50</v>
      </c>
      <c r="P181" s="457" t="s">
        <v>235</v>
      </c>
      <c r="Q181" s="457" t="s">
        <v>236</v>
      </c>
      <c r="R181" s="375" t="s">
        <v>89</v>
      </c>
      <c r="S181" s="18">
        <v>7.1</v>
      </c>
      <c r="T181" s="8">
        <v>4.3899999999999997</v>
      </c>
      <c r="U181" s="8">
        <v>114</v>
      </c>
      <c r="V181" s="8">
        <v>198</v>
      </c>
      <c r="W181" s="315"/>
      <c r="X181" s="315"/>
      <c r="Y181" s="315"/>
      <c r="Z181" s="278" t="s">
        <v>292</v>
      </c>
      <c r="AA181" s="476">
        <v>44279</v>
      </c>
      <c r="AB181" s="139">
        <v>50</v>
      </c>
      <c r="AC181" s="8" t="s">
        <v>293</v>
      </c>
      <c r="AD181" s="315"/>
      <c r="AE181" s="222" t="s">
        <v>425</v>
      </c>
      <c r="AF181" s="315"/>
      <c r="AG181" s="476">
        <v>44286</v>
      </c>
      <c r="AH181" s="477">
        <v>5</v>
      </c>
      <c r="AI181" s="8" t="s">
        <v>294</v>
      </c>
      <c r="AJ181" s="8">
        <v>21.794424185855799</v>
      </c>
      <c r="AK181" s="8">
        <v>21.442834589648299</v>
      </c>
      <c r="AL181" s="8">
        <v>21.326762020908301</v>
      </c>
      <c r="AM181" s="140">
        <f t="shared" si="211"/>
        <v>21.521340265470801</v>
      </c>
      <c r="AN181" s="467">
        <v>-3.4410714285714286</v>
      </c>
      <c r="AO181" s="467">
        <v>48.943513064185922</v>
      </c>
      <c r="AP181" s="468">
        <f t="shared" si="218"/>
        <v>93127897.066013694</v>
      </c>
      <c r="AQ181" s="469">
        <f t="shared" si="219"/>
        <v>38.923057818078561</v>
      </c>
      <c r="AR181" s="8">
        <v>28.674479372972801</v>
      </c>
      <c r="AS181" s="8">
        <v>28.278336133049098</v>
      </c>
      <c r="AT181" s="8">
        <v>28.1025878562705</v>
      </c>
      <c r="AU181" s="140">
        <f t="shared" si="213"/>
        <v>28.351801120764133</v>
      </c>
      <c r="AV181" s="535">
        <v>-3.5035151515151499</v>
      </c>
      <c r="AW181" s="535">
        <v>40.6726666666667</v>
      </c>
      <c r="AX181" s="536">
        <f t="shared" si="220"/>
        <v>3286.3616925297538</v>
      </c>
      <c r="AY181" s="469">
        <f t="shared" si="221"/>
        <v>657.27233850595076</v>
      </c>
      <c r="AZ181" s="588">
        <v>32.984330199924003</v>
      </c>
      <c r="BA181" s="588">
        <v>33.144512892342199</v>
      </c>
      <c r="BB181" s="588">
        <v>32.382191931203003</v>
      </c>
      <c r="BC181" s="140">
        <f t="shared" si="215"/>
        <v>32.837011674489737</v>
      </c>
      <c r="BD181" s="651">
        <v>-3.4617</v>
      </c>
      <c r="BE181" s="645">
        <v>42.390999999999998</v>
      </c>
      <c r="BF181" s="297">
        <f t="shared" si="222"/>
        <v>575.32371470424437</v>
      </c>
      <c r="BG181" s="646">
        <f t="shared" si="223"/>
        <v>115.06474294084887</v>
      </c>
      <c r="BH181" s="297">
        <f t="shared" si="224"/>
        <v>0.17506402780071828</v>
      </c>
      <c r="BI181" s="322"/>
      <c r="BJ181" s="445"/>
      <c r="BK181" s="315"/>
      <c r="BL181" s="336"/>
      <c r="BM181" s="336"/>
      <c r="BN181" s="336"/>
      <c r="BO181" s="336"/>
      <c r="BP181" s="336"/>
      <c r="BQ181" s="336"/>
      <c r="BR181" s="336"/>
      <c r="BS181" s="336"/>
    </row>
    <row r="182" spans="1:71" s="357" customFormat="1" ht="15" x14ac:dyDescent="0.2">
      <c r="A182" s="344"/>
      <c r="B182" s="344">
        <v>44274</v>
      </c>
      <c r="C182" s="323" t="s">
        <v>248</v>
      </c>
      <c r="D182" s="697" t="s">
        <v>231</v>
      </c>
      <c r="E182" s="709" t="s">
        <v>249</v>
      </c>
      <c r="F182" s="315" t="s">
        <v>233</v>
      </c>
      <c r="G182" s="315"/>
      <c r="H182" s="315"/>
      <c r="I182" s="315"/>
      <c r="J182" s="315"/>
      <c r="K182" s="314"/>
      <c r="L182" s="222" t="s">
        <v>234</v>
      </c>
      <c r="M182" s="315"/>
      <c r="N182" s="537">
        <v>44277</v>
      </c>
      <c r="O182" s="250">
        <v>50</v>
      </c>
      <c r="P182" s="457" t="s">
        <v>235</v>
      </c>
      <c r="Q182" s="261" t="s">
        <v>236</v>
      </c>
      <c r="R182" s="375" t="s">
        <v>89</v>
      </c>
      <c r="S182" s="8">
        <v>9.84</v>
      </c>
      <c r="T182" s="8">
        <v>3.82</v>
      </c>
      <c r="U182" s="8">
        <v>33</v>
      </c>
      <c r="V182" s="8">
        <v>138.4</v>
      </c>
      <c r="W182" s="315"/>
      <c r="X182" s="315"/>
      <c r="Y182" s="315"/>
      <c r="Z182" s="278" t="s">
        <v>292</v>
      </c>
      <c r="AA182" s="476">
        <v>44279</v>
      </c>
      <c r="AB182" s="141">
        <v>50</v>
      </c>
      <c r="AC182" s="8" t="s">
        <v>293</v>
      </c>
      <c r="AD182" s="315"/>
      <c r="AE182" s="222" t="s">
        <v>425</v>
      </c>
      <c r="AF182" s="315"/>
      <c r="AG182" s="476">
        <v>44287</v>
      </c>
      <c r="AH182" s="463">
        <v>5</v>
      </c>
      <c r="AI182" s="8" t="s">
        <v>294</v>
      </c>
      <c r="AJ182" s="8">
        <v>21.706953749370999</v>
      </c>
      <c r="AK182" s="8">
        <v>21.7921938964768</v>
      </c>
      <c r="AL182" s="8">
        <v>21.6924884741657</v>
      </c>
      <c r="AM182" s="140">
        <f t="shared" si="211"/>
        <v>21.730545373337833</v>
      </c>
      <c r="AN182" s="467">
        <v>-3.4410714285714286</v>
      </c>
      <c r="AO182" s="467">
        <v>48.943513064185922</v>
      </c>
      <c r="AP182" s="468">
        <f t="shared" si="218"/>
        <v>80962385.08778964</v>
      </c>
      <c r="AQ182" s="469">
        <f t="shared" si="219"/>
        <v>33.838449005541015</v>
      </c>
      <c r="AR182" s="8">
        <v>29.549771826760701</v>
      </c>
      <c r="AS182" s="8">
        <v>29.661818747254699</v>
      </c>
      <c r="AT182" s="8">
        <v>29.4962723652229</v>
      </c>
      <c r="AU182" s="140">
        <f t="shared" si="213"/>
        <v>29.569287646412771</v>
      </c>
      <c r="AV182" s="535">
        <v>-3.5035151515151499</v>
      </c>
      <c r="AW182" s="535">
        <v>40.6726666666667</v>
      </c>
      <c r="AX182" s="536">
        <f t="shared" si="220"/>
        <v>1476.4239283749539</v>
      </c>
      <c r="AY182" s="469">
        <f t="shared" si="221"/>
        <v>295.28478567499076</v>
      </c>
      <c r="AZ182" s="8">
        <v>35.570837312459403</v>
      </c>
      <c r="BA182" s="8">
        <v>34.500879107646803</v>
      </c>
      <c r="BB182" s="8">
        <v>35.1246028464898</v>
      </c>
      <c r="BC182" s="140">
        <f t="shared" si="215"/>
        <v>35.065439755532005</v>
      </c>
      <c r="BD182" s="651">
        <v>-3.4617</v>
      </c>
      <c r="BE182" s="645">
        <v>42.390999999999998</v>
      </c>
      <c r="BF182" s="297">
        <f t="shared" si="222"/>
        <v>130.66949260392335</v>
      </c>
      <c r="BG182" s="646">
        <f t="shared" si="223"/>
        <v>26.133898520784669</v>
      </c>
      <c r="BH182" s="297">
        <f t="shared" si="224"/>
        <v>8.8504046901858674E-2</v>
      </c>
      <c r="BI182" s="322"/>
      <c r="BJ182" s="445"/>
      <c r="BK182" s="315"/>
      <c r="BL182" s="336"/>
      <c r="BM182" s="336"/>
      <c r="BN182" s="336"/>
      <c r="BO182" s="336"/>
      <c r="BP182" s="336"/>
      <c r="BQ182" s="336"/>
      <c r="BR182" s="336"/>
      <c r="BS182" s="336"/>
    </row>
    <row r="183" spans="1:71" s="357" customFormat="1" ht="15" x14ac:dyDescent="0.2">
      <c r="A183" s="344"/>
      <c r="B183" s="344">
        <v>44274</v>
      </c>
      <c r="C183" s="323" t="s">
        <v>250</v>
      </c>
      <c r="D183" s="697" t="s">
        <v>244</v>
      </c>
      <c r="E183" s="709" t="s">
        <v>249</v>
      </c>
      <c r="F183" s="315" t="s">
        <v>233</v>
      </c>
      <c r="G183" s="315"/>
      <c r="H183" s="315"/>
      <c r="I183" s="315"/>
      <c r="J183" s="315"/>
      <c r="K183" s="314"/>
      <c r="L183" s="222" t="s">
        <v>234</v>
      </c>
      <c r="M183" s="315"/>
      <c r="N183" s="537">
        <v>44277</v>
      </c>
      <c r="O183" s="250">
        <v>50</v>
      </c>
      <c r="P183" s="457" t="s">
        <v>235</v>
      </c>
      <c r="Q183" s="261" t="s">
        <v>236</v>
      </c>
      <c r="R183" s="375" t="s">
        <v>89</v>
      </c>
      <c r="S183" s="8">
        <v>7.72</v>
      </c>
      <c r="T183" s="8">
        <v>4.5</v>
      </c>
      <c r="U183" s="8">
        <v>51.7</v>
      </c>
      <c r="V183" s="8" t="s">
        <v>238</v>
      </c>
      <c r="W183" s="315"/>
      <c r="X183" s="315"/>
      <c r="Y183" s="315"/>
      <c r="Z183" s="278" t="s">
        <v>292</v>
      </c>
      <c r="AA183" s="476">
        <v>44279</v>
      </c>
      <c r="AB183" s="141">
        <v>50</v>
      </c>
      <c r="AC183" s="8" t="s">
        <v>293</v>
      </c>
      <c r="AD183" s="315"/>
      <c r="AE183" s="222" t="s">
        <v>425</v>
      </c>
      <c r="AF183" s="315"/>
      <c r="AG183" s="476">
        <v>44288</v>
      </c>
      <c r="AH183" s="477">
        <v>5</v>
      </c>
      <c r="AI183" s="8" t="s">
        <v>294</v>
      </c>
      <c r="AJ183" s="8">
        <v>21.166653714194702</v>
      </c>
      <c r="AK183" s="8">
        <v>20.9893460707003</v>
      </c>
      <c r="AL183" s="8">
        <v>21.0283598164241</v>
      </c>
      <c r="AM183" s="140">
        <f t="shared" si="211"/>
        <v>21.061453200439701</v>
      </c>
      <c r="AN183" s="467">
        <v>-3.4410714285714286</v>
      </c>
      <c r="AO183" s="467">
        <v>48.943513064185922</v>
      </c>
      <c r="AP183" s="468">
        <f t="shared" si="218"/>
        <v>126685313.57239278</v>
      </c>
      <c r="AQ183" s="469">
        <f t="shared" si="219"/>
        <v>52.948471298394416</v>
      </c>
      <c r="AR183" s="8">
        <v>28.554835356690099</v>
      </c>
      <c r="AS183" s="8">
        <v>28.479700105057201</v>
      </c>
      <c r="AT183" s="8">
        <v>28.530023389018801</v>
      </c>
      <c r="AU183" s="140">
        <f t="shared" si="213"/>
        <v>28.521519616922035</v>
      </c>
      <c r="AV183" s="535">
        <v>-3.5035151515151499</v>
      </c>
      <c r="AW183" s="535">
        <v>40.6726666666667</v>
      </c>
      <c r="AX183" s="536">
        <f t="shared" si="220"/>
        <v>2939.4969421539004</v>
      </c>
      <c r="AY183" s="469">
        <f t="shared" si="221"/>
        <v>587.89938843078005</v>
      </c>
      <c r="AZ183" s="8">
        <v>34.6907807447081</v>
      </c>
      <c r="BA183" s="8">
        <v>34.779256901998103</v>
      </c>
      <c r="BB183" s="8">
        <v>34.580764275847599</v>
      </c>
      <c r="BC183" s="140">
        <f t="shared" si="215"/>
        <v>34.683600640851267</v>
      </c>
      <c r="BD183" s="651">
        <v>-3.4617</v>
      </c>
      <c r="BE183" s="645">
        <v>42.390999999999998</v>
      </c>
      <c r="BF183" s="297">
        <f t="shared" si="222"/>
        <v>168.45276144981082</v>
      </c>
      <c r="BG183" s="646">
        <f t="shared" si="223"/>
        <v>33.690552289962163</v>
      </c>
      <c r="BH183" s="297">
        <f t="shared" si="224"/>
        <v>5.7306663270885384E-2</v>
      </c>
      <c r="BI183" s="322"/>
      <c r="BJ183" s="445"/>
      <c r="BK183" s="315"/>
      <c r="BL183" s="336"/>
      <c r="BM183" s="336"/>
      <c r="BN183" s="336"/>
      <c r="BO183" s="336"/>
      <c r="BP183" s="336"/>
      <c r="BQ183" s="336"/>
      <c r="BR183" s="336"/>
      <c r="BS183" s="336"/>
    </row>
    <row r="184" spans="1:71" s="357" customFormat="1" ht="15" x14ac:dyDescent="0.2">
      <c r="A184" s="344"/>
      <c r="B184" s="344">
        <v>44274</v>
      </c>
      <c r="C184" s="323" t="s">
        <v>251</v>
      </c>
      <c r="D184" s="697" t="s">
        <v>231</v>
      </c>
      <c r="E184" s="709" t="s">
        <v>252</v>
      </c>
      <c r="F184" s="314" t="s">
        <v>233</v>
      </c>
      <c r="G184" s="315"/>
      <c r="H184" s="315"/>
      <c r="I184" s="315"/>
      <c r="J184" s="315"/>
      <c r="K184" s="314"/>
      <c r="L184" s="222" t="s">
        <v>234</v>
      </c>
      <c r="M184" s="315"/>
      <c r="N184" s="537">
        <v>44277</v>
      </c>
      <c r="O184" s="250">
        <v>50</v>
      </c>
      <c r="P184" s="457" t="s">
        <v>235</v>
      </c>
      <c r="Q184" s="261" t="s">
        <v>236</v>
      </c>
      <c r="R184" s="375" t="s">
        <v>89</v>
      </c>
      <c r="S184" s="8">
        <v>7.83</v>
      </c>
      <c r="T184" s="8">
        <v>4.03</v>
      </c>
      <c r="U184" s="8">
        <v>14.8</v>
      </c>
      <c r="V184" s="8">
        <v>202</v>
      </c>
      <c r="W184" s="315"/>
      <c r="X184" s="315"/>
      <c r="Y184" s="315"/>
      <c r="Z184" s="278" t="s">
        <v>292</v>
      </c>
      <c r="AA184" s="476">
        <v>44279</v>
      </c>
      <c r="AB184" s="141">
        <v>50</v>
      </c>
      <c r="AC184" s="8" t="s">
        <v>293</v>
      </c>
      <c r="AD184" s="315"/>
      <c r="AE184" s="222" t="s">
        <v>425</v>
      </c>
      <c r="AF184" s="315"/>
      <c r="AG184" s="476">
        <v>44289</v>
      </c>
      <c r="AH184" s="477">
        <v>5</v>
      </c>
      <c r="AI184" s="8" t="s">
        <v>294</v>
      </c>
      <c r="AJ184" s="8">
        <v>21.813867196406498</v>
      </c>
      <c r="AK184" s="8">
        <v>21.945036993011499</v>
      </c>
      <c r="AL184" s="8">
        <v>21.8432236258373</v>
      </c>
      <c r="AM184" s="140">
        <f t="shared" si="211"/>
        <v>21.867375938418434</v>
      </c>
      <c r="AN184" s="467">
        <v>-3.4410714285714286</v>
      </c>
      <c r="AO184" s="467">
        <v>48.943513064185922</v>
      </c>
      <c r="AP184" s="468">
        <f t="shared" si="218"/>
        <v>73878718.156953171</v>
      </c>
      <c r="AQ184" s="469">
        <f t="shared" si="219"/>
        <v>30.877811149437424</v>
      </c>
      <c r="AR184" s="8">
        <v>29.547722262652599</v>
      </c>
      <c r="AS184" s="8">
        <v>29.619603958531499</v>
      </c>
      <c r="AT184" s="8">
        <v>29.548492603338602</v>
      </c>
      <c r="AU184" s="140">
        <f t="shared" si="213"/>
        <v>29.571939608174233</v>
      </c>
      <c r="AV184" s="535">
        <v>-3.5035151515151499</v>
      </c>
      <c r="AW184" s="535">
        <v>40.6726666666667</v>
      </c>
      <c r="AX184" s="536">
        <f t="shared" si="220"/>
        <v>1473.8528719671212</v>
      </c>
      <c r="AY184" s="469">
        <f t="shared" si="221"/>
        <v>294.77057439342423</v>
      </c>
      <c r="AZ184" s="8">
        <v>38.1444491367401</v>
      </c>
      <c r="BA184" s="8">
        <v>38.167440649792397</v>
      </c>
      <c r="BB184" s="8">
        <v>36.303972580161201</v>
      </c>
      <c r="BC184" s="140">
        <f t="shared" si="215"/>
        <v>37.538620788897902</v>
      </c>
      <c r="BD184" s="651">
        <v>-3.4617</v>
      </c>
      <c r="BE184" s="645">
        <v>42.390999999999998</v>
      </c>
      <c r="BF184" s="297">
        <f t="shared" si="222"/>
        <v>25.219299805702068</v>
      </c>
      <c r="BG184" s="646">
        <f t="shared" si="223"/>
        <v>5.0438599611404138</v>
      </c>
      <c r="BH184" s="297">
        <f t="shared" si="224"/>
        <v>1.7111137946925724E-2</v>
      </c>
      <c r="BI184" s="322"/>
      <c r="BJ184" s="445"/>
      <c r="BK184" s="315"/>
      <c r="BL184" s="336"/>
      <c r="BM184" s="336"/>
      <c r="BN184" s="336"/>
      <c r="BO184" s="336"/>
      <c r="BP184" s="336"/>
      <c r="BQ184" s="336"/>
      <c r="BR184" s="336"/>
      <c r="BS184" s="336"/>
    </row>
    <row r="185" spans="1:71" s="357" customFormat="1" ht="15" x14ac:dyDescent="0.2">
      <c r="A185" s="344"/>
      <c r="B185" s="344">
        <v>44274</v>
      </c>
      <c r="C185" s="323" t="s">
        <v>253</v>
      </c>
      <c r="D185" s="697" t="s">
        <v>244</v>
      </c>
      <c r="E185" s="709" t="s">
        <v>252</v>
      </c>
      <c r="F185" s="314" t="s">
        <v>233</v>
      </c>
      <c r="G185" s="315"/>
      <c r="H185" s="315"/>
      <c r="I185" s="315"/>
      <c r="J185" s="315"/>
      <c r="K185" s="314"/>
      <c r="L185" s="222" t="s">
        <v>234</v>
      </c>
      <c r="M185" s="315"/>
      <c r="N185" s="537">
        <v>44277</v>
      </c>
      <c r="O185" s="250">
        <v>50</v>
      </c>
      <c r="P185" s="457" t="s">
        <v>235</v>
      </c>
      <c r="Q185" s="457" t="s">
        <v>236</v>
      </c>
      <c r="R185" s="375" t="s">
        <v>89</v>
      </c>
      <c r="S185" s="8">
        <v>7.41</v>
      </c>
      <c r="T185" s="8">
        <v>4.05</v>
      </c>
      <c r="U185" s="8">
        <v>54.8</v>
      </c>
      <c r="V185" s="8">
        <v>192.6</v>
      </c>
      <c r="W185" s="315"/>
      <c r="X185" s="315"/>
      <c r="Y185" s="315"/>
      <c r="Z185" s="278" t="s">
        <v>292</v>
      </c>
      <c r="AA185" s="476">
        <v>44279</v>
      </c>
      <c r="AB185" s="41">
        <v>50</v>
      </c>
      <c r="AC185" s="8" t="s">
        <v>293</v>
      </c>
      <c r="AD185" s="315"/>
      <c r="AE185" s="222" t="s">
        <v>425</v>
      </c>
      <c r="AF185" s="315"/>
      <c r="AG185" s="476">
        <v>44290</v>
      </c>
      <c r="AH185" s="477">
        <v>5</v>
      </c>
      <c r="AI185" s="8" t="s">
        <v>294</v>
      </c>
      <c r="AJ185" s="8">
        <v>21.6746173017366</v>
      </c>
      <c r="AK185" s="8">
        <v>21.7249593873164</v>
      </c>
      <c r="AL185" s="8">
        <v>21.751635045337299</v>
      </c>
      <c r="AM185" s="140">
        <f t="shared" si="211"/>
        <v>21.717070578130102</v>
      </c>
      <c r="AN185" s="467">
        <v>-3.4410714285714286</v>
      </c>
      <c r="AO185" s="467">
        <v>48.943513064185922</v>
      </c>
      <c r="AP185" s="468">
        <f t="shared" si="218"/>
        <v>81695693.851578444</v>
      </c>
      <c r="AQ185" s="469">
        <f t="shared" si="219"/>
        <v>34.144937397426673</v>
      </c>
      <c r="AR185" s="8">
        <v>29.371999489028699</v>
      </c>
      <c r="AS185" s="8">
        <v>29.2985163637446</v>
      </c>
      <c r="AT185" s="8">
        <v>29.4096902712025</v>
      </c>
      <c r="AU185" s="140">
        <f t="shared" si="213"/>
        <v>29.360068707991932</v>
      </c>
      <c r="AV185" s="535">
        <v>-3.5035151515151499</v>
      </c>
      <c r="AW185" s="535">
        <v>40.6726666666667</v>
      </c>
      <c r="AX185" s="536">
        <f t="shared" si="220"/>
        <v>1694.0566894639551</v>
      </c>
      <c r="AY185" s="469">
        <f t="shared" si="221"/>
        <v>338.81133789279102</v>
      </c>
      <c r="AZ185" s="8">
        <v>36.069914962801903</v>
      </c>
      <c r="BA185" s="8">
        <v>34.440694326817699</v>
      </c>
      <c r="BB185" s="8">
        <v>33.568252477688901</v>
      </c>
      <c r="BC185" s="140">
        <f t="shared" si="215"/>
        <v>34.692953922436168</v>
      </c>
      <c r="BD185" s="651">
        <v>-3.4617</v>
      </c>
      <c r="BE185" s="645">
        <v>42.390999999999998</v>
      </c>
      <c r="BF185" s="297">
        <f t="shared" si="222"/>
        <v>167.40799759653461</v>
      </c>
      <c r="BG185" s="646">
        <f t="shared" si="223"/>
        <v>33.481599519306926</v>
      </c>
      <c r="BH185" s="297">
        <f t="shared" si="224"/>
        <v>9.8820776564157956E-2</v>
      </c>
      <c r="BI185" s="322"/>
      <c r="BJ185" s="445"/>
      <c r="BK185" s="315"/>
      <c r="BL185" s="336"/>
      <c r="BM185" s="336"/>
      <c r="BN185" s="336"/>
      <c r="BO185" s="336"/>
      <c r="BP185" s="336"/>
      <c r="BQ185" s="336"/>
      <c r="BR185" s="336"/>
      <c r="BS185" s="336"/>
    </row>
    <row r="186" spans="1:71" s="357" customFormat="1" ht="15" x14ac:dyDescent="0.2">
      <c r="A186" s="344"/>
      <c r="B186" s="344"/>
      <c r="C186" s="323" t="s">
        <v>254</v>
      </c>
      <c r="D186" s="697"/>
      <c r="E186" s="250"/>
      <c r="F186" s="703"/>
      <c r="G186" s="315"/>
      <c r="H186" s="315"/>
      <c r="I186" s="315"/>
      <c r="J186" s="315"/>
      <c r="K186" s="315"/>
      <c r="L186" s="315"/>
      <c r="M186" s="315"/>
      <c r="N186" s="283"/>
      <c r="O186" s="315"/>
      <c r="P186" s="315"/>
      <c r="Q186" s="315"/>
      <c r="R186" s="315"/>
      <c r="S186" s="145"/>
      <c r="T186" s="141"/>
      <c r="U186" s="141"/>
      <c r="V186" s="417"/>
      <c r="W186" s="315"/>
      <c r="X186" s="315"/>
      <c r="Y186" s="315"/>
      <c r="Z186" s="278" t="s">
        <v>292</v>
      </c>
      <c r="AA186" s="476">
        <v>44279</v>
      </c>
      <c r="AB186" s="41">
        <v>50</v>
      </c>
      <c r="AC186" s="8" t="s">
        <v>293</v>
      </c>
      <c r="AD186" s="315"/>
      <c r="AE186" s="222" t="s">
        <v>425</v>
      </c>
      <c r="AF186" s="315"/>
      <c r="AG186" s="476">
        <v>44291</v>
      </c>
      <c r="AH186" s="360">
        <v>5</v>
      </c>
      <c r="AI186" s="8" t="s">
        <v>294</v>
      </c>
      <c r="AJ186" s="165">
        <v>20.013977913567398</v>
      </c>
      <c r="AK186" s="165">
        <v>20.120113453145802</v>
      </c>
      <c r="AL186" s="165">
        <v>20.1995479758322</v>
      </c>
      <c r="AM186" s="140">
        <f t="shared" si="211"/>
        <v>20.111213114181798</v>
      </c>
      <c r="AN186" s="467">
        <v>-3.4410714285714286</v>
      </c>
      <c r="AO186" s="467">
        <v>48.943513064185922</v>
      </c>
      <c r="AP186" s="468">
        <f t="shared" si="218"/>
        <v>239261513.06323797</v>
      </c>
      <c r="AQ186" s="469">
        <f t="shared" si="219"/>
        <v>100</v>
      </c>
      <c r="AR186" s="165">
        <v>36.4404381353106</v>
      </c>
      <c r="AS186" s="165">
        <v>37.311042233111799</v>
      </c>
      <c r="AT186" s="165">
        <v>37.1122454313331</v>
      </c>
      <c r="AU186" s="140">
        <f t="shared" si="213"/>
        <v>36.954575266585159</v>
      </c>
      <c r="AV186" s="535">
        <v>-3.5035151515151499</v>
      </c>
      <c r="AW186" s="535">
        <v>40.6726666666667</v>
      </c>
      <c r="AX186" s="536">
        <f t="shared" si="220"/>
        <v>11.514523977125535</v>
      </c>
      <c r="AY186" s="469" t="e">
        <f t="shared" si="221"/>
        <v>#DIV/0!</v>
      </c>
      <c r="AZ186" s="165"/>
      <c r="BA186" s="165">
        <v>36.7013835328124</v>
      </c>
      <c r="BB186" s="165"/>
      <c r="BC186" s="140">
        <f t="shared" si="215"/>
        <v>36.7013835328124</v>
      </c>
      <c r="BD186" s="651">
        <v>-3.4617</v>
      </c>
      <c r="BE186" s="645">
        <v>42.390999999999998</v>
      </c>
      <c r="BF186" s="297">
        <f t="shared" si="222"/>
        <v>44.013943187027962</v>
      </c>
      <c r="BG186" s="646" t="e">
        <f t="shared" si="223"/>
        <v>#DIV/0!</v>
      </c>
      <c r="BH186" s="297">
        <f t="shared" si="224"/>
        <v>3.8224717994825457</v>
      </c>
      <c r="BI186" s="322"/>
      <c r="BJ186" s="445"/>
      <c r="BK186" s="315"/>
      <c r="BL186" s="336"/>
      <c r="BM186" s="336"/>
      <c r="BN186" s="336"/>
      <c r="BO186" s="336"/>
      <c r="BP186" s="336"/>
      <c r="BQ186" s="336"/>
      <c r="BR186" s="336"/>
      <c r="BS186" s="336"/>
    </row>
    <row r="187" spans="1:71" s="601" customFormat="1" ht="15" x14ac:dyDescent="0.2">
      <c r="A187" s="370"/>
      <c r="B187" s="370"/>
      <c r="C187" s="371" t="s">
        <v>255</v>
      </c>
      <c r="D187" s="699"/>
      <c r="E187" s="618"/>
      <c r="F187" s="706"/>
      <c r="G187" s="327"/>
      <c r="H187" s="327"/>
      <c r="I187" s="327"/>
      <c r="J187" s="327"/>
      <c r="K187" s="327"/>
      <c r="L187" s="327"/>
      <c r="M187" s="327"/>
      <c r="N187" s="284"/>
      <c r="O187" s="327"/>
      <c r="P187" s="327"/>
      <c r="Q187" s="327"/>
      <c r="R187" s="327"/>
      <c r="S187" s="598"/>
      <c r="T187" s="146"/>
      <c r="U187" s="146"/>
      <c r="V187" s="492"/>
      <c r="W187" s="327"/>
      <c r="X187" s="327"/>
      <c r="Y187" s="327"/>
      <c r="Z187" s="326"/>
      <c r="AA187" s="476">
        <v>44279</v>
      </c>
      <c r="AB187" s="327"/>
      <c r="AC187" s="599"/>
      <c r="AD187" s="327"/>
      <c r="AE187" s="327"/>
      <c r="AF187" s="327"/>
      <c r="AG187" s="476">
        <v>44292</v>
      </c>
      <c r="AH187" s="528">
        <v>5</v>
      </c>
      <c r="AI187" s="599" t="s">
        <v>294</v>
      </c>
      <c r="AJ187" s="529" t="s">
        <v>95</v>
      </c>
      <c r="AK187" s="529">
        <v>39.041543163405898</v>
      </c>
      <c r="AL187" s="529">
        <v>39.416547282456598</v>
      </c>
      <c r="AM187" s="530">
        <f t="shared" si="211"/>
        <v>39.229045222931248</v>
      </c>
      <c r="AN187" s="531">
        <v>-3.4410714285714286</v>
      </c>
      <c r="AO187" s="531">
        <v>48.943513064185922</v>
      </c>
      <c r="AP187" s="532">
        <f t="shared" si="218"/>
        <v>665.41704870322087</v>
      </c>
      <c r="AQ187" s="533">
        <f t="shared" si="219"/>
        <v>2.7811286495013849E-4</v>
      </c>
      <c r="AR187" s="529">
        <v>39.269229682792698</v>
      </c>
      <c r="AS187" s="529" t="s">
        <v>95</v>
      </c>
      <c r="AT187" s="529" t="s">
        <v>95</v>
      </c>
      <c r="AU187" s="530">
        <f t="shared" si="213"/>
        <v>39.269229682792698</v>
      </c>
      <c r="AV187" s="535">
        <v>-3.5035151515151499</v>
      </c>
      <c r="AW187" s="535">
        <v>40.6726666666667</v>
      </c>
      <c r="AX187" s="536">
        <f t="shared" si="220"/>
        <v>2.5152414512280266</v>
      </c>
      <c r="AY187" s="533" t="e">
        <f t="shared" si="221"/>
        <v>#DIV/0!</v>
      </c>
      <c r="AZ187" s="529">
        <v>36.114491007116499</v>
      </c>
      <c r="BA187" s="529"/>
      <c r="BB187" s="529">
        <v>35.165478340962103</v>
      </c>
      <c r="BC187" s="530">
        <f t="shared" si="215"/>
        <v>35.639984674039297</v>
      </c>
      <c r="BD187" s="653">
        <v>-3.4617</v>
      </c>
      <c r="BE187" s="648">
        <v>42.390999999999998</v>
      </c>
      <c r="BF187" s="350">
        <f t="shared" si="222"/>
        <v>89.16662053472713</v>
      </c>
      <c r="BG187" s="649" t="e">
        <f t="shared" si="223"/>
        <v>#DIV/0!</v>
      </c>
      <c r="BH187" s="350">
        <f t="shared" si="224"/>
        <v>35.450521257588591</v>
      </c>
      <c r="BI187" s="374"/>
      <c r="BJ187" s="600"/>
      <c r="BK187" s="327"/>
      <c r="BL187" s="372"/>
      <c r="BM187" s="372"/>
      <c r="BN187" s="372"/>
      <c r="BO187" s="372"/>
      <c r="BP187" s="372"/>
      <c r="BQ187" s="372"/>
      <c r="BR187" s="372"/>
      <c r="BS187" s="372"/>
    </row>
    <row r="188" spans="1:71" s="421" customFormat="1" x14ac:dyDescent="0.2">
      <c r="A188" s="418"/>
      <c r="B188" s="418"/>
      <c r="C188" s="419"/>
      <c r="D188" s="540"/>
      <c r="E188" s="566"/>
      <c r="N188" s="422"/>
      <c r="Z188" s="540"/>
      <c r="AA188" s="422"/>
      <c r="AG188" s="422"/>
      <c r="AR188" s="543"/>
      <c r="AS188" s="543"/>
      <c r="AT188" s="543"/>
      <c r="AU188" s="543"/>
      <c r="AV188" s="543"/>
      <c r="AW188" s="543"/>
      <c r="AX188" s="543"/>
      <c r="BI188" s="546"/>
      <c r="BJ188" s="546"/>
    </row>
    <row r="189" spans="1:71" s="408" customFormat="1" ht="15" x14ac:dyDescent="0.2">
      <c r="A189" s="404"/>
      <c r="B189" s="343">
        <v>44274</v>
      </c>
      <c r="C189" s="405" t="s">
        <v>297</v>
      </c>
      <c r="D189" s="245" t="s">
        <v>298</v>
      </c>
      <c r="E189" s="246" t="s">
        <v>232</v>
      </c>
      <c r="F189" s="246" t="s">
        <v>299</v>
      </c>
      <c r="G189" s="246"/>
      <c r="H189" s="246"/>
      <c r="I189" s="246"/>
      <c r="J189" s="246"/>
      <c r="K189" s="4"/>
      <c r="L189" s="222" t="s">
        <v>234</v>
      </c>
      <c r="M189" s="246"/>
      <c r="N189" s="406"/>
      <c r="O189" s="406"/>
      <c r="P189" s="406"/>
      <c r="Q189" s="406"/>
      <c r="R189" s="406"/>
      <c r="S189" s="406"/>
      <c r="T189" s="406"/>
      <c r="U189" s="406"/>
      <c r="V189" s="406"/>
      <c r="W189" s="406"/>
      <c r="X189" s="406"/>
      <c r="Y189" s="406"/>
      <c r="Z189" s="385" t="s">
        <v>300</v>
      </c>
      <c r="AA189" s="406">
        <v>44278</v>
      </c>
      <c r="AB189" s="139">
        <v>50</v>
      </c>
      <c r="AC189" s="10" t="s">
        <v>301</v>
      </c>
      <c r="AD189" s="246"/>
      <c r="AE189" s="222" t="s">
        <v>425</v>
      </c>
      <c r="AF189" s="246"/>
      <c r="AG189" s="406">
        <v>44279</v>
      </c>
      <c r="AH189" s="463">
        <v>5</v>
      </c>
      <c r="AI189" s="10" t="s">
        <v>63</v>
      </c>
      <c r="AJ189" s="165">
        <v>22.359663296500599</v>
      </c>
      <c r="AK189" s="165">
        <v>22.289008109943602</v>
      </c>
      <c r="AL189" s="165">
        <v>22.2334899509979</v>
      </c>
      <c r="AM189" s="140">
        <f t="shared" ref="AM189:AM202" si="225">AVERAGE(AJ189:AL189)</f>
        <v>22.294053785814032</v>
      </c>
      <c r="AN189" s="467">
        <v>-3.4410714285714286</v>
      </c>
      <c r="AO189" s="467">
        <v>48.943513064185922</v>
      </c>
      <c r="AP189" s="468">
        <f t="shared" ref="AP189" si="226">IF(AND(AJ189="No CT",AK189="No CT",AL189="No CT"),0,10^((AM189-AO189)/AN189))</f>
        <v>55529493.668376237</v>
      </c>
      <c r="AQ189" s="469">
        <f t="shared" ref="AQ189:AQ202" si="227">AP189*100/$AP$201</f>
        <v>42.851372469848457</v>
      </c>
      <c r="AR189" s="165">
        <v>25.866169974856899</v>
      </c>
      <c r="AS189" s="165">
        <v>25.708521761079499</v>
      </c>
      <c r="AT189" s="165">
        <v>25.568721682154798</v>
      </c>
      <c r="AU189" s="140">
        <f t="shared" ref="AU189:AU202" si="228">AVERAGE(AR189:AT189)</f>
        <v>25.714471139363734</v>
      </c>
      <c r="AV189" s="602">
        <v>-3.5035151515151499</v>
      </c>
      <c r="AW189" s="602">
        <v>40.6726666666667</v>
      </c>
      <c r="AX189" s="557">
        <f t="shared" ref="AX189" si="229">IF(AND(AR189="No CT",AS189="No CT",AT189="No CT"),0,10^((AU189-AW189)/AV189))</f>
        <v>18598.682725375595</v>
      </c>
      <c r="AY189" s="469"/>
      <c r="AZ189" s="165">
        <v>36.019069989940498</v>
      </c>
      <c r="BA189" s="165">
        <v>36.999873072364203</v>
      </c>
      <c r="BB189" s="165">
        <v>37.847124248251397</v>
      </c>
      <c r="BC189" s="140">
        <f t="shared" ref="BC189:BC202" si="230">AVERAGE(AZ189:BB189)</f>
        <v>36.955355770185371</v>
      </c>
      <c r="BD189" s="653">
        <v>-3.4617</v>
      </c>
      <c r="BE189" s="648">
        <v>42.390999999999998</v>
      </c>
      <c r="BF189" s="350">
        <f t="shared" ref="BF189" si="231">IF(AND(AZ189="No CT",BA189="No CT",BB189="No CT"),0,10^((BC189-BE189)/BD189))</f>
        <v>37.172686139394571</v>
      </c>
      <c r="BG189" s="246"/>
      <c r="BH189" s="297">
        <f t="shared" ref="BH189:BH221" si="232">BF189/AX189</f>
        <v>1.9986730613279968E-3</v>
      </c>
      <c r="BI189" s="247"/>
      <c r="BJ189" s="247"/>
      <c r="BK189" s="246"/>
      <c r="BL189" s="247"/>
      <c r="BM189" s="247"/>
      <c r="BN189" s="247"/>
      <c r="BO189" s="247"/>
      <c r="BP189" s="247"/>
      <c r="BQ189" s="247"/>
      <c r="BR189" s="247"/>
      <c r="BS189" s="247"/>
    </row>
    <row r="190" spans="1:71" s="358" customFormat="1" ht="15" x14ac:dyDescent="0.2">
      <c r="A190" s="584"/>
      <c r="B190" s="344">
        <v>44274</v>
      </c>
      <c r="C190" s="479" t="s">
        <v>302</v>
      </c>
      <c r="D190" s="248" t="s">
        <v>298</v>
      </c>
      <c r="E190" s="250" t="s">
        <v>232</v>
      </c>
      <c r="F190" s="250" t="s">
        <v>303</v>
      </c>
      <c r="G190" s="250"/>
      <c r="H190" s="250"/>
      <c r="I190" s="250"/>
      <c r="J190" s="250"/>
      <c r="K190" s="4"/>
      <c r="L190" s="222" t="s">
        <v>234</v>
      </c>
      <c r="M190" s="250"/>
      <c r="N190" s="476"/>
      <c r="O190" s="476"/>
      <c r="P190" s="476"/>
      <c r="Q190" s="476"/>
      <c r="R190" s="476"/>
      <c r="S190" s="476"/>
      <c r="T190" s="476"/>
      <c r="U190" s="476"/>
      <c r="V190" s="476"/>
      <c r="W190" s="476"/>
      <c r="X190" s="476"/>
      <c r="Y190" s="476"/>
      <c r="Z190" s="278" t="s">
        <v>300</v>
      </c>
      <c r="AA190" s="406">
        <v>44278</v>
      </c>
      <c r="AB190" s="139">
        <v>50</v>
      </c>
      <c r="AC190" s="8" t="s">
        <v>301</v>
      </c>
      <c r="AD190" s="250"/>
      <c r="AE190" s="222" t="s">
        <v>425</v>
      </c>
      <c r="AF190" s="250"/>
      <c r="AG190" s="406">
        <v>44279</v>
      </c>
      <c r="AH190" s="477">
        <v>5</v>
      </c>
      <c r="AI190" s="8" t="s">
        <v>63</v>
      </c>
      <c r="AJ190" s="165">
        <v>25.058680977055602</v>
      </c>
      <c r="AK190" s="165" t="s">
        <v>95</v>
      </c>
      <c r="AL190" s="165" t="s">
        <v>95</v>
      </c>
      <c r="AM190" s="140">
        <f t="shared" si="225"/>
        <v>25.058680977055602</v>
      </c>
      <c r="AN190" s="467">
        <v>-3.4410714285714286</v>
      </c>
      <c r="AO190" s="467">
        <v>48.943513064185922</v>
      </c>
      <c r="AP190" s="468">
        <f t="shared" ref="AP190:AP202" si="233">IF(AND(AJ190="No CT",AK190="No CT",AL190="No CT"),0,10^((AM190-AO190)/AN190))</f>
        <v>8731789.4124705661</v>
      </c>
      <c r="AQ190" s="469">
        <f t="shared" si="227"/>
        <v>6.7382058744602391</v>
      </c>
      <c r="AR190" s="165">
        <v>29.196079447771599</v>
      </c>
      <c r="AS190" s="165" t="s">
        <v>95</v>
      </c>
      <c r="AT190" s="165" t="s">
        <v>95</v>
      </c>
      <c r="AU190" s="140">
        <f t="shared" si="228"/>
        <v>29.196079447771599</v>
      </c>
      <c r="AV190" s="535">
        <v>-3.5035151515151499</v>
      </c>
      <c r="AW190" s="535">
        <v>40.6726666666667</v>
      </c>
      <c r="AX190" s="536">
        <f t="shared" ref="AX190:AX202" si="234">IF(AND(AR190="No CT",AS190="No CT",AT190="No CT"),0,10^((AU190-AW190)/AV190))</f>
        <v>1886.839693822496</v>
      </c>
      <c r="AY190" s="250"/>
      <c r="AZ190" s="165" t="s">
        <v>95</v>
      </c>
      <c r="BA190" s="165" t="s">
        <v>95</v>
      </c>
      <c r="BB190" s="165" t="s">
        <v>95</v>
      </c>
      <c r="BC190" s="140" t="e">
        <f t="shared" si="230"/>
        <v>#DIV/0!</v>
      </c>
      <c r="BD190" s="653">
        <v>-3.4617</v>
      </c>
      <c r="BE190" s="648">
        <v>42.390999999999998</v>
      </c>
      <c r="BF190" s="350">
        <f t="shared" ref="BF190:BF202" si="235">IF(AND(AZ190="No CT",BA190="No CT",BB190="No CT"),0,10^((BC190-BE190)/BD190))</f>
        <v>0</v>
      </c>
      <c r="BG190" s="250"/>
      <c r="BH190" s="297">
        <f t="shared" si="232"/>
        <v>0</v>
      </c>
      <c r="BI190" s="252"/>
      <c r="BJ190" s="252"/>
      <c r="BK190" s="250"/>
      <c r="BL190" s="252"/>
      <c r="BM190" s="252"/>
      <c r="BN190" s="252"/>
      <c r="BO190" s="252"/>
      <c r="BP190" s="252"/>
      <c r="BQ190" s="252"/>
      <c r="BR190" s="252"/>
      <c r="BS190" s="252"/>
    </row>
    <row r="191" spans="1:71" s="358" customFormat="1" ht="15" x14ac:dyDescent="0.2">
      <c r="A191" s="584"/>
      <c r="B191" s="344">
        <v>44274</v>
      </c>
      <c r="C191" s="479" t="s">
        <v>304</v>
      </c>
      <c r="D191" s="248" t="s">
        <v>298</v>
      </c>
      <c r="E191" s="250" t="s">
        <v>232</v>
      </c>
      <c r="F191" s="250" t="s">
        <v>305</v>
      </c>
      <c r="G191" s="250"/>
      <c r="H191" s="250"/>
      <c r="I191" s="250"/>
      <c r="J191" s="250"/>
      <c r="K191" s="4"/>
      <c r="L191" s="222" t="s">
        <v>234</v>
      </c>
      <c r="M191" s="250"/>
      <c r="N191" s="476"/>
      <c r="O191" s="476"/>
      <c r="P191" s="476"/>
      <c r="Q191" s="476"/>
      <c r="R191" s="476"/>
      <c r="S191" s="476"/>
      <c r="T191" s="476"/>
      <c r="U191" s="476"/>
      <c r="V191" s="476"/>
      <c r="W191" s="476"/>
      <c r="X191" s="476"/>
      <c r="Y191" s="476"/>
      <c r="Z191" s="278" t="s">
        <v>300</v>
      </c>
      <c r="AA191" s="406">
        <v>44278</v>
      </c>
      <c r="AB191" s="139">
        <v>50</v>
      </c>
      <c r="AC191" s="8" t="s">
        <v>301</v>
      </c>
      <c r="AD191" s="250"/>
      <c r="AE191" s="222" t="s">
        <v>425</v>
      </c>
      <c r="AF191" s="250"/>
      <c r="AG191" s="406">
        <v>44279</v>
      </c>
      <c r="AH191" s="477">
        <v>5</v>
      </c>
      <c r="AI191" s="8" t="s">
        <v>63</v>
      </c>
      <c r="AJ191" s="165">
        <v>39.634820101973801</v>
      </c>
      <c r="AK191" s="165" t="s">
        <v>95</v>
      </c>
      <c r="AL191" s="165">
        <v>38.246811188462701</v>
      </c>
      <c r="AM191" s="140">
        <f t="shared" si="225"/>
        <v>38.940815645218251</v>
      </c>
      <c r="AN191" s="467">
        <v>-3.4410714285714286</v>
      </c>
      <c r="AO191" s="467">
        <v>48.943513064185922</v>
      </c>
      <c r="AP191" s="468">
        <f t="shared" si="233"/>
        <v>806.96649472770946</v>
      </c>
      <c r="AQ191" s="469">
        <f t="shared" si="227"/>
        <v>6.2272532220040749E-4</v>
      </c>
      <c r="AR191" s="165">
        <v>35.479160161768696</v>
      </c>
      <c r="AS191" s="165">
        <v>35.284973727043202</v>
      </c>
      <c r="AT191" s="165">
        <v>35.072811561003903</v>
      </c>
      <c r="AU191" s="140">
        <f t="shared" si="228"/>
        <v>35.278981816605267</v>
      </c>
      <c r="AV191" s="535">
        <v>-3.5035151515151499</v>
      </c>
      <c r="AW191" s="535">
        <v>40.6726666666667</v>
      </c>
      <c r="AX191" s="536">
        <f t="shared" si="234"/>
        <v>34.634318236133041</v>
      </c>
      <c r="AY191" s="250"/>
      <c r="AZ191" s="165">
        <v>35.287985903455798</v>
      </c>
      <c r="BA191" s="165">
        <v>35.564776092797601</v>
      </c>
      <c r="BB191" s="165">
        <v>34.991110584926297</v>
      </c>
      <c r="BC191" s="140">
        <f t="shared" si="230"/>
        <v>35.281290860393234</v>
      </c>
      <c r="BD191" s="653">
        <v>-3.4617</v>
      </c>
      <c r="BE191" s="648">
        <v>42.390999999999998</v>
      </c>
      <c r="BF191" s="350">
        <f t="shared" si="235"/>
        <v>113.19314553139198</v>
      </c>
      <c r="BG191" s="250"/>
      <c r="BH191" s="297">
        <f t="shared" si="232"/>
        <v>3.2682365727442169</v>
      </c>
      <c r="BI191" s="252"/>
      <c r="BJ191" s="252"/>
      <c r="BK191" s="250"/>
      <c r="BL191" s="252"/>
      <c r="BM191" s="252"/>
      <c r="BN191" s="252"/>
      <c r="BO191" s="252"/>
      <c r="BP191" s="252"/>
      <c r="BQ191" s="252"/>
      <c r="BR191" s="252"/>
      <c r="BS191" s="252"/>
    </row>
    <row r="192" spans="1:71" s="358" customFormat="1" ht="15" x14ac:dyDescent="0.2">
      <c r="A192" s="584"/>
      <c r="B192" s="344">
        <v>44274</v>
      </c>
      <c r="C192" s="479" t="s">
        <v>306</v>
      </c>
      <c r="D192" s="248" t="s">
        <v>298</v>
      </c>
      <c r="E192" s="250" t="s">
        <v>246</v>
      </c>
      <c r="F192" s="250" t="s">
        <v>299</v>
      </c>
      <c r="G192" s="250"/>
      <c r="H192" s="250"/>
      <c r="I192" s="250"/>
      <c r="J192" s="250"/>
      <c r="K192" s="4"/>
      <c r="L192" s="222" t="s">
        <v>234</v>
      </c>
      <c r="M192" s="250"/>
      <c r="N192" s="476"/>
      <c r="O192" s="476"/>
      <c r="P192" s="476"/>
      <c r="Q192" s="476"/>
      <c r="R192" s="476"/>
      <c r="S192" s="476"/>
      <c r="T192" s="476"/>
      <c r="U192" s="476"/>
      <c r="V192" s="476"/>
      <c r="W192" s="476"/>
      <c r="X192" s="476"/>
      <c r="Y192" s="476"/>
      <c r="Z192" s="278" t="s">
        <v>300</v>
      </c>
      <c r="AA192" s="406">
        <v>44278</v>
      </c>
      <c r="AB192" s="139">
        <v>50</v>
      </c>
      <c r="AC192" s="8" t="s">
        <v>301</v>
      </c>
      <c r="AD192" s="250"/>
      <c r="AE192" s="222" t="s">
        <v>425</v>
      </c>
      <c r="AF192" s="250"/>
      <c r="AG192" s="406">
        <v>44279</v>
      </c>
      <c r="AH192" s="463">
        <v>5</v>
      </c>
      <c r="AI192" s="8" t="s">
        <v>63</v>
      </c>
      <c r="AJ192" s="165">
        <v>22.240192602503001</v>
      </c>
      <c r="AK192" s="165">
        <v>22.263410061825699</v>
      </c>
      <c r="AL192" s="165">
        <v>22.136086940462199</v>
      </c>
      <c r="AM192" s="140">
        <f t="shared" si="225"/>
        <v>22.213229868263635</v>
      </c>
      <c r="AN192" s="467">
        <v>-3.4410714285714286</v>
      </c>
      <c r="AO192" s="467">
        <v>48.943513064185922</v>
      </c>
      <c r="AP192" s="468">
        <f t="shared" si="233"/>
        <v>58615398.612186596</v>
      </c>
      <c r="AQ192" s="469">
        <f t="shared" si="227"/>
        <v>45.232724314031962</v>
      </c>
      <c r="AR192" s="165">
        <v>28.451603021017899</v>
      </c>
      <c r="AS192" s="165">
        <v>28.6007897740411</v>
      </c>
      <c r="AT192" s="165">
        <v>28.3869278523613</v>
      </c>
      <c r="AU192" s="140">
        <f t="shared" si="228"/>
        <v>28.479773549140102</v>
      </c>
      <c r="AV192" s="535">
        <v>-3.5035151515151499</v>
      </c>
      <c r="AW192" s="535">
        <v>40.6726666666667</v>
      </c>
      <c r="AX192" s="536">
        <f t="shared" si="234"/>
        <v>3021.2627321824552</v>
      </c>
      <c r="AY192" s="250"/>
      <c r="AZ192" s="165">
        <v>32.514172915286302</v>
      </c>
      <c r="BA192" s="165">
        <v>32.402706314451997</v>
      </c>
      <c r="BB192" s="165">
        <v>32.854166572348603</v>
      </c>
      <c r="BC192" s="140">
        <f t="shared" si="230"/>
        <v>32.590348600695634</v>
      </c>
      <c r="BD192" s="653">
        <v>-3.4617</v>
      </c>
      <c r="BE192" s="648">
        <v>42.390999999999998</v>
      </c>
      <c r="BF192" s="350">
        <f t="shared" si="235"/>
        <v>677.90240084068603</v>
      </c>
      <c r="BG192" s="250"/>
      <c r="BH192" s="297">
        <f t="shared" si="232"/>
        <v>0.22437717634407547</v>
      </c>
      <c r="BI192" s="252"/>
      <c r="BJ192" s="252"/>
      <c r="BK192" s="250"/>
      <c r="BL192" s="252"/>
      <c r="BM192" s="252"/>
      <c r="BN192" s="252"/>
      <c r="BO192" s="252"/>
      <c r="BP192" s="252"/>
      <c r="BQ192" s="252"/>
      <c r="BR192" s="252"/>
      <c r="BS192" s="252"/>
    </row>
    <row r="193" spans="1:71" s="358" customFormat="1" ht="15" x14ac:dyDescent="0.2">
      <c r="A193" s="584"/>
      <c r="B193" s="344">
        <v>44274</v>
      </c>
      <c r="C193" s="479" t="s">
        <v>307</v>
      </c>
      <c r="D193" s="248" t="s">
        <v>298</v>
      </c>
      <c r="E193" s="250" t="s">
        <v>246</v>
      </c>
      <c r="F193" s="250" t="s">
        <v>303</v>
      </c>
      <c r="G193" s="250"/>
      <c r="H193" s="250"/>
      <c r="I193" s="250"/>
      <c r="J193" s="250"/>
      <c r="K193" s="4"/>
      <c r="L193" s="222" t="s">
        <v>234</v>
      </c>
      <c r="M193" s="250"/>
      <c r="N193" s="476"/>
      <c r="O193" s="476"/>
      <c r="P193" s="476"/>
      <c r="Q193" s="476"/>
      <c r="R193" s="476"/>
      <c r="S193" s="476"/>
      <c r="T193" s="476"/>
      <c r="U193" s="476"/>
      <c r="V193" s="476"/>
      <c r="W193" s="476"/>
      <c r="X193" s="476"/>
      <c r="Y193" s="476"/>
      <c r="Z193" s="278" t="s">
        <v>300</v>
      </c>
      <c r="AA193" s="406">
        <v>44278</v>
      </c>
      <c r="AB193" s="139">
        <v>50</v>
      </c>
      <c r="AC193" s="8" t="s">
        <v>301</v>
      </c>
      <c r="AD193" s="250"/>
      <c r="AE193" s="222" t="s">
        <v>425</v>
      </c>
      <c r="AF193" s="250"/>
      <c r="AG193" s="406">
        <v>44279</v>
      </c>
      <c r="AH193" s="477">
        <v>5</v>
      </c>
      <c r="AI193" s="8" t="s">
        <v>63</v>
      </c>
      <c r="AJ193" s="165">
        <v>27.7864625371244</v>
      </c>
      <c r="AK193" s="165">
        <v>27.536008966043902</v>
      </c>
      <c r="AL193" s="165">
        <v>27.583430554091802</v>
      </c>
      <c r="AM193" s="140">
        <f t="shared" si="225"/>
        <v>27.635300685753368</v>
      </c>
      <c r="AN193" s="467">
        <v>-3.4410714285714286</v>
      </c>
      <c r="AO193" s="467">
        <v>48.943513064185922</v>
      </c>
      <c r="AP193" s="468">
        <f t="shared" si="233"/>
        <v>1557109.3538795558</v>
      </c>
      <c r="AQ193" s="469">
        <f t="shared" si="227"/>
        <v>1.2016005998156083</v>
      </c>
      <c r="AR193" s="165">
        <v>18.6328270511158</v>
      </c>
      <c r="AS193" s="165">
        <v>18.4145571322919</v>
      </c>
      <c r="AT193" s="165">
        <v>18.249323373803101</v>
      </c>
      <c r="AU193" s="140">
        <f t="shared" si="228"/>
        <v>18.432235852403601</v>
      </c>
      <c r="AV193" s="535">
        <v>-3.5035151515151499</v>
      </c>
      <c r="AW193" s="535">
        <v>40.6726666666667</v>
      </c>
      <c r="AX193" s="536">
        <f t="shared" si="234"/>
        <v>2228605.9728087285</v>
      </c>
      <c r="AY193" s="250"/>
      <c r="AZ193" s="165">
        <v>31.591862726872101</v>
      </c>
      <c r="BA193" s="165">
        <v>31.453315840160801</v>
      </c>
      <c r="BB193" s="165">
        <v>31.128779664734999</v>
      </c>
      <c r="BC193" s="140">
        <f t="shared" si="230"/>
        <v>31.391319410589301</v>
      </c>
      <c r="BD193" s="653">
        <v>-3.4617</v>
      </c>
      <c r="BE193" s="648">
        <v>42.390999999999998</v>
      </c>
      <c r="BF193" s="350">
        <f t="shared" si="235"/>
        <v>1505.002490257622</v>
      </c>
      <c r="BG193" s="250"/>
      <c r="BH193" s="297">
        <f t="shared" si="232"/>
        <v>6.7531116250256495E-4</v>
      </c>
      <c r="BI193" s="252"/>
      <c r="BJ193" s="252"/>
      <c r="BK193" s="250"/>
      <c r="BL193" s="252"/>
      <c r="BM193" s="252"/>
      <c r="BN193" s="252"/>
      <c r="BO193" s="252"/>
      <c r="BP193" s="252"/>
      <c r="BQ193" s="252"/>
      <c r="BR193" s="252"/>
      <c r="BS193" s="252"/>
    </row>
    <row r="194" spans="1:71" s="358" customFormat="1" ht="15" x14ac:dyDescent="0.2">
      <c r="A194" s="584"/>
      <c r="B194" s="344">
        <v>44274</v>
      </c>
      <c r="C194" s="479" t="s">
        <v>308</v>
      </c>
      <c r="D194" s="248" t="s">
        <v>298</v>
      </c>
      <c r="E194" s="250" t="s">
        <v>246</v>
      </c>
      <c r="F194" s="250" t="s">
        <v>305</v>
      </c>
      <c r="G194" s="250"/>
      <c r="H194" s="250"/>
      <c r="I194" s="250"/>
      <c r="J194" s="250"/>
      <c r="K194" s="4"/>
      <c r="L194" s="222" t="s">
        <v>234</v>
      </c>
      <c r="M194" s="250"/>
      <c r="N194" s="476"/>
      <c r="O194" s="476"/>
      <c r="P194" s="476"/>
      <c r="Q194" s="476"/>
      <c r="R194" s="476"/>
      <c r="S194" s="476"/>
      <c r="T194" s="476"/>
      <c r="U194" s="476"/>
      <c r="V194" s="476"/>
      <c r="W194" s="476"/>
      <c r="X194" s="476"/>
      <c r="Y194" s="476"/>
      <c r="Z194" s="278" t="s">
        <v>300</v>
      </c>
      <c r="AA194" s="406">
        <v>44278</v>
      </c>
      <c r="AB194" s="139">
        <v>50</v>
      </c>
      <c r="AC194" s="8" t="s">
        <v>301</v>
      </c>
      <c r="AD194" s="250"/>
      <c r="AE194" s="222" t="s">
        <v>425</v>
      </c>
      <c r="AF194" s="250"/>
      <c r="AG194" s="406">
        <v>44279</v>
      </c>
      <c r="AH194" s="477">
        <v>5</v>
      </c>
      <c r="AI194" s="8" t="s">
        <v>63</v>
      </c>
      <c r="AJ194" s="165">
        <v>39.724499669220599</v>
      </c>
      <c r="AK194" s="165" t="s">
        <v>95</v>
      </c>
      <c r="AL194" s="165" t="s">
        <v>95</v>
      </c>
      <c r="AM194" s="140">
        <f t="shared" si="225"/>
        <v>39.724499669220599</v>
      </c>
      <c r="AN194" s="467">
        <v>-3.4410714285714286</v>
      </c>
      <c r="AO194" s="467">
        <v>48.943513064185922</v>
      </c>
      <c r="AP194" s="468">
        <f t="shared" si="233"/>
        <v>477.65168434004124</v>
      </c>
      <c r="AQ194" s="469">
        <f t="shared" si="227"/>
        <v>3.685974584738925E-4</v>
      </c>
      <c r="AR194" s="165">
        <v>37.257331168256798</v>
      </c>
      <c r="AS194" s="165">
        <v>38.013745272560598</v>
      </c>
      <c r="AT194" s="165">
        <v>37.585836024363601</v>
      </c>
      <c r="AU194" s="140">
        <f t="shared" si="228"/>
        <v>37.618970821726997</v>
      </c>
      <c r="AV194" s="535">
        <v>-3.5035151515151499</v>
      </c>
      <c r="AW194" s="535">
        <v>40.6726666666667</v>
      </c>
      <c r="AX194" s="536">
        <f t="shared" si="234"/>
        <v>7.4406203347082425</v>
      </c>
      <c r="AY194" s="250"/>
      <c r="AZ194" s="165">
        <v>36.4809807134585</v>
      </c>
      <c r="BA194" s="165">
        <v>36.231316836985002</v>
      </c>
      <c r="BB194" s="165" t="s">
        <v>95</v>
      </c>
      <c r="BC194" s="140">
        <f t="shared" si="230"/>
        <v>36.356148775221754</v>
      </c>
      <c r="BD194" s="653">
        <v>-3.4617</v>
      </c>
      <c r="BE194" s="648">
        <v>42.390999999999998</v>
      </c>
      <c r="BF194" s="350">
        <f t="shared" si="235"/>
        <v>55.375812314658731</v>
      </c>
      <c r="BG194" s="250"/>
      <c r="BH194" s="297">
        <f t="shared" si="232"/>
        <v>7.4423649942663141</v>
      </c>
      <c r="BI194" s="252"/>
      <c r="BJ194" s="252"/>
      <c r="BK194" s="250"/>
      <c r="BL194" s="252"/>
      <c r="BM194" s="252"/>
      <c r="BN194" s="252"/>
      <c r="BO194" s="252"/>
      <c r="BP194" s="252"/>
      <c r="BQ194" s="252"/>
      <c r="BR194" s="252"/>
      <c r="BS194" s="252"/>
    </row>
    <row r="195" spans="1:71" s="358" customFormat="1" ht="15" x14ac:dyDescent="0.2">
      <c r="A195" s="584"/>
      <c r="B195" s="344">
        <v>44274</v>
      </c>
      <c r="C195" s="479" t="s">
        <v>309</v>
      </c>
      <c r="D195" s="248" t="s">
        <v>298</v>
      </c>
      <c r="E195" s="250" t="s">
        <v>249</v>
      </c>
      <c r="F195" s="250" t="s">
        <v>299</v>
      </c>
      <c r="G195" s="250"/>
      <c r="H195" s="250"/>
      <c r="I195" s="250"/>
      <c r="J195" s="250"/>
      <c r="K195" s="4"/>
      <c r="L195" s="222" t="s">
        <v>234</v>
      </c>
      <c r="M195" s="250"/>
      <c r="N195" s="476"/>
      <c r="O195" s="476"/>
      <c r="P195" s="476"/>
      <c r="Q195" s="476"/>
      <c r="R195" s="476"/>
      <c r="S195" s="476"/>
      <c r="T195" s="476"/>
      <c r="U195" s="476"/>
      <c r="V195" s="476"/>
      <c r="W195" s="476"/>
      <c r="X195" s="476"/>
      <c r="Y195" s="476"/>
      <c r="Z195" s="278" t="s">
        <v>300</v>
      </c>
      <c r="AA195" s="406">
        <v>44278</v>
      </c>
      <c r="AB195" s="139">
        <v>50</v>
      </c>
      <c r="AC195" s="8" t="s">
        <v>301</v>
      </c>
      <c r="AD195" s="250"/>
      <c r="AE195" s="222" t="s">
        <v>425</v>
      </c>
      <c r="AF195" s="250"/>
      <c r="AG195" s="406">
        <v>44279</v>
      </c>
      <c r="AH195" s="463">
        <v>5</v>
      </c>
      <c r="AI195" s="8" t="s">
        <v>63</v>
      </c>
      <c r="AJ195" s="165">
        <v>21.230317788943399</v>
      </c>
      <c r="AK195" s="165">
        <v>21.281934757838599</v>
      </c>
      <c r="AL195" s="165">
        <v>21.184548298744701</v>
      </c>
      <c r="AM195" s="140">
        <f t="shared" si="225"/>
        <v>21.232266948508897</v>
      </c>
      <c r="AN195" s="467">
        <v>-3.4410714285714286</v>
      </c>
      <c r="AO195" s="467">
        <v>48.943513064185922</v>
      </c>
      <c r="AP195" s="468">
        <f t="shared" si="233"/>
        <v>113002115.06797542</v>
      </c>
      <c r="AQ195" s="469">
        <f t="shared" si="227"/>
        <v>87.202230792465372</v>
      </c>
      <c r="AR195" s="165">
        <v>29.991228631043299</v>
      </c>
      <c r="AS195" s="165">
        <v>30.029396770120002</v>
      </c>
      <c r="AT195" s="165">
        <v>29.918950478682198</v>
      </c>
      <c r="AU195" s="140">
        <f t="shared" si="228"/>
        <v>29.979858626615169</v>
      </c>
      <c r="AV195" s="535">
        <v>-3.5035151515151499</v>
      </c>
      <c r="AW195" s="535">
        <v>40.6726666666667</v>
      </c>
      <c r="AX195" s="536">
        <f t="shared" si="234"/>
        <v>1127.25657326648</v>
      </c>
      <c r="AY195" s="250"/>
      <c r="AZ195" s="165" t="s">
        <v>95</v>
      </c>
      <c r="BA195" s="165">
        <v>35.8305826071621</v>
      </c>
      <c r="BB195" s="165">
        <v>37.494080398367501</v>
      </c>
      <c r="BC195" s="140">
        <f t="shared" si="230"/>
        <v>36.6623315027648</v>
      </c>
      <c r="BD195" s="653">
        <v>-3.4617</v>
      </c>
      <c r="BE195" s="648">
        <v>42.390999999999998</v>
      </c>
      <c r="BF195" s="350">
        <f t="shared" si="235"/>
        <v>45.172221565228334</v>
      </c>
      <c r="BG195" s="250"/>
      <c r="BH195" s="297">
        <f t="shared" si="232"/>
        <v>4.0072706282236741E-2</v>
      </c>
      <c r="BI195" s="252"/>
      <c r="BJ195" s="252"/>
      <c r="BK195" s="250"/>
      <c r="BL195" s="252"/>
      <c r="BM195" s="252"/>
      <c r="BN195" s="252"/>
      <c r="BO195" s="252"/>
      <c r="BP195" s="252"/>
      <c r="BQ195" s="252"/>
      <c r="BR195" s="252"/>
      <c r="BS195" s="252"/>
    </row>
    <row r="196" spans="1:71" s="358" customFormat="1" ht="15" x14ac:dyDescent="0.2">
      <c r="A196" s="584"/>
      <c r="B196" s="344">
        <v>44274</v>
      </c>
      <c r="C196" s="479" t="s">
        <v>310</v>
      </c>
      <c r="D196" s="248" t="s">
        <v>298</v>
      </c>
      <c r="E196" s="250" t="s">
        <v>249</v>
      </c>
      <c r="F196" s="250" t="s">
        <v>303</v>
      </c>
      <c r="G196" s="250"/>
      <c r="H196" s="250"/>
      <c r="I196" s="250"/>
      <c r="J196" s="250"/>
      <c r="K196" s="4"/>
      <c r="L196" s="222" t="s">
        <v>234</v>
      </c>
      <c r="M196" s="250"/>
      <c r="N196" s="476"/>
      <c r="O196" s="476"/>
      <c r="P196" s="476"/>
      <c r="Q196" s="476"/>
      <c r="R196" s="476"/>
      <c r="S196" s="476"/>
      <c r="T196" s="476"/>
      <c r="U196" s="476"/>
      <c r="V196" s="476"/>
      <c r="W196" s="476"/>
      <c r="X196" s="476"/>
      <c r="Y196" s="476"/>
      <c r="Z196" s="278" t="s">
        <v>300</v>
      </c>
      <c r="AA196" s="406">
        <v>44278</v>
      </c>
      <c r="AB196" s="139">
        <v>50</v>
      </c>
      <c r="AC196" s="8" t="s">
        <v>301</v>
      </c>
      <c r="AD196" s="250"/>
      <c r="AE196" s="222" t="s">
        <v>425</v>
      </c>
      <c r="AF196" s="250"/>
      <c r="AG196" s="406">
        <v>44279</v>
      </c>
      <c r="AH196" s="477">
        <v>5</v>
      </c>
      <c r="AI196" s="8" t="s">
        <v>63</v>
      </c>
      <c r="AJ196" s="165">
        <v>23.867794373808799</v>
      </c>
      <c r="AK196" s="165">
        <v>23.845052478951899</v>
      </c>
      <c r="AL196" s="165">
        <v>23.862807366590001</v>
      </c>
      <c r="AM196" s="140">
        <f t="shared" si="225"/>
        <v>23.858551406450232</v>
      </c>
      <c r="AN196" s="467">
        <v>-3.4410714285714286</v>
      </c>
      <c r="AO196" s="467">
        <v>48.943513064185922</v>
      </c>
      <c r="AP196" s="468">
        <f t="shared" si="233"/>
        <v>19492587.883988507</v>
      </c>
      <c r="AQ196" s="469">
        <f t="shared" si="227"/>
        <v>15.042171081306593</v>
      </c>
      <c r="AR196" s="165">
        <v>23.366257673803901</v>
      </c>
      <c r="AS196" s="165">
        <v>23.4783069563689</v>
      </c>
      <c r="AT196" s="165">
        <v>23.530573899983299</v>
      </c>
      <c r="AU196" s="140">
        <f t="shared" si="228"/>
        <v>23.45837951005203</v>
      </c>
      <c r="AV196" s="535">
        <v>-3.5035151515151499</v>
      </c>
      <c r="AW196" s="535">
        <v>40.6726666666667</v>
      </c>
      <c r="AX196" s="536">
        <f t="shared" si="234"/>
        <v>81928.132537748985</v>
      </c>
      <c r="AY196" s="250"/>
      <c r="AZ196" s="165" t="s">
        <v>95</v>
      </c>
      <c r="BA196" s="165">
        <v>36.845880409602103</v>
      </c>
      <c r="BB196" s="165">
        <v>36.783677585641897</v>
      </c>
      <c r="BC196" s="140">
        <f t="shared" si="230"/>
        <v>36.814778997622</v>
      </c>
      <c r="BD196" s="653">
        <v>-3.4617</v>
      </c>
      <c r="BE196" s="648">
        <v>42.390999999999998</v>
      </c>
      <c r="BF196" s="350">
        <f t="shared" si="235"/>
        <v>40.81625150665591</v>
      </c>
      <c r="BG196" s="250"/>
      <c r="BH196" s="297">
        <f t="shared" si="232"/>
        <v>4.9819579968882514E-4</v>
      </c>
      <c r="BI196" s="252"/>
      <c r="BJ196" s="252"/>
      <c r="BK196" s="250"/>
      <c r="BL196" s="252"/>
      <c r="BM196" s="252"/>
      <c r="BN196" s="252"/>
      <c r="BO196" s="252"/>
      <c r="BP196" s="252"/>
      <c r="BQ196" s="252"/>
      <c r="BR196" s="252"/>
      <c r="BS196" s="252"/>
    </row>
    <row r="197" spans="1:71" s="358" customFormat="1" ht="15" x14ac:dyDescent="0.2">
      <c r="A197" s="584"/>
      <c r="B197" s="344">
        <v>44274</v>
      </c>
      <c r="C197" s="479" t="s">
        <v>311</v>
      </c>
      <c r="D197" s="248" t="s">
        <v>298</v>
      </c>
      <c r="E197" s="250" t="s">
        <v>249</v>
      </c>
      <c r="F197" s="250" t="s">
        <v>305</v>
      </c>
      <c r="G197" s="250"/>
      <c r="H197" s="250"/>
      <c r="I197" s="250"/>
      <c r="J197" s="250"/>
      <c r="K197" s="4"/>
      <c r="L197" s="222" t="s">
        <v>234</v>
      </c>
      <c r="M197" s="250"/>
      <c r="N197" s="476"/>
      <c r="O197" s="476"/>
      <c r="P197" s="476"/>
      <c r="Q197" s="476"/>
      <c r="R197" s="476"/>
      <c r="S197" s="476"/>
      <c r="T197" s="476"/>
      <c r="U197" s="476"/>
      <c r="V197" s="476"/>
      <c r="W197" s="476"/>
      <c r="X197" s="476"/>
      <c r="Y197" s="476"/>
      <c r="Z197" s="278" t="s">
        <v>300</v>
      </c>
      <c r="AA197" s="406">
        <v>44278</v>
      </c>
      <c r="AB197" s="139">
        <v>50</v>
      </c>
      <c r="AC197" s="8" t="s">
        <v>301</v>
      </c>
      <c r="AD197" s="250"/>
      <c r="AE197" s="222" t="s">
        <v>425</v>
      </c>
      <c r="AF197" s="250"/>
      <c r="AG197" s="406">
        <v>44279</v>
      </c>
      <c r="AH197" s="477">
        <v>5</v>
      </c>
      <c r="AI197" s="8" t="s">
        <v>63</v>
      </c>
      <c r="AJ197" s="165" t="s">
        <v>95</v>
      </c>
      <c r="AK197" s="165">
        <v>39.634734760075403</v>
      </c>
      <c r="AL197" s="165">
        <v>39.440683462350897</v>
      </c>
      <c r="AM197" s="140">
        <f t="shared" si="225"/>
        <v>39.537709111213147</v>
      </c>
      <c r="AN197" s="467">
        <v>-3.4410714285714286</v>
      </c>
      <c r="AO197" s="467">
        <v>48.943513064185922</v>
      </c>
      <c r="AP197" s="468">
        <f t="shared" si="233"/>
        <v>541.24511214720894</v>
      </c>
      <c r="AQ197" s="469">
        <f t="shared" si="227"/>
        <v>4.1767166177697918E-4</v>
      </c>
      <c r="AR197" s="165">
        <v>38.465960774075903</v>
      </c>
      <c r="AS197" s="165">
        <v>37.858797150694201</v>
      </c>
      <c r="AT197" s="165">
        <v>36.772032052070003</v>
      </c>
      <c r="AU197" s="140">
        <f t="shared" si="228"/>
        <v>37.698929992280036</v>
      </c>
      <c r="AV197" s="535">
        <v>-3.5035151515151499</v>
      </c>
      <c r="AW197" s="535">
        <v>40.6726666666667</v>
      </c>
      <c r="AX197" s="536">
        <f t="shared" si="234"/>
        <v>7.0597055694033006</v>
      </c>
      <c r="AY197" s="250"/>
      <c r="AZ197" s="165">
        <v>36.827623136700403</v>
      </c>
      <c r="BA197" s="165" t="s">
        <v>95</v>
      </c>
      <c r="BB197" s="165">
        <v>35.097768379281902</v>
      </c>
      <c r="BC197" s="140">
        <f t="shared" si="230"/>
        <v>35.962695757991156</v>
      </c>
      <c r="BD197" s="653">
        <v>-3.4617</v>
      </c>
      <c r="BE197" s="648">
        <v>42.390999999999998</v>
      </c>
      <c r="BF197" s="350">
        <f t="shared" si="235"/>
        <v>71.941420844709114</v>
      </c>
      <c r="BG197" s="250"/>
      <c r="BH197" s="297">
        <f t="shared" si="232"/>
        <v>10.19042793462982</v>
      </c>
      <c r="BI197" s="252"/>
      <c r="BJ197" s="252"/>
      <c r="BK197" s="250"/>
      <c r="BL197" s="252"/>
      <c r="BM197" s="252"/>
      <c r="BN197" s="252"/>
      <c r="BO197" s="252"/>
      <c r="BP197" s="252"/>
      <c r="BQ197" s="252"/>
      <c r="BR197" s="252"/>
      <c r="BS197" s="252"/>
    </row>
    <row r="198" spans="1:71" s="358" customFormat="1" ht="15" x14ac:dyDescent="0.2">
      <c r="A198" s="584"/>
      <c r="B198" s="344">
        <v>44274</v>
      </c>
      <c r="C198" s="479" t="s">
        <v>312</v>
      </c>
      <c r="D198" s="248" t="s">
        <v>298</v>
      </c>
      <c r="E198" s="250" t="s">
        <v>252</v>
      </c>
      <c r="F198" s="250" t="s">
        <v>299</v>
      </c>
      <c r="G198" s="250"/>
      <c r="H198" s="250"/>
      <c r="I198" s="250"/>
      <c r="J198" s="250"/>
      <c r="K198" s="4"/>
      <c r="L198" s="222" t="s">
        <v>234</v>
      </c>
      <c r="M198" s="250"/>
      <c r="N198" s="476"/>
      <c r="O198" s="476"/>
      <c r="P198" s="476"/>
      <c r="Q198" s="476"/>
      <c r="R198" s="476"/>
      <c r="S198" s="476"/>
      <c r="T198" s="476"/>
      <c r="U198" s="476"/>
      <c r="V198" s="476"/>
      <c r="W198" s="476"/>
      <c r="X198" s="476"/>
      <c r="Y198" s="476"/>
      <c r="Z198" s="278" t="s">
        <v>300</v>
      </c>
      <c r="AA198" s="406">
        <v>44278</v>
      </c>
      <c r="AB198" s="139">
        <v>50</v>
      </c>
      <c r="AC198" s="8" t="s">
        <v>301</v>
      </c>
      <c r="AD198" s="250"/>
      <c r="AE198" s="222" t="s">
        <v>425</v>
      </c>
      <c r="AF198" s="250"/>
      <c r="AG198" s="406">
        <v>44279</v>
      </c>
      <c r="AH198" s="463">
        <v>5</v>
      </c>
      <c r="AI198" s="8" t="s">
        <v>63</v>
      </c>
      <c r="AJ198" s="165">
        <v>23.201930588255198</v>
      </c>
      <c r="AK198" s="165">
        <v>23.163277435952001</v>
      </c>
      <c r="AL198" s="165">
        <v>23.164271054684701</v>
      </c>
      <c r="AM198" s="140">
        <f t="shared" si="225"/>
        <v>23.176493026297297</v>
      </c>
      <c r="AN198" s="467">
        <v>-3.4410714285714286</v>
      </c>
      <c r="AO198" s="467">
        <v>48.943513064185922</v>
      </c>
      <c r="AP198" s="468">
        <f t="shared" si="233"/>
        <v>30766674.062908906</v>
      </c>
      <c r="AQ198" s="469">
        <f t="shared" si="227"/>
        <v>23.742233592145176</v>
      </c>
      <c r="AR198" s="165">
        <v>31.155562776535</v>
      </c>
      <c r="AS198" s="165">
        <v>30.991266406282101</v>
      </c>
      <c r="AT198" s="165">
        <v>31.131472505471301</v>
      </c>
      <c r="AU198" s="140">
        <f t="shared" si="228"/>
        <v>31.092767229429466</v>
      </c>
      <c r="AV198" s="535">
        <v>-3.5035151515151499</v>
      </c>
      <c r="AW198" s="535">
        <v>40.6726666666667</v>
      </c>
      <c r="AX198" s="536">
        <f t="shared" si="234"/>
        <v>542.46025017111822</v>
      </c>
      <c r="AY198" s="250"/>
      <c r="AZ198" s="165">
        <v>35.247010718486699</v>
      </c>
      <c r="BA198" s="165" t="s">
        <v>95</v>
      </c>
      <c r="BB198" s="165">
        <v>34.9645539688591</v>
      </c>
      <c r="BC198" s="140">
        <f t="shared" si="230"/>
        <v>35.1057823436729</v>
      </c>
      <c r="BD198" s="653">
        <v>-3.4617</v>
      </c>
      <c r="BE198" s="648">
        <v>42.390999999999998</v>
      </c>
      <c r="BF198" s="350">
        <f t="shared" si="235"/>
        <v>127.20969844408658</v>
      </c>
      <c r="BG198" s="250"/>
      <c r="BH198" s="297">
        <f t="shared" si="232"/>
        <v>0.23450510595745677</v>
      </c>
      <c r="BI198" s="252"/>
      <c r="BJ198" s="252"/>
      <c r="BK198" s="250"/>
      <c r="BL198" s="252"/>
      <c r="BM198" s="252"/>
      <c r="BN198" s="252"/>
      <c r="BO198" s="252"/>
      <c r="BP198" s="252"/>
      <c r="BQ198" s="252"/>
      <c r="BR198" s="252"/>
      <c r="BS198" s="252"/>
    </row>
    <row r="199" spans="1:71" s="358" customFormat="1" ht="15" x14ac:dyDescent="0.2">
      <c r="A199" s="584"/>
      <c r="B199" s="344">
        <v>44274</v>
      </c>
      <c r="C199" s="479" t="s">
        <v>313</v>
      </c>
      <c r="D199" s="248" t="s">
        <v>298</v>
      </c>
      <c r="E199" s="250" t="s">
        <v>252</v>
      </c>
      <c r="F199" s="250" t="s">
        <v>303</v>
      </c>
      <c r="G199" s="250"/>
      <c r="H199" s="250"/>
      <c r="I199" s="250"/>
      <c r="J199" s="250"/>
      <c r="K199" s="4"/>
      <c r="L199" s="222" t="s">
        <v>234</v>
      </c>
      <c r="M199" s="250"/>
      <c r="N199" s="476"/>
      <c r="O199" s="476"/>
      <c r="P199" s="476"/>
      <c r="Q199" s="476"/>
      <c r="R199" s="476"/>
      <c r="S199" s="476"/>
      <c r="T199" s="476"/>
      <c r="U199" s="476"/>
      <c r="V199" s="476"/>
      <c r="W199" s="476"/>
      <c r="X199" s="476"/>
      <c r="Y199" s="476"/>
      <c r="Z199" s="278" t="s">
        <v>300</v>
      </c>
      <c r="AA199" s="406">
        <v>44278</v>
      </c>
      <c r="AB199" s="139">
        <v>50</v>
      </c>
      <c r="AC199" s="8" t="s">
        <v>301</v>
      </c>
      <c r="AD199" s="250"/>
      <c r="AE199" s="222" t="s">
        <v>425</v>
      </c>
      <c r="AF199" s="250"/>
      <c r="AG199" s="406">
        <v>44279</v>
      </c>
      <c r="AH199" s="477">
        <v>5</v>
      </c>
      <c r="AI199" s="8" t="s">
        <v>63</v>
      </c>
      <c r="AJ199" s="165">
        <v>23.972005808707799</v>
      </c>
      <c r="AK199" s="165">
        <v>23.839430745577602</v>
      </c>
      <c r="AL199" s="165">
        <v>23.995310008258201</v>
      </c>
      <c r="AM199" s="140">
        <f t="shared" si="225"/>
        <v>23.93558218751453</v>
      </c>
      <c r="AN199" s="467">
        <v>-3.4410714285714286</v>
      </c>
      <c r="AO199" s="467">
        <v>48.943513064185922</v>
      </c>
      <c r="AP199" s="468">
        <f t="shared" si="233"/>
        <v>18513298.532772608</v>
      </c>
      <c r="AQ199" s="469">
        <f t="shared" si="227"/>
        <v>14.28646650032629</v>
      </c>
      <c r="AR199" s="165">
        <v>28.236317330985699</v>
      </c>
      <c r="AS199" s="165">
        <v>28.096903785921398</v>
      </c>
      <c r="AT199" s="165">
        <v>28.2390078923187</v>
      </c>
      <c r="AU199" s="140">
        <f t="shared" si="228"/>
        <v>28.190743003075266</v>
      </c>
      <c r="AV199" s="535">
        <v>-3.5035151515151499</v>
      </c>
      <c r="AW199" s="535">
        <v>40.6726666666667</v>
      </c>
      <c r="AX199" s="536">
        <f t="shared" si="234"/>
        <v>3653.3038555410776</v>
      </c>
      <c r="AY199" s="250"/>
      <c r="AZ199" s="165">
        <v>34.137888885099699</v>
      </c>
      <c r="BA199" s="165">
        <v>33.781893694614297</v>
      </c>
      <c r="BB199" s="165">
        <v>33.875933243045097</v>
      </c>
      <c r="BC199" s="140">
        <f t="shared" si="230"/>
        <v>33.931905274253033</v>
      </c>
      <c r="BD199" s="653">
        <v>-3.4617</v>
      </c>
      <c r="BE199" s="648">
        <v>42.390999999999998</v>
      </c>
      <c r="BF199" s="350">
        <f t="shared" si="235"/>
        <v>277.73105284591617</v>
      </c>
      <c r="BG199" s="250"/>
      <c r="BH199" s="297">
        <f t="shared" si="232"/>
        <v>7.6021886989956503E-2</v>
      </c>
      <c r="BI199" s="252"/>
      <c r="BJ199" s="252"/>
      <c r="BK199" s="250"/>
      <c r="BL199" s="252"/>
      <c r="BM199" s="252"/>
      <c r="BN199" s="252"/>
      <c r="BO199" s="252"/>
      <c r="BP199" s="252"/>
      <c r="BQ199" s="252"/>
      <c r="BR199" s="252"/>
      <c r="BS199" s="252"/>
    </row>
    <row r="200" spans="1:71" ht="15" x14ac:dyDescent="0.2">
      <c r="A200" s="584"/>
      <c r="B200" s="370">
        <v>44274</v>
      </c>
      <c r="C200" s="605" t="s">
        <v>312</v>
      </c>
      <c r="D200" s="710" t="s">
        <v>298</v>
      </c>
      <c r="E200" s="250" t="s">
        <v>252</v>
      </c>
      <c r="F200" s="250" t="s">
        <v>305</v>
      </c>
      <c r="G200" s="250"/>
      <c r="H200" s="250"/>
      <c r="I200" s="250"/>
      <c r="J200" s="250"/>
      <c r="K200" s="4"/>
      <c r="L200" s="222" t="s">
        <v>234</v>
      </c>
      <c r="M200" s="250"/>
      <c r="N200" s="476"/>
      <c r="O200" s="476"/>
      <c r="P200" s="476"/>
      <c r="Q200" s="476"/>
      <c r="R200" s="476"/>
      <c r="S200" s="476"/>
      <c r="T200" s="476"/>
      <c r="U200" s="476"/>
      <c r="V200" s="476"/>
      <c r="W200" s="476"/>
      <c r="X200" s="476"/>
      <c r="Y200" s="476"/>
      <c r="Z200" s="278" t="s">
        <v>300</v>
      </c>
      <c r="AA200" s="406">
        <v>44278</v>
      </c>
      <c r="AB200" s="139">
        <v>50</v>
      </c>
      <c r="AC200" s="8" t="s">
        <v>301</v>
      </c>
      <c r="AD200" s="250"/>
      <c r="AE200" s="222" t="s">
        <v>425</v>
      </c>
      <c r="AF200" s="257"/>
      <c r="AG200" s="406">
        <v>44279</v>
      </c>
      <c r="AH200" s="477">
        <v>5</v>
      </c>
      <c r="AI200" s="8" t="s">
        <v>63</v>
      </c>
      <c r="AJ200" s="165">
        <v>36.4060429916168</v>
      </c>
      <c r="AK200" s="165">
        <v>36.406587480016398</v>
      </c>
      <c r="AL200" s="165">
        <v>36.744243160124903</v>
      </c>
      <c r="AM200" s="140">
        <f t="shared" si="225"/>
        <v>36.518957877252696</v>
      </c>
      <c r="AN200" s="467">
        <v>-3.4410714285714286</v>
      </c>
      <c r="AO200" s="467">
        <v>48.943513064185922</v>
      </c>
      <c r="AP200" s="468">
        <f t="shared" si="233"/>
        <v>4080.0427578865169</v>
      </c>
      <c r="AQ200" s="469">
        <f t="shared" si="227"/>
        <v>3.1485147866685977E-3</v>
      </c>
      <c r="AR200" s="165">
        <v>35.155651377828598</v>
      </c>
      <c r="AS200" s="165">
        <v>35.423345783149799</v>
      </c>
      <c r="AT200" s="165">
        <v>35.428893842854201</v>
      </c>
      <c r="AU200" s="140">
        <f t="shared" si="228"/>
        <v>35.335963667944192</v>
      </c>
      <c r="AV200" s="535">
        <v>-3.5035151515151499</v>
      </c>
      <c r="AW200" s="535">
        <v>40.6726666666667</v>
      </c>
      <c r="AX200" s="536">
        <f t="shared" si="234"/>
        <v>33.361260300552566</v>
      </c>
      <c r="AY200" s="257"/>
      <c r="AZ200" s="165">
        <v>35.418900326364003</v>
      </c>
      <c r="BA200" s="165" t="s">
        <v>95</v>
      </c>
      <c r="BB200" s="165">
        <v>37.617138594350401</v>
      </c>
      <c r="BC200" s="140">
        <f t="shared" si="230"/>
        <v>36.518019460357202</v>
      </c>
      <c r="BD200" s="653">
        <v>-3.4617</v>
      </c>
      <c r="BE200" s="648">
        <v>42.390999999999998</v>
      </c>
      <c r="BF200" s="350">
        <f t="shared" si="235"/>
        <v>49.723266329221694</v>
      </c>
      <c r="BG200" s="257"/>
      <c r="BH200" s="297">
        <f t="shared" si="232"/>
        <v>1.4904492780327643</v>
      </c>
      <c r="BK200" s="257"/>
    </row>
    <row r="201" spans="1:71" ht="15" x14ac:dyDescent="0.2">
      <c r="A201" s="584"/>
      <c r="B201" s="606">
        <v>44274</v>
      </c>
      <c r="C201" s="607" t="s">
        <v>254</v>
      </c>
      <c r="D201" s="248" t="s">
        <v>298</v>
      </c>
      <c r="F201" s="250"/>
      <c r="G201" s="250"/>
      <c r="H201" s="250"/>
      <c r="I201" s="250"/>
      <c r="J201" s="250"/>
      <c r="K201" s="250"/>
      <c r="L201" s="250"/>
      <c r="M201" s="250"/>
      <c r="N201" s="476"/>
      <c r="O201" s="476"/>
      <c r="P201" s="476"/>
      <c r="Q201" s="476"/>
      <c r="R201" s="476"/>
      <c r="S201" s="476"/>
      <c r="T201" s="476"/>
      <c r="U201" s="476"/>
      <c r="V201" s="476"/>
      <c r="W201" s="476"/>
      <c r="X201" s="476"/>
      <c r="Y201" s="476"/>
      <c r="Z201" s="278" t="s">
        <v>300</v>
      </c>
      <c r="AA201" s="406">
        <v>44278</v>
      </c>
      <c r="AB201" s="139">
        <v>50</v>
      </c>
      <c r="AC201" s="8" t="s">
        <v>301</v>
      </c>
      <c r="AD201" s="250"/>
      <c r="AE201" s="222" t="s">
        <v>425</v>
      </c>
      <c r="AF201" s="250"/>
      <c r="AG201" s="406">
        <v>44279</v>
      </c>
      <c r="AH201" s="463">
        <v>5</v>
      </c>
      <c r="AI201" s="8" t="s">
        <v>63</v>
      </c>
      <c r="AJ201" s="165">
        <v>20.9963630144441</v>
      </c>
      <c r="AK201" s="165">
        <v>21.036039506433301</v>
      </c>
      <c r="AL201" s="165">
        <v>21.050451945000699</v>
      </c>
      <c r="AM201" s="140">
        <f t="shared" si="225"/>
        <v>21.0276181552927</v>
      </c>
      <c r="AN201" s="467">
        <v>-3.4410714285714286</v>
      </c>
      <c r="AO201" s="467">
        <v>48.943513064185922</v>
      </c>
      <c r="AP201" s="468">
        <f t="shared" si="233"/>
        <v>129586266.3615932</v>
      </c>
      <c r="AQ201" s="469">
        <f t="shared" si="227"/>
        <v>100</v>
      </c>
      <c r="AR201" s="165">
        <v>35.256051834865801</v>
      </c>
      <c r="AS201" s="165">
        <v>35.465099243896603</v>
      </c>
      <c r="AT201" s="165">
        <v>34.916877717191198</v>
      </c>
      <c r="AU201" s="140">
        <f t="shared" si="228"/>
        <v>35.212676265317867</v>
      </c>
      <c r="AV201" s="535">
        <v>-3.5035151515151499</v>
      </c>
      <c r="AW201" s="535">
        <v>40.6726666666667</v>
      </c>
      <c r="AX201" s="536">
        <f t="shared" si="234"/>
        <v>36.176960774624312</v>
      </c>
      <c r="AY201" s="250"/>
      <c r="AZ201" s="165">
        <v>37.384400895171801</v>
      </c>
      <c r="BA201" s="165">
        <v>37.433230162582603</v>
      </c>
      <c r="BB201" s="165">
        <v>35.473925373315097</v>
      </c>
      <c r="BC201" s="140">
        <f t="shared" si="230"/>
        <v>36.763852143689832</v>
      </c>
      <c r="BD201" s="653">
        <v>-3.4617</v>
      </c>
      <c r="BE201" s="648">
        <v>42.390999999999998</v>
      </c>
      <c r="BF201" s="350">
        <f t="shared" si="235"/>
        <v>42.222566956549869</v>
      </c>
      <c r="BG201" s="250"/>
      <c r="BH201" s="297">
        <f t="shared" si="232"/>
        <v>1.167112052877757</v>
      </c>
      <c r="BI201" s="250"/>
      <c r="BJ201" s="250"/>
      <c r="BK201" s="250"/>
    </row>
    <row r="202" spans="1:71" ht="15" x14ac:dyDescent="0.2">
      <c r="A202" s="615"/>
      <c r="B202" s="616">
        <v>44274</v>
      </c>
      <c r="C202" s="617" t="s">
        <v>255</v>
      </c>
      <c r="D202" s="710" t="s">
        <v>298</v>
      </c>
      <c r="E202" s="618"/>
      <c r="F202" s="618"/>
      <c r="G202" s="618"/>
      <c r="H202" s="618"/>
      <c r="I202" s="618"/>
      <c r="J202" s="618"/>
      <c r="K202" s="618"/>
      <c r="L202" s="618"/>
      <c r="M202" s="618"/>
      <c r="N202" s="527"/>
      <c r="O202" s="527"/>
      <c r="P202" s="527"/>
      <c r="Q202" s="527"/>
      <c r="R202" s="527"/>
      <c r="S202" s="527"/>
      <c r="T202" s="527"/>
      <c r="U202" s="527"/>
      <c r="V202" s="527"/>
      <c r="W202" s="527"/>
      <c r="X202" s="527"/>
      <c r="Y202" s="527"/>
      <c r="Z202" s="619" t="s">
        <v>300</v>
      </c>
      <c r="AA202" s="406">
        <v>44278</v>
      </c>
      <c r="AB202" s="255">
        <v>50</v>
      </c>
      <c r="AC202" s="599"/>
      <c r="AD202" s="618"/>
      <c r="AE202" s="618"/>
      <c r="AF202" s="618"/>
      <c r="AG202" s="406">
        <v>44279</v>
      </c>
      <c r="AH202" s="528">
        <v>5</v>
      </c>
      <c r="AI202" s="599" t="s">
        <v>63</v>
      </c>
      <c r="AJ202" s="529">
        <v>39.473042286815499</v>
      </c>
      <c r="AK202" s="529">
        <v>37.999908561942298</v>
      </c>
      <c r="AL202" s="529">
        <v>37.7740898308504</v>
      </c>
      <c r="AM202" s="530">
        <f t="shared" si="225"/>
        <v>38.415680226536061</v>
      </c>
      <c r="AN202" s="531">
        <v>-3.4410714285714286</v>
      </c>
      <c r="AO202" s="531">
        <v>48.943513064185922</v>
      </c>
      <c r="AP202" s="532">
        <f t="shared" si="233"/>
        <v>1146.7364484065877</v>
      </c>
      <c r="AQ202" s="533">
        <f t="shared" si="227"/>
        <v>8.8492128109222046E-4</v>
      </c>
      <c r="AR202" s="529">
        <v>38.561977984806099</v>
      </c>
      <c r="AS202" s="529" t="s">
        <v>95</v>
      </c>
      <c r="AT202" s="529">
        <v>38.5281476923018</v>
      </c>
      <c r="AU202" s="530">
        <f t="shared" si="228"/>
        <v>38.545062838553946</v>
      </c>
      <c r="AV202" s="535">
        <v>-3.5035151515151499</v>
      </c>
      <c r="AW202" s="535">
        <v>40.6726666666667</v>
      </c>
      <c r="AX202" s="536">
        <f t="shared" si="234"/>
        <v>4.0483392787133994</v>
      </c>
      <c r="AY202" s="618"/>
      <c r="AZ202" s="529">
        <v>36.287728571612902</v>
      </c>
      <c r="BA202" s="529" t="s">
        <v>95</v>
      </c>
      <c r="BB202" s="529" t="s">
        <v>95</v>
      </c>
      <c r="BC202" s="530">
        <f t="shared" si="230"/>
        <v>36.287728571612902</v>
      </c>
      <c r="BD202" s="653">
        <v>-3.4617</v>
      </c>
      <c r="BE202" s="648">
        <v>42.390999999999998</v>
      </c>
      <c r="BF202" s="350">
        <f t="shared" si="235"/>
        <v>57.954214549266645</v>
      </c>
      <c r="BG202" s="618"/>
      <c r="BH202" s="350">
        <f t="shared" si="232"/>
        <v>14.315552763572979</v>
      </c>
      <c r="BI202" s="618"/>
      <c r="BJ202" s="618"/>
      <c r="BK202" s="618"/>
      <c r="BM202" s="620"/>
      <c r="BN202" s="620"/>
      <c r="BO202" s="620"/>
      <c r="BP202" s="620"/>
      <c r="BQ202" s="620"/>
      <c r="BR202" s="620"/>
      <c r="BS202" s="621"/>
    </row>
    <row r="203" spans="1:71" s="596" customFormat="1" x14ac:dyDescent="0.2">
      <c r="A203" s="608"/>
      <c r="B203" s="547"/>
      <c r="C203" s="609"/>
      <c r="D203" s="612"/>
      <c r="E203" s="610"/>
      <c r="F203" s="610"/>
      <c r="G203" s="610"/>
      <c r="H203" s="610"/>
      <c r="I203" s="610"/>
      <c r="J203" s="610"/>
      <c r="K203" s="610"/>
      <c r="L203" s="610"/>
      <c r="M203" s="610"/>
      <c r="N203" s="611"/>
      <c r="O203" s="610"/>
      <c r="P203" s="610"/>
      <c r="Q203" s="610"/>
      <c r="R203" s="610"/>
      <c r="S203" s="610"/>
      <c r="T203" s="610"/>
      <c r="U203" s="610"/>
      <c r="V203" s="610"/>
      <c r="W203" s="610"/>
      <c r="X203" s="610"/>
      <c r="Y203" s="610"/>
      <c r="Z203" s="612"/>
      <c r="AA203" s="613"/>
      <c r="AB203" s="610"/>
      <c r="AC203" s="610"/>
      <c r="AD203" s="610"/>
      <c r="AE203" s="610"/>
      <c r="AF203" s="610"/>
      <c r="AG203" s="613"/>
      <c r="AH203" s="610"/>
      <c r="AI203" s="610"/>
      <c r="AJ203" s="610"/>
      <c r="AK203" s="610"/>
      <c r="AL203" s="610"/>
      <c r="AM203" s="610"/>
      <c r="AN203" s="610"/>
      <c r="AO203" s="610"/>
      <c r="AP203" s="610"/>
      <c r="AQ203" s="610"/>
      <c r="AR203" s="610"/>
      <c r="AS203" s="610"/>
      <c r="AT203" s="610"/>
      <c r="AU203" s="610"/>
      <c r="AV203" s="610"/>
      <c r="AW203" s="610"/>
      <c r="AX203" s="614"/>
      <c r="AY203" s="610"/>
      <c r="AZ203" s="610"/>
      <c r="BA203" s="610"/>
      <c r="BB203" s="610"/>
      <c r="BC203" s="610"/>
      <c r="BD203" s="610"/>
      <c r="BE203" s="610"/>
      <c r="BF203" s="610"/>
      <c r="BG203" s="610"/>
      <c r="BH203" s="610"/>
      <c r="BK203" s="610"/>
    </row>
    <row r="204" spans="1:71" s="408" customFormat="1" ht="15" x14ac:dyDescent="0.2">
      <c r="A204" s="622"/>
      <c r="B204" s="623">
        <v>44275</v>
      </c>
      <c r="C204" s="624" t="s">
        <v>243</v>
      </c>
      <c r="D204" s="711" t="s">
        <v>244</v>
      </c>
      <c r="E204" s="625" t="s">
        <v>232</v>
      </c>
      <c r="F204" s="625" t="s">
        <v>233</v>
      </c>
      <c r="G204" s="625"/>
      <c r="H204" s="625"/>
      <c r="I204" s="625"/>
      <c r="J204" s="625"/>
      <c r="K204" s="250"/>
      <c r="L204" s="222" t="s">
        <v>234</v>
      </c>
      <c r="M204" s="625"/>
      <c r="N204" s="458">
        <v>44278</v>
      </c>
      <c r="O204" s="41">
        <v>50</v>
      </c>
      <c r="P204" s="397" t="s">
        <v>89</v>
      </c>
      <c r="Q204" s="625" t="s">
        <v>236</v>
      </c>
      <c r="R204" s="375" t="s">
        <v>89</v>
      </c>
      <c r="S204" s="41">
        <v>7.32</v>
      </c>
      <c r="T204" s="41">
        <v>4.42</v>
      </c>
      <c r="U204" s="41">
        <v>20.3</v>
      </c>
      <c r="V204" s="41">
        <v>444</v>
      </c>
      <c r="W204" s="625"/>
      <c r="X204" s="625"/>
      <c r="Y204" s="625"/>
      <c r="Z204" s="619" t="s">
        <v>314</v>
      </c>
      <c r="AA204" s="476"/>
      <c r="AB204" s="41">
        <v>50</v>
      </c>
      <c r="AC204" s="625"/>
      <c r="AD204" s="625"/>
      <c r="AE204" s="222" t="s">
        <v>425</v>
      </c>
      <c r="AF204" s="625"/>
      <c r="AG204" s="527">
        <v>44280</v>
      </c>
      <c r="AH204" s="528">
        <v>5</v>
      </c>
      <c r="AI204" s="599" t="s">
        <v>63</v>
      </c>
      <c r="AJ204" s="355">
        <v>21.3914196705359</v>
      </c>
      <c r="AK204" s="355">
        <v>21.3825883120352</v>
      </c>
      <c r="AL204" s="355">
        <v>21.424643536113699</v>
      </c>
      <c r="AM204" s="632">
        <f t="shared" ref="AM204:AM221" si="236">AVERAGE(AJ204:AL204)</f>
        <v>21.399550506228266</v>
      </c>
      <c r="AN204" s="363">
        <v>-3.4410714285714286</v>
      </c>
      <c r="AO204" s="363">
        <v>48.943513064185922</v>
      </c>
      <c r="AP204" s="361">
        <f t="shared" ref="AP204" si="237">IF(AND(AJ204="No CT",AK204="No CT",AL204="No CT"),0,10^((AM204-AO204)/AN204))</f>
        <v>101035215.57101174</v>
      </c>
      <c r="AQ204" s="469">
        <f>AP204*100/$AP$220</f>
        <v>63.442092907122912</v>
      </c>
      <c r="AR204" s="165">
        <v>28.7871203453569</v>
      </c>
      <c r="AS204" s="165">
        <v>28.920643976669499</v>
      </c>
      <c r="AT204" s="165">
        <v>28.987558641674202</v>
      </c>
      <c r="AU204" s="140">
        <f t="shared" ref="AU204:AU221" si="238">AVERAGE(AR204:AT204)</f>
        <v>28.898440987900202</v>
      </c>
      <c r="AV204" s="535">
        <v>-3.5035151515151499</v>
      </c>
      <c r="AW204" s="535">
        <v>40.6726666666667</v>
      </c>
      <c r="AX204" s="536">
        <f t="shared" ref="AX204" si="239">IF(AND(AR204="No CT",AS204="No CT",AT204="No CT"),0,10^((AU204-AW204)/AV204))</f>
        <v>2294.5062339459391</v>
      </c>
      <c r="AY204" s="533">
        <f t="shared" ref="AY204:AY221" si="240">(AX204/AH204)*(AB204/O204)</f>
        <v>458.90124678918784</v>
      </c>
      <c r="AZ204" s="165">
        <v>37.589474051864997</v>
      </c>
      <c r="BA204" s="165">
        <v>36.892115764918998</v>
      </c>
      <c r="BB204" s="165" t="s">
        <v>95</v>
      </c>
      <c r="BC204" s="140">
        <f t="shared" ref="BC204:BC219" si="241">AVERAGE(AZ204:BB204)</f>
        <v>37.240794908391997</v>
      </c>
      <c r="BD204" s="653">
        <v>-3.4617</v>
      </c>
      <c r="BE204" s="648">
        <v>42.390999999999998</v>
      </c>
      <c r="BF204" s="350">
        <f t="shared" ref="BF204" si="242">IF(AND(AZ204="No CT",BA204="No CT",BB204="No CT"),0,10^((BC204-BE204)/BD204))</f>
        <v>30.74451152732426</v>
      </c>
      <c r="BG204" s="649">
        <f t="shared" ref="BG204:BG221" si="243">(BF204/AH204)*(AB204/O204)</f>
        <v>6.1489023054648522</v>
      </c>
      <c r="BH204" s="350">
        <f t="shared" si="232"/>
        <v>1.3399184134902913E-2</v>
      </c>
      <c r="BK204" s="625"/>
    </row>
    <row r="205" spans="1:71" s="358" customFormat="1" ht="15" x14ac:dyDescent="0.2">
      <c r="A205" s="364"/>
      <c r="B205" s="626">
        <v>44275</v>
      </c>
      <c r="C205" s="365" t="s">
        <v>247</v>
      </c>
      <c r="D205" s="712" t="s">
        <v>244</v>
      </c>
      <c r="E205" s="273" t="s">
        <v>246</v>
      </c>
      <c r="F205" s="273" t="s">
        <v>233</v>
      </c>
      <c r="G205" s="273"/>
      <c r="H205" s="273"/>
      <c r="I205" s="273"/>
      <c r="J205" s="273"/>
      <c r="K205" s="250"/>
      <c r="L205" s="222" t="s">
        <v>234</v>
      </c>
      <c r="M205" s="273"/>
      <c r="N205" s="458">
        <v>44278</v>
      </c>
      <c r="O205" s="41">
        <v>50</v>
      </c>
      <c r="P205" s="397" t="s">
        <v>89</v>
      </c>
      <c r="Q205" s="625" t="s">
        <v>236</v>
      </c>
      <c r="R205" s="375" t="s">
        <v>89</v>
      </c>
      <c r="S205" s="41">
        <v>7.1</v>
      </c>
      <c r="T205" s="41">
        <v>4.43</v>
      </c>
      <c r="U205" s="41">
        <v>146</v>
      </c>
      <c r="V205" s="41">
        <v>196</v>
      </c>
      <c r="W205" s="273"/>
      <c r="X205" s="273"/>
      <c r="Y205" s="273"/>
      <c r="Z205" s="619" t="s">
        <v>314</v>
      </c>
      <c r="AA205" s="476"/>
      <c r="AB205" s="41">
        <v>50</v>
      </c>
      <c r="AC205" s="273"/>
      <c r="AD205" s="273"/>
      <c r="AE205" s="222" t="s">
        <v>425</v>
      </c>
      <c r="AF205" s="273"/>
      <c r="AG205" s="527">
        <v>44280</v>
      </c>
      <c r="AH205" s="528">
        <v>5</v>
      </c>
      <c r="AI205" s="599" t="s">
        <v>63</v>
      </c>
      <c r="AJ205" s="355">
        <v>22.419144119666001</v>
      </c>
      <c r="AK205" s="355">
        <v>22.241591169378498</v>
      </c>
      <c r="AL205" s="355">
        <v>22.0139827340967</v>
      </c>
      <c r="AM205" s="632">
        <f t="shared" si="236"/>
        <v>22.224906007713731</v>
      </c>
      <c r="AN205" s="363">
        <v>-3.4410714285714286</v>
      </c>
      <c r="AO205" s="363">
        <v>48.943513064185922</v>
      </c>
      <c r="AP205" s="361">
        <f t="shared" ref="AP205:AP221" si="244">IF(AND(AJ205="No CT",AK205="No CT",AL205="No CT"),0,10^((AM205-AO205)/AN205))</f>
        <v>58159217.272016644</v>
      </c>
      <c r="AQ205" s="469">
        <f t="shared" ref="AQ205:AQ221" si="245">AP205*100/$AP$220</f>
        <v>36.519370446470951</v>
      </c>
      <c r="AR205" s="165">
        <v>28.933904027198999</v>
      </c>
      <c r="AS205" s="165">
        <v>28.845506632330601</v>
      </c>
      <c r="AT205" s="165">
        <v>28.251931471569002</v>
      </c>
      <c r="AU205" s="140">
        <f t="shared" si="238"/>
        <v>28.677114043699532</v>
      </c>
      <c r="AV205" s="535">
        <v>-3.5035151515151499</v>
      </c>
      <c r="AW205" s="535">
        <v>40.6726666666667</v>
      </c>
      <c r="AX205" s="536">
        <f t="shared" ref="AX205:AX221" si="246">IF(AND(AR205="No CT",AS205="No CT",AT205="No CT"),0,10^((AU205-AW205)/AV205))</f>
        <v>2653.7625770336795</v>
      </c>
      <c r="AY205" s="533">
        <f t="shared" si="240"/>
        <v>530.75251540673594</v>
      </c>
      <c r="AZ205" s="165">
        <v>33.014174270962002</v>
      </c>
      <c r="BA205" s="165">
        <v>33.784527417103</v>
      </c>
      <c r="BB205" s="165">
        <v>32.331901198540898</v>
      </c>
      <c r="BC205" s="140">
        <f t="shared" si="241"/>
        <v>33.043534295535295</v>
      </c>
      <c r="BD205" s="653">
        <v>-3.4617</v>
      </c>
      <c r="BE205" s="648">
        <v>42.390999999999998</v>
      </c>
      <c r="BF205" s="350">
        <f t="shared" ref="BF205:BF221" si="247">IF(AND(AZ205="No CT",BA205="No CT",BB205="No CT"),0,10^((BC205-BE205)/BD205))</f>
        <v>501.47925209340173</v>
      </c>
      <c r="BG205" s="649">
        <f t="shared" si="243"/>
        <v>100.29585041868035</v>
      </c>
      <c r="BH205" s="350">
        <f t="shared" si="232"/>
        <v>0.1889691475919239</v>
      </c>
      <c r="BK205" s="273"/>
    </row>
    <row r="206" spans="1:71" s="358" customFormat="1" ht="15" x14ac:dyDescent="0.2">
      <c r="A206" s="364"/>
      <c r="B206" s="626">
        <v>44275</v>
      </c>
      <c r="C206" s="365" t="s">
        <v>250</v>
      </c>
      <c r="D206" s="712" t="s">
        <v>244</v>
      </c>
      <c r="E206" s="273" t="s">
        <v>249</v>
      </c>
      <c r="F206" s="273" t="s">
        <v>233</v>
      </c>
      <c r="G206" s="273"/>
      <c r="H206" s="273"/>
      <c r="I206" s="273"/>
      <c r="J206" s="273"/>
      <c r="K206" s="250"/>
      <c r="L206" s="222" t="s">
        <v>234</v>
      </c>
      <c r="M206" s="273"/>
      <c r="N206" s="458">
        <v>44278</v>
      </c>
      <c r="O206" s="41">
        <v>50</v>
      </c>
      <c r="P206" s="397" t="s">
        <v>89</v>
      </c>
      <c r="Q206" s="625" t="s">
        <v>236</v>
      </c>
      <c r="R206" s="375" t="s">
        <v>89</v>
      </c>
      <c r="S206" s="41">
        <v>7.65</v>
      </c>
      <c r="T206" s="41">
        <v>3.83</v>
      </c>
      <c r="U206" s="41">
        <v>28.8</v>
      </c>
      <c r="V206" s="41">
        <v>114</v>
      </c>
      <c r="W206" s="273"/>
      <c r="X206" s="273"/>
      <c r="Y206" s="273"/>
      <c r="Z206" s="619" t="s">
        <v>314</v>
      </c>
      <c r="AA206" s="476"/>
      <c r="AB206" s="41">
        <v>50</v>
      </c>
      <c r="AC206" s="273"/>
      <c r="AD206" s="273"/>
      <c r="AE206" s="222" t="s">
        <v>425</v>
      </c>
      <c r="AF206" s="273"/>
      <c r="AG206" s="527">
        <v>44280</v>
      </c>
      <c r="AH206" s="528">
        <v>5</v>
      </c>
      <c r="AI206" s="599" t="s">
        <v>63</v>
      </c>
      <c r="AJ206" s="355">
        <v>20.8011313712712</v>
      </c>
      <c r="AK206" s="355">
        <v>20.858190162872798</v>
      </c>
      <c r="AL206" s="355">
        <v>20.838882766360399</v>
      </c>
      <c r="AM206" s="632">
        <f t="shared" si="236"/>
        <v>20.8327347668348</v>
      </c>
      <c r="AN206" s="363">
        <v>-3.4410714285714286</v>
      </c>
      <c r="AO206" s="363">
        <v>48.943513064185922</v>
      </c>
      <c r="AP206" s="361">
        <f t="shared" si="244"/>
        <v>147636413.17705464</v>
      </c>
      <c r="AQ206" s="469">
        <f t="shared" si="245"/>
        <v>92.703944741623459</v>
      </c>
      <c r="AR206" s="165">
        <v>28.2771793925507</v>
      </c>
      <c r="AS206" s="165">
        <v>28.284127176127601</v>
      </c>
      <c r="AT206" s="165">
        <v>28.292655134227001</v>
      </c>
      <c r="AU206" s="140">
        <f t="shared" si="238"/>
        <v>28.284653900968436</v>
      </c>
      <c r="AV206" s="535">
        <v>-3.5035151515151499</v>
      </c>
      <c r="AW206" s="535">
        <v>40.6726666666667</v>
      </c>
      <c r="AX206" s="536">
        <f t="shared" si="246"/>
        <v>3434.6384773222148</v>
      </c>
      <c r="AY206" s="533">
        <f t="shared" si="240"/>
        <v>686.92769546444299</v>
      </c>
      <c r="AZ206" s="165">
        <v>31.3747915992919</v>
      </c>
      <c r="BA206" s="165">
        <v>31.4522093875484</v>
      </c>
      <c r="BB206" s="165">
        <v>31.3249830705414</v>
      </c>
      <c r="BC206" s="140">
        <f t="shared" si="241"/>
        <v>31.383994685793898</v>
      </c>
      <c r="BD206" s="653">
        <v>-3.4617</v>
      </c>
      <c r="BE206" s="648">
        <v>42.390999999999998</v>
      </c>
      <c r="BF206" s="350">
        <f t="shared" si="247"/>
        <v>1512.3529277234873</v>
      </c>
      <c r="BG206" s="649">
        <f t="shared" si="243"/>
        <v>302.47058554469743</v>
      </c>
      <c r="BH206" s="350">
        <f t="shared" si="232"/>
        <v>0.44032375975202481</v>
      </c>
      <c r="BK206" s="273"/>
    </row>
    <row r="207" spans="1:71" s="358" customFormat="1" ht="15" x14ac:dyDescent="0.2">
      <c r="A207" s="364"/>
      <c r="B207" s="626">
        <v>44275</v>
      </c>
      <c r="C207" s="365" t="s">
        <v>253</v>
      </c>
      <c r="D207" s="712" t="s">
        <v>244</v>
      </c>
      <c r="E207" s="273" t="s">
        <v>252</v>
      </c>
      <c r="F207" s="273" t="s">
        <v>233</v>
      </c>
      <c r="G207" s="273"/>
      <c r="H207" s="273"/>
      <c r="I207" s="273"/>
      <c r="J207" s="273"/>
      <c r="K207" s="250"/>
      <c r="L207" s="222" t="s">
        <v>234</v>
      </c>
      <c r="M207" s="273"/>
      <c r="N207" s="458">
        <v>44278</v>
      </c>
      <c r="O207" s="41">
        <v>50</v>
      </c>
      <c r="P207" s="397" t="s">
        <v>89</v>
      </c>
      <c r="Q207" s="625" t="s">
        <v>236</v>
      </c>
      <c r="R207" s="375" t="s">
        <v>89</v>
      </c>
      <c r="S207" s="41">
        <v>7.1</v>
      </c>
      <c r="T207" s="41">
        <v>3.66</v>
      </c>
      <c r="U207" s="41">
        <v>131</v>
      </c>
      <c r="V207" s="41">
        <v>223</v>
      </c>
      <c r="W207" s="273"/>
      <c r="X207" s="273"/>
      <c r="Y207" s="273"/>
      <c r="Z207" s="619" t="s">
        <v>314</v>
      </c>
      <c r="AA207" s="476"/>
      <c r="AB207" s="41">
        <v>50</v>
      </c>
      <c r="AC207" s="273"/>
      <c r="AD207" s="273"/>
      <c r="AE207" s="222" t="s">
        <v>425</v>
      </c>
      <c r="AF207" s="273"/>
      <c r="AG207" s="527">
        <v>44280</v>
      </c>
      <c r="AH207" s="528">
        <v>5</v>
      </c>
      <c r="AI207" s="599" t="s">
        <v>63</v>
      </c>
      <c r="AJ207" s="355">
        <v>21.563783439903801</v>
      </c>
      <c r="AK207" s="355">
        <v>21.460967540263901</v>
      </c>
      <c r="AL207" s="355">
        <v>21.5316738610044</v>
      </c>
      <c r="AM207" s="632">
        <f t="shared" si="236"/>
        <v>21.518808280390701</v>
      </c>
      <c r="AN207" s="363">
        <v>-3.4410714285714286</v>
      </c>
      <c r="AO207" s="363">
        <v>48.943513064185922</v>
      </c>
      <c r="AP207" s="361">
        <f t="shared" si="244"/>
        <v>93285814.797964483</v>
      </c>
      <c r="AQ207" s="469">
        <f t="shared" si="245"/>
        <v>58.576084545190433</v>
      </c>
      <c r="AR207" s="165">
        <v>29.535010999960601</v>
      </c>
      <c r="AS207" s="165">
        <v>29.394462427288001</v>
      </c>
      <c r="AT207" s="165">
        <v>29.288262779337799</v>
      </c>
      <c r="AU207" s="140">
        <f t="shared" si="238"/>
        <v>29.405912068862136</v>
      </c>
      <c r="AV207" s="535">
        <v>-3.5035151515151499</v>
      </c>
      <c r="AW207" s="535">
        <v>40.6726666666667</v>
      </c>
      <c r="AX207" s="536">
        <f t="shared" si="246"/>
        <v>1643.7772968154804</v>
      </c>
      <c r="AY207" s="533">
        <f t="shared" si="240"/>
        <v>328.75545936309607</v>
      </c>
      <c r="AZ207" s="165">
        <v>37.6569333622366</v>
      </c>
      <c r="BA207" s="165">
        <v>36.701223575640398</v>
      </c>
      <c r="BB207" s="165">
        <v>35.596499880555697</v>
      </c>
      <c r="BC207" s="140">
        <f t="shared" si="241"/>
        <v>36.651552272810896</v>
      </c>
      <c r="BD207" s="653">
        <v>-3.4617</v>
      </c>
      <c r="BE207" s="648">
        <v>42.390999999999998</v>
      </c>
      <c r="BF207" s="350">
        <f t="shared" si="247"/>
        <v>45.497266426544591</v>
      </c>
      <c r="BG207" s="649">
        <f t="shared" si="243"/>
        <v>9.0994532853089183</v>
      </c>
      <c r="BH207" s="350">
        <f t="shared" si="232"/>
        <v>2.7678485713780857E-2</v>
      </c>
      <c r="BK207" s="273"/>
    </row>
    <row r="208" spans="1:71" s="358" customFormat="1" ht="15" x14ac:dyDescent="0.2">
      <c r="A208" s="364"/>
      <c r="B208" s="626">
        <v>44275</v>
      </c>
      <c r="C208" s="365" t="s">
        <v>230</v>
      </c>
      <c r="D208" s="712" t="s">
        <v>231</v>
      </c>
      <c r="E208" s="273" t="s">
        <v>232</v>
      </c>
      <c r="F208" s="273" t="s">
        <v>233</v>
      </c>
      <c r="G208" s="273"/>
      <c r="H208" s="273"/>
      <c r="I208" s="273"/>
      <c r="J208" s="273"/>
      <c r="K208" s="250"/>
      <c r="L208" s="222" t="s">
        <v>234</v>
      </c>
      <c r="M208" s="273"/>
      <c r="N208" s="458">
        <v>44278</v>
      </c>
      <c r="O208" s="41">
        <v>50</v>
      </c>
      <c r="P208" s="397" t="s">
        <v>89</v>
      </c>
      <c r="Q208" s="625" t="s">
        <v>236</v>
      </c>
      <c r="R208" s="375" t="s">
        <v>89</v>
      </c>
      <c r="S208" s="41">
        <v>7.53</v>
      </c>
      <c r="T208" s="41">
        <v>4.17</v>
      </c>
      <c r="U208" s="41">
        <v>9.51</v>
      </c>
      <c r="V208" s="41">
        <v>384</v>
      </c>
      <c r="W208" s="273"/>
      <c r="X208" s="273"/>
      <c r="Y208" s="273"/>
      <c r="Z208" s="619" t="s">
        <v>314</v>
      </c>
      <c r="AA208" s="476"/>
      <c r="AB208" s="41">
        <v>50</v>
      </c>
      <c r="AC208" s="273"/>
      <c r="AD208" s="273"/>
      <c r="AE208" s="222" t="s">
        <v>425</v>
      </c>
      <c r="AF208" s="273"/>
      <c r="AG208" s="527">
        <v>44280</v>
      </c>
      <c r="AH208" s="528">
        <v>5</v>
      </c>
      <c r="AI208" s="599" t="s">
        <v>63</v>
      </c>
      <c r="AJ208" s="355">
        <v>20.731265340540499</v>
      </c>
      <c r="AK208" s="355">
        <v>20.731138533134999</v>
      </c>
      <c r="AL208" s="355">
        <v>20.792473326383501</v>
      </c>
      <c r="AM208" s="632">
        <f t="shared" si="236"/>
        <v>20.751625733352999</v>
      </c>
      <c r="AN208" s="363">
        <v>-3.4410714285714286</v>
      </c>
      <c r="AO208" s="363">
        <v>48.943513064185922</v>
      </c>
      <c r="AP208" s="361">
        <f t="shared" si="244"/>
        <v>155870651.7909711</v>
      </c>
      <c r="AQ208" s="469">
        <f t="shared" si="245"/>
        <v>97.874392770175888</v>
      </c>
      <c r="AR208" s="165">
        <v>29.033388377868</v>
      </c>
      <c r="AS208" s="165">
        <v>29.133405422835999</v>
      </c>
      <c r="AT208" s="165">
        <v>29.1564091924716</v>
      </c>
      <c r="AU208" s="140">
        <f t="shared" si="238"/>
        <v>29.107734331058534</v>
      </c>
      <c r="AV208" s="535">
        <v>-3.5035151515151499</v>
      </c>
      <c r="AW208" s="535">
        <v>40.6726666666667</v>
      </c>
      <c r="AX208" s="536">
        <f t="shared" si="246"/>
        <v>1999.6368921139854</v>
      </c>
      <c r="AY208" s="533">
        <f t="shared" si="240"/>
        <v>399.92737842279706</v>
      </c>
      <c r="AZ208" s="165">
        <v>36.5700748290935</v>
      </c>
      <c r="BA208" s="165">
        <v>36.430214876557201</v>
      </c>
      <c r="BB208" s="165">
        <v>35.284306699898401</v>
      </c>
      <c r="BC208" s="140">
        <f t="shared" si="241"/>
        <v>36.094865468516367</v>
      </c>
      <c r="BD208" s="653">
        <v>-3.4617</v>
      </c>
      <c r="BE208" s="648">
        <v>42.390999999999998</v>
      </c>
      <c r="BF208" s="350">
        <f t="shared" si="247"/>
        <v>65.886802526731827</v>
      </c>
      <c r="BG208" s="649">
        <f t="shared" si="243"/>
        <v>13.177360505346366</v>
      </c>
      <c r="BH208" s="350">
        <f t="shared" si="232"/>
        <v>3.2949383353833461E-2</v>
      </c>
      <c r="BK208" s="273"/>
    </row>
    <row r="209" spans="1:71" s="358" customFormat="1" ht="15" x14ac:dyDescent="0.2">
      <c r="A209" s="364"/>
      <c r="B209" s="626">
        <v>44275</v>
      </c>
      <c r="C209" s="365" t="s">
        <v>247</v>
      </c>
      <c r="D209" s="712" t="s">
        <v>244</v>
      </c>
      <c r="E209" s="273" t="s">
        <v>246</v>
      </c>
      <c r="F209" s="273" t="s">
        <v>233</v>
      </c>
      <c r="G209" s="273"/>
      <c r="H209" s="273"/>
      <c r="I209" s="273"/>
      <c r="J209" s="273"/>
      <c r="K209" s="250"/>
      <c r="L209" s="222" t="s">
        <v>234</v>
      </c>
      <c r="M209" s="273"/>
      <c r="N209" s="458">
        <v>44278</v>
      </c>
      <c r="O209" s="41">
        <v>50</v>
      </c>
      <c r="P209" s="397" t="s">
        <v>89</v>
      </c>
      <c r="Q209" s="625" t="s">
        <v>236</v>
      </c>
      <c r="R209" s="375" t="s">
        <v>89</v>
      </c>
      <c r="S209" s="41">
        <v>7.4</v>
      </c>
      <c r="T209" s="41">
        <v>4.34</v>
      </c>
      <c r="U209" s="41">
        <v>111</v>
      </c>
      <c r="V209" s="41">
        <v>189.1</v>
      </c>
      <c r="W209" s="273"/>
      <c r="X209" s="273"/>
      <c r="Y209" s="273"/>
      <c r="Z209" s="619" t="s">
        <v>314</v>
      </c>
      <c r="AA209" s="476"/>
      <c r="AB209" s="41">
        <v>50</v>
      </c>
      <c r="AC209" s="273"/>
      <c r="AD209" s="273"/>
      <c r="AE209" s="222" t="s">
        <v>425</v>
      </c>
      <c r="AF209" s="273"/>
      <c r="AG209" s="527">
        <v>44280</v>
      </c>
      <c r="AH209" s="528">
        <v>5</v>
      </c>
      <c r="AI209" s="599" t="s">
        <v>63</v>
      </c>
      <c r="AJ209" s="355">
        <v>22.208531731013</v>
      </c>
      <c r="AK209" s="355">
        <v>22.118065275107998</v>
      </c>
      <c r="AL209" s="355">
        <v>22.036085555436099</v>
      </c>
      <c r="AM209" s="632">
        <f t="shared" si="236"/>
        <v>22.120894187185698</v>
      </c>
      <c r="AN209" s="363">
        <v>-3.4410714285714286</v>
      </c>
      <c r="AO209" s="363">
        <v>48.943513064185922</v>
      </c>
      <c r="AP209" s="361">
        <f t="shared" si="244"/>
        <v>62351245.462947696</v>
      </c>
      <c r="AQ209" s="469">
        <f t="shared" si="245"/>
        <v>39.151631291912551</v>
      </c>
      <c r="AR209" s="165">
        <v>29.286416410571402</v>
      </c>
      <c r="AS209" s="165">
        <v>29.143142165188401</v>
      </c>
      <c r="AT209" s="165">
        <v>29.027650693500501</v>
      </c>
      <c r="AU209" s="140">
        <f t="shared" si="238"/>
        <v>29.152403089753435</v>
      </c>
      <c r="AV209" s="535">
        <v>-3.5035151515151499</v>
      </c>
      <c r="AW209" s="535">
        <v>40.6726666666667</v>
      </c>
      <c r="AX209" s="536">
        <f t="shared" si="246"/>
        <v>1941.786346401514</v>
      </c>
      <c r="AY209" s="533">
        <f t="shared" si="240"/>
        <v>388.35726928030283</v>
      </c>
      <c r="AZ209" s="165">
        <v>32.076366020401302</v>
      </c>
      <c r="BA209" s="165">
        <v>31.7553414842202</v>
      </c>
      <c r="BB209" s="165">
        <v>32.113462017024297</v>
      </c>
      <c r="BC209" s="140">
        <f t="shared" si="241"/>
        <v>31.981723173881932</v>
      </c>
      <c r="BD209" s="653">
        <v>-3.4617</v>
      </c>
      <c r="BE209" s="648">
        <v>42.390999999999998</v>
      </c>
      <c r="BF209" s="350">
        <f t="shared" si="247"/>
        <v>1016.2114653601686</v>
      </c>
      <c r="BG209" s="649">
        <f t="shared" si="243"/>
        <v>203.24229307203373</v>
      </c>
      <c r="BH209" s="350">
        <f t="shared" si="232"/>
        <v>0.52333845443057869</v>
      </c>
      <c r="BK209" s="273"/>
    </row>
    <row r="210" spans="1:71" s="358" customFormat="1" ht="15" x14ac:dyDescent="0.2">
      <c r="A210" s="364"/>
      <c r="B210" s="626">
        <v>44275</v>
      </c>
      <c r="C210" s="365" t="s">
        <v>250</v>
      </c>
      <c r="D210" s="712" t="s">
        <v>244</v>
      </c>
      <c r="E210" s="273" t="s">
        <v>249</v>
      </c>
      <c r="F210" s="273" t="s">
        <v>233</v>
      </c>
      <c r="G210" s="273"/>
      <c r="H210" s="273"/>
      <c r="I210" s="273"/>
      <c r="J210" s="273"/>
      <c r="K210" s="250"/>
      <c r="L210" s="222" t="s">
        <v>234</v>
      </c>
      <c r="M210" s="273"/>
      <c r="N210" s="458">
        <v>44278</v>
      </c>
      <c r="O210" s="41">
        <v>50</v>
      </c>
      <c r="P210" s="397" t="s">
        <v>89</v>
      </c>
      <c r="Q210" s="625" t="s">
        <v>236</v>
      </c>
      <c r="R210" s="375" t="s">
        <v>89</v>
      </c>
      <c r="S210" s="41">
        <v>7.66</v>
      </c>
      <c r="T210" s="41">
        <v>3.87</v>
      </c>
      <c r="U210" s="41">
        <v>215</v>
      </c>
      <c r="V210" s="41">
        <v>94.4</v>
      </c>
      <c r="W210" s="273"/>
      <c r="X210" s="273"/>
      <c r="Y210" s="273"/>
      <c r="Z210" s="619" t="s">
        <v>314</v>
      </c>
      <c r="AA210" s="476"/>
      <c r="AB210" s="41">
        <v>50</v>
      </c>
      <c r="AC210" s="273"/>
      <c r="AD210" s="273"/>
      <c r="AE210" s="222" t="s">
        <v>425</v>
      </c>
      <c r="AF210" s="273"/>
      <c r="AG210" s="527">
        <v>44280</v>
      </c>
      <c r="AH210" s="528">
        <v>5</v>
      </c>
      <c r="AI210" s="599" t="s">
        <v>63</v>
      </c>
      <c r="AJ210" s="355">
        <v>21.127668487941101</v>
      </c>
      <c r="AK210" s="355">
        <v>21.084755428569501</v>
      </c>
      <c r="AL210" s="355">
        <v>21.106067418501301</v>
      </c>
      <c r="AM210" s="632">
        <f t="shared" si="236"/>
        <v>21.106163778337301</v>
      </c>
      <c r="AN210" s="363">
        <v>-3.4410714285714286</v>
      </c>
      <c r="AO210" s="363">
        <v>48.943513064185922</v>
      </c>
      <c r="AP210" s="361">
        <f t="shared" si="244"/>
        <v>122951280.63053825</v>
      </c>
      <c r="AQ210" s="469">
        <f t="shared" si="245"/>
        <v>77.203641569210944</v>
      </c>
      <c r="AR210" s="165">
        <v>28.8202656582238</v>
      </c>
      <c r="AS210" s="165">
        <v>28.860994585210602</v>
      </c>
      <c r="AT210" s="165">
        <v>28.890763889961601</v>
      </c>
      <c r="AU210" s="140">
        <f t="shared" si="238"/>
        <v>28.857341377798665</v>
      </c>
      <c r="AV210" s="535">
        <v>-3.5035151515151499</v>
      </c>
      <c r="AW210" s="535">
        <v>40.6726666666667</v>
      </c>
      <c r="AX210" s="536">
        <f t="shared" si="246"/>
        <v>2357.3290380719668</v>
      </c>
      <c r="AY210" s="533">
        <f t="shared" si="240"/>
        <v>471.46580761439338</v>
      </c>
      <c r="AZ210" s="165">
        <v>32.5153256835384</v>
      </c>
      <c r="BA210" s="165">
        <v>32.641423996173103</v>
      </c>
      <c r="BB210" s="165">
        <v>32.633058737652398</v>
      </c>
      <c r="BC210" s="140">
        <f t="shared" si="241"/>
        <v>32.596602805787967</v>
      </c>
      <c r="BD210" s="653">
        <v>-3.4617</v>
      </c>
      <c r="BE210" s="648">
        <v>42.390999999999998</v>
      </c>
      <c r="BF210" s="350">
        <f t="shared" si="247"/>
        <v>675.0881518331928</v>
      </c>
      <c r="BG210" s="649">
        <f t="shared" si="243"/>
        <v>135.01763036663857</v>
      </c>
      <c r="BH210" s="350">
        <f t="shared" si="232"/>
        <v>0.28637841426894733</v>
      </c>
      <c r="BK210" s="273"/>
    </row>
    <row r="211" spans="1:71" s="358" customFormat="1" ht="15" x14ac:dyDescent="0.2">
      <c r="A211" s="364"/>
      <c r="B211" s="626">
        <v>44275</v>
      </c>
      <c r="C211" s="365" t="s">
        <v>253</v>
      </c>
      <c r="D211" s="712" t="s">
        <v>244</v>
      </c>
      <c r="E211" s="273" t="s">
        <v>252</v>
      </c>
      <c r="F211" s="273" t="s">
        <v>233</v>
      </c>
      <c r="G211" s="273"/>
      <c r="H211" s="273"/>
      <c r="I211" s="273"/>
      <c r="J211" s="273"/>
      <c r="K211" s="250"/>
      <c r="L211" s="222" t="s">
        <v>234</v>
      </c>
      <c r="M211" s="273"/>
      <c r="N211" s="458">
        <v>44278</v>
      </c>
      <c r="O211" s="41">
        <v>50</v>
      </c>
      <c r="P211" s="397" t="s">
        <v>89</v>
      </c>
      <c r="Q211" s="625" t="s">
        <v>236</v>
      </c>
      <c r="R211" s="375" t="s">
        <v>89</v>
      </c>
      <c r="S211" s="628">
        <v>7.41</v>
      </c>
      <c r="T211" s="628">
        <v>3.69</v>
      </c>
      <c r="U211" s="628">
        <v>87.6</v>
      </c>
      <c r="V211" s="628">
        <v>181.7</v>
      </c>
      <c r="W211" s="273"/>
      <c r="X211" s="273"/>
      <c r="Y211" s="273"/>
      <c r="Z211" s="619" t="s">
        <v>314</v>
      </c>
      <c r="AA211" s="476"/>
      <c r="AB211" s="41">
        <v>50</v>
      </c>
      <c r="AC211" s="273"/>
      <c r="AD211" s="273"/>
      <c r="AE211" s="222" t="s">
        <v>425</v>
      </c>
      <c r="AF211" s="273"/>
      <c r="AG211" s="527">
        <v>44280</v>
      </c>
      <c r="AH211" s="528">
        <v>5</v>
      </c>
      <c r="AI211" s="599" t="s">
        <v>63</v>
      </c>
      <c r="AJ211" s="355">
        <v>20.144170068318999</v>
      </c>
      <c r="AK211" s="355">
        <v>20.1218531330369</v>
      </c>
      <c r="AL211" s="355">
        <v>20.197605540822501</v>
      </c>
      <c r="AM211" s="632">
        <f t="shared" si="236"/>
        <v>20.154542914059466</v>
      </c>
      <c r="AN211" s="363">
        <v>-3.4410714285714286</v>
      </c>
      <c r="AO211" s="363">
        <v>48.943513064185922</v>
      </c>
      <c r="AP211" s="361">
        <f t="shared" si="244"/>
        <v>232423959.1129292</v>
      </c>
      <c r="AQ211" s="469">
        <f t="shared" si="245"/>
        <v>145.94379122712979</v>
      </c>
      <c r="AR211" s="165">
        <v>30.220520849480799</v>
      </c>
      <c r="AS211" s="165">
        <v>30.211654364182198</v>
      </c>
      <c r="AT211" s="165">
        <v>30.193673314930201</v>
      </c>
      <c r="AU211" s="140">
        <f t="shared" si="238"/>
        <v>30.208616176197733</v>
      </c>
      <c r="AV211" s="535">
        <v>-3.5035151515151499</v>
      </c>
      <c r="AW211" s="535">
        <v>40.6726666666667</v>
      </c>
      <c r="AX211" s="536">
        <f t="shared" si="246"/>
        <v>969.90467563497623</v>
      </c>
      <c r="AY211" s="533">
        <f t="shared" si="240"/>
        <v>193.98093512699523</v>
      </c>
      <c r="AZ211" s="165">
        <v>35.5154571655439</v>
      </c>
      <c r="BA211" s="165">
        <v>34.390917056762397</v>
      </c>
      <c r="BB211" s="165">
        <v>33.8347280242306</v>
      </c>
      <c r="BC211" s="140">
        <f t="shared" si="241"/>
        <v>34.580367415512299</v>
      </c>
      <c r="BD211" s="653">
        <v>-3.4617</v>
      </c>
      <c r="BE211" s="648">
        <v>42.390999999999998</v>
      </c>
      <c r="BF211" s="350">
        <f t="shared" si="247"/>
        <v>180.42623009098722</v>
      </c>
      <c r="BG211" s="649">
        <f t="shared" si="243"/>
        <v>36.085246018197445</v>
      </c>
      <c r="BH211" s="350">
        <f t="shared" si="232"/>
        <v>0.18602470389460279</v>
      </c>
      <c r="BK211" s="273"/>
    </row>
    <row r="212" spans="1:71" s="358" customFormat="1" ht="15" x14ac:dyDescent="0.2">
      <c r="A212" s="364"/>
      <c r="B212" s="626">
        <v>44275</v>
      </c>
      <c r="C212" s="365" t="s">
        <v>230</v>
      </c>
      <c r="D212" s="712" t="s">
        <v>231</v>
      </c>
      <c r="E212" s="273" t="s">
        <v>232</v>
      </c>
      <c r="F212" s="273" t="s">
        <v>233</v>
      </c>
      <c r="G212" s="273"/>
      <c r="H212" s="273"/>
      <c r="I212" s="273"/>
      <c r="J212" s="273"/>
      <c r="K212" s="250"/>
      <c r="L212" s="222" t="s">
        <v>234</v>
      </c>
      <c r="M212" s="273"/>
      <c r="N212" s="458">
        <v>44278</v>
      </c>
      <c r="O212" s="41">
        <v>50</v>
      </c>
      <c r="P212" s="627" t="s">
        <v>89</v>
      </c>
      <c r="Q212" s="625" t="s">
        <v>236</v>
      </c>
      <c r="R212" s="375" t="s">
        <v>89</v>
      </c>
      <c r="S212" s="629">
        <v>7.25</v>
      </c>
      <c r="T212" s="629">
        <v>3.99</v>
      </c>
      <c r="U212" s="629">
        <v>29.9</v>
      </c>
      <c r="V212" s="629">
        <v>337</v>
      </c>
      <c r="W212" s="273"/>
      <c r="X212" s="273"/>
      <c r="Y212" s="273"/>
      <c r="Z212" s="619" t="s">
        <v>314</v>
      </c>
      <c r="AA212" s="527"/>
      <c r="AB212" s="41">
        <v>50</v>
      </c>
      <c r="AC212" s="273"/>
      <c r="AD212" s="273"/>
      <c r="AE212" s="222" t="s">
        <v>425</v>
      </c>
      <c r="AF212" s="273"/>
      <c r="AG212" s="527">
        <v>44280</v>
      </c>
      <c r="AH212" s="528">
        <v>5</v>
      </c>
      <c r="AI212" s="599" t="s">
        <v>63</v>
      </c>
      <c r="AJ212" s="355">
        <v>20.541072997404299</v>
      </c>
      <c r="AK212" s="355">
        <v>20.707296582519</v>
      </c>
      <c r="AL212" s="355">
        <v>20.671366119404802</v>
      </c>
      <c r="AM212" s="632">
        <f t="shared" si="236"/>
        <v>20.639911899776035</v>
      </c>
      <c r="AN212" s="363">
        <v>-3.4410714285714286</v>
      </c>
      <c r="AO212" s="363">
        <v>48.943513064185922</v>
      </c>
      <c r="AP212" s="361">
        <f t="shared" si="244"/>
        <v>167969021.22029206</v>
      </c>
      <c r="AQ212" s="469">
        <f t="shared" si="245"/>
        <v>105.47120812828449</v>
      </c>
      <c r="AR212" s="165">
        <v>27.126408279520401</v>
      </c>
      <c r="AS212" s="165">
        <v>27.285507520788599</v>
      </c>
      <c r="AT212" s="165">
        <v>27.336979990375799</v>
      </c>
      <c r="AU212" s="176">
        <f t="shared" si="238"/>
        <v>27.249631930228265</v>
      </c>
      <c r="AV212" s="535">
        <v>-3.5035151515151499</v>
      </c>
      <c r="AW212" s="535">
        <v>40.6726666666667</v>
      </c>
      <c r="AX212" s="536">
        <f t="shared" si="246"/>
        <v>6781.174047028534</v>
      </c>
      <c r="AY212" s="533">
        <f t="shared" si="240"/>
        <v>1356.2348094057068</v>
      </c>
      <c r="AZ212" s="165">
        <v>34.9957264530534</v>
      </c>
      <c r="BA212" s="165">
        <v>37.575939738033902</v>
      </c>
      <c r="BB212" s="165" t="s">
        <v>95</v>
      </c>
      <c r="BC212" s="176">
        <f t="shared" si="241"/>
        <v>36.285833095543651</v>
      </c>
      <c r="BD212" s="653">
        <v>-3.4617</v>
      </c>
      <c r="BE212" s="648">
        <v>42.390999999999998</v>
      </c>
      <c r="BF212" s="350">
        <f t="shared" si="247"/>
        <v>58.027329029603692</v>
      </c>
      <c r="BG212" s="649">
        <f t="shared" si="243"/>
        <v>11.605465805920739</v>
      </c>
      <c r="BH212" s="350">
        <f t="shared" si="232"/>
        <v>8.5571213225283434E-3</v>
      </c>
      <c r="BK212" s="273"/>
    </row>
    <row r="213" spans="1:71" s="358" customFormat="1" ht="15" x14ac:dyDescent="0.2">
      <c r="A213" s="364"/>
      <c r="B213" s="626">
        <v>44275</v>
      </c>
      <c r="C213" s="365" t="s">
        <v>243</v>
      </c>
      <c r="D213" s="712" t="s">
        <v>244</v>
      </c>
      <c r="E213" s="273" t="s">
        <v>232</v>
      </c>
      <c r="F213" s="273" t="s">
        <v>233</v>
      </c>
      <c r="G213" s="273"/>
      <c r="H213" s="273"/>
      <c r="I213" s="273"/>
      <c r="J213" s="273"/>
      <c r="K213" s="250"/>
      <c r="L213" s="222" t="s">
        <v>234</v>
      </c>
      <c r="M213" s="273" t="s">
        <v>315</v>
      </c>
      <c r="N213" s="458">
        <v>44278</v>
      </c>
      <c r="O213" s="41">
        <v>50</v>
      </c>
      <c r="P213" s="397" t="s">
        <v>89</v>
      </c>
      <c r="Q213" s="625" t="s">
        <v>236</v>
      </c>
      <c r="R213" s="375" t="s">
        <v>89</v>
      </c>
      <c r="S213" s="630">
        <v>7.63</v>
      </c>
      <c r="T213" s="630">
        <v>3.72</v>
      </c>
      <c r="U213" s="630">
        <v>11.7</v>
      </c>
      <c r="V213" s="630">
        <v>314</v>
      </c>
      <c r="W213" s="273"/>
      <c r="X213" s="273"/>
      <c r="Y213" s="273"/>
      <c r="Z213" s="619" t="s">
        <v>314</v>
      </c>
      <c r="AA213" s="476"/>
      <c r="AB213" s="41">
        <v>50</v>
      </c>
      <c r="AC213" s="273"/>
      <c r="AD213" s="273"/>
      <c r="AE213" s="222" t="s">
        <v>425</v>
      </c>
      <c r="AF213" s="273"/>
      <c r="AG213" s="527">
        <v>44280</v>
      </c>
      <c r="AH213" s="528">
        <v>5</v>
      </c>
      <c r="AI213" s="599" t="s">
        <v>63</v>
      </c>
      <c r="AJ213" s="355">
        <v>20.047073609377399</v>
      </c>
      <c r="AK213" s="355">
        <v>19.8984691907329</v>
      </c>
      <c r="AL213" s="355">
        <v>19.925137176826901</v>
      </c>
      <c r="AM213" s="632">
        <f t="shared" si="236"/>
        <v>19.956893325645733</v>
      </c>
      <c r="AN213" s="363">
        <v>-3.4410714285714286</v>
      </c>
      <c r="AO213" s="363">
        <v>48.943513064185922</v>
      </c>
      <c r="AP213" s="361">
        <f t="shared" si="244"/>
        <v>265289023.12345257</v>
      </c>
      <c r="AQ213" s="469">
        <f t="shared" si="245"/>
        <v>166.58044185008731</v>
      </c>
      <c r="AR213" s="355">
        <v>26.084057745640798</v>
      </c>
      <c r="AS213" s="355">
        <v>26.017404993327901</v>
      </c>
      <c r="AT213" s="355">
        <v>25.9830893213027</v>
      </c>
      <c r="AU213" s="413">
        <f t="shared" si="238"/>
        <v>26.028184020090464</v>
      </c>
      <c r="AV213" s="535">
        <v>-3.5035151515151499</v>
      </c>
      <c r="AW213" s="535">
        <v>40.6726666666667</v>
      </c>
      <c r="AX213" s="536">
        <f t="shared" si="246"/>
        <v>15133.516833841419</v>
      </c>
      <c r="AY213" s="533">
        <f t="shared" si="240"/>
        <v>3026.7033667682836</v>
      </c>
      <c r="AZ213" s="522">
        <v>36.567243087186398</v>
      </c>
      <c r="BA213" s="522">
        <v>35.908212452593602</v>
      </c>
      <c r="BB213" s="522">
        <v>35.948704074508797</v>
      </c>
      <c r="BC213" s="631">
        <f t="shared" si="241"/>
        <v>36.141386538096263</v>
      </c>
      <c r="BD213" s="653">
        <v>-3.4617</v>
      </c>
      <c r="BE213" s="648">
        <v>42.390999999999998</v>
      </c>
      <c r="BF213" s="350">
        <f t="shared" si="247"/>
        <v>63.879225052569552</v>
      </c>
      <c r="BG213" s="649">
        <f t="shared" si="243"/>
        <v>12.77584501051391</v>
      </c>
      <c r="BH213" s="350">
        <f t="shared" si="232"/>
        <v>4.2210429838570943E-3</v>
      </c>
      <c r="BK213" s="273"/>
    </row>
    <row r="214" spans="1:71" s="358" customFormat="1" ht="15" x14ac:dyDescent="0.2">
      <c r="A214" s="364"/>
      <c r="B214" s="626">
        <v>44275</v>
      </c>
      <c r="C214" s="365" t="s">
        <v>245</v>
      </c>
      <c r="D214" s="712" t="s">
        <v>231</v>
      </c>
      <c r="E214" s="273" t="s">
        <v>246</v>
      </c>
      <c r="F214" s="273" t="s">
        <v>233</v>
      </c>
      <c r="G214" s="273"/>
      <c r="H214" s="273"/>
      <c r="I214" s="273"/>
      <c r="J214" s="273"/>
      <c r="K214" s="250"/>
      <c r="L214" s="222" t="s">
        <v>234</v>
      </c>
      <c r="M214" s="273"/>
      <c r="N214" s="458">
        <v>44278</v>
      </c>
      <c r="O214" s="41">
        <v>50</v>
      </c>
      <c r="P214" s="627" t="s">
        <v>89</v>
      </c>
      <c r="Q214" s="625" t="s">
        <v>236</v>
      </c>
      <c r="R214" s="375" t="s">
        <v>89</v>
      </c>
      <c r="S214" s="41">
        <v>7.88</v>
      </c>
      <c r="T214" s="41">
        <v>3.93</v>
      </c>
      <c r="U214" s="41">
        <v>62.7</v>
      </c>
      <c r="V214" s="41">
        <v>161.69999999999999</v>
      </c>
      <c r="W214" s="273"/>
      <c r="X214" s="273"/>
      <c r="Y214" s="273"/>
      <c r="Z214" s="619" t="s">
        <v>314</v>
      </c>
      <c r="AA214" s="476"/>
      <c r="AB214" s="41">
        <v>50</v>
      </c>
      <c r="AC214" s="273"/>
      <c r="AD214" s="273"/>
      <c r="AE214" s="222" t="s">
        <v>425</v>
      </c>
      <c r="AF214" s="273"/>
      <c r="AG214" s="527">
        <v>44280</v>
      </c>
      <c r="AH214" s="528">
        <v>5</v>
      </c>
      <c r="AI214" s="599" t="s">
        <v>63</v>
      </c>
      <c r="AJ214" s="355">
        <v>22.563046192838499</v>
      </c>
      <c r="AK214" s="355">
        <v>22.548770987750899</v>
      </c>
      <c r="AL214" s="355">
        <v>22.589029732980901</v>
      </c>
      <c r="AM214" s="632">
        <f t="shared" si="236"/>
        <v>22.566948971190101</v>
      </c>
      <c r="AN214" s="363">
        <v>-3.4410714285714286</v>
      </c>
      <c r="AO214" s="363">
        <v>48.943513064185922</v>
      </c>
      <c r="AP214" s="361">
        <f t="shared" si="244"/>
        <v>46261362.366402939</v>
      </c>
      <c r="AQ214" s="469">
        <f t="shared" si="245"/>
        <v>29.048462287850846</v>
      </c>
      <c r="AR214" s="355">
        <v>25.569104616163099</v>
      </c>
      <c r="AS214" s="355">
        <v>25.5233630934293</v>
      </c>
      <c r="AT214" s="355">
        <v>25.7634948179087</v>
      </c>
      <c r="AU214" s="413">
        <f t="shared" si="238"/>
        <v>25.618654175833701</v>
      </c>
      <c r="AV214" s="535">
        <v>-3.5035151515151499</v>
      </c>
      <c r="AW214" s="535">
        <v>40.6726666666667</v>
      </c>
      <c r="AX214" s="536">
        <f t="shared" si="246"/>
        <v>19807.560630135278</v>
      </c>
      <c r="AY214" s="533">
        <f t="shared" si="240"/>
        <v>3961.5121260270557</v>
      </c>
      <c r="AZ214" s="165" t="s">
        <v>95</v>
      </c>
      <c r="BA214" s="165">
        <v>38.404837793024001</v>
      </c>
      <c r="BB214" s="165" t="s">
        <v>95</v>
      </c>
      <c r="BC214" s="140">
        <f t="shared" si="241"/>
        <v>38.404837793024001</v>
      </c>
      <c r="BD214" s="653">
        <v>-3.4617</v>
      </c>
      <c r="BE214" s="648">
        <v>42.390999999999998</v>
      </c>
      <c r="BF214" s="350">
        <f t="shared" si="247"/>
        <v>14.174385303199049</v>
      </c>
      <c r="BG214" s="649">
        <f t="shared" si="243"/>
        <v>2.8348770606398097</v>
      </c>
      <c r="BH214" s="350">
        <f t="shared" si="232"/>
        <v>7.1560479192142926E-4</v>
      </c>
      <c r="BK214" s="273"/>
    </row>
    <row r="215" spans="1:71" s="358" customFormat="1" ht="15" x14ac:dyDescent="0.2">
      <c r="A215" s="364"/>
      <c r="B215" s="626">
        <v>44275</v>
      </c>
      <c r="C215" s="365" t="s">
        <v>247</v>
      </c>
      <c r="D215" s="712" t="s">
        <v>244</v>
      </c>
      <c r="E215" s="273" t="s">
        <v>246</v>
      </c>
      <c r="F215" s="273" t="s">
        <v>233</v>
      </c>
      <c r="G215" s="273"/>
      <c r="H215" s="273"/>
      <c r="I215" s="273"/>
      <c r="J215" s="273"/>
      <c r="K215" s="250"/>
      <c r="L215" s="222" t="s">
        <v>234</v>
      </c>
      <c r="M215" s="273"/>
      <c r="N215" s="458">
        <v>44278</v>
      </c>
      <c r="O215" s="41">
        <v>50</v>
      </c>
      <c r="P215" s="397" t="s">
        <v>89</v>
      </c>
      <c r="Q215" s="625" t="s">
        <v>236</v>
      </c>
      <c r="R215" s="375" t="s">
        <v>89</v>
      </c>
      <c r="S215" s="551">
        <v>7.54</v>
      </c>
      <c r="T215" s="551">
        <v>3.98</v>
      </c>
      <c r="U215" s="551">
        <v>85.6</v>
      </c>
      <c r="V215" s="551">
        <v>208</v>
      </c>
      <c r="W215" s="273"/>
      <c r="X215" s="273"/>
      <c r="Y215" s="273"/>
      <c r="Z215" s="619" t="s">
        <v>314</v>
      </c>
      <c r="AA215" s="476"/>
      <c r="AB215" s="41">
        <v>50</v>
      </c>
      <c r="AC215" s="273"/>
      <c r="AD215" s="273"/>
      <c r="AE215" s="222" t="s">
        <v>425</v>
      </c>
      <c r="AF215" s="273"/>
      <c r="AG215" s="527">
        <v>44280</v>
      </c>
      <c r="AH215" s="528">
        <v>5</v>
      </c>
      <c r="AI215" s="599" t="s">
        <v>63</v>
      </c>
      <c r="AJ215" s="355">
        <v>21.718472638929899</v>
      </c>
      <c r="AK215" s="355">
        <v>21.7342635984662</v>
      </c>
      <c r="AL215" s="355">
        <v>21.6803528412395</v>
      </c>
      <c r="AM215" s="632">
        <f t="shared" si="236"/>
        <v>21.71102969287853</v>
      </c>
      <c r="AN215" s="363">
        <v>-3.4410714285714286</v>
      </c>
      <c r="AO215" s="363">
        <v>48.943513064185922</v>
      </c>
      <c r="AP215" s="361">
        <f t="shared" si="244"/>
        <v>82026596.170674771</v>
      </c>
      <c r="AQ215" s="469">
        <f t="shared" si="245"/>
        <v>51.506189259896793</v>
      </c>
      <c r="AR215" s="165">
        <v>25.107205066488898</v>
      </c>
      <c r="AS215" s="165">
        <v>25.122885915342302</v>
      </c>
      <c r="AT215" s="165">
        <v>25.085009375167399</v>
      </c>
      <c r="AU215" s="140">
        <f t="shared" si="238"/>
        <v>25.105033452332865</v>
      </c>
      <c r="AV215" s="535">
        <v>-3.5035151515151499</v>
      </c>
      <c r="AW215" s="535">
        <v>40.6726666666667</v>
      </c>
      <c r="AX215" s="536">
        <f t="shared" si="246"/>
        <v>27760.835708368446</v>
      </c>
      <c r="AY215" s="533">
        <f t="shared" si="240"/>
        <v>5552.167141673689</v>
      </c>
      <c r="AZ215" s="165">
        <v>32.521365323440598</v>
      </c>
      <c r="BA215" s="165">
        <v>32.0124494418654</v>
      </c>
      <c r="BB215" s="165">
        <v>32.261569668571298</v>
      </c>
      <c r="BC215" s="140">
        <f t="shared" si="241"/>
        <v>32.26512814462577</v>
      </c>
      <c r="BD215" s="653">
        <v>-3.4617</v>
      </c>
      <c r="BE215" s="648">
        <v>42.390999999999998</v>
      </c>
      <c r="BF215" s="350">
        <f t="shared" si="247"/>
        <v>841.61867558728375</v>
      </c>
      <c r="BG215" s="649">
        <f t="shared" si="243"/>
        <v>168.32373511745675</v>
      </c>
      <c r="BH215" s="350">
        <f t="shared" si="232"/>
        <v>3.0316762954422857E-2</v>
      </c>
      <c r="BK215" s="273"/>
    </row>
    <row r="216" spans="1:71" s="358" customFormat="1" ht="15" x14ac:dyDescent="0.2">
      <c r="A216" s="364"/>
      <c r="B216" s="626">
        <v>44275</v>
      </c>
      <c r="C216" s="365" t="s">
        <v>248</v>
      </c>
      <c r="D216" s="712" t="s">
        <v>231</v>
      </c>
      <c r="E216" s="273" t="s">
        <v>249</v>
      </c>
      <c r="F216" s="273" t="s">
        <v>233</v>
      </c>
      <c r="G216" s="273"/>
      <c r="H216" s="273"/>
      <c r="I216" s="273"/>
      <c r="J216" s="273"/>
      <c r="K216" s="250"/>
      <c r="L216" s="222" t="s">
        <v>234</v>
      </c>
      <c r="M216" s="273"/>
      <c r="N216" s="458">
        <v>44278</v>
      </c>
      <c r="O216" s="41">
        <v>50</v>
      </c>
      <c r="P216" s="397" t="s">
        <v>89</v>
      </c>
      <c r="Q216" s="625" t="s">
        <v>236</v>
      </c>
      <c r="R216" s="375" t="s">
        <v>89</v>
      </c>
      <c r="S216" s="41">
        <v>8.3699999999999992</v>
      </c>
      <c r="T216" s="41">
        <v>3.94</v>
      </c>
      <c r="U216" s="41">
        <v>38.6</v>
      </c>
      <c r="V216" s="41">
        <v>125.3</v>
      </c>
      <c r="W216" s="273"/>
      <c r="X216" s="273"/>
      <c r="Y216" s="273"/>
      <c r="Z216" s="619" t="s">
        <v>314</v>
      </c>
      <c r="AA216" s="476"/>
      <c r="AB216" s="41">
        <v>50</v>
      </c>
      <c r="AC216" s="273"/>
      <c r="AD216" s="273"/>
      <c r="AE216" s="222" t="s">
        <v>425</v>
      </c>
      <c r="AF216" s="273"/>
      <c r="AG216" s="527">
        <v>44280</v>
      </c>
      <c r="AH216" s="528">
        <v>5</v>
      </c>
      <c r="AI216" s="599" t="s">
        <v>63</v>
      </c>
      <c r="AJ216" s="355">
        <v>22.588444577663399</v>
      </c>
      <c r="AK216" s="355">
        <v>22.605055284266701</v>
      </c>
      <c r="AL216" s="355">
        <v>22.696129517412999</v>
      </c>
      <c r="AM216" s="632">
        <f t="shared" si="236"/>
        <v>22.62987645978103</v>
      </c>
      <c r="AN216" s="363">
        <v>-3.4410714285714286</v>
      </c>
      <c r="AO216" s="363">
        <v>48.943513064185922</v>
      </c>
      <c r="AP216" s="361">
        <f t="shared" si="244"/>
        <v>44353841.428240471</v>
      </c>
      <c r="AQ216" s="469">
        <f t="shared" si="245"/>
        <v>27.850690601045962</v>
      </c>
      <c r="AR216" s="165">
        <v>27.244067676180698</v>
      </c>
      <c r="AS216" s="165">
        <v>27.331650094243301</v>
      </c>
      <c r="AT216" s="165">
        <v>27.376738740481098</v>
      </c>
      <c r="AU216" s="140">
        <f t="shared" si="238"/>
        <v>27.31748550363503</v>
      </c>
      <c r="AV216" s="535">
        <v>-3.5035151515151499</v>
      </c>
      <c r="AW216" s="535">
        <v>40.6726666666667</v>
      </c>
      <c r="AX216" s="536">
        <f t="shared" si="246"/>
        <v>6485.4125416944817</v>
      </c>
      <c r="AY216" s="533">
        <f t="shared" si="240"/>
        <v>1297.0825083388963</v>
      </c>
      <c r="AZ216" s="165">
        <v>35.049304460518101</v>
      </c>
      <c r="BA216" s="165">
        <v>34.675378060976698</v>
      </c>
      <c r="BB216" s="165">
        <v>34.787409810321897</v>
      </c>
      <c r="BC216" s="140">
        <f t="shared" si="241"/>
        <v>34.837364110605563</v>
      </c>
      <c r="BD216" s="653">
        <v>-3.4617</v>
      </c>
      <c r="BE216" s="648">
        <v>42.390999999999998</v>
      </c>
      <c r="BF216" s="350">
        <f t="shared" si="247"/>
        <v>152.07563890413172</v>
      </c>
      <c r="BG216" s="649">
        <f t="shared" si="243"/>
        <v>30.415127780826346</v>
      </c>
      <c r="BH216" s="350">
        <f t="shared" si="232"/>
        <v>2.344887667923096E-2</v>
      </c>
      <c r="BK216" s="273"/>
    </row>
    <row r="217" spans="1:71" s="358" customFormat="1" ht="15" x14ac:dyDescent="0.2">
      <c r="A217" s="364"/>
      <c r="B217" s="626">
        <v>44275</v>
      </c>
      <c r="C217" s="365" t="s">
        <v>250</v>
      </c>
      <c r="D217" s="712" t="s">
        <v>244</v>
      </c>
      <c r="E217" s="273" t="s">
        <v>249</v>
      </c>
      <c r="F217" s="273" t="s">
        <v>233</v>
      </c>
      <c r="G217" s="273"/>
      <c r="H217" s="273"/>
      <c r="I217" s="273"/>
      <c r="J217" s="273"/>
      <c r="K217" s="250"/>
      <c r="L217" s="222" t="s">
        <v>234</v>
      </c>
      <c r="M217" s="273"/>
      <c r="N217" s="458">
        <v>44278</v>
      </c>
      <c r="O217" s="41">
        <v>50</v>
      </c>
      <c r="P217" s="397" t="s">
        <v>89</v>
      </c>
      <c r="Q217" s="625" t="s">
        <v>236</v>
      </c>
      <c r="R217" s="375" t="s">
        <v>89</v>
      </c>
      <c r="S217" s="41">
        <v>8.4600000000000009</v>
      </c>
      <c r="T217" s="41">
        <v>4.18</v>
      </c>
      <c r="U217" s="41">
        <v>70.3</v>
      </c>
      <c r="V217" s="41">
        <v>102.1</v>
      </c>
      <c r="W217" s="273"/>
      <c r="X217" s="273"/>
      <c r="Y217" s="273"/>
      <c r="Z217" s="619" t="s">
        <v>314</v>
      </c>
      <c r="AA217" s="476"/>
      <c r="AB217" s="41">
        <v>50</v>
      </c>
      <c r="AC217" s="273"/>
      <c r="AD217" s="273"/>
      <c r="AE217" s="222" t="s">
        <v>425</v>
      </c>
      <c r="AF217" s="273"/>
      <c r="AG217" s="527">
        <v>44280</v>
      </c>
      <c r="AH217" s="528">
        <v>5</v>
      </c>
      <c r="AI217" s="599" t="s">
        <v>63</v>
      </c>
      <c r="AJ217" s="355">
        <v>21.401751649239401</v>
      </c>
      <c r="AK217" s="355">
        <v>21.267218086543</v>
      </c>
      <c r="AL217" s="355">
        <v>21.2072942035682</v>
      </c>
      <c r="AM217" s="632">
        <f t="shared" si="236"/>
        <v>21.292087979783531</v>
      </c>
      <c r="AN217" s="363">
        <v>-3.4410714285714286</v>
      </c>
      <c r="AO217" s="363">
        <v>48.943513064185922</v>
      </c>
      <c r="AP217" s="361">
        <f t="shared" si="244"/>
        <v>108568078.67098467</v>
      </c>
      <c r="AQ217" s="469">
        <f t="shared" si="245"/>
        <v>68.1721328040461</v>
      </c>
      <c r="AR217" s="165">
        <v>30.3161400290575</v>
      </c>
      <c r="AS217" s="165">
        <v>30.2305057350769</v>
      </c>
      <c r="AT217" s="165">
        <v>30.1611640133974</v>
      </c>
      <c r="AU217" s="140">
        <f t="shared" si="238"/>
        <v>30.235936592510598</v>
      </c>
      <c r="AV217" s="535">
        <v>-3.5035151515151499</v>
      </c>
      <c r="AW217" s="535">
        <v>40.6726666666667</v>
      </c>
      <c r="AX217" s="536">
        <f t="shared" si="246"/>
        <v>952.64491025490281</v>
      </c>
      <c r="AY217" s="533">
        <f t="shared" si="240"/>
        <v>190.52898205098057</v>
      </c>
      <c r="AZ217" s="165">
        <v>33.101952193768199</v>
      </c>
      <c r="BA217" s="165">
        <v>33.046393582904102</v>
      </c>
      <c r="BB217" s="165">
        <v>33.319738417751999</v>
      </c>
      <c r="BC217" s="140">
        <f t="shared" si="241"/>
        <v>33.156028064808105</v>
      </c>
      <c r="BD217" s="653">
        <v>-3.4617</v>
      </c>
      <c r="BE217" s="648">
        <v>42.390999999999998</v>
      </c>
      <c r="BF217" s="350">
        <f t="shared" si="247"/>
        <v>465.32489281902508</v>
      </c>
      <c r="BG217" s="649">
        <f t="shared" si="243"/>
        <v>93.064978563805013</v>
      </c>
      <c r="BH217" s="350">
        <f t="shared" si="232"/>
        <v>0.48845575912909284</v>
      </c>
      <c r="BK217" s="273"/>
    </row>
    <row r="218" spans="1:71" s="358" customFormat="1" ht="15" x14ac:dyDescent="0.2">
      <c r="A218" s="364"/>
      <c r="B218" s="626">
        <v>44275</v>
      </c>
      <c r="C218" s="365" t="s">
        <v>251</v>
      </c>
      <c r="D218" s="712" t="s">
        <v>231</v>
      </c>
      <c r="E218" s="273" t="s">
        <v>252</v>
      </c>
      <c r="F218" s="273" t="s">
        <v>233</v>
      </c>
      <c r="G218" s="273"/>
      <c r="H218" s="273"/>
      <c r="I218" s="273"/>
      <c r="J218" s="273"/>
      <c r="K218" s="250"/>
      <c r="L218" s="222" t="s">
        <v>234</v>
      </c>
      <c r="M218" s="273"/>
      <c r="N218" s="458">
        <v>44278</v>
      </c>
      <c r="O218" s="41">
        <v>50</v>
      </c>
      <c r="P218" s="397" t="s">
        <v>89</v>
      </c>
      <c r="Q218" s="625" t="s">
        <v>236</v>
      </c>
      <c r="R218" s="375" t="s">
        <v>89</v>
      </c>
      <c r="S218" s="41">
        <v>7.77</v>
      </c>
      <c r="T218" s="41">
        <v>3.65</v>
      </c>
      <c r="U218" s="41">
        <v>20.6</v>
      </c>
      <c r="V218" s="41">
        <v>160.19999999999999</v>
      </c>
      <c r="W218" s="273"/>
      <c r="X218" s="273"/>
      <c r="Y218" s="273"/>
      <c r="Z218" s="619" t="s">
        <v>314</v>
      </c>
      <c r="AA218" s="476"/>
      <c r="AB218" s="41">
        <v>50</v>
      </c>
      <c r="AC218" s="273"/>
      <c r="AD218" s="273"/>
      <c r="AE218" s="222" t="s">
        <v>425</v>
      </c>
      <c r="AF218" s="273"/>
      <c r="AG218" s="527">
        <v>44280</v>
      </c>
      <c r="AH218" s="528">
        <v>5</v>
      </c>
      <c r="AI218" s="599" t="s">
        <v>63</v>
      </c>
      <c r="AJ218" s="355">
        <v>21.3952086802419</v>
      </c>
      <c r="AK218" s="355">
        <v>21.319458862375502</v>
      </c>
      <c r="AL218" s="355">
        <v>21.397123345437802</v>
      </c>
      <c r="AM218" s="632">
        <f t="shared" si="236"/>
        <v>21.37059696268507</v>
      </c>
      <c r="AN218" s="363">
        <v>-3.4410714285714286</v>
      </c>
      <c r="AO218" s="363">
        <v>48.943513064185922</v>
      </c>
      <c r="AP218" s="361">
        <f t="shared" si="244"/>
        <v>103011777.12087275</v>
      </c>
      <c r="AQ218" s="469">
        <f t="shared" si="245"/>
        <v>64.683216616061756</v>
      </c>
      <c r="AR218" s="165">
        <v>28.564900565564599</v>
      </c>
      <c r="AS218" s="165">
        <v>28.515122150975198</v>
      </c>
      <c r="AT218" s="165">
        <v>28.583962863589999</v>
      </c>
      <c r="AU218" s="140">
        <f t="shared" si="238"/>
        <v>28.554661860043268</v>
      </c>
      <c r="AV218" s="535">
        <v>-3.5035151515151499</v>
      </c>
      <c r="AW218" s="535">
        <v>40.6726666666667</v>
      </c>
      <c r="AX218" s="536">
        <f t="shared" si="246"/>
        <v>2876.1617153928587</v>
      </c>
      <c r="AY218" s="533">
        <f t="shared" si="240"/>
        <v>575.23234307857172</v>
      </c>
      <c r="AZ218" s="165">
        <v>35.300202106165202</v>
      </c>
      <c r="BA218" s="165">
        <v>36.627912809127203</v>
      </c>
      <c r="BB218" s="165">
        <v>36.491690294421502</v>
      </c>
      <c r="BC218" s="140">
        <f t="shared" si="241"/>
        <v>36.139935069904638</v>
      </c>
      <c r="BD218" s="653">
        <v>-3.4617</v>
      </c>
      <c r="BE218" s="648">
        <v>42.390999999999998</v>
      </c>
      <c r="BF218" s="350">
        <f t="shared" si="247"/>
        <v>63.940927598783986</v>
      </c>
      <c r="BG218" s="649">
        <f t="shared" si="243"/>
        <v>12.788185519756798</v>
      </c>
      <c r="BH218" s="350">
        <f t="shared" si="232"/>
        <v>2.22313395163353E-2</v>
      </c>
      <c r="BK218" s="273"/>
    </row>
    <row r="219" spans="1:71" s="358" customFormat="1" ht="15" x14ac:dyDescent="0.2">
      <c r="A219" s="364"/>
      <c r="B219" s="626">
        <v>44275</v>
      </c>
      <c r="C219" s="365" t="s">
        <v>253</v>
      </c>
      <c r="D219" s="712" t="s">
        <v>244</v>
      </c>
      <c r="E219" s="273" t="s">
        <v>252</v>
      </c>
      <c r="F219" s="273" t="s">
        <v>233</v>
      </c>
      <c r="G219" s="273"/>
      <c r="H219" s="273"/>
      <c r="I219" s="273"/>
      <c r="J219" s="273"/>
      <c r="K219" s="250"/>
      <c r="L219" s="222" t="s">
        <v>234</v>
      </c>
      <c r="M219" s="273"/>
      <c r="N219" s="458">
        <v>44278</v>
      </c>
      <c r="O219" s="41">
        <v>50</v>
      </c>
      <c r="P219" s="397" t="s">
        <v>89</v>
      </c>
      <c r="Q219" s="625" t="s">
        <v>236</v>
      </c>
      <c r="R219" s="375" t="s">
        <v>89</v>
      </c>
      <c r="S219" s="41">
        <v>7.63</v>
      </c>
      <c r="T219" s="41">
        <v>4.17</v>
      </c>
      <c r="U219" s="41">
        <v>67.5</v>
      </c>
      <c r="V219" s="41">
        <v>184.3</v>
      </c>
      <c r="W219" s="273"/>
      <c r="X219" s="273"/>
      <c r="Y219" s="273"/>
      <c r="Z219" s="619" t="s">
        <v>314</v>
      </c>
      <c r="AA219" s="476"/>
      <c r="AB219" s="41">
        <v>50</v>
      </c>
      <c r="AC219" s="273"/>
      <c r="AD219" s="273"/>
      <c r="AE219" s="222" t="s">
        <v>425</v>
      </c>
      <c r="AF219" s="273"/>
      <c r="AG219" s="527">
        <v>44280</v>
      </c>
      <c r="AH219" s="528">
        <v>5</v>
      </c>
      <c r="AI219" s="599" t="s">
        <v>63</v>
      </c>
      <c r="AJ219" s="355">
        <v>20.820775447955501</v>
      </c>
      <c r="AK219" s="355">
        <v>20.964984937242601</v>
      </c>
      <c r="AL219" s="355">
        <v>21.300583380598798</v>
      </c>
      <c r="AM219" s="632">
        <f t="shared" si="236"/>
        <v>21.028781255265631</v>
      </c>
      <c r="AN219" s="363">
        <v>-3.4410714285714286</v>
      </c>
      <c r="AO219" s="363">
        <v>48.943513064185922</v>
      </c>
      <c r="AP219" s="361">
        <f t="shared" si="244"/>
        <v>129485450.46142931</v>
      </c>
      <c r="AQ219" s="469">
        <f t="shared" si="245"/>
        <v>81.306581392118062</v>
      </c>
      <c r="AR219" s="165">
        <v>29.538971913104099</v>
      </c>
      <c r="AS219" s="165">
        <v>30.401148440776801</v>
      </c>
      <c r="AT219" s="165">
        <v>34.941810540689602</v>
      </c>
      <c r="AU219" s="140">
        <f t="shared" si="238"/>
        <v>31.627310298190167</v>
      </c>
      <c r="AV219" s="535">
        <v>-3.5035151515151499</v>
      </c>
      <c r="AW219" s="535">
        <v>40.6726666666667</v>
      </c>
      <c r="AX219" s="536">
        <f t="shared" si="246"/>
        <v>381.76363983504791</v>
      </c>
      <c r="AY219" s="533">
        <f t="shared" si="240"/>
        <v>76.352727967009585</v>
      </c>
      <c r="AZ219" s="165" t="s">
        <v>95</v>
      </c>
      <c r="BA219" s="165" t="s">
        <v>95</v>
      </c>
      <c r="BB219" s="165" t="s">
        <v>95</v>
      </c>
      <c r="BC219" s="140" t="e">
        <f t="shared" si="241"/>
        <v>#DIV/0!</v>
      </c>
      <c r="BD219" s="653">
        <v>-3.4617</v>
      </c>
      <c r="BE219" s="648">
        <v>42.390999999999998</v>
      </c>
      <c r="BF219" s="350">
        <f t="shared" si="247"/>
        <v>0</v>
      </c>
      <c r="BG219" s="649">
        <f t="shared" si="243"/>
        <v>0</v>
      </c>
      <c r="BH219" s="350">
        <f t="shared" si="232"/>
        <v>0</v>
      </c>
      <c r="BK219" s="273"/>
    </row>
    <row r="220" spans="1:71" s="358" customFormat="1" ht="15" x14ac:dyDescent="0.2">
      <c r="A220" s="584"/>
      <c r="B220" s="584"/>
      <c r="C220" s="479" t="s">
        <v>254</v>
      </c>
      <c r="D220" s="248"/>
      <c r="E220" s="250"/>
      <c r="F220" s="250"/>
      <c r="G220" s="250"/>
      <c r="H220" s="250"/>
      <c r="I220" s="250"/>
      <c r="J220" s="250"/>
      <c r="K220" s="250"/>
      <c r="L220" s="250"/>
      <c r="M220" s="250"/>
      <c r="N220" s="476"/>
      <c r="O220" s="250"/>
      <c r="P220" s="250"/>
      <c r="Q220" s="250"/>
      <c r="R220" s="250"/>
      <c r="S220" s="250"/>
      <c r="T220" s="250"/>
      <c r="U220" s="250"/>
      <c r="V220" s="585"/>
      <c r="W220" s="250"/>
      <c r="X220" s="250"/>
      <c r="Y220" s="250"/>
      <c r="Z220" s="248"/>
      <c r="AA220" s="586"/>
      <c r="AB220" s="41">
        <v>50</v>
      </c>
      <c r="AC220" s="250"/>
      <c r="AD220" s="250"/>
      <c r="AE220" s="222" t="s">
        <v>425</v>
      </c>
      <c r="AF220" s="250"/>
      <c r="AG220" s="527">
        <v>44280</v>
      </c>
      <c r="AH220" s="528">
        <v>5</v>
      </c>
      <c r="AI220" s="599" t="s">
        <v>63</v>
      </c>
      <c r="AJ220" s="355">
        <v>20.5937353549166</v>
      </c>
      <c r="AK220" s="355">
        <v>20.829967608913201</v>
      </c>
      <c r="AL220" s="355">
        <v>20.734849156147298</v>
      </c>
      <c r="AM220" s="632">
        <f t="shared" si="236"/>
        <v>20.719517373325697</v>
      </c>
      <c r="AN220" s="363">
        <v>-3.4410714285714286</v>
      </c>
      <c r="AO220" s="363">
        <v>48.943513064185922</v>
      </c>
      <c r="AP220" s="361">
        <f t="shared" si="244"/>
        <v>159255804.68936276</v>
      </c>
      <c r="AQ220" s="469">
        <f t="shared" si="245"/>
        <v>100</v>
      </c>
      <c r="AR220" s="165">
        <v>34.941802349803297</v>
      </c>
      <c r="AS220" s="165">
        <v>36.105756731534903</v>
      </c>
      <c r="AT220" s="165">
        <v>36.999647202206802</v>
      </c>
      <c r="AU220" s="140">
        <f t="shared" si="238"/>
        <v>36.015735427848334</v>
      </c>
      <c r="AV220" s="535">
        <v>-3.5035151515151499</v>
      </c>
      <c r="AW220" s="535">
        <v>40.6726666666667</v>
      </c>
      <c r="AX220" s="536">
        <f t="shared" si="246"/>
        <v>21.341100525680574</v>
      </c>
      <c r="AY220" s="533" t="e">
        <f t="shared" si="240"/>
        <v>#DIV/0!</v>
      </c>
      <c r="AZ220" s="165">
        <v>36.304676989250702</v>
      </c>
      <c r="BA220" s="165" t="s">
        <v>95</v>
      </c>
      <c r="BB220" s="165">
        <v>37.014029970489297</v>
      </c>
      <c r="BC220" s="140">
        <f>AVERAGE(AZ220:BB220)</f>
        <v>36.659353479869999</v>
      </c>
      <c r="BD220" s="653">
        <v>-3.4617</v>
      </c>
      <c r="BE220" s="648">
        <v>42.390999999999998</v>
      </c>
      <c r="BF220" s="350">
        <f t="shared" si="247"/>
        <v>45.261790199521585</v>
      </c>
      <c r="BG220" s="649" t="e">
        <f t="shared" si="243"/>
        <v>#DIV/0!</v>
      </c>
      <c r="BH220" s="350">
        <f t="shared" si="232"/>
        <v>2.1208742325662313</v>
      </c>
      <c r="BI220" s="252"/>
      <c r="BJ220" s="252"/>
      <c r="BK220" s="250"/>
      <c r="BL220" s="252"/>
      <c r="BM220" s="252"/>
      <c r="BN220" s="252"/>
      <c r="BO220" s="252"/>
      <c r="BP220" s="252"/>
      <c r="BQ220" s="252"/>
      <c r="BR220" s="252"/>
      <c r="BS220" s="252"/>
    </row>
    <row r="221" spans="1:71" s="358" customFormat="1" ht="15" x14ac:dyDescent="0.2">
      <c r="A221" s="584"/>
      <c r="B221" s="584"/>
      <c r="C221" s="479" t="s">
        <v>255</v>
      </c>
      <c r="D221" s="248"/>
      <c r="E221" s="250"/>
      <c r="F221" s="250"/>
      <c r="G221" s="250"/>
      <c r="H221" s="250"/>
      <c r="I221" s="250"/>
      <c r="J221" s="250"/>
      <c r="K221" s="250"/>
      <c r="L221" s="250"/>
      <c r="M221" s="250"/>
      <c r="N221" s="476"/>
      <c r="O221" s="250"/>
      <c r="P221" s="250"/>
      <c r="Q221" s="250"/>
      <c r="R221" s="250"/>
      <c r="S221" s="250"/>
      <c r="T221" s="250"/>
      <c r="U221" s="250"/>
      <c r="V221" s="585"/>
      <c r="W221" s="250"/>
      <c r="X221" s="250"/>
      <c r="Y221" s="250"/>
      <c r="Z221" s="248"/>
      <c r="AA221" s="586"/>
      <c r="AB221" s="250"/>
      <c r="AC221" s="250"/>
      <c r="AD221" s="250"/>
      <c r="AE221" s="250"/>
      <c r="AF221" s="250"/>
      <c r="AG221" s="527">
        <v>44280</v>
      </c>
      <c r="AH221" s="528">
        <v>5</v>
      </c>
      <c r="AI221" s="599" t="s">
        <v>63</v>
      </c>
      <c r="AJ221" s="355" t="s">
        <v>95</v>
      </c>
      <c r="AK221" s="355">
        <v>39.041543163405898</v>
      </c>
      <c r="AL221" s="355">
        <v>39.416547282456598</v>
      </c>
      <c r="AM221" s="632">
        <f t="shared" si="236"/>
        <v>39.229045222931248</v>
      </c>
      <c r="AN221" s="363">
        <v>-3.4410714285714286</v>
      </c>
      <c r="AO221" s="363">
        <v>48.943513064185922</v>
      </c>
      <c r="AP221" s="361">
        <f t="shared" si="244"/>
        <v>665.41704870322087</v>
      </c>
      <c r="AQ221" s="469">
        <f t="shared" si="245"/>
        <v>4.1782907065846274E-4</v>
      </c>
      <c r="AR221" s="165">
        <v>39.269229682792698</v>
      </c>
      <c r="AS221" s="165" t="s">
        <v>95</v>
      </c>
      <c r="AT221" s="165" t="s">
        <v>95</v>
      </c>
      <c r="AU221" s="140">
        <f t="shared" si="238"/>
        <v>39.269229682792698</v>
      </c>
      <c r="AV221" s="535">
        <v>-3.5035151515151499</v>
      </c>
      <c r="AW221" s="535">
        <v>40.6726666666667</v>
      </c>
      <c r="AX221" s="536">
        <f t="shared" si="246"/>
        <v>2.5152414512280266</v>
      </c>
      <c r="AY221" s="533" t="e">
        <f t="shared" si="240"/>
        <v>#DIV/0!</v>
      </c>
      <c r="AZ221" s="165">
        <v>36.114491007116499</v>
      </c>
      <c r="BA221" s="165" t="s">
        <v>95</v>
      </c>
      <c r="BB221" s="165">
        <v>35.165478340962103</v>
      </c>
      <c r="BC221" s="140">
        <f>AVERAGE(AZ221:BB221)</f>
        <v>35.639984674039297</v>
      </c>
      <c r="BD221" s="653">
        <v>-3.4617</v>
      </c>
      <c r="BE221" s="648">
        <v>42.390999999999998</v>
      </c>
      <c r="BF221" s="350">
        <f t="shared" si="247"/>
        <v>89.16662053472713</v>
      </c>
      <c r="BG221" s="649" t="e">
        <f t="shared" si="243"/>
        <v>#DIV/0!</v>
      </c>
      <c r="BH221" s="350">
        <f t="shared" si="232"/>
        <v>35.450521257588591</v>
      </c>
      <c r="BI221" s="252"/>
      <c r="BJ221" s="252"/>
      <c r="BK221" s="250"/>
      <c r="BL221" s="252"/>
      <c r="BM221" s="252"/>
      <c r="BN221" s="252"/>
      <c r="BO221" s="252"/>
      <c r="BP221" s="252"/>
      <c r="BQ221" s="252"/>
      <c r="BR221" s="252"/>
      <c r="BS221" s="252"/>
    </row>
    <row r="222" spans="1:71" s="596" customFormat="1" x14ac:dyDescent="0.2">
      <c r="A222" s="608"/>
      <c r="B222" s="608"/>
      <c r="C222" s="609"/>
      <c r="D222" s="612"/>
      <c r="E222" s="610"/>
      <c r="F222" s="610"/>
      <c r="G222" s="610"/>
      <c r="H222" s="610"/>
      <c r="I222" s="610"/>
      <c r="J222" s="610"/>
      <c r="K222" s="610"/>
      <c r="L222" s="610"/>
      <c r="M222" s="610"/>
      <c r="N222" s="611"/>
      <c r="O222" s="610"/>
      <c r="P222" s="610"/>
      <c r="Q222" s="610"/>
      <c r="R222" s="610"/>
      <c r="S222" s="610"/>
      <c r="T222" s="610"/>
      <c r="U222" s="610"/>
      <c r="V222" s="610"/>
      <c r="W222" s="610"/>
      <c r="X222" s="610"/>
      <c r="Y222" s="610"/>
      <c r="Z222" s="612"/>
      <c r="AA222" s="613"/>
      <c r="AB222" s="610"/>
      <c r="AC222" s="610"/>
      <c r="AD222" s="610"/>
      <c r="AE222" s="610"/>
      <c r="AF222" s="610"/>
      <c r="AG222" s="613"/>
      <c r="AH222" s="610"/>
      <c r="AI222" s="610"/>
      <c r="AJ222" s="610"/>
      <c r="AK222" s="610"/>
      <c r="AL222" s="610"/>
      <c r="AM222" s="633"/>
      <c r="AN222" s="610"/>
      <c r="AO222" s="610"/>
      <c r="AP222" s="610"/>
      <c r="AQ222" s="610"/>
      <c r="AR222" s="610"/>
      <c r="AS222" s="610"/>
      <c r="AT222" s="610"/>
      <c r="AU222" s="610"/>
      <c r="AV222" s="610"/>
      <c r="AW222" s="610"/>
      <c r="AX222" s="614"/>
      <c r="AY222" s="610"/>
      <c r="AZ222" s="610"/>
      <c r="BA222" s="610"/>
      <c r="BB222" s="610"/>
      <c r="BC222" s="610"/>
      <c r="BD222" s="610"/>
      <c r="BE222" s="610"/>
      <c r="BF222" s="610"/>
      <c r="BG222" s="610"/>
      <c r="BH222" s="610"/>
      <c r="BK222" s="610"/>
    </row>
    <row r="223" spans="1:71" s="358" customFormat="1" x14ac:dyDescent="0.2">
      <c r="A223" s="584"/>
      <c r="B223" s="626">
        <v>44278</v>
      </c>
      <c r="C223" s="479" t="s">
        <v>243</v>
      </c>
      <c r="D223" s="248" t="s">
        <v>244</v>
      </c>
      <c r="E223" s="625" t="s">
        <v>232</v>
      </c>
      <c r="F223" s="625" t="s">
        <v>233</v>
      </c>
      <c r="G223" s="250"/>
      <c r="H223" s="250"/>
      <c r="I223" s="250"/>
      <c r="J223" s="250"/>
      <c r="K223" s="4"/>
      <c r="L223" s="222" t="s">
        <v>234</v>
      </c>
      <c r="M223" s="250"/>
      <c r="N223" s="458">
        <v>44280</v>
      </c>
      <c r="O223" s="41">
        <v>50</v>
      </c>
      <c r="P223" s="8" t="s">
        <v>316</v>
      </c>
      <c r="Q223" s="625" t="s">
        <v>236</v>
      </c>
      <c r="R223" s="8" t="s">
        <v>316</v>
      </c>
      <c r="S223" s="8">
        <v>7.28</v>
      </c>
      <c r="T223" s="8">
        <v>3.86</v>
      </c>
      <c r="U223" s="8">
        <v>30.6</v>
      </c>
      <c r="V223" s="8">
        <v>357</v>
      </c>
      <c r="W223" s="250"/>
      <c r="X223" s="250"/>
      <c r="Y223" s="250"/>
      <c r="Z223" s="248"/>
      <c r="AA223" s="586"/>
      <c r="AB223" s="250"/>
      <c r="AC223" s="250"/>
      <c r="AD223" s="250"/>
      <c r="AE223" s="250"/>
      <c r="AF223" s="250"/>
      <c r="AG223" s="586"/>
      <c r="AH223" s="250"/>
      <c r="AI223" s="250"/>
      <c r="AJ223" s="250"/>
      <c r="AK223" s="250"/>
      <c r="AL223" s="250"/>
      <c r="AM223" s="250"/>
      <c r="AN223" s="250"/>
      <c r="AO223" s="250"/>
      <c r="AP223" s="250"/>
      <c r="AQ223" s="250"/>
      <c r="AR223" s="250"/>
      <c r="AS223" s="250"/>
      <c r="AT223" s="250"/>
      <c r="AU223" s="250"/>
      <c r="AV223" s="250"/>
      <c r="AW223" s="250"/>
      <c r="AX223" s="251"/>
      <c r="AY223" s="250"/>
      <c r="AZ223" s="250"/>
      <c r="BA223" s="250"/>
      <c r="BB223" s="250"/>
      <c r="BC223" s="250"/>
      <c r="BD223" s="250"/>
      <c r="BE223" s="250"/>
      <c r="BF223" s="250"/>
      <c r="BG223" s="250"/>
      <c r="BH223" s="250"/>
      <c r="BI223" s="252"/>
      <c r="BJ223" s="252"/>
      <c r="BK223" s="250"/>
      <c r="BL223" s="252"/>
      <c r="BM223" s="252"/>
      <c r="BN223" s="252"/>
      <c r="BO223" s="252"/>
      <c r="BP223" s="252"/>
      <c r="BQ223" s="252"/>
      <c r="BR223" s="252"/>
      <c r="BS223" s="252"/>
    </row>
    <row r="224" spans="1:71" s="358" customFormat="1" x14ac:dyDescent="0.2">
      <c r="A224" s="584"/>
      <c r="B224" s="656">
        <v>44278</v>
      </c>
      <c r="C224" s="479" t="s">
        <v>247</v>
      </c>
      <c r="D224" s="248" t="s">
        <v>244</v>
      </c>
      <c r="E224" s="273" t="s">
        <v>246</v>
      </c>
      <c r="F224" s="273" t="s">
        <v>233</v>
      </c>
      <c r="G224" s="250"/>
      <c r="H224" s="250"/>
      <c r="I224" s="250"/>
      <c r="J224" s="250"/>
      <c r="K224" s="4"/>
      <c r="L224" s="222" t="s">
        <v>234</v>
      </c>
      <c r="M224" s="250"/>
      <c r="N224" s="458">
        <v>44280</v>
      </c>
      <c r="O224" s="41">
        <v>50</v>
      </c>
      <c r="P224" s="8" t="s">
        <v>316</v>
      </c>
      <c r="Q224" s="625" t="s">
        <v>236</v>
      </c>
      <c r="R224" s="8" t="s">
        <v>316</v>
      </c>
      <c r="S224" s="8">
        <v>7.37</v>
      </c>
      <c r="T224" s="8">
        <v>4.3600000000000003</v>
      </c>
      <c r="U224" s="8">
        <v>65</v>
      </c>
      <c r="V224" s="8">
        <v>208</v>
      </c>
      <c r="W224" s="250"/>
      <c r="X224" s="250"/>
      <c r="Y224" s="250"/>
      <c r="Z224" s="248"/>
      <c r="AA224" s="586"/>
      <c r="AB224" s="250"/>
      <c r="AC224" s="250"/>
      <c r="AD224" s="250"/>
      <c r="AE224" s="250"/>
      <c r="AF224" s="250"/>
      <c r="AG224" s="586"/>
      <c r="AH224" s="250"/>
      <c r="AI224" s="250"/>
      <c r="AJ224" s="250"/>
      <c r="AK224" s="250"/>
      <c r="AL224" s="250"/>
      <c r="AM224" s="250"/>
      <c r="AN224" s="250"/>
      <c r="AO224" s="250"/>
      <c r="AP224" s="250"/>
      <c r="AQ224" s="250"/>
      <c r="AR224" s="250"/>
      <c r="AS224" s="250"/>
      <c r="AT224" s="250"/>
      <c r="AU224" s="250"/>
      <c r="AV224" s="250"/>
      <c r="AW224" s="250"/>
      <c r="AX224" s="251"/>
      <c r="AY224" s="250"/>
      <c r="AZ224" s="250"/>
      <c r="BA224" s="250"/>
      <c r="BB224" s="250"/>
      <c r="BC224" s="250"/>
      <c r="BD224" s="250"/>
      <c r="BE224" s="250"/>
      <c r="BF224" s="250"/>
      <c r="BG224" s="250"/>
      <c r="BH224" s="250"/>
      <c r="BI224" s="252"/>
      <c r="BJ224" s="252"/>
      <c r="BK224" s="250"/>
      <c r="BL224" s="252"/>
      <c r="BM224" s="252"/>
      <c r="BN224" s="252"/>
      <c r="BO224" s="252"/>
      <c r="BP224" s="252"/>
      <c r="BQ224" s="252"/>
      <c r="BR224" s="252"/>
      <c r="BS224" s="252"/>
    </row>
    <row r="225" spans="1:71" s="358" customFormat="1" x14ac:dyDescent="0.2">
      <c r="A225" s="584"/>
      <c r="B225" s="656">
        <v>44278</v>
      </c>
      <c r="C225" s="365" t="s">
        <v>250</v>
      </c>
      <c r="D225" s="248" t="s">
        <v>244</v>
      </c>
      <c r="E225" s="273" t="s">
        <v>249</v>
      </c>
      <c r="F225" s="273" t="s">
        <v>233</v>
      </c>
      <c r="G225" s="250"/>
      <c r="H225" s="250"/>
      <c r="I225" s="250"/>
      <c r="J225" s="250"/>
      <c r="K225" s="4"/>
      <c r="L225" s="222" t="s">
        <v>234</v>
      </c>
      <c r="M225" s="250"/>
      <c r="N225" s="458">
        <v>44280</v>
      </c>
      <c r="O225" s="41">
        <v>50</v>
      </c>
      <c r="P225" s="8" t="s">
        <v>316</v>
      </c>
      <c r="Q225" s="625" t="s">
        <v>236</v>
      </c>
      <c r="R225" s="8" t="s">
        <v>316</v>
      </c>
      <c r="S225" s="8">
        <v>7.57</v>
      </c>
      <c r="T225" s="8">
        <v>4.25</v>
      </c>
      <c r="U225" s="8">
        <v>57.1</v>
      </c>
      <c r="V225" s="8">
        <v>111.2</v>
      </c>
      <c r="W225" s="250"/>
      <c r="X225" s="250"/>
      <c r="Y225" s="250"/>
      <c r="Z225" s="248"/>
      <c r="AA225" s="586"/>
      <c r="AB225" s="250"/>
      <c r="AC225" s="250"/>
      <c r="AD225" s="250"/>
      <c r="AE225" s="250"/>
      <c r="AF225" s="250"/>
      <c r="AG225" s="586"/>
      <c r="AH225" s="250"/>
      <c r="AI225" s="250"/>
      <c r="AJ225" s="250"/>
      <c r="AK225" s="250"/>
      <c r="AL225" s="250"/>
      <c r="AM225" s="250"/>
      <c r="AN225" s="250"/>
      <c r="AO225" s="250"/>
      <c r="AP225" s="250"/>
      <c r="AQ225" s="250"/>
      <c r="AR225" s="250"/>
      <c r="AS225" s="250"/>
      <c r="AT225" s="250"/>
      <c r="AU225" s="250"/>
      <c r="AV225" s="250"/>
      <c r="AW225" s="250"/>
      <c r="AX225" s="251"/>
      <c r="AY225" s="250"/>
      <c r="AZ225" s="250"/>
      <c r="BA225" s="250"/>
      <c r="BB225" s="250"/>
      <c r="BC225" s="250"/>
      <c r="BD225" s="250"/>
      <c r="BE225" s="250"/>
      <c r="BF225" s="250"/>
      <c r="BG225" s="250"/>
      <c r="BH225" s="250"/>
      <c r="BI225" s="252"/>
      <c r="BJ225" s="252"/>
      <c r="BK225" s="250"/>
      <c r="BL225" s="252"/>
      <c r="BM225" s="252"/>
      <c r="BN225" s="252"/>
      <c r="BO225" s="252"/>
      <c r="BP225" s="252"/>
      <c r="BQ225" s="252"/>
      <c r="BR225" s="252"/>
      <c r="BS225" s="252"/>
    </row>
    <row r="226" spans="1:71" s="358" customFormat="1" x14ac:dyDescent="0.2">
      <c r="A226" s="584"/>
      <c r="B226" s="656">
        <v>44278</v>
      </c>
      <c r="C226" s="365" t="s">
        <v>253</v>
      </c>
      <c r="D226" s="248" t="s">
        <v>244</v>
      </c>
      <c r="E226" s="273" t="s">
        <v>252</v>
      </c>
      <c r="F226" s="273" t="s">
        <v>233</v>
      </c>
      <c r="G226" s="250"/>
      <c r="H226" s="250"/>
      <c r="I226" s="250"/>
      <c r="J226" s="250"/>
      <c r="K226" s="4"/>
      <c r="L226" s="222" t="s">
        <v>234</v>
      </c>
      <c r="M226" s="250"/>
      <c r="N226" s="458">
        <v>44280</v>
      </c>
      <c r="O226" s="41">
        <v>50</v>
      </c>
      <c r="P226" s="8" t="s">
        <v>316</v>
      </c>
      <c r="Q226" s="625" t="s">
        <v>236</v>
      </c>
      <c r="R226" s="8" t="s">
        <v>316</v>
      </c>
      <c r="S226" s="8">
        <v>7.53</v>
      </c>
      <c r="T226" s="8">
        <v>3.65</v>
      </c>
      <c r="U226" s="8">
        <v>36</v>
      </c>
      <c r="V226" s="8">
        <v>189.2</v>
      </c>
      <c r="W226" s="250"/>
      <c r="X226" s="250"/>
      <c r="Y226" s="250"/>
      <c r="Z226" s="248"/>
      <c r="AA226" s="586"/>
      <c r="AB226" s="250"/>
      <c r="AC226" s="250"/>
      <c r="AD226" s="250"/>
      <c r="AE226" s="250"/>
      <c r="AF226" s="250"/>
      <c r="AG226" s="586"/>
      <c r="AH226" s="250"/>
      <c r="AI226" s="250"/>
      <c r="AJ226" s="250"/>
      <c r="AK226" s="250"/>
      <c r="AL226" s="250"/>
      <c r="AM226" s="250"/>
      <c r="AN226" s="250"/>
      <c r="AO226" s="250"/>
      <c r="AP226" s="250"/>
      <c r="AQ226" s="250"/>
      <c r="AR226" s="250"/>
      <c r="AS226" s="250"/>
      <c r="AT226" s="250"/>
      <c r="AU226" s="250"/>
      <c r="AV226" s="250"/>
      <c r="AW226" s="250"/>
      <c r="AX226" s="251"/>
      <c r="AY226" s="250"/>
      <c r="AZ226" s="250"/>
      <c r="BA226" s="250"/>
      <c r="BB226" s="250"/>
      <c r="BC226" s="250"/>
      <c r="BD226" s="250"/>
      <c r="BE226" s="250"/>
      <c r="BF226" s="250"/>
      <c r="BG226" s="250"/>
      <c r="BH226" s="250"/>
      <c r="BI226" s="252"/>
      <c r="BJ226" s="252"/>
      <c r="BK226" s="250"/>
      <c r="BL226" s="252"/>
      <c r="BM226" s="252"/>
      <c r="BN226" s="252"/>
      <c r="BO226" s="252"/>
      <c r="BP226" s="252"/>
      <c r="BQ226" s="252"/>
      <c r="BR226" s="252"/>
      <c r="BS226" s="252"/>
    </row>
    <row r="227" spans="1:71" x14ac:dyDescent="0.2">
      <c r="A227" s="584"/>
      <c r="B227" s="656">
        <v>44278</v>
      </c>
      <c r="C227" s="365" t="s">
        <v>230</v>
      </c>
      <c r="D227" s="712" t="s">
        <v>231</v>
      </c>
      <c r="E227" s="625" t="s">
        <v>232</v>
      </c>
      <c r="F227" s="273" t="s">
        <v>233</v>
      </c>
      <c r="G227" s="250"/>
      <c r="H227" s="250"/>
      <c r="I227" s="250"/>
      <c r="J227" s="250"/>
      <c r="K227" s="4"/>
      <c r="L227" s="222" t="s">
        <v>234</v>
      </c>
      <c r="M227" s="250"/>
      <c r="N227" s="458">
        <v>44280</v>
      </c>
      <c r="O227" s="41">
        <v>50</v>
      </c>
      <c r="P227" s="8" t="s">
        <v>316</v>
      </c>
      <c r="Q227" s="625" t="s">
        <v>236</v>
      </c>
      <c r="R227" s="8" t="s">
        <v>316</v>
      </c>
      <c r="S227" s="8">
        <v>7.46</v>
      </c>
      <c r="T227" s="8">
        <v>4.0599999999999996</v>
      </c>
      <c r="U227" s="8">
        <v>38.9</v>
      </c>
      <c r="V227" s="8">
        <v>480</v>
      </c>
      <c r="W227" s="257"/>
      <c r="X227" s="257"/>
      <c r="Y227" s="257"/>
      <c r="AB227" s="257"/>
      <c r="AC227" s="257"/>
      <c r="AD227" s="257"/>
      <c r="AE227" s="257"/>
      <c r="AF227" s="257"/>
      <c r="AH227" s="257"/>
      <c r="AI227" s="257"/>
      <c r="AJ227" s="257"/>
      <c r="AK227" s="257"/>
      <c r="AL227" s="257"/>
      <c r="AM227" s="257"/>
      <c r="AN227" s="257"/>
      <c r="AO227" s="257"/>
      <c r="AP227" s="257"/>
      <c r="AQ227" s="257"/>
      <c r="AR227" s="257"/>
      <c r="AS227" s="257"/>
      <c r="AT227" s="257"/>
      <c r="AU227" s="257"/>
      <c r="AV227" s="257"/>
      <c r="AW227" s="257"/>
      <c r="AY227" s="257"/>
      <c r="AZ227" s="257"/>
      <c r="BA227" s="257"/>
      <c r="BB227" s="257"/>
      <c r="BC227" s="257"/>
      <c r="BD227" s="257"/>
      <c r="BE227" s="257"/>
      <c r="BF227" s="257"/>
      <c r="BG227" s="257"/>
      <c r="BH227" s="257"/>
      <c r="BK227" s="257"/>
    </row>
    <row r="228" spans="1:71" x14ac:dyDescent="0.2">
      <c r="A228" s="584"/>
      <c r="B228" s="656">
        <v>44278</v>
      </c>
      <c r="C228" s="365" t="s">
        <v>247</v>
      </c>
      <c r="D228" s="248" t="s">
        <v>244</v>
      </c>
      <c r="E228" s="625" t="s">
        <v>232</v>
      </c>
      <c r="F228" s="273" t="s">
        <v>233</v>
      </c>
      <c r="G228" s="250"/>
      <c r="H228" s="250"/>
      <c r="I228" s="250"/>
      <c r="J228" s="250"/>
      <c r="K228" s="4"/>
      <c r="L228" s="222" t="s">
        <v>234</v>
      </c>
      <c r="M228" s="250"/>
      <c r="N228" s="458">
        <v>44280</v>
      </c>
      <c r="O228" s="41">
        <v>50</v>
      </c>
      <c r="P228" s="8" t="s">
        <v>316</v>
      </c>
      <c r="Q228" s="625" t="s">
        <v>236</v>
      </c>
      <c r="R228" s="8" t="s">
        <v>316</v>
      </c>
      <c r="S228" s="8">
        <v>7.51</v>
      </c>
      <c r="T228" s="8">
        <v>4.24</v>
      </c>
      <c r="U228" s="8">
        <v>45.9</v>
      </c>
      <c r="V228" s="8">
        <v>426</v>
      </c>
      <c r="W228" s="257"/>
      <c r="X228" s="257"/>
      <c r="Y228" s="257"/>
      <c r="AB228" s="257"/>
      <c r="AC228" s="257"/>
      <c r="AD228" s="257"/>
      <c r="AE228" s="257"/>
      <c r="AF228" s="257"/>
      <c r="AH228" s="257"/>
      <c r="AI228" s="257"/>
      <c r="AJ228" s="257"/>
      <c r="AK228" s="257"/>
      <c r="AL228" s="257"/>
      <c r="AM228" s="257"/>
      <c r="AN228" s="257"/>
      <c r="AO228" s="257"/>
      <c r="AP228" s="257"/>
      <c r="AQ228" s="257"/>
      <c r="AR228" s="257"/>
      <c r="AS228" s="257"/>
      <c r="AT228" s="257"/>
      <c r="AU228" s="257"/>
      <c r="AV228" s="257"/>
      <c r="AW228" s="257"/>
      <c r="AY228" s="257"/>
      <c r="AZ228" s="257"/>
      <c r="BA228" s="257"/>
      <c r="BB228" s="257"/>
      <c r="BC228" s="257"/>
      <c r="BD228" s="257"/>
      <c r="BE228" s="257"/>
      <c r="BF228" s="257"/>
      <c r="BG228" s="257"/>
      <c r="BH228" s="257"/>
      <c r="BK228" s="257"/>
    </row>
    <row r="229" spans="1:71" x14ac:dyDescent="0.2">
      <c r="A229" s="584"/>
      <c r="B229" s="656">
        <v>44278</v>
      </c>
      <c r="C229" s="365" t="s">
        <v>245</v>
      </c>
      <c r="D229" s="712" t="s">
        <v>231</v>
      </c>
      <c r="E229" s="273" t="s">
        <v>246</v>
      </c>
      <c r="F229" s="273" t="s">
        <v>233</v>
      </c>
      <c r="G229" s="250"/>
      <c r="H229" s="250"/>
      <c r="I229" s="250"/>
      <c r="J229" s="250"/>
      <c r="K229" s="4"/>
      <c r="L229" s="222" t="s">
        <v>234</v>
      </c>
      <c r="M229" s="250"/>
      <c r="N229" s="458">
        <v>44280</v>
      </c>
      <c r="O229" s="41">
        <v>50</v>
      </c>
      <c r="P229" s="8" t="s">
        <v>316</v>
      </c>
      <c r="Q229" s="625" t="s">
        <v>236</v>
      </c>
      <c r="R229" s="8" t="s">
        <v>316</v>
      </c>
      <c r="S229" s="8">
        <v>7.77</v>
      </c>
      <c r="T229" s="8">
        <v>3.85</v>
      </c>
      <c r="U229" s="8">
        <v>57</v>
      </c>
      <c r="V229" s="8">
        <v>217</v>
      </c>
      <c r="W229" s="257"/>
      <c r="X229" s="257"/>
      <c r="Y229" s="257"/>
      <c r="AB229" s="257"/>
      <c r="AC229" s="257"/>
      <c r="AD229" s="257"/>
      <c r="AE229" s="257"/>
      <c r="AF229" s="257"/>
      <c r="AH229" s="257"/>
      <c r="AI229" s="257"/>
      <c r="AJ229" s="257"/>
      <c r="AK229" s="257"/>
      <c r="AL229" s="257"/>
      <c r="AM229" s="257"/>
      <c r="AN229" s="257"/>
      <c r="AO229" s="257"/>
      <c r="AP229" s="257"/>
      <c r="AQ229" s="257"/>
      <c r="AR229" s="257"/>
      <c r="AS229" s="257"/>
      <c r="AT229" s="257"/>
      <c r="AU229" s="257"/>
      <c r="AV229" s="257"/>
      <c r="AW229" s="257"/>
      <c r="AY229" s="257"/>
      <c r="AZ229" s="257"/>
      <c r="BA229" s="257"/>
      <c r="BB229" s="257"/>
      <c r="BC229" s="257"/>
      <c r="BD229" s="257"/>
      <c r="BE229" s="257"/>
      <c r="BF229" s="257"/>
      <c r="BG229" s="257"/>
      <c r="BH229" s="257"/>
      <c r="BK229" s="257"/>
    </row>
    <row r="230" spans="1:71" x14ac:dyDescent="0.2">
      <c r="A230" s="584"/>
      <c r="B230" s="656">
        <v>44278</v>
      </c>
      <c r="C230" s="365" t="s">
        <v>247</v>
      </c>
      <c r="D230" s="248" t="s">
        <v>244</v>
      </c>
      <c r="E230" s="273" t="s">
        <v>246</v>
      </c>
      <c r="F230" s="273" t="s">
        <v>233</v>
      </c>
      <c r="G230" s="250"/>
      <c r="H230" s="250"/>
      <c r="I230" s="250"/>
      <c r="J230" s="250"/>
      <c r="K230" s="4"/>
      <c r="L230" s="222" t="s">
        <v>234</v>
      </c>
      <c r="M230" s="250"/>
      <c r="N230" s="458">
        <v>44280</v>
      </c>
      <c r="O230" s="41">
        <v>50</v>
      </c>
      <c r="P230" s="8" t="s">
        <v>316</v>
      </c>
      <c r="Q230" s="625" t="s">
        <v>236</v>
      </c>
      <c r="R230" s="8" t="s">
        <v>316</v>
      </c>
      <c r="S230" s="8">
        <v>7.54</v>
      </c>
      <c r="T230" s="8">
        <v>4.01</v>
      </c>
      <c r="U230" s="8">
        <v>84.6</v>
      </c>
      <c r="V230" s="8">
        <v>235</v>
      </c>
      <c r="W230" s="257"/>
      <c r="X230" s="257"/>
      <c r="Y230" s="257"/>
      <c r="AB230" s="257"/>
      <c r="AC230" s="257"/>
      <c r="AD230" s="257"/>
      <c r="AE230" s="257"/>
      <c r="AF230" s="257"/>
      <c r="AH230" s="257"/>
      <c r="AI230" s="257"/>
      <c r="AJ230" s="257"/>
      <c r="AK230" s="257"/>
      <c r="AL230" s="257"/>
      <c r="AM230" s="257"/>
      <c r="AN230" s="257"/>
      <c r="AO230" s="257"/>
      <c r="AP230" s="257"/>
      <c r="AQ230" s="257"/>
      <c r="AR230" s="257"/>
      <c r="AS230" s="257"/>
      <c r="AT230" s="257"/>
      <c r="AU230" s="257"/>
      <c r="AV230" s="257"/>
      <c r="AW230" s="257"/>
      <c r="AY230" s="257"/>
      <c r="AZ230" s="257"/>
      <c r="BA230" s="257"/>
      <c r="BB230" s="257"/>
      <c r="BC230" s="257"/>
      <c r="BD230" s="257"/>
      <c r="BE230" s="257"/>
      <c r="BF230" s="257"/>
      <c r="BG230" s="257"/>
      <c r="BH230" s="257"/>
      <c r="BK230" s="257"/>
    </row>
    <row r="231" spans="1:71" x14ac:dyDescent="0.2">
      <c r="A231" s="584"/>
      <c r="B231" s="656">
        <v>44278</v>
      </c>
      <c r="C231" s="365" t="s">
        <v>248</v>
      </c>
      <c r="D231" s="712" t="s">
        <v>231</v>
      </c>
      <c r="E231" s="273" t="s">
        <v>249</v>
      </c>
      <c r="F231" s="273" t="s">
        <v>233</v>
      </c>
      <c r="G231" s="250"/>
      <c r="H231" s="250"/>
      <c r="I231" s="250"/>
      <c r="J231" s="250"/>
      <c r="K231" s="4"/>
      <c r="L231" s="222" t="s">
        <v>234</v>
      </c>
      <c r="M231" s="250"/>
      <c r="N231" s="458">
        <v>44280</v>
      </c>
      <c r="O231" s="41">
        <v>50</v>
      </c>
      <c r="P231" s="8" t="s">
        <v>316</v>
      </c>
      <c r="Q231" s="625" t="s">
        <v>236</v>
      </c>
      <c r="R231" s="8" t="s">
        <v>316</v>
      </c>
      <c r="S231" s="8">
        <v>9.35</v>
      </c>
      <c r="T231" s="8">
        <v>4.4400000000000004</v>
      </c>
      <c r="U231" s="8">
        <v>113</v>
      </c>
      <c r="V231" s="8" t="s">
        <v>238</v>
      </c>
      <c r="W231" s="257"/>
      <c r="X231" s="257"/>
      <c r="Y231" s="257"/>
      <c r="AB231" s="257"/>
      <c r="AC231" s="257"/>
      <c r="AD231" s="257"/>
      <c r="AE231" s="257"/>
      <c r="AF231" s="257"/>
      <c r="AH231" s="257"/>
      <c r="AI231" s="257"/>
      <c r="AJ231" s="257"/>
      <c r="AK231" s="257"/>
      <c r="AL231" s="257"/>
      <c r="AM231" s="257"/>
      <c r="AN231" s="257"/>
      <c r="AO231" s="257"/>
      <c r="AP231" s="257"/>
      <c r="AQ231" s="257"/>
      <c r="AR231" s="257"/>
      <c r="AS231" s="257"/>
      <c r="AT231" s="257"/>
      <c r="AU231" s="257"/>
      <c r="AV231" s="257"/>
      <c r="AW231" s="257"/>
      <c r="AY231" s="257"/>
      <c r="AZ231" s="257"/>
      <c r="BA231" s="257"/>
      <c r="BB231" s="257"/>
      <c r="BC231" s="257"/>
      <c r="BD231" s="257"/>
      <c r="BE231" s="257"/>
      <c r="BF231" s="257"/>
      <c r="BG231" s="257"/>
      <c r="BH231" s="257"/>
      <c r="BK231" s="257"/>
    </row>
    <row r="232" spans="1:71" x14ac:dyDescent="0.2">
      <c r="A232" s="584"/>
      <c r="B232" s="656">
        <v>44278</v>
      </c>
      <c r="C232" s="365" t="s">
        <v>250</v>
      </c>
      <c r="D232" s="248" t="s">
        <v>244</v>
      </c>
      <c r="E232" s="273" t="s">
        <v>249</v>
      </c>
      <c r="F232" s="273" t="s">
        <v>233</v>
      </c>
      <c r="G232" s="250"/>
      <c r="H232" s="250"/>
      <c r="I232" s="250"/>
      <c r="J232" s="250"/>
      <c r="K232" s="4"/>
      <c r="L232" s="222" t="s">
        <v>234</v>
      </c>
      <c r="M232" s="250"/>
      <c r="N232" s="458">
        <v>44280</v>
      </c>
      <c r="O232" s="41">
        <v>50</v>
      </c>
      <c r="P232" s="8" t="s">
        <v>316</v>
      </c>
      <c r="Q232" s="625" t="s">
        <v>236</v>
      </c>
      <c r="R232" s="8" t="s">
        <v>316</v>
      </c>
      <c r="S232" s="8">
        <v>8.49</v>
      </c>
      <c r="T232" s="8">
        <v>4.49</v>
      </c>
      <c r="U232" s="8">
        <v>45.8</v>
      </c>
      <c r="V232" s="8">
        <v>91.1</v>
      </c>
      <c r="W232" s="257"/>
      <c r="X232" s="257"/>
      <c r="Y232" s="257"/>
      <c r="AB232" s="257"/>
      <c r="AC232" s="257"/>
      <c r="AD232" s="257"/>
      <c r="AE232" s="257"/>
      <c r="AF232" s="257"/>
      <c r="AH232" s="257"/>
      <c r="AI232" s="257"/>
      <c r="AJ232" s="257"/>
      <c r="AK232" s="257"/>
      <c r="AL232" s="257"/>
      <c r="AM232" s="257"/>
      <c r="AN232" s="257"/>
      <c r="AO232" s="257"/>
      <c r="AP232" s="257"/>
      <c r="AQ232" s="257"/>
      <c r="AR232" s="257"/>
      <c r="AS232" s="257"/>
      <c r="AT232" s="257"/>
      <c r="AU232" s="257"/>
      <c r="AV232" s="257"/>
      <c r="AW232" s="257"/>
      <c r="AY232" s="257"/>
      <c r="AZ232" s="257"/>
      <c r="BA232" s="257"/>
      <c r="BB232" s="257"/>
      <c r="BC232" s="257"/>
      <c r="BD232" s="257"/>
      <c r="BE232" s="257"/>
      <c r="BF232" s="257"/>
      <c r="BG232" s="257"/>
      <c r="BH232" s="257"/>
      <c r="BK232" s="257"/>
    </row>
    <row r="233" spans="1:71" x14ac:dyDescent="0.2">
      <c r="A233" s="584"/>
      <c r="B233" s="656">
        <v>44278</v>
      </c>
      <c r="C233" s="365" t="s">
        <v>251</v>
      </c>
      <c r="D233" s="712" t="s">
        <v>231</v>
      </c>
      <c r="E233" s="273" t="s">
        <v>252</v>
      </c>
      <c r="F233" s="273" t="s">
        <v>233</v>
      </c>
      <c r="G233" s="250"/>
      <c r="H233" s="250"/>
      <c r="I233" s="250"/>
      <c r="J233" s="250"/>
      <c r="K233" s="4"/>
      <c r="L233" s="222" t="s">
        <v>234</v>
      </c>
      <c r="M233" s="250"/>
      <c r="N233" s="458">
        <v>44280</v>
      </c>
      <c r="O233" s="41">
        <v>50</v>
      </c>
      <c r="P233" s="8" t="s">
        <v>316</v>
      </c>
      <c r="Q233" s="625" t="s">
        <v>236</v>
      </c>
      <c r="R233" s="8" t="s">
        <v>316</v>
      </c>
      <c r="S233" s="8">
        <v>7.54</v>
      </c>
      <c r="T233" s="8">
        <v>4.17</v>
      </c>
      <c r="U233" s="8">
        <v>166</v>
      </c>
      <c r="V233" s="8">
        <v>165.9</v>
      </c>
      <c r="W233" s="257"/>
      <c r="X233" s="257"/>
      <c r="Y233" s="257"/>
      <c r="AB233" s="257"/>
      <c r="AC233" s="257"/>
      <c r="AD233" s="257"/>
      <c r="AE233" s="257"/>
      <c r="AF233" s="257"/>
      <c r="AH233" s="257"/>
      <c r="AI233" s="257"/>
      <c r="AJ233" s="257"/>
      <c r="AK233" s="257"/>
      <c r="AL233" s="257"/>
      <c r="AM233" s="257"/>
      <c r="AN233" s="257"/>
      <c r="AO233" s="257"/>
      <c r="AP233" s="257"/>
      <c r="AQ233" s="257"/>
      <c r="AR233" s="257"/>
      <c r="AS233" s="257"/>
      <c r="AT233" s="257"/>
      <c r="AU233" s="257"/>
      <c r="AV233" s="257"/>
      <c r="AW233" s="257"/>
      <c r="AY233" s="257"/>
      <c r="AZ233" s="257"/>
      <c r="BA233" s="257"/>
      <c r="BB233" s="257"/>
      <c r="BC233" s="257"/>
      <c r="BD233" s="257"/>
      <c r="BE233" s="257"/>
      <c r="BF233" s="257"/>
      <c r="BG233" s="257"/>
      <c r="BH233" s="257"/>
      <c r="BK233" s="257"/>
    </row>
    <row r="234" spans="1:71" x14ac:dyDescent="0.2">
      <c r="A234" s="584"/>
      <c r="B234" s="656">
        <v>44278</v>
      </c>
      <c r="C234" s="365" t="s">
        <v>253</v>
      </c>
      <c r="D234" s="248" t="s">
        <v>244</v>
      </c>
      <c r="E234" s="273" t="s">
        <v>252</v>
      </c>
      <c r="F234" s="273" t="s">
        <v>233</v>
      </c>
      <c r="G234" s="250"/>
      <c r="H234" s="250"/>
      <c r="I234" s="250"/>
      <c r="J234" s="250"/>
      <c r="K234" s="4"/>
      <c r="L234" s="222" t="s">
        <v>234</v>
      </c>
      <c r="M234" s="250"/>
      <c r="N234" s="458">
        <v>44280</v>
      </c>
      <c r="O234" s="41">
        <v>50</v>
      </c>
      <c r="P234" s="8" t="s">
        <v>316</v>
      </c>
      <c r="Q234" s="625" t="s">
        <v>236</v>
      </c>
      <c r="R234" s="8" t="s">
        <v>316</v>
      </c>
      <c r="S234" s="8">
        <v>7.62</v>
      </c>
      <c r="T234" s="8">
        <v>4.26</v>
      </c>
      <c r="U234" s="8">
        <v>52.6</v>
      </c>
      <c r="V234" s="8">
        <v>194.6</v>
      </c>
      <c r="W234" s="257"/>
      <c r="X234" s="257"/>
      <c r="Y234" s="257"/>
      <c r="AB234" s="257"/>
      <c r="AC234" s="257"/>
      <c r="AD234" s="257"/>
      <c r="AE234" s="257"/>
      <c r="AF234" s="257"/>
      <c r="AH234" s="257"/>
      <c r="AI234" s="257"/>
      <c r="AJ234" s="257"/>
      <c r="AK234" s="257"/>
      <c r="AL234" s="257"/>
      <c r="AM234" s="257"/>
      <c r="AN234" s="257"/>
      <c r="AO234" s="257"/>
      <c r="AP234" s="257"/>
      <c r="AQ234" s="257"/>
      <c r="AR234" s="257"/>
      <c r="AS234" s="257"/>
      <c r="AT234" s="257"/>
      <c r="AU234" s="257"/>
      <c r="AV234" s="257"/>
      <c r="AW234" s="257"/>
      <c r="AY234" s="257"/>
      <c r="AZ234" s="257"/>
      <c r="BA234" s="257"/>
      <c r="BB234" s="257"/>
      <c r="BC234" s="257"/>
      <c r="BD234" s="257"/>
      <c r="BE234" s="257"/>
      <c r="BF234" s="257"/>
      <c r="BG234" s="257"/>
      <c r="BH234" s="257"/>
      <c r="BK234" s="257"/>
    </row>
    <row r="235" spans="1:71" x14ac:dyDescent="0.2">
      <c r="A235" s="584"/>
      <c r="B235" s="656">
        <v>44278</v>
      </c>
      <c r="C235" s="479" t="s">
        <v>254</v>
      </c>
      <c r="D235" s="250"/>
      <c r="F235" s="273"/>
      <c r="G235" s="250"/>
      <c r="H235" s="250"/>
      <c r="I235" s="250"/>
      <c r="J235" s="250"/>
      <c r="K235" s="4"/>
      <c r="L235" s="222"/>
      <c r="M235" s="250"/>
      <c r="N235" s="458">
        <v>44280</v>
      </c>
      <c r="O235" s="41">
        <v>50</v>
      </c>
      <c r="P235" s="8" t="s">
        <v>316</v>
      </c>
      <c r="Q235" s="625" t="s">
        <v>236</v>
      </c>
      <c r="R235" s="8" t="s">
        <v>316</v>
      </c>
      <c r="S235" s="8" t="s">
        <v>238</v>
      </c>
      <c r="T235" s="8" t="s">
        <v>238</v>
      </c>
      <c r="U235" s="8" t="s">
        <v>238</v>
      </c>
      <c r="V235" s="8" t="s">
        <v>238</v>
      </c>
      <c r="W235" s="257"/>
      <c r="X235" s="257"/>
      <c r="Y235" s="257"/>
      <c r="AB235" s="257"/>
      <c r="AC235" s="257"/>
      <c r="AD235" s="257"/>
      <c r="AE235" s="257"/>
      <c r="AF235" s="257"/>
      <c r="AH235" s="257"/>
      <c r="AI235" s="257"/>
      <c r="AJ235" s="257"/>
      <c r="AK235" s="257"/>
      <c r="AL235" s="257"/>
      <c r="AM235" s="257"/>
      <c r="AN235" s="257"/>
      <c r="AO235" s="257"/>
      <c r="AP235" s="257"/>
      <c r="AQ235" s="257"/>
      <c r="AR235" s="257"/>
      <c r="AS235" s="257"/>
      <c r="AT235" s="257"/>
      <c r="AU235" s="257"/>
      <c r="AV235" s="257"/>
      <c r="AW235" s="257"/>
      <c r="AY235" s="257"/>
      <c r="AZ235" s="257"/>
      <c r="BA235" s="257"/>
      <c r="BB235" s="257"/>
      <c r="BC235" s="257"/>
      <c r="BD235" s="257"/>
      <c r="BE235" s="257"/>
      <c r="BF235" s="257"/>
      <c r="BG235" s="257"/>
      <c r="BH235" s="257"/>
      <c r="BK235" s="257"/>
    </row>
    <row r="236" spans="1:71" x14ac:dyDescent="0.2">
      <c r="A236" s="584"/>
      <c r="B236" s="656">
        <v>44278</v>
      </c>
      <c r="C236" s="479" t="s">
        <v>255</v>
      </c>
      <c r="D236" s="250"/>
      <c r="F236" s="273"/>
      <c r="G236" s="250"/>
      <c r="H236" s="250"/>
      <c r="I236" s="250"/>
      <c r="J236" s="250"/>
      <c r="K236" s="4"/>
      <c r="L236" s="222"/>
      <c r="M236" s="250"/>
      <c r="N236" s="458">
        <v>44280</v>
      </c>
      <c r="O236" s="41">
        <v>50</v>
      </c>
      <c r="P236" s="8" t="s">
        <v>316</v>
      </c>
      <c r="Q236" s="625" t="s">
        <v>236</v>
      </c>
      <c r="R236" s="8" t="s">
        <v>316</v>
      </c>
      <c r="S236" s="8" t="s">
        <v>238</v>
      </c>
      <c r="T236" s="8" t="s">
        <v>238</v>
      </c>
      <c r="U236" s="8" t="s">
        <v>238</v>
      </c>
      <c r="V236" s="8" t="s">
        <v>238</v>
      </c>
      <c r="W236" s="257"/>
      <c r="X236" s="257"/>
      <c r="Y236" s="257"/>
      <c r="AB236" s="257"/>
      <c r="AC236" s="257"/>
      <c r="AD236" s="257"/>
      <c r="AE236" s="257"/>
      <c r="AF236" s="257"/>
      <c r="AH236" s="257"/>
      <c r="AI236" s="257"/>
      <c r="AJ236" s="257"/>
      <c r="AK236" s="257"/>
      <c r="AL236" s="257"/>
      <c r="AM236" s="257"/>
      <c r="AN236" s="257"/>
      <c r="AO236" s="257"/>
      <c r="AP236" s="257"/>
      <c r="AQ236" s="257"/>
      <c r="AR236" s="257"/>
      <c r="AS236" s="257"/>
      <c r="AT236" s="257"/>
      <c r="AU236" s="257"/>
      <c r="AV236" s="257"/>
      <c r="AW236" s="257"/>
      <c r="AY236" s="257"/>
      <c r="AZ236" s="257"/>
      <c r="BA236" s="257"/>
      <c r="BB236" s="257"/>
      <c r="BC236" s="257"/>
      <c r="BD236" s="257"/>
      <c r="BE236" s="257"/>
      <c r="BF236" s="257"/>
      <c r="BG236" s="257"/>
      <c r="BH236" s="257"/>
      <c r="BK236" s="257"/>
    </row>
    <row r="237" spans="1:71" s="597" customFormat="1" x14ac:dyDescent="0.2">
      <c r="A237" s="608"/>
      <c r="B237" s="590"/>
      <c r="C237" s="591"/>
      <c r="D237" s="593"/>
      <c r="E237" s="654"/>
      <c r="F237" s="654"/>
      <c r="G237" s="654"/>
      <c r="H237" s="654"/>
      <c r="I237" s="654"/>
      <c r="J237" s="654"/>
      <c r="K237" s="661"/>
      <c r="L237" s="655"/>
      <c r="M237" s="654"/>
      <c r="N237" s="592"/>
      <c r="O237" s="580"/>
      <c r="P237" s="580"/>
      <c r="Q237" s="580"/>
      <c r="R237" s="580"/>
      <c r="S237" s="580"/>
      <c r="T237" s="580"/>
      <c r="U237" s="580"/>
      <c r="V237" s="580"/>
      <c r="W237" s="580"/>
      <c r="X237" s="580"/>
      <c r="Y237" s="580"/>
      <c r="Z237" s="593"/>
      <c r="AA237" s="594"/>
      <c r="AB237" s="580"/>
      <c r="AC237" s="580"/>
      <c r="AD237" s="580"/>
      <c r="AE237" s="580"/>
      <c r="AF237" s="580"/>
      <c r="AG237" s="594"/>
      <c r="AH237" s="580"/>
      <c r="AI237" s="580"/>
      <c r="AJ237" s="580"/>
      <c r="AK237" s="580"/>
      <c r="AL237" s="580"/>
      <c r="AM237" s="580"/>
      <c r="AN237" s="580"/>
      <c r="AO237" s="580"/>
      <c r="AP237" s="580"/>
      <c r="AQ237" s="580"/>
      <c r="AR237" s="580"/>
      <c r="AS237" s="580"/>
      <c r="AT237" s="580"/>
      <c r="AU237" s="580"/>
      <c r="AV237" s="580"/>
      <c r="AW237" s="580"/>
      <c r="AX237" s="581"/>
      <c r="AY237" s="580"/>
      <c r="AZ237" s="580"/>
      <c r="BA237" s="580"/>
      <c r="BB237" s="580"/>
      <c r="BC237" s="580"/>
      <c r="BD237" s="580"/>
      <c r="BE237" s="580"/>
      <c r="BF237" s="580"/>
      <c r="BG237" s="580"/>
      <c r="BH237" s="580"/>
      <c r="BI237" s="603"/>
      <c r="BJ237" s="595"/>
      <c r="BK237" s="580"/>
      <c r="BL237" s="595"/>
      <c r="BM237" s="603"/>
      <c r="BN237" s="603"/>
      <c r="BO237" s="603"/>
      <c r="BP237" s="603"/>
      <c r="BQ237" s="603"/>
      <c r="BR237" s="603"/>
      <c r="BS237" s="604"/>
    </row>
    <row r="238" spans="1:71" s="358" customFormat="1" x14ac:dyDescent="0.2">
      <c r="A238" s="584"/>
      <c r="B238" s="657"/>
      <c r="C238" s="479"/>
      <c r="D238" s="248"/>
      <c r="E238" s="250"/>
      <c r="F238" s="273"/>
      <c r="G238" s="250"/>
      <c r="H238" s="250"/>
      <c r="I238" s="250"/>
      <c r="J238" s="250"/>
      <c r="K238" s="250"/>
      <c r="L238" s="261"/>
      <c r="M238" s="250"/>
      <c r="N238" s="476"/>
      <c r="O238" s="250"/>
      <c r="P238" s="250"/>
      <c r="Q238" s="250"/>
      <c r="R238" s="250"/>
      <c r="S238" s="250"/>
      <c r="T238" s="250"/>
      <c r="U238" s="250"/>
      <c r="V238" s="585"/>
      <c r="W238" s="250"/>
      <c r="X238" s="250"/>
      <c r="Y238" s="250"/>
      <c r="Z238" s="248"/>
      <c r="AA238" s="586"/>
      <c r="AB238" s="250"/>
      <c r="AC238" s="250"/>
      <c r="AD238" s="250"/>
      <c r="AE238" s="250"/>
      <c r="AF238" s="250"/>
      <c r="AG238" s="586"/>
      <c r="AH238" s="250"/>
      <c r="AI238" s="250"/>
      <c r="AJ238" s="250"/>
      <c r="AK238" s="250"/>
      <c r="AL238" s="250"/>
      <c r="AM238" s="250"/>
      <c r="AN238" s="250"/>
      <c r="AO238" s="250"/>
      <c r="AP238" s="250"/>
      <c r="AQ238" s="250"/>
      <c r="AR238" s="250"/>
      <c r="AS238" s="250"/>
      <c r="AT238" s="250"/>
      <c r="AU238" s="250"/>
      <c r="AV238" s="250"/>
      <c r="AW238" s="250"/>
      <c r="AX238" s="251"/>
      <c r="AY238" s="250"/>
      <c r="AZ238" s="250"/>
      <c r="BA238" s="250"/>
      <c r="BB238" s="250"/>
      <c r="BC238" s="250"/>
      <c r="BD238" s="250"/>
      <c r="BE238" s="250"/>
      <c r="BF238" s="250"/>
      <c r="BG238" s="250"/>
      <c r="BH238" s="250"/>
      <c r="BI238" s="252"/>
      <c r="BJ238" s="252"/>
      <c r="BK238" s="250"/>
      <c r="BL238" s="252"/>
      <c r="BM238" s="252"/>
      <c r="BN238" s="252"/>
      <c r="BO238" s="252"/>
      <c r="BP238" s="252"/>
      <c r="BQ238" s="252"/>
      <c r="BR238" s="252"/>
      <c r="BS238" s="252"/>
    </row>
    <row r="239" spans="1:71" s="358" customFormat="1" x14ac:dyDescent="0.2">
      <c r="A239" s="584"/>
      <c r="B239" s="657"/>
      <c r="C239" s="479"/>
      <c r="D239" s="248"/>
      <c r="E239" s="250"/>
      <c r="F239" s="250"/>
      <c r="G239" s="250"/>
      <c r="H239" s="250"/>
      <c r="I239" s="250"/>
      <c r="J239" s="250"/>
      <c r="K239" s="250"/>
      <c r="L239" s="250"/>
      <c r="M239" s="250"/>
      <c r="N239" s="476"/>
      <c r="O239" s="250"/>
      <c r="P239" s="250"/>
      <c r="Q239" s="250"/>
      <c r="R239" s="250"/>
      <c r="S239" s="250"/>
      <c r="T239" s="250"/>
      <c r="U239" s="250"/>
      <c r="V239" s="585"/>
      <c r="W239" s="250"/>
      <c r="X239" s="250"/>
      <c r="Y239" s="250"/>
      <c r="Z239" s="248"/>
      <c r="AA239" s="586"/>
      <c r="AB239" s="250"/>
      <c r="AC239" s="250"/>
      <c r="AD239" s="250"/>
      <c r="AE239" s="250"/>
      <c r="AF239" s="250"/>
      <c r="AG239" s="586"/>
      <c r="AH239" s="250"/>
      <c r="AI239" s="250"/>
      <c r="AJ239" s="250"/>
      <c r="AK239" s="250"/>
      <c r="AL239" s="250"/>
      <c r="AM239" s="250"/>
      <c r="AN239" s="250"/>
      <c r="AO239" s="250"/>
      <c r="AP239" s="250"/>
      <c r="AQ239" s="250"/>
      <c r="AR239" s="250"/>
      <c r="AS239" s="250"/>
      <c r="AT239" s="250"/>
      <c r="AU239" s="250"/>
      <c r="AV239" s="250"/>
      <c r="AW239" s="250"/>
      <c r="AX239" s="251"/>
      <c r="AY239" s="250"/>
      <c r="AZ239" s="250"/>
      <c r="BA239" s="250"/>
      <c r="BB239" s="250"/>
      <c r="BC239" s="250"/>
      <c r="BD239" s="250"/>
      <c r="BE239" s="250"/>
      <c r="BF239" s="250"/>
      <c r="BG239" s="250"/>
      <c r="BH239" s="250"/>
      <c r="BI239" s="252"/>
      <c r="BJ239" s="252"/>
      <c r="BK239" s="250"/>
      <c r="BL239" s="252"/>
      <c r="BM239" s="252"/>
      <c r="BN239" s="252"/>
      <c r="BO239" s="252"/>
      <c r="BP239" s="252"/>
      <c r="BQ239" s="252"/>
      <c r="BR239" s="252"/>
      <c r="BS239" s="252"/>
    </row>
    <row r="240" spans="1:71" s="358" customFormat="1" x14ac:dyDescent="0.2">
      <c r="A240" s="584"/>
      <c r="B240" s="657"/>
      <c r="C240" s="479"/>
      <c r="D240" s="248"/>
      <c r="E240" s="250"/>
      <c r="F240" s="250"/>
      <c r="G240" s="250"/>
      <c r="H240" s="250"/>
      <c r="I240" s="250"/>
      <c r="J240" s="250"/>
      <c r="K240" s="250"/>
      <c r="L240" s="250"/>
      <c r="M240" s="250"/>
      <c r="N240" s="476"/>
      <c r="O240" s="250"/>
      <c r="P240" s="250"/>
      <c r="Q240" s="250"/>
      <c r="R240" s="250"/>
      <c r="S240" s="250"/>
      <c r="T240" s="250"/>
      <c r="U240" s="250"/>
      <c r="V240" s="585"/>
      <c r="W240" s="250"/>
      <c r="X240" s="250"/>
      <c r="Y240" s="250"/>
      <c r="Z240" s="248"/>
      <c r="AA240" s="586"/>
      <c r="AB240" s="250"/>
      <c r="AC240" s="250"/>
      <c r="AD240" s="250"/>
      <c r="AE240" s="250"/>
      <c r="AF240" s="250"/>
      <c r="AG240" s="586"/>
      <c r="AH240" s="250"/>
      <c r="AI240" s="250"/>
      <c r="AJ240" s="250"/>
      <c r="AK240" s="250"/>
      <c r="AL240" s="250"/>
      <c r="AM240" s="250"/>
      <c r="AN240" s="250"/>
      <c r="AO240" s="250"/>
      <c r="AP240" s="250"/>
      <c r="AQ240" s="250"/>
      <c r="AR240" s="250"/>
      <c r="AS240" s="250"/>
      <c r="AT240" s="250"/>
      <c r="AU240" s="250"/>
      <c r="AV240" s="250"/>
      <c r="AW240" s="250"/>
      <c r="AX240" s="251"/>
      <c r="AY240" s="250"/>
      <c r="AZ240" s="250"/>
      <c r="BA240" s="250"/>
      <c r="BB240" s="250"/>
      <c r="BC240" s="250"/>
      <c r="BD240" s="250"/>
      <c r="BE240" s="250"/>
      <c r="BF240" s="250"/>
      <c r="BG240" s="250"/>
      <c r="BH240" s="250"/>
      <c r="BI240" s="252"/>
      <c r="BJ240" s="252"/>
      <c r="BK240" s="250"/>
      <c r="BL240" s="252"/>
      <c r="BM240" s="252"/>
      <c r="BN240" s="252"/>
      <c r="BO240" s="252"/>
      <c r="BP240" s="252"/>
      <c r="BQ240" s="252"/>
      <c r="BR240" s="252"/>
      <c r="BS240" s="252"/>
    </row>
    <row r="241" spans="1:71" s="358" customFormat="1" x14ac:dyDescent="0.2">
      <c r="A241" s="584"/>
      <c r="B241" s="657"/>
      <c r="C241" s="479"/>
      <c r="D241" s="248"/>
      <c r="E241" s="250"/>
      <c r="F241" s="250"/>
      <c r="G241" s="250"/>
      <c r="H241" s="250"/>
      <c r="I241" s="250"/>
      <c r="J241" s="250"/>
      <c r="K241" s="250"/>
      <c r="L241" s="250"/>
      <c r="M241" s="250"/>
      <c r="N241" s="476"/>
      <c r="O241" s="250"/>
      <c r="P241" s="250"/>
      <c r="Q241" s="250"/>
      <c r="R241" s="250"/>
      <c r="S241" s="250"/>
      <c r="T241" s="250"/>
      <c r="U241" s="250"/>
      <c r="V241" s="585"/>
      <c r="W241" s="250"/>
      <c r="X241" s="250"/>
      <c r="Y241" s="250"/>
      <c r="Z241" s="248"/>
      <c r="AA241" s="586"/>
      <c r="AB241" s="250"/>
      <c r="AC241" s="250"/>
      <c r="AD241" s="250"/>
      <c r="AE241" s="250"/>
      <c r="AF241" s="250"/>
      <c r="AG241" s="586"/>
      <c r="AH241" s="250"/>
      <c r="AI241" s="250"/>
      <c r="AJ241" s="250"/>
      <c r="AK241" s="250"/>
      <c r="AL241" s="250"/>
      <c r="AM241" s="250"/>
      <c r="AN241" s="250"/>
      <c r="AO241" s="250"/>
      <c r="AP241" s="250"/>
      <c r="AQ241" s="250"/>
      <c r="AR241" s="250"/>
      <c r="AS241" s="250"/>
      <c r="AT241" s="250"/>
      <c r="AU241" s="250"/>
      <c r="AV241" s="250"/>
      <c r="AW241" s="250"/>
      <c r="AX241" s="251"/>
      <c r="AY241" s="250"/>
      <c r="AZ241" s="250"/>
      <c r="BA241" s="250"/>
      <c r="BB241" s="250"/>
      <c r="BC241" s="250"/>
      <c r="BD241" s="250"/>
      <c r="BE241" s="250"/>
      <c r="BF241" s="250"/>
      <c r="BG241" s="250"/>
      <c r="BH241" s="250"/>
      <c r="BI241" s="252"/>
      <c r="BJ241" s="252"/>
      <c r="BK241" s="250"/>
      <c r="BL241" s="252"/>
      <c r="BM241" s="252"/>
      <c r="BN241" s="252"/>
      <c r="BO241" s="252"/>
      <c r="BP241" s="252"/>
      <c r="BQ241" s="252"/>
      <c r="BR241" s="252"/>
      <c r="BS241" s="252"/>
    </row>
    <row r="242" spans="1:71" s="358" customFormat="1" x14ac:dyDescent="0.2">
      <c r="A242" s="584"/>
      <c r="B242" s="657"/>
      <c r="C242" s="479"/>
      <c r="D242" s="248"/>
      <c r="E242" s="250"/>
      <c r="F242" s="250"/>
      <c r="G242" s="250"/>
      <c r="H242" s="250"/>
      <c r="I242" s="250"/>
      <c r="J242" s="250"/>
      <c r="K242" s="250"/>
      <c r="L242" s="250"/>
      <c r="M242" s="250"/>
      <c r="N242" s="476"/>
      <c r="O242" s="250"/>
      <c r="P242" s="250"/>
      <c r="Q242" s="250"/>
      <c r="R242" s="250"/>
      <c r="S242" s="250"/>
      <c r="T242" s="250"/>
      <c r="U242" s="250"/>
      <c r="V242" s="585"/>
      <c r="W242" s="250"/>
      <c r="X242" s="250"/>
      <c r="Y242" s="250"/>
      <c r="Z242" s="248"/>
      <c r="AA242" s="586"/>
      <c r="AB242" s="250"/>
      <c r="AC242" s="250"/>
      <c r="AD242" s="250"/>
      <c r="AE242" s="250"/>
      <c r="AF242" s="250"/>
      <c r="AG242" s="586"/>
      <c r="AH242" s="250"/>
      <c r="AI242" s="250"/>
      <c r="AJ242" s="250"/>
      <c r="AK242" s="250"/>
      <c r="AL242" s="250"/>
      <c r="AM242" s="250"/>
      <c r="AN242" s="250"/>
      <c r="AO242" s="250"/>
      <c r="AP242" s="250"/>
      <c r="AQ242" s="250"/>
      <c r="AR242" s="250"/>
      <c r="AS242" s="250"/>
      <c r="AT242" s="250"/>
      <c r="AU242" s="250"/>
      <c r="AV242" s="250"/>
      <c r="AW242" s="250"/>
      <c r="AX242" s="251"/>
      <c r="AY242" s="250"/>
      <c r="AZ242" s="250"/>
      <c r="BA242" s="250"/>
      <c r="BB242" s="250"/>
      <c r="BC242" s="250"/>
      <c r="BD242" s="250"/>
      <c r="BE242" s="250"/>
      <c r="BF242" s="250"/>
      <c r="BG242" s="250"/>
      <c r="BH242" s="250"/>
      <c r="BI242" s="252"/>
      <c r="BJ242" s="252"/>
      <c r="BK242" s="250"/>
      <c r="BL242" s="252"/>
      <c r="BM242" s="252"/>
      <c r="BN242" s="252"/>
      <c r="BO242" s="252"/>
      <c r="BP242" s="252"/>
      <c r="BQ242" s="252"/>
      <c r="BR242" s="252"/>
      <c r="BS242" s="252"/>
    </row>
    <row r="243" spans="1:71" s="358" customFormat="1" x14ac:dyDescent="0.2">
      <c r="A243" s="584"/>
      <c r="B243" s="657"/>
      <c r="C243" s="479"/>
      <c r="D243" s="248"/>
      <c r="E243" s="250"/>
      <c r="F243" s="250"/>
      <c r="G243" s="250"/>
      <c r="H243" s="250"/>
      <c r="I243" s="250"/>
      <c r="J243" s="250"/>
      <c r="K243" s="250"/>
      <c r="L243" s="250"/>
      <c r="M243" s="250"/>
      <c r="N243" s="476"/>
      <c r="O243" s="250"/>
      <c r="P243" s="250"/>
      <c r="Q243" s="250"/>
      <c r="R243" s="250"/>
      <c r="S243" s="250"/>
      <c r="T243" s="250"/>
      <c r="U243" s="250"/>
      <c r="V243" s="585"/>
      <c r="W243" s="250"/>
      <c r="X243" s="250"/>
      <c r="Y243" s="250"/>
      <c r="Z243" s="248"/>
      <c r="AA243" s="586"/>
      <c r="AB243" s="250"/>
      <c r="AC243" s="250"/>
      <c r="AD243" s="250"/>
      <c r="AE243" s="250"/>
      <c r="AF243" s="250"/>
      <c r="AG243" s="586"/>
      <c r="AH243" s="250"/>
      <c r="AI243" s="250"/>
      <c r="AJ243" s="250"/>
      <c r="AK243" s="250"/>
      <c r="AL243" s="250"/>
      <c r="AM243" s="250"/>
      <c r="AN243" s="250"/>
      <c r="AO243" s="250"/>
      <c r="AP243" s="250"/>
      <c r="AQ243" s="250"/>
      <c r="AR243" s="250"/>
      <c r="AS243" s="250"/>
      <c r="AT243" s="250"/>
      <c r="AU243" s="250"/>
      <c r="AV243" s="250"/>
      <c r="AW243" s="250"/>
      <c r="AX243" s="251"/>
      <c r="AY243" s="250"/>
      <c r="AZ243" s="250"/>
      <c r="BA243" s="250"/>
      <c r="BB243" s="250"/>
      <c r="BC243" s="250"/>
      <c r="BD243" s="250"/>
      <c r="BE243" s="250"/>
      <c r="BF243" s="250"/>
      <c r="BG243" s="250"/>
      <c r="BH243" s="250"/>
      <c r="BI243" s="252"/>
      <c r="BJ243" s="252"/>
      <c r="BK243" s="250"/>
      <c r="BL243" s="252"/>
      <c r="BM243" s="252"/>
      <c r="BN243" s="252"/>
      <c r="BO243" s="252"/>
      <c r="BP243" s="252"/>
      <c r="BQ243" s="252"/>
      <c r="BR243" s="252"/>
      <c r="BS243" s="252"/>
    </row>
    <row r="244" spans="1:71" s="358" customFormat="1" x14ac:dyDescent="0.2">
      <c r="A244" s="584"/>
      <c r="B244" s="584"/>
      <c r="C244" s="479"/>
      <c r="D244" s="248"/>
      <c r="E244" s="250"/>
      <c r="F244" s="250"/>
      <c r="G244" s="250"/>
      <c r="H244" s="250"/>
      <c r="I244" s="250"/>
      <c r="J244" s="250"/>
      <c r="K244" s="250"/>
      <c r="L244" s="250"/>
      <c r="M244" s="250"/>
      <c r="N244" s="476"/>
      <c r="O244" s="250"/>
      <c r="P244" s="250"/>
      <c r="Q244" s="250"/>
      <c r="R244" s="250"/>
      <c r="S244" s="250"/>
      <c r="T244" s="250"/>
      <c r="U244" s="250"/>
      <c r="V244" s="585"/>
      <c r="W244" s="250"/>
      <c r="X244" s="250"/>
      <c r="Y244" s="250"/>
      <c r="Z244" s="248"/>
      <c r="AA244" s="586"/>
      <c r="AB244" s="250"/>
      <c r="AC244" s="250"/>
      <c r="AD244" s="250"/>
      <c r="AE244" s="250"/>
      <c r="AF244" s="250"/>
      <c r="AG244" s="586"/>
      <c r="AH244" s="250"/>
      <c r="AI244" s="250"/>
      <c r="AJ244" s="250"/>
      <c r="AK244" s="250"/>
      <c r="AL244" s="250"/>
      <c r="AM244" s="250"/>
      <c r="AN244" s="250"/>
      <c r="AO244" s="250"/>
      <c r="AP244" s="250"/>
      <c r="AQ244" s="250"/>
      <c r="AR244" s="250"/>
      <c r="AS244" s="250"/>
      <c r="AT244" s="250"/>
      <c r="AU244" s="250"/>
      <c r="AV244" s="250"/>
      <c r="AW244" s="250"/>
      <c r="AX244" s="251"/>
      <c r="AY244" s="250"/>
      <c r="AZ244" s="250"/>
      <c r="BA244" s="250"/>
      <c r="BB244" s="250"/>
      <c r="BC244" s="250"/>
      <c r="BD244" s="250"/>
      <c r="BE244" s="250"/>
      <c r="BF244" s="250"/>
      <c r="BG244" s="250"/>
      <c r="BH244" s="250"/>
      <c r="BI244" s="252"/>
      <c r="BJ244" s="252"/>
      <c r="BK244" s="250"/>
      <c r="BL244" s="252"/>
      <c r="BM244" s="252"/>
      <c r="BN244" s="252"/>
      <c r="BO244" s="252"/>
      <c r="BP244" s="252"/>
      <c r="BQ244" s="252"/>
      <c r="BR244" s="252"/>
      <c r="BS244" s="252"/>
    </row>
    <row r="245" spans="1:71" s="358" customFormat="1" x14ac:dyDescent="0.2">
      <c r="A245" s="584"/>
      <c r="B245" s="584"/>
      <c r="C245" s="479"/>
      <c r="D245" s="248"/>
      <c r="E245" s="250"/>
      <c r="F245" s="250"/>
      <c r="G245" s="250"/>
      <c r="H245" s="250"/>
      <c r="I245" s="250"/>
      <c r="J245" s="250"/>
      <c r="K245" s="250"/>
      <c r="L245" s="250"/>
      <c r="M245" s="250"/>
      <c r="N245" s="476"/>
      <c r="O245" s="250"/>
      <c r="P245" s="250"/>
      <c r="Q245" s="250"/>
      <c r="R245" s="250"/>
      <c r="S245" s="250"/>
      <c r="T245" s="250"/>
      <c r="U245" s="250"/>
      <c r="V245" s="585"/>
      <c r="W245" s="250"/>
      <c r="X245" s="250"/>
      <c r="Y245" s="250"/>
      <c r="Z245" s="248"/>
      <c r="AA245" s="586"/>
      <c r="AB245" s="250"/>
      <c r="AC245" s="250"/>
      <c r="AD245" s="250"/>
      <c r="AE245" s="250"/>
      <c r="AF245" s="250"/>
      <c r="AG245" s="586"/>
      <c r="AH245" s="250"/>
      <c r="AI245" s="250"/>
      <c r="AJ245" s="250"/>
      <c r="AK245" s="250"/>
      <c r="AL245" s="250"/>
      <c r="AM245" s="250"/>
      <c r="AN245" s="250"/>
      <c r="AO245" s="250"/>
      <c r="AP245" s="250"/>
      <c r="AQ245" s="250"/>
      <c r="AR245" s="250"/>
      <c r="AS245" s="250"/>
      <c r="AT245" s="250"/>
      <c r="AU245" s="250"/>
      <c r="AV245" s="250"/>
      <c r="AW245" s="250"/>
      <c r="AX245" s="251"/>
      <c r="AY245" s="250"/>
      <c r="AZ245" s="250"/>
      <c r="BA245" s="250"/>
      <c r="BB245" s="250"/>
      <c r="BC245" s="250"/>
      <c r="BD245" s="250"/>
      <c r="BE245" s="250"/>
      <c r="BF245" s="250"/>
      <c r="BG245" s="250"/>
      <c r="BH245" s="250"/>
      <c r="BI245" s="252"/>
      <c r="BJ245" s="252"/>
      <c r="BK245" s="250"/>
      <c r="BL245" s="252"/>
      <c r="BM245" s="252"/>
      <c r="BN245" s="252"/>
      <c r="BO245" s="252"/>
      <c r="BP245" s="252"/>
      <c r="BQ245" s="252"/>
      <c r="BR245" s="252"/>
      <c r="BS245" s="252"/>
    </row>
    <row r="246" spans="1:71" s="358" customFormat="1" x14ac:dyDescent="0.2">
      <c r="A246" s="584"/>
      <c r="B246" s="584"/>
      <c r="C246" s="479"/>
      <c r="D246" s="248"/>
      <c r="E246" s="250"/>
      <c r="F246" s="250"/>
      <c r="G246" s="250"/>
      <c r="H246" s="250"/>
      <c r="I246" s="250"/>
      <c r="J246" s="250"/>
      <c r="K246" s="250"/>
      <c r="L246" s="250"/>
      <c r="M246" s="250"/>
      <c r="N246" s="476"/>
      <c r="O246" s="250"/>
      <c r="P246" s="250"/>
      <c r="Q246" s="250"/>
      <c r="R246" s="250"/>
      <c r="S246" s="250"/>
      <c r="T246" s="250"/>
      <c r="U246" s="250"/>
      <c r="V246" s="585"/>
      <c r="W246" s="250"/>
      <c r="X246" s="250"/>
      <c r="Y246" s="250"/>
      <c r="Z246" s="248"/>
      <c r="AA246" s="586"/>
      <c r="AB246" s="250"/>
      <c r="AC246" s="250"/>
      <c r="AD246" s="250"/>
      <c r="AE246" s="250"/>
      <c r="AF246" s="250"/>
      <c r="AG246" s="586"/>
      <c r="AH246" s="250"/>
      <c r="AI246" s="250"/>
      <c r="AJ246" s="250"/>
      <c r="AK246" s="250"/>
      <c r="AL246" s="250"/>
      <c r="AM246" s="250"/>
      <c r="AN246" s="250"/>
      <c r="AO246" s="250"/>
      <c r="AP246" s="250"/>
      <c r="AQ246" s="250"/>
      <c r="AR246" s="250"/>
      <c r="AS246" s="250"/>
      <c r="AT246" s="250"/>
      <c r="AU246" s="250"/>
      <c r="AV246" s="250"/>
      <c r="AW246" s="250"/>
      <c r="AX246" s="251"/>
      <c r="AY246" s="250"/>
      <c r="AZ246" s="250"/>
      <c r="BA246" s="250"/>
      <c r="BB246" s="250"/>
      <c r="BC246" s="250"/>
      <c r="BD246" s="250"/>
      <c r="BE246" s="250"/>
      <c r="BF246" s="250"/>
      <c r="BG246" s="250"/>
      <c r="BH246" s="250"/>
      <c r="BI246" s="252"/>
      <c r="BJ246" s="252"/>
      <c r="BK246" s="250"/>
      <c r="BL246" s="252"/>
      <c r="BM246" s="252"/>
      <c r="BN246" s="252"/>
      <c r="BO246" s="252"/>
      <c r="BP246" s="252"/>
      <c r="BQ246" s="252"/>
      <c r="BR246" s="252"/>
      <c r="BS246" s="252"/>
    </row>
    <row r="247" spans="1:71" s="358" customFormat="1" x14ac:dyDescent="0.2">
      <c r="A247" s="584"/>
      <c r="B247" s="584"/>
      <c r="C247" s="479"/>
      <c r="D247" s="248"/>
      <c r="E247" s="250"/>
      <c r="F247" s="250"/>
      <c r="G247" s="250"/>
      <c r="H247" s="250"/>
      <c r="I247" s="250"/>
      <c r="J247" s="250"/>
      <c r="K247" s="250"/>
      <c r="L247" s="250"/>
      <c r="M247" s="250"/>
      <c r="N247" s="476"/>
      <c r="O247" s="250"/>
      <c r="P247" s="250"/>
      <c r="Q247" s="250"/>
      <c r="R247" s="250"/>
      <c r="S247" s="250"/>
      <c r="T247" s="250"/>
      <c r="U247" s="250"/>
      <c r="V247" s="585"/>
      <c r="W247" s="250"/>
      <c r="X247" s="250"/>
      <c r="Y247" s="250"/>
      <c r="Z247" s="248"/>
      <c r="AA247" s="586"/>
      <c r="AB247" s="250"/>
      <c r="AC247" s="250"/>
      <c r="AD247" s="250"/>
      <c r="AE247" s="250"/>
      <c r="AF247" s="250"/>
      <c r="AG247" s="586"/>
      <c r="AH247" s="250"/>
      <c r="AI247" s="250"/>
      <c r="AJ247" s="250"/>
      <c r="AK247" s="250"/>
      <c r="AL247" s="250"/>
      <c r="AM247" s="250"/>
      <c r="AN247" s="250"/>
      <c r="AO247" s="250"/>
      <c r="AP247" s="250"/>
      <c r="AQ247" s="250"/>
      <c r="AR247" s="250"/>
      <c r="AS247" s="250"/>
      <c r="AT247" s="250"/>
      <c r="AU247" s="250"/>
      <c r="AV247" s="250"/>
      <c r="AW247" s="250"/>
      <c r="AX247" s="251"/>
      <c r="AY247" s="250"/>
      <c r="AZ247" s="250"/>
      <c r="BA247" s="250"/>
      <c r="BB247" s="250"/>
      <c r="BC247" s="250"/>
      <c r="BD247" s="250"/>
      <c r="BE247" s="250"/>
      <c r="BF247" s="250"/>
      <c r="BG247" s="250"/>
      <c r="BH247" s="250"/>
      <c r="BI247" s="252"/>
      <c r="BJ247" s="252"/>
      <c r="BK247" s="250"/>
      <c r="BL247" s="252"/>
      <c r="BM247" s="252"/>
      <c r="BN247" s="252"/>
      <c r="BO247" s="252"/>
      <c r="BP247" s="252"/>
      <c r="BQ247" s="252"/>
      <c r="BR247" s="252"/>
      <c r="BS247" s="252"/>
    </row>
    <row r="248" spans="1:71" s="358" customFormat="1" x14ac:dyDescent="0.2">
      <c r="A248" s="584"/>
      <c r="B248" s="584"/>
      <c r="C248" s="479"/>
      <c r="D248" s="248"/>
      <c r="E248" s="250"/>
      <c r="F248" s="250"/>
      <c r="G248" s="250"/>
      <c r="H248" s="250"/>
      <c r="I248" s="250"/>
      <c r="J248" s="250"/>
      <c r="K248" s="250"/>
      <c r="L248" s="250"/>
      <c r="M248" s="250"/>
      <c r="N248" s="476"/>
      <c r="O248" s="250"/>
      <c r="P248" s="250"/>
      <c r="Q248" s="250"/>
      <c r="R248" s="250"/>
      <c r="S248" s="250"/>
      <c r="T248" s="250"/>
      <c r="U248" s="250"/>
      <c r="V248" s="585"/>
      <c r="W248" s="250"/>
      <c r="X248" s="250"/>
      <c r="Y248" s="250"/>
      <c r="Z248" s="248"/>
      <c r="AA248" s="586"/>
      <c r="AB248" s="250"/>
      <c r="AC248" s="250"/>
      <c r="AD248" s="250"/>
      <c r="AE248" s="250"/>
      <c r="AF248" s="250"/>
      <c r="AG248" s="586"/>
      <c r="AH248" s="250"/>
      <c r="AI248" s="250"/>
      <c r="AJ248" s="250"/>
      <c r="AK248" s="250"/>
      <c r="AL248" s="250"/>
      <c r="AM248" s="250"/>
      <c r="AN248" s="250"/>
      <c r="AO248" s="250"/>
      <c r="AP248" s="250"/>
      <c r="AQ248" s="250"/>
      <c r="AR248" s="250"/>
      <c r="AS248" s="250"/>
      <c r="AT248" s="250"/>
      <c r="AU248" s="250"/>
      <c r="AV248" s="250"/>
      <c r="AW248" s="250"/>
      <c r="AX248" s="251"/>
      <c r="AY248" s="250"/>
      <c r="AZ248" s="250"/>
      <c r="BA248" s="250"/>
      <c r="BB248" s="250"/>
      <c r="BC248" s="250"/>
      <c r="BD248" s="250"/>
      <c r="BE248" s="250"/>
      <c r="BF248" s="250"/>
      <c r="BG248" s="250"/>
      <c r="BH248" s="250"/>
      <c r="BI248" s="252"/>
      <c r="BJ248" s="252"/>
      <c r="BK248" s="250"/>
      <c r="BL248" s="252"/>
      <c r="BM248" s="252"/>
      <c r="BN248" s="252"/>
      <c r="BO248" s="252"/>
      <c r="BP248" s="252"/>
      <c r="BQ248" s="252"/>
      <c r="BR248" s="252"/>
      <c r="BS248" s="252"/>
    </row>
    <row r="249" spans="1:71" s="358" customFormat="1" x14ac:dyDescent="0.2">
      <c r="A249" s="584"/>
      <c r="B249" s="584"/>
      <c r="C249" s="479"/>
      <c r="D249" s="248"/>
      <c r="E249" s="250"/>
      <c r="F249" s="250"/>
      <c r="G249" s="250"/>
      <c r="H249" s="250"/>
      <c r="I249" s="250"/>
      <c r="J249" s="250"/>
      <c r="K249" s="250"/>
      <c r="L249" s="250"/>
      <c r="M249" s="250"/>
      <c r="N249" s="476"/>
      <c r="O249" s="250"/>
      <c r="P249" s="250"/>
      <c r="Q249" s="250"/>
      <c r="R249" s="250"/>
      <c r="S249" s="250"/>
      <c r="T249" s="250"/>
      <c r="U249" s="250"/>
      <c r="V249" s="585"/>
      <c r="W249" s="250"/>
      <c r="X249" s="250"/>
      <c r="Y249" s="250"/>
      <c r="Z249" s="248"/>
      <c r="AA249" s="586"/>
      <c r="AB249" s="250"/>
      <c r="AC249" s="250"/>
      <c r="AD249" s="250"/>
      <c r="AE249" s="250"/>
      <c r="AF249" s="250"/>
      <c r="AG249" s="586"/>
      <c r="AH249" s="250"/>
      <c r="AI249" s="250"/>
      <c r="AJ249" s="250"/>
      <c r="AK249" s="250"/>
      <c r="AL249" s="250"/>
      <c r="AM249" s="250"/>
      <c r="AN249" s="250"/>
      <c r="AO249" s="250"/>
      <c r="AP249" s="250"/>
      <c r="AQ249" s="250"/>
      <c r="AR249" s="250"/>
      <c r="AS249" s="250"/>
      <c r="AT249" s="250"/>
      <c r="AU249" s="250"/>
      <c r="AV249" s="250"/>
      <c r="AW249" s="250"/>
      <c r="AX249" s="251"/>
      <c r="AY249" s="250"/>
      <c r="AZ249" s="250"/>
      <c r="BA249" s="250"/>
      <c r="BB249" s="250"/>
      <c r="BC249" s="250"/>
      <c r="BD249" s="250"/>
      <c r="BE249" s="250"/>
      <c r="BF249" s="250"/>
      <c r="BG249" s="250"/>
      <c r="BH249" s="250"/>
      <c r="BI249" s="252"/>
      <c r="BJ249" s="252"/>
      <c r="BK249" s="250"/>
      <c r="BL249" s="252"/>
      <c r="BM249" s="252"/>
      <c r="BN249" s="252"/>
      <c r="BO249" s="252"/>
      <c r="BP249" s="252"/>
      <c r="BQ249" s="252"/>
      <c r="BR249" s="252"/>
      <c r="BS249" s="252"/>
    </row>
    <row r="250" spans="1:71" s="358" customFormat="1" x14ac:dyDescent="0.2">
      <c r="A250" s="584"/>
      <c r="B250" s="584"/>
      <c r="C250" s="479"/>
      <c r="D250" s="248"/>
      <c r="E250" s="250"/>
      <c r="F250" s="250"/>
      <c r="G250" s="250"/>
      <c r="H250" s="250"/>
      <c r="I250" s="250"/>
      <c r="J250" s="250"/>
      <c r="K250" s="250"/>
      <c r="L250" s="250"/>
      <c r="M250" s="250"/>
      <c r="N250" s="476"/>
      <c r="O250" s="250"/>
      <c r="P250" s="250"/>
      <c r="Q250" s="250"/>
      <c r="R250" s="250"/>
      <c r="S250" s="250"/>
      <c r="T250" s="250"/>
      <c r="U250" s="250"/>
      <c r="V250" s="585"/>
      <c r="W250" s="250"/>
      <c r="X250" s="250"/>
      <c r="Y250" s="250"/>
      <c r="Z250" s="248"/>
      <c r="AA250" s="586"/>
      <c r="AB250" s="250"/>
      <c r="AC250" s="250"/>
      <c r="AD250" s="250"/>
      <c r="AE250" s="250"/>
      <c r="AF250" s="250"/>
      <c r="AG250" s="586"/>
      <c r="AH250" s="250"/>
      <c r="AI250" s="250"/>
      <c r="AJ250" s="250"/>
      <c r="AK250" s="250"/>
      <c r="AL250" s="250"/>
      <c r="AM250" s="250"/>
      <c r="AN250" s="250"/>
      <c r="AO250" s="250"/>
      <c r="AP250" s="250"/>
      <c r="AQ250" s="250"/>
      <c r="AR250" s="250"/>
      <c r="AS250" s="250"/>
      <c r="AT250" s="250"/>
      <c r="AU250" s="250"/>
      <c r="AV250" s="250"/>
      <c r="AW250" s="250"/>
      <c r="AX250" s="251"/>
      <c r="AY250" s="250"/>
      <c r="AZ250" s="250"/>
      <c r="BA250" s="250"/>
      <c r="BB250" s="250"/>
      <c r="BC250" s="250"/>
      <c r="BD250" s="250"/>
      <c r="BE250" s="250"/>
      <c r="BF250" s="250"/>
      <c r="BG250" s="250"/>
      <c r="BH250" s="250"/>
      <c r="BI250" s="252"/>
      <c r="BJ250" s="252"/>
      <c r="BK250" s="250"/>
      <c r="BL250" s="252"/>
      <c r="BM250" s="252"/>
      <c r="BN250" s="252"/>
      <c r="BO250" s="252"/>
      <c r="BP250" s="252"/>
      <c r="BQ250" s="252"/>
      <c r="BR250" s="252"/>
      <c r="BS250" s="252"/>
    </row>
    <row r="251" spans="1:71" s="358" customFormat="1" x14ac:dyDescent="0.2">
      <c r="A251" s="584"/>
      <c r="B251" s="584"/>
      <c r="C251" s="479"/>
      <c r="D251" s="248"/>
      <c r="E251" s="250"/>
      <c r="F251" s="250"/>
      <c r="G251" s="250"/>
      <c r="H251" s="250"/>
      <c r="I251" s="250"/>
      <c r="J251" s="250"/>
      <c r="K251" s="250"/>
      <c r="L251" s="250"/>
      <c r="M251" s="250"/>
      <c r="N251" s="476"/>
      <c r="O251" s="250"/>
      <c r="P251" s="250"/>
      <c r="Q251" s="250"/>
      <c r="R251" s="250"/>
      <c r="S251" s="250"/>
      <c r="T251" s="250"/>
      <c r="U251" s="250"/>
      <c r="V251" s="585"/>
      <c r="W251" s="250"/>
      <c r="X251" s="250"/>
      <c r="Y251" s="250"/>
      <c r="Z251" s="248"/>
      <c r="AA251" s="586"/>
      <c r="AB251" s="250"/>
      <c r="AC251" s="250"/>
      <c r="AD251" s="250"/>
      <c r="AE251" s="250"/>
      <c r="AF251" s="250"/>
      <c r="AG251" s="586"/>
      <c r="AH251" s="250"/>
      <c r="AI251" s="250"/>
      <c r="AJ251" s="250"/>
      <c r="AK251" s="250"/>
      <c r="AL251" s="250"/>
      <c r="AM251" s="250"/>
      <c r="AN251" s="250"/>
      <c r="AO251" s="250"/>
      <c r="AP251" s="250"/>
      <c r="AQ251" s="250"/>
      <c r="AR251" s="250"/>
      <c r="AS251" s="250"/>
      <c r="AT251" s="250"/>
      <c r="AU251" s="250"/>
      <c r="AV251" s="250"/>
      <c r="AW251" s="250"/>
      <c r="AX251" s="251"/>
      <c r="AY251" s="250"/>
      <c r="AZ251" s="250"/>
      <c r="BA251" s="250"/>
      <c r="BB251" s="250"/>
      <c r="BC251" s="250"/>
      <c r="BD251" s="250"/>
      <c r="BE251" s="250"/>
      <c r="BF251" s="250"/>
      <c r="BG251" s="250"/>
      <c r="BH251" s="250"/>
      <c r="BI251" s="252"/>
      <c r="BJ251" s="252"/>
      <c r="BK251" s="250"/>
      <c r="BL251" s="252"/>
      <c r="BM251" s="252"/>
      <c r="BN251" s="252"/>
      <c r="BO251" s="252"/>
      <c r="BP251" s="252"/>
      <c r="BQ251" s="252"/>
      <c r="BR251" s="252"/>
      <c r="BS251" s="252"/>
    </row>
    <row r="252" spans="1:71" s="358" customFormat="1" x14ac:dyDescent="0.2">
      <c r="A252" s="584"/>
      <c r="B252" s="584"/>
      <c r="C252" s="479"/>
      <c r="D252" s="248"/>
      <c r="E252" s="250"/>
      <c r="F252" s="250"/>
      <c r="G252" s="250"/>
      <c r="H252" s="250"/>
      <c r="I252" s="250"/>
      <c r="J252" s="250"/>
      <c r="K252" s="250"/>
      <c r="L252" s="250"/>
      <c r="M252" s="250"/>
      <c r="N252" s="476"/>
      <c r="O252" s="250"/>
      <c r="P252" s="250"/>
      <c r="Q252" s="250"/>
      <c r="R252" s="250"/>
      <c r="S252" s="250"/>
      <c r="T252" s="250"/>
      <c r="U252" s="250"/>
      <c r="V252" s="585"/>
      <c r="W252" s="250"/>
      <c r="X252" s="250"/>
      <c r="Y252" s="250"/>
      <c r="Z252" s="248"/>
      <c r="AA252" s="586"/>
      <c r="AB252" s="250"/>
      <c r="AC252" s="250"/>
      <c r="AD252" s="250"/>
      <c r="AE252" s="250"/>
      <c r="AF252" s="250"/>
      <c r="AG252" s="586"/>
      <c r="AH252" s="250"/>
      <c r="AI252" s="250"/>
      <c r="AJ252" s="250"/>
      <c r="AK252" s="250"/>
      <c r="AL252" s="250"/>
      <c r="AM252" s="250"/>
      <c r="AN252" s="250"/>
      <c r="AO252" s="250"/>
      <c r="AP252" s="250"/>
      <c r="AQ252" s="250"/>
      <c r="AR252" s="250"/>
      <c r="AS252" s="250"/>
      <c r="AT252" s="250"/>
      <c r="AU252" s="250"/>
      <c r="AV252" s="250"/>
      <c r="AW252" s="250"/>
      <c r="AX252" s="251"/>
      <c r="AY252" s="250"/>
      <c r="AZ252" s="250"/>
      <c r="BA252" s="250"/>
      <c r="BB252" s="250"/>
      <c r="BC252" s="250"/>
      <c r="BD252" s="250"/>
      <c r="BE252" s="250"/>
      <c r="BF252" s="250"/>
      <c r="BG252" s="250"/>
      <c r="BH252" s="250"/>
      <c r="BI252" s="252"/>
      <c r="BJ252" s="252"/>
      <c r="BK252" s="250"/>
      <c r="BL252" s="252"/>
      <c r="BM252" s="252"/>
      <c r="BN252" s="252"/>
      <c r="BO252" s="252"/>
      <c r="BP252" s="252"/>
      <c r="BQ252" s="252"/>
      <c r="BR252" s="252"/>
      <c r="BS252" s="252"/>
    </row>
    <row r="253" spans="1:71" s="358" customFormat="1" x14ac:dyDescent="0.2">
      <c r="A253" s="584"/>
      <c r="B253" s="584"/>
      <c r="C253" s="479"/>
      <c r="D253" s="248"/>
      <c r="E253" s="250"/>
      <c r="F253" s="250"/>
      <c r="G253" s="250"/>
      <c r="H253" s="250"/>
      <c r="I253" s="250"/>
      <c r="J253" s="250"/>
      <c r="K253" s="250"/>
      <c r="L253" s="250"/>
      <c r="M253" s="250"/>
      <c r="N253" s="476"/>
      <c r="O253" s="250"/>
      <c r="P253" s="250"/>
      <c r="Q253" s="250"/>
      <c r="R253" s="250"/>
      <c r="S253" s="250"/>
      <c r="T253" s="250"/>
      <c r="U253" s="250"/>
      <c r="V253" s="585"/>
      <c r="W253" s="250"/>
      <c r="X253" s="250"/>
      <c r="Y253" s="250"/>
      <c r="Z253" s="248"/>
      <c r="AA253" s="586"/>
      <c r="AB253" s="250"/>
      <c r="AC253" s="250"/>
      <c r="AD253" s="250"/>
      <c r="AE253" s="250"/>
      <c r="AF253" s="250"/>
      <c r="AG253" s="586"/>
      <c r="AH253" s="250"/>
      <c r="AI253" s="250"/>
      <c r="AJ253" s="250"/>
      <c r="AK253" s="250"/>
      <c r="AL253" s="250"/>
      <c r="AM253" s="250"/>
      <c r="AN253" s="250"/>
      <c r="AO253" s="250"/>
      <c r="AP253" s="250"/>
      <c r="AQ253" s="250"/>
      <c r="AR253" s="250"/>
      <c r="AS253" s="250"/>
      <c r="AT253" s="250"/>
      <c r="AU253" s="250"/>
      <c r="AV253" s="250"/>
      <c r="AW253" s="250"/>
      <c r="AX253" s="251"/>
      <c r="AY253" s="250"/>
      <c r="AZ253" s="250"/>
      <c r="BA253" s="250"/>
      <c r="BB253" s="250"/>
      <c r="BC253" s="250"/>
      <c r="BD253" s="250"/>
      <c r="BE253" s="250"/>
      <c r="BF253" s="250"/>
      <c r="BG253" s="250"/>
      <c r="BH253" s="250"/>
      <c r="BI253" s="252"/>
      <c r="BJ253" s="252"/>
      <c r="BK253" s="250"/>
      <c r="BL253" s="252"/>
      <c r="BM253" s="252"/>
      <c r="BN253" s="252"/>
      <c r="BO253" s="252"/>
      <c r="BP253" s="252"/>
      <c r="BQ253" s="252"/>
      <c r="BR253" s="252"/>
      <c r="BS253" s="252"/>
    </row>
    <row r="254" spans="1:71" s="358" customFormat="1" x14ac:dyDescent="0.2">
      <c r="A254" s="584"/>
      <c r="B254" s="584"/>
      <c r="C254" s="479"/>
      <c r="D254" s="248"/>
      <c r="E254" s="250"/>
      <c r="F254" s="250"/>
      <c r="G254" s="250"/>
      <c r="H254" s="250"/>
      <c r="I254" s="250"/>
      <c r="J254" s="250"/>
      <c r="K254" s="250"/>
      <c r="L254" s="250"/>
      <c r="M254" s="250"/>
      <c r="N254" s="476"/>
      <c r="O254" s="250"/>
      <c r="P254" s="250"/>
      <c r="Q254" s="250"/>
      <c r="R254" s="250"/>
      <c r="S254" s="250"/>
      <c r="T254" s="250"/>
      <c r="U254" s="250"/>
      <c r="V254" s="585"/>
      <c r="W254" s="250"/>
      <c r="X254" s="250"/>
      <c r="Y254" s="250"/>
      <c r="Z254" s="248"/>
      <c r="AA254" s="586"/>
      <c r="AB254" s="250"/>
      <c r="AC254" s="250"/>
      <c r="AD254" s="250"/>
      <c r="AE254" s="250"/>
      <c r="AF254" s="250"/>
      <c r="AG254" s="586"/>
      <c r="AH254" s="250"/>
      <c r="AI254" s="250"/>
      <c r="AJ254" s="250"/>
      <c r="AK254" s="250"/>
      <c r="AL254" s="250"/>
      <c r="AM254" s="250"/>
      <c r="AN254" s="250"/>
      <c r="AO254" s="250"/>
      <c r="AP254" s="250"/>
      <c r="AQ254" s="250"/>
      <c r="AR254" s="250"/>
      <c r="AS254" s="250"/>
      <c r="AT254" s="250"/>
      <c r="AU254" s="250"/>
      <c r="AV254" s="250"/>
      <c r="AW254" s="250"/>
      <c r="AX254" s="251"/>
      <c r="AY254" s="250"/>
      <c r="AZ254" s="250"/>
      <c r="BA254" s="250"/>
      <c r="BB254" s="250"/>
      <c r="BC254" s="250"/>
      <c r="BD254" s="250"/>
      <c r="BE254" s="250"/>
      <c r="BF254" s="250"/>
      <c r="BG254" s="250"/>
      <c r="BH254" s="250"/>
      <c r="BI254" s="252"/>
      <c r="BJ254" s="252"/>
      <c r="BK254" s="250"/>
      <c r="BL254" s="252"/>
      <c r="BM254" s="252"/>
      <c r="BN254" s="252"/>
      <c r="BO254" s="252"/>
      <c r="BP254" s="252"/>
      <c r="BQ254" s="252"/>
      <c r="BR254" s="252"/>
      <c r="BS254" s="252"/>
    </row>
    <row r="255" spans="1:71" s="358" customFormat="1" x14ac:dyDescent="0.2">
      <c r="A255" s="584"/>
      <c r="B255" s="584"/>
      <c r="C255" s="479"/>
      <c r="D255" s="248"/>
      <c r="E255" s="250"/>
      <c r="F255" s="250"/>
      <c r="G255" s="250"/>
      <c r="H255" s="250"/>
      <c r="I255" s="250"/>
      <c r="J255" s="250"/>
      <c r="K255" s="250"/>
      <c r="L255" s="250"/>
      <c r="M255" s="250"/>
      <c r="N255" s="476"/>
      <c r="O255" s="250"/>
      <c r="P255" s="250"/>
      <c r="Q255" s="250"/>
      <c r="R255" s="250"/>
      <c r="S255" s="250"/>
      <c r="T255" s="250"/>
      <c r="U255" s="250"/>
      <c r="V255" s="585"/>
      <c r="W255" s="250"/>
      <c r="X255" s="250"/>
      <c r="Y255" s="250"/>
      <c r="Z255" s="248"/>
      <c r="AA255" s="586"/>
      <c r="AB255" s="250"/>
      <c r="AC255" s="250"/>
      <c r="AD255" s="250"/>
      <c r="AE255" s="250"/>
      <c r="AF255" s="250"/>
      <c r="AG255" s="586"/>
      <c r="AH255" s="250"/>
      <c r="AI255" s="250"/>
      <c r="AJ255" s="250"/>
      <c r="AK255" s="250"/>
      <c r="AL255" s="250"/>
      <c r="AM255" s="250"/>
      <c r="AN255" s="250"/>
      <c r="AO255" s="250"/>
      <c r="AP255" s="250"/>
      <c r="AQ255" s="250"/>
      <c r="AR255" s="250"/>
      <c r="AS255" s="250"/>
      <c r="AT255" s="250"/>
      <c r="AU255" s="250"/>
      <c r="AV255" s="250"/>
      <c r="AW255" s="250"/>
      <c r="AX255" s="251"/>
      <c r="AY255" s="250"/>
      <c r="AZ255" s="250"/>
      <c r="BA255" s="250"/>
      <c r="BB255" s="250"/>
      <c r="BC255" s="250"/>
      <c r="BD255" s="250"/>
      <c r="BE255" s="250"/>
      <c r="BF255" s="250"/>
      <c r="BG255" s="250"/>
      <c r="BH255" s="250"/>
      <c r="BI255" s="252"/>
      <c r="BJ255" s="252"/>
      <c r="BK255" s="250"/>
      <c r="BL255" s="252"/>
      <c r="BM255" s="252"/>
      <c r="BN255" s="252"/>
      <c r="BO255" s="252"/>
      <c r="BP255" s="252"/>
      <c r="BQ255" s="252"/>
      <c r="BR255" s="252"/>
      <c r="BS255" s="252"/>
    </row>
    <row r="256" spans="1:71" s="358" customFormat="1" x14ac:dyDescent="0.2">
      <c r="A256" s="584"/>
      <c r="B256" s="584"/>
      <c r="C256" s="479"/>
      <c r="D256" s="248"/>
      <c r="E256" s="250"/>
      <c r="F256" s="250"/>
      <c r="G256" s="250"/>
      <c r="H256" s="250"/>
      <c r="I256" s="250"/>
      <c r="J256" s="250"/>
      <c r="K256" s="250"/>
      <c r="L256" s="250"/>
      <c r="M256" s="250"/>
      <c r="N256" s="476"/>
      <c r="O256" s="250"/>
      <c r="P256" s="250"/>
      <c r="Q256" s="250"/>
      <c r="R256" s="250"/>
      <c r="S256" s="250"/>
      <c r="T256" s="250"/>
      <c r="U256" s="250"/>
      <c r="V256" s="585"/>
      <c r="W256" s="250"/>
      <c r="X256" s="250"/>
      <c r="Y256" s="250"/>
      <c r="Z256" s="248"/>
      <c r="AA256" s="586"/>
      <c r="AB256" s="250"/>
      <c r="AC256" s="250"/>
      <c r="AD256" s="250"/>
      <c r="AE256" s="250"/>
      <c r="AF256" s="250"/>
      <c r="AG256" s="586"/>
      <c r="AH256" s="250"/>
      <c r="AI256" s="250"/>
      <c r="AJ256" s="250"/>
      <c r="AK256" s="250"/>
      <c r="AL256" s="250"/>
      <c r="AM256" s="250"/>
      <c r="AN256" s="250"/>
      <c r="AO256" s="250"/>
      <c r="AP256" s="250"/>
      <c r="AQ256" s="250"/>
      <c r="AR256" s="250"/>
      <c r="AS256" s="250"/>
      <c r="AT256" s="250"/>
      <c r="AU256" s="250"/>
      <c r="AV256" s="250"/>
      <c r="AW256" s="250"/>
      <c r="AX256" s="251"/>
      <c r="AY256" s="250"/>
      <c r="AZ256" s="250"/>
      <c r="BA256" s="250"/>
      <c r="BB256" s="250"/>
      <c r="BC256" s="250"/>
      <c r="BD256" s="250"/>
      <c r="BE256" s="250"/>
      <c r="BF256" s="250"/>
      <c r="BG256" s="250"/>
      <c r="BH256" s="250"/>
      <c r="BI256" s="252"/>
      <c r="BJ256" s="252"/>
      <c r="BK256" s="250"/>
      <c r="BL256" s="252"/>
      <c r="BM256" s="252"/>
      <c r="BN256" s="252"/>
      <c r="BO256" s="252"/>
      <c r="BP256" s="252"/>
      <c r="BQ256" s="252"/>
      <c r="BR256" s="252"/>
      <c r="BS256" s="252"/>
    </row>
    <row r="257" spans="1:71" s="358" customFormat="1" x14ac:dyDescent="0.2">
      <c r="A257" s="584"/>
      <c r="B257" s="584"/>
      <c r="C257" s="479"/>
      <c r="D257" s="248"/>
      <c r="E257" s="250"/>
      <c r="F257" s="250"/>
      <c r="G257" s="250"/>
      <c r="H257" s="250"/>
      <c r="I257" s="250"/>
      <c r="J257" s="250"/>
      <c r="K257" s="250"/>
      <c r="L257" s="250"/>
      <c r="M257" s="250"/>
      <c r="N257" s="476"/>
      <c r="O257" s="250"/>
      <c r="P257" s="250"/>
      <c r="Q257" s="250"/>
      <c r="R257" s="250"/>
      <c r="S257" s="250"/>
      <c r="T257" s="250"/>
      <c r="U257" s="250"/>
      <c r="V257" s="585"/>
      <c r="W257" s="250"/>
      <c r="X257" s="250"/>
      <c r="Y257" s="250"/>
      <c r="Z257" s="248"/>
      <c r="AA257" s="586"/>
      <c r="AB257" s="250"/>
      <c r="AC257" s="250"/>
      <c r="AD257" s="250"/>
      <c r="AE257" s="250"/>
      <c r="AF257" s="250"/>
      <c r="AG257" s="586"/>
      <c r="AH257" s="250"/>
      <c r="AI257" s="250"/>
      <c r="AJ257" s="250"/>
      <c r="AK257" s="250"/>
      <c r="AL257" s="250"/>
      <c r="AM257" s="250"/>
      <c r="AN257" s="250"/>
      <c r="AO257" s="250"/>
      <c r="AP257" s="250"/>
      <c r="AQ257" s="250"/>
      <c r="AR257" s="250"/>
      <c r="AS257" s="250"/>
      <c r="AT257" s="250"/>
      <c r="AU257" s="250"/>
      <c r="AV257" s="250"/>
      <c r="AW257" s="250"/>
      <c r="AX257" s="251"/>
      <c r="AY257" s="250"/>
      <c r="AZ257" s="250"/>
      <c r="BA257" s="250"/>
      <c r="BB257" s="250"/>
      <c r="BC257" s="250"/>
      <c r="BD257" s="250"/>
      <c r="BE257" s="250"/>
      <c r="BF257" s="250"/>
      <c r="BG257" s="250"/>
      <c r="BH257" s="250"/>
      <c r="BI257" s="252"/>
      <c r="BJ257" s="252"/>
      <c r="BK257" s="250"/>
      <c r="BL257" s="252"/>
      <c r="BM257" s="252"/>
      <c r="BN257" s="252"/>
      <c r="BO257" s="252"/>
      <c r="BP257" s="252"/>
      <c r="BQ257" s="252"/>
      <c r="BR257" s="252"/>
      <c r="BS257" s="252"/>
    </row>
    <row r="258" spans="1:71" s="358" customFormat="1" x14ac:dyDescent="0.2">
      <c r="A258" s="584"/>
      <c r="B258" s="584"/>
      <c r="C258" s="479"/>
      <c r="D258" s="248"/>
      <c r="E258" s="250"/>
      <c r="F258" s="250"/>
      <c r="G258" s="250"/>
      <c r="H258" s="250"/>
      <c r="I258" s="250"/>
      <c r="J258" s="250"/>
      <c r="K258" s="250"/>
      <c r="L258" s="250"/>
      <c r="M258" s="250"/>
      <c r="N258" s="476"/>
      <c r="O258" s="250"/>
      <c r="P258" s="250"/>
      <c r="Q258" s="250"/>
      <c r="R258" s="250"/>
      <c r="S258" s="250"/>
      <c r="T258" s="250"/>
      <c r="U258" s="250"/>
      <c r="V258" s="585"/>
      <c r="W258" s="250"/>
      <c r="X258" s="250"/>
      <c r="Y258" s="250"/>
      <c r="Z258" s="248"/>
      <c r="AA258" s="586"/>
      <c r="AB258" s="250"/>
      <c r="AC258" s="250"/>
      <c r="AD258" s="250"/>
      <c r="AE258" s="250"/>
      <c r="AF258" s="250"/>
      <c r="AG258" s="586"/>
      <c r="AH258" s="250"/>
      <c r="AI258" s="250"/>
      <c r="AJ258" s="250"/>
      <c r="AK258" s="250"/>
      <c r="AL258" s="250"/>
      <c r="AM258" s="250"/>
      <c r="AN258" s="250"/>
      <c r="AO258" s="250"/>
      <c r="AP258" s="250"/>
      <c r="AQ258" s="250"/>
      <c r="AR258" s="250"/>
      <c r="AS258" s="250"/>
      <c r="AT258" s="250"/>
      <c r="AU258" s="250"/>
      <c r="AV258" s="250"/>
      <c r="AW258" s="250"/>
      <c r="AX258" s="251"/>
      <c r="AY258" s="250"/>
      <c r="AZ258" s="250"/>
      <c r="BA258" s="250"/>
      <c r="BB258" s="250"/>
      <c r="BC258" s="250"/>
      <c r="BD258" s="250"/>
      <c r="BE258" s="250"/>
      <c r="BF258" s="250"/>
      <c r="BG258" s="250"/>
      <c r="BH258" s="250"/>
      <c r="BI258" s="252"/>
      <c r="BJ258" s="252"/>
      <c r="BK258" s="250"/>
      <c r="BL258" s="252"/>
      <c r="BM258" s="252"/>
      <c r="BN258" s="252"/>
      <c r="BO258" s="252"/>
      <c r="BP258" s="252"/>
      <c r="BQ258" s="252"/>
      <c r="BR258" s="252"/>
      <c r="BS258" s="252"/>
    </row>
    <row r="259" spans="1:71" s="358" customFormat="1" x14ac:dyDescent="0.2">
      <c r="A259" s="584"/>
      <c r="B259" s="584"/>
      <c r="C259" s="479"/>
      <c r="D259" s="248"/>
      <c r="E259" s="250"/>
      <c r="F259" s="250"/>
      <c r="G259" s="250"/>
      <c r="H259" s="250"/>
      <c r="I259" s="250"/>
      <c r="J259" s="250"/>
      <c r="K259" s="250"/>
      <c r="L259" s="250"/>
      <c r="M259" s="250"/>
      <c r="N259" s="476"/>
      <c r="O259" s="250"/>
      <c r="P259" s="250"/>
      <c r="Q259" s="250"/>
      <c r="R259" s="250"/>
      <c r="S259" s="250"/>
      <c r="T259" s="250"/>
      <c r="U259" s="250"/>
      <c r="V259" s="585"/>
      <c r="W259" s="250"/>
      <c r="X259" s="250"/>
      <c r="Y259" s="250"/>
      <c r="Z259" s="248"/>
      <c r="AA259" s="586"/>
      <c r="AB259" s="250"/>
      <c r="AC259" s="250"/>
      <c r="AD259" s="250"/>
      <c r="AE259" s="250"/>
      <c r="AF259" s="250"/>
      <c r="AG259" s="586"/>
      <c r="AH259" s="250"/>
      <c r="AI259" s="250"/>
      <c r="AJ259" s="250"/>
      <c r="AK259" s="250"/>
      <c r="AL259" s="250"/>
      <c r="AM259" s="250"/>
      <c r="AN259" s="250"/>
      <c r="AO259" s="250"/>
      <c r="AP259" s="250"/>
      <c r="AQ259" s="250"/>
      <c r="AR259" s="250"/>
      <c r="AS259" s="250"/>
      <c r="AT259" s="250"/>
      <c r="AU259" s="250"/>
      <c r="AV259" s="250"/>
      <c r="AW259" s="250"/>
      <c r="AX259" s="251"/>
      <c r="AY259" s="250"/>
      <c r="AZ259" s="250"/>
      <c r="BA259" s="250"/>
      <c r="BB259" s="250"/>
      <c r="BC259" s="250"/>
      <c r="BD259" s="250"/>
      <c r="BE259" s="250"/>
      <c r="BF259" s="250"/>
      <c r="BG259" s="250"/>
      <c r="BH259" s="250"/>
      <c r="BI259" s="252"/>
      <c r="BJ259" s="252"/>
      <c r="BK259" s="250"/>
      <c r="BL259" s="252"/>
      <c r="BM259" s="252"/>
      <c r="BN259" s="252"/>
      <c r="BO259" s="252"/>
      <c r="BP259" s="252"/>
      <c r="BQ259" s="252"/>
      <c r="BR259" s="252"/>
      <c r="BS259" s="252"/>
    </row>
    <row r="260" spans="1:71" s="358" customFormat="1" x14ac:dyDescent="0.2">
      <c r="A260" s="584"/>
      <c r="B260" s="584"/>
      <c r="C260" s="479"/>
      <c r="D260" s="248"/>
      <c r="E260" s="250"/>
      <c r="F260" s="250"/>
      <c r="G260" s="250"/>
      <c r="H260" s="250"/>
      <c r="I260" s="250"/>
      <c r="J260" s="250"/>
      <c r="K260" s="250"/>
      <c r="L260" s="250"/>
      <c r="M260" s="250"/>
      <c r="N260" s="476"/>
      <c r="O260" s="250"/>
      <c r="P260" s="250"/>
      <c r="Q260" s="250"/>
      <c r="R260" s="250"/>
      <c r="S260" s="250"/>
      <c r="T260" s="250"/>
      <c r="U260" s="250"/>
      <c r="V260" s="585"/>
      <c r="W260" s="250"/>
      <c r="X260" s="250"/>
      <c r="Y260" s="250"/>
      <c r="Z260" s="248"/>
      <c r="AA260" s="586"/>
      <c r="AB260" s="250"/>
      <c r="AC260" s="250"/>
      <c r="AD260" s="250"/>
      <c r="AE260" s="250"/>
      <c r="AF260" s="250"/>
      <c r="AG260" s="586"/>
      <c r="AH260" s="250"/>
      <c r="AI260" s="250"/>
      <c r="AJ260" s="250"/>
      <c r="AK260" s="250"/>
      <c r="AL260" s="250"/>
      <c r="AM260" s="250"/>
      <c r="AN260" s="250"/>
      <c r="AO260" s="250"/>
      <c r="AP260" s="250"/>
      <c r="AQ260" s="250"/>
      <c r="AR260" s="250"/>
      <c r="AS260" s="250"/>
      <c r="AT260" s="250"/>
      <c r="AU260" s="250"/>
      <c r="AV260" s="250"/>
      <c r="AW260" s="250"/>
      <c r="AX260" s="251"/>
      <c r="AY260" s="250"/>
      <c r="AZ260" s="250"/>
      <c r="BA260" s="250"/>
      <c r="BB260" s="250"/>
      <c r="BC260" s="250"/>
      <c r="BD260" s="250"/>
      <c r="BE260" s="250"/>
      <c r="BF260" s="250"/>
      <c r="BG260" s="250"/>
      <c r="BH260" s="250"/>
      <c r="BI260" s="252"/>
      <c r="BJ260" s="252"/>
      <c r="BK260" s="250"/>
      <c r="BL260" s="252"/>
      <c r="BM260" s="252"/>
      <c r="BN260" s="252"/>
      <c r="BO260" s="252"/>
      <c r="BP260" s="252"/>
      <c r="BQ260" s="252"/>
      <c r="BR260" s="252"/>
      <c r="BS260" s="252"/>
    </row>
    <row r="261" spans="1:71" s="358" customFormat="1" x14ac:dyDescent="0.2">
      <c r="A261" s="584"/>
      <c r="B261" s="584"/>
      <c r="C261" s="479"/>
      <c r="D261" s="248"/>
      <c r="E261" s="250"/>
      <c r="F261" s="250"/>
      <c r="G261" s="250"/>
      <c r="H261" s="250"/>
      <c r="I261" s="250"/>
      <c r="J261" s="250"/>
      <c r="K261" s="250"/>
      <c r="L261" s="250"/>
      <c r="M261" s="250"/>
      <c r="N261" s="476"/>
      <c r="O261" s="250"/>
      <c r="P261" s="250"/>
      <c r="Q261" s="250"/>
      <c r="R261" s="250"/>
      <c r="S261" s="250"/>
      <c r="T261" s="250"/>
      <c r="U261" s="250"/>
      <c r="V261" s="585"/>
      <c r="W261" s="250"/>
      <c r="X261" s="250"/>
      <c r="Y261" s="250"/>
      <c r="Z261" s="248"/>
      <c r="AA261" s="586"/>
      <c r="AB261" s="250"/>
      <c r="AC261" s="250"/>
      <c r="AD261" s="250"/>
      <c r="AE261" s="250"/>
      <c r="AF261" s="250"/>
      <c r="AG261" s="586"/>
      <c r="AH261" s="250"/>
      <c r="AI261" s="250"/>
      <c r="AJ261" s="250"/>
      <c r="AK261" s="250"/>
      <c r="AL261" s="250"/>
      <c r="AM261" s="250"/>
      <c r="AN261" s="250"/>
      <c r="AO261" s="250"/>
      <c r="AP261" s="250"/>
      <c r="AQ261" s="250"/>
      <c r="AR261" s="250"/>
      <c r="AS261" s="250"/>
      <c r="AT261" s="250"/>
      <c r="AU261" s="250"/>
      <c r="AV261" s="250"/>
      <c r="AW261" s="250"/>
      <c r="AX261" s="251"/>
      <c r="AY261" s="250"/>
      <c r="AZ261" s="250"/>
      <c r="BA261" s="250"/>
      <c r="BB261" s="250"/>
      <c r="BC261" s="250"/>
      <c r="BD261" s="250"/>
      <c r="BE261" s="250"/>
      <c r="BF261" s="250"/>
      <c r="BG261" s="250"/>
      <c r="BH261" s="250"/>
      <c r="BI261" s="252"/>
      <c r="BJ261" s="252"/>
      <c r="BK261" s="250"/>
      <c r="BL261" s="252"/>
      <c r="BM261" s="252"/>
      <c r="BN261" s="252"/>
      <c r="BO261" s="252"/>
      <c r="BP261" s="252"/>
      <c r="BQ261" s="252"/>
      <c r="BR261" s="252"/>
      <c r="BS261" s="252"/>
    </row>
    <row r="262" spans="1:71" s="358" customFormat="1" x14ac:dyDescent="0.2">
      <c r="A262" s="584"/>
      <c r="B262" s="584"/>
      <c r="C262" s="479"/>
      <c r="D262" s="248"/>
      <c r="E262" s="250"/>
      <c r="F262" s="250"/>
      <c r="G262" s="250"/>
      <c r="H262" s="250"/>
      <c r="I262" s="250"/>
      <c r="J262" s="250"/>
      <c r="K262" s="250"/>
      <c r="L262" s="250"/>
      <c r="M262" s="250"/>
      <c r="N262" s="476"/>
      <c r="O262" s="250"/>
      <c r="P262" s="250"/>
      <c r="Q262" s="250"/>
      <c r="R262" s="250"/>
      <c r="S262" s="250"/>
      <c r="T262" s="250"/>
      <c r="U262" s="250"/>
      <c r="V262" s="585"/>
      <c r="W262" s="250"/>
      <c r="X262" s="250"/>
      <c r="Y262" s="250"/>
      <c r="Z262" s="248"/>
      <c r="AA262" s="586"/>
      <c r="AB262" s="250"/>
      <c r="AC262" s="250"/>
      <c r="AD262" s="250"/>
      <c r="AE262" s="250"/>
      <c r="AF262" s="250"/>
      <c r="AG262" s="586"/>
      <c r="AH262" s="250"/>
      <c r="AI262" s="250"/>
      <c r="AJ262" s="250"/>
      <c r="AK262" s="250"/>
      <c r="AL262" s="250"/>
      <c r="AM262" s="250"/>
      <c r="AN262" s="250"/>
      <c r="AO262" s="250"/>
      <c r="AP262" s="250"/>
      <c r="AQ262" s="250"/>
      <c r="AR262" s="250"/>
      <c r="AS262" s="250"/>
      <c r="AT262" s="250"/>
      <c r="AU262" s="250"/>
      <c r="AV262" s="250"/>
      <c r="AW262" s="250"/>
      <c r="AX262" s="251"/>
      <c r="AY262" s="250"/>
      <c r="AZ262" s="250"/>
      <c r="BA262" s="250"/>
      <c r="BB262" s="250"/>
      <c r="BC262" s="250"/>
      <c r="BD262" s="250"/>
      <c r="BE262" s="250"/>
      <c r="BF262" s="250"/>
      <c r="BG262" s="250"/>
      <c r="BH262" s="250"/>
      <c r="BI262" s="252"/>
      <c r="BJ262" s="252"/>
      <c r="BK262" s="250"/>
      <c r="BL262" s="252"/>
      <c r="BM262" s="252"/>
      <c r="BN262" s="252"/>
      <c r="BO262" s="252"/>
      <c r="BP262" s="252"/>
      <c r="BQ262" s="252"/>
      <c r="BR262" s="252"/>
      <c r="BS262" s="252"/>
    </row>
    <row r="263" spans="1:71" s="358" customFormat="1" x14ac:dyDescent="0.2">
      <c r="A263" s="584"/>
      <c r="B263" s="584"/>
      <c r="C263" s="479"/>
      <c r="D263" s="248"/>
      <c r="E263" s="250"/>
      <c r="F263" s="250"/>
      <c r="G263" s="250"/>
      <c r="H263" s="250"/>
      <c r="I263" s="250"/>
      <c r="J263" s="250"/>
      <c r="K263" s="250"/>
      <c r="L263" s="250"/>
      <c r="M263" s="250"/>
      <c r="N263" s="476"/>
      <c r="O263" s="250"/>
      <c r="P263" s="250"/>
      <c r="Q263" s="250"/>
      <c r="R263" s="250"/>
      <c r="S263" s="250"/>
      <c r="T263" s="250"/>
      <c r="U263" s="250"/>
      <c r="V263" s="585"/>
      <c r="W263" s="250"/>
      <c r="X263" s="250"/>
      <c r="Y263" s="250"/>
      <c r="Z263" s="248"/>
      <c r="AA263" s="586"/>
      <c r="AB263" s="250"/>
      <c r="AC263" s="250"/>
      <c r="AD263" s="250"/>
      <c r="AE263" s="250"/>
      <c r="AF263" s="250"/>
      <c r="AG263" s="586"/>
      <c r="AH263" s="250"/>
      <c r="AI263" s="250"/>
      <c r="AJ263" s="250"/>
      <c r="AK263" s="250"/>
      <c r="AL263" s="250"/>
      <c r="AM263" s="250"/>
      <c r="AN263" s="250"/>
      <c r="AO263" s="250"/>
      <c r="AP263" s="250"/>
      <c r="AQ263" s="250"/>
      <c r="AR263" s="250"/>
      <c r="AS263" s="250"/>
      <c r="AT263" s="250"/>
      <c r="AU263" s="250"/>
      <c r="AV263" s="250"/>
      <c r="AW263" s="250"/>
      <c r="AX263" s="251"/>
      <c r="AY263" s="250"/>
      <c r="AZ263" s="250"/>
      <c r="BA263" s="250"/>
      <c r="BB263" s="250"/>
      <c r="BC263" s="250"/>
      <c r="BD263" s="250"/>
      <c r="BE263" s="250"/>
      <c r="BF263" s="250"/>
      <c r="BG263" s="250"/>
      <c r="BH263" s="250"/>
      <c r="BI263" s="252"/>
      <c r="BJ263" s="252"/>
      <c r="BK263" s="250"/>
      <c r="BL263" s="252"/>
      <c r="BM263" s="252"/>
      <c r="BN263" s="252"/>
      <c r="BO263" s="252"/>
      <c r="BP263" s="252"/>
      <c r="BQ263" s="252"/>
      <c r="BR263" s="252"/>
      <c r="BS263" s="252"/>
    </row>
    <row r="264" spans="1:71" s="358" customFormat="1" x14ac:dyDescent="0.2">
      <c r="A264" s="584"/>
      <c r="B264" s="584"/>
      <c r="C264" s="479"/>
      <c r="D264" s="248"/>
      <c r="E264" s="250"/>
      <c r="F264" s="250"/>
      <c r="G264" s="250"/>
      <c r="H264" s="250"/>
      <c r="I264" s="250"/>
      <c r="J264" s="250"/>
      <c r="K264" s="250"/>
      <c r="L264" s="250"/>
      <c r="M264" s="250"/>
      <c r="N264" s="476"/>
      <c r="O264" s="250"/>
      <c r="P264" s="250"/>
      <c r="Q264" s="250"/>
      <c r="R264" s="250"/>
      <c r="S264" s="250"/>
      <c r="T264" s="250"/>
      <c r="U264" s="250"/>
      <c r="V264" s="585"/>
      <c r="W264" s="250"/>
      <c r="X264" s="250"/>
      <c r="Y264" s="250"/>
      <c r="Z264" s="248"/>
      <c r="AA264" s="586"/>
      <c r="AB264" s="250"/>
      <c r="AC264" s="250"/>
      <c r="AD264" s="250"/>
      <c r="AE264" s="250"/>
      <c r="AF264" s="250"/>
      <c r="AG264" s="586"/>
      <c r="AH264" s="250"/>
      <c r="AI264" s="250"/>
      <c r="AJ264" s="250"/>
      <c r="AK264" s="250"/>
      <c r="AL264" s="250"/>
      <c r="AM264" s="250"/>
      <c r="AN264" s="250"/>
      <c r="AO264" s="250"/>
      <c r="AP264" s="250"/>
      <c r="AQ264" s="250"/>
      <c r="AR264" s="250"/>
      <c r="AS264" s="250"/>
      <c r="AT264" s="250"/>
      <c r="AU264" s="250"/>
      <c r="AV264" s="250"/>
      <c r="AW264" s="250"/>
      <c r="AX264" s="251"/>
      <c r="AY264" s="250"/>
      <c r="AZ264" s="250"/>
      <c r="BA264" s="250"/>
      <c r="BB264" s="250"/>
      <c r="BC264" s="250"/>
      <c r="BD264" s="250"/>
      <c r="BE264" s="250"/>
      <c r="BF264" s="250"/>
      <c r="BG264" s="250"/>
      <c r="BH264" s="250"/>
      <c r="BI264" s="252"/>
      <c r="BJ264" s="252"/>
      <c r="BK264" s="250"/>
      <c r="BL264" s="252"/>
      <c r="BM264" s="252"/>
      <c r="BN264" s="252"/>
      <c r="BO264" s="252"/>
      <c r="BP264" s="252"/>
      <c r="BQ264" s="252"/>
      <c r="BR264" s="252"/>
      <c r="BS264" s="252"/>
    </row>
    <row r="265" spans="1:71" s="358" customFormat="1" x14ac:dyDescent="0.2">
      <c r="A265" s="584"/>
      <c r="B265" s="584"/>
      <c r="C265" s="479"/>
      <c r="D265" s="248"/>
      <c r="E265" s="250"/>
      <c r="F265" s="250"/>
      <c r="G265" s="250"/>
      <c r="H265" s="250"/>
      <c r="I265" s="250"/>
      <c r="J265" s="250"/>
      <c r="K265" s="250"/>
      <c r="L265" s="250"/>
      <c r="M265" s="250"/>
      <c r="N265" s="476"/>
      <c r="O265" s="250"/>
      <c r="P265" s="250"/>
      <c r="Q265" s="250"/>
      <c r="R265" s="250"/>
      <c r="S265" s="250"/>
      <c r="T265" s="250"/>
      <c r="U265" s="250"/>
      <c r="V265" s="585"/>
      <c r="W265" s="250"/>
      <c r="X265" s="250"/>
      <c r="Y265" s="250"/>
      <c r="Z265" s="248"/>
      <c r="AA265" s="586"/>
      <c r="AB265" s="250"/>
      <c r="AC265" s="250"/>
      <c r="AD265" s="250"/>
      <c r="AE265" s="250"/>
      <c r="AF265" s="250"/>
      <c r="AG265" s="586"/>
      <c r="AH265" s="250"/>
      <c r="AI265" s="250"/>
      <c r="AJ265" s="250"/>
      <c r="AK265" s="250"/>
      <c r="AL265" s="250"/>
      <c r="AM265" s="250"/>
      <c r="AN265" s="250"/>
      <c r="AO265" s="250"/>
      <c r="AP265" s="250"/>
      <c r="AQ265" s="250"/>
      <c r="AR265" s="250"/>
      <c r="AS265" s="250"/>
      <c r="AT265" s="250"/>
      <c r="AU265" s="250"/>
      <c r="AV265" s="250"/>
      <c r="AW265" s="250"/>
      <c r="AX265" s="251"/>
      <c r="AY265" s="250"/>
      <c r="AZ265" s="250"/>
      <c r="BA265" s="250"/>
      <c r="BB265" s="250"/>
      <c r="BC265" s="250"/>
      <c r="BD265" s="250"/>
      <c r="BE265" s="250"/>
      <c r="BF265" s="250"/>
      <c r="BG265" s="250"/>
      <c r="BH265" s="250"/>
      <c r="BI265" s="252"/>
      <c r="BJ265" s="252"/>
      <c r="BK265" s="250"/>
      <c r="BL265" s="252"/>
      <c r="BM265" s="252"/>
      <c r="BN265" s="252"/>
      <c r="BO265" s="252"/>
      <c r="BP265" s="252"/>
      <c r="BQ265" s="252"/>
      <c r="BR265" s="252"/>
      <c r="BS265" s="252"/>
    </row>
    <row r="266" spans="1:71" s="358" customFormat="1" x14ac:dyDescent="0.2">
      <c r="A266" s="584"/>
      <c r="B266" s="584"/>
      <c r="C266" s="479"/>
      <c r="D266" s="248"/>
      <c r="E266" s="250"/>
      <c r="F266" s="250"/>
      <c r="G266" s="250"/>
      <c r="H266" s="250"/>
      <c r="I266" s="250"/>
      <c r="J266" s="250"/>
      <c r="K266" s="250"/>
      <c r="L266" s="250"/>
      <c r="M266" s="250"/>
      <c r="N266" s="476"/>
      <c r="O266" s="250"/>
      <c r="P266" s="250"/>
      <c r="Q266" s="250"/>
      <c r="R266" s="250"/>
      <c r="S266" s="250"/>
      <c r="T266" s="250"/>
      <c r="U266" s="250"/>
      <c r="V266" s="585"/>
      <c r="W266" s="250"/>
      <c r="X266" s="250"/>
      <c r="Y266" s="250"/>
      <c r="Z266" s="248"/>
      <c r="AA266" s="586"/>
      <c r="AB266" s="250"/>
      <c r="AC266" s="250"/>
      <c r="AD266" s="250"/>
      <c r="AE266" s="250"/>
      <c r="AF266" s="250"/>
      <c r="AG266" s="586"/>
      <c r="AH266" s="250"/>
      <c r="AI266" s="250"/>
      <c r="AJ266" s="250"/>
      <c r="AK266" s="250"/>
      <c r="AL266" s="250"/>
      <c r="AM266" s="250"/>
      <c r="AN266" s="250"/>
      <c r="AO266" s="250"/>
      <c r="AP266" s="250"/>
      <c r="AQ266" s="250"/>
      <c r="AR266" s="250"/>
      <c r="AS266" s="250"/>
      <c r="AT266" s="250"/>
      <c r="AU266" s="250"/>
      <c r="AV266" s="250"/>
      <c r="AW266" s="250"/>
      <c r="AX266" s="251"/>
      <c r="AY266" s="250"/>
      <c r="AZ266" s="250"/>
      <c r="BA266" s="250"/>
      <c r="BB266" s="250"/>
      <c r="BC266" s="250"/>
      <c r="BD266" s="250"/>
      <c r="BE266" s="250"/>
      <c r="BF266" s="250"/>
      <c r="BG266" s="250"/>
      <c r="BH266" s="250"/>
      <c r="BI266" s="252"/>
      <c r="BJ266" s="252"/>
      <c r="BK266" s="250"/>
      <c r="BL266" s="252"/>
      <c r="BM266" s="252"/>
      <c r="BN266" s="252"/>
      <c r="BO266" s="252"/>
      <c r="BP266" s="252"/>
      <c r="BQ266" s="252"/>
      <c r="BR266" s="252"/>
      <c r="BS266" s="252"/>
    </row>
    <row r="267" spans="1:71" s="358" customFormat="1" x14ac:dyDescent="0.2">
      <c r="A267" s="584"/>
      <c r="B267" s="584"/>
      <c r="C267" s="479"/>
      <c r="D267" s="248"/>
      <c r="E267" s="250"/>
      <c r="F267" s="250"/>
      <c r="G267" s="250"/>
      <c r="H267" s="250"/>
      <c r="I267" s="250"/>
      <c r="J267" s="250"/>
      <c r="K267" s="250"/>
      <c r="L267" s="250"/>
      <c r="M267" s="250"/>
      <c r="N267" s="476"/>
      <c r="O267" s="250"/>
      <c r="P267" s="250"/>
      <c r="Q267" s="250"/>
      <c r="R267" s="250"/>
      <c r="S267" s="250"/>
      <c r="T267" s="250"/>
      <c r="U267" s="250"/>
      <c r="V267" s="585"/>
      <c r="W267" s="250"/>
      <c r="X267" s="250"/>
      <c r="Y267" s="250"/>
      <c r="Z267" s="248"/>
      <c r="AA267" s="586"/>
      <c r="AB267" s="250"/>
      <c r="AC267" s="250"/>
      <c r="AD267" s="250"/>
      <c r="AE267" s="250"/>
      <c r="AF267" s="250"/>
      <c r="AG267" s="586"/>
      <c r="AH267" s="250"/>
      <c r="AI267" s="250"/>
      <c r="AJ267" s="250"/>
      <c r="AK267" s="250"/>
      <c r="AL267" s="250"/>
      <c r="AM267" s="250"/>
      <c r="AN267" s="250"/>
      <c r="AO267" s="250"/>
      <c r="AP267" s="250"/>
      <c r="AQ267" s="250"/>
      <c r="AR267" s="250"/>
      <c r="AS267" s="250"/>
      <c r="AT267" s="250"/>
      <c r="AU267" s="250"/>
      <c r="AV267" s="250"/>
      <c r="AW267" s="250"/>
      <c r="AX267" s="251"/>
      <c r="AY267" s="250"/>
      <c r="AZ267" s="250"/>
      <c r="BA267" s="250"/>
      <c r="BB267" s="250"/>
      <c r="BC267" s="250"/>
      <c r="BD267" s="250"/>
      <c r="BE267" s="250"/>
      <c r="BF267" s="250"/>
      <c r="BG267" s="250"/>
      <c r="BH267" s="250"/>
      <c r="BI267" s="252"/>
      <c r="BJ267" s="252"/>
      <c r="BK267" s="250"/>
      <c r="BL267" s="252"/>
      <c r="BM267" s="252"/>
      <c r="BN267" s="252"/>
      <c r="BO267" s="252"/>
      <c r="BP267" s="252"/>
      <c r="BQ267" s="252"/>
      <c r="BR267" s="252"/>
      <c r="BS267" s="252"/>
    </row>
    <row r="268" spans="1:71" s="358" customFormat="1" x14ac:dyDescent="0.2">
      <c r="A268" s="584"/>
      <c r="B268" s="584"/>
      <c r="C268" s="479"/>
      <c r="D268" s="248"/>
      <c r="E268" s="250"/>
      <c r="F268" s="250"/>
      <c r="G268" s="250"/>
      <c r="H268" s="250"/>
      <c r="I268" s="250"/>
      <c r="J268" s="250"/>
      <c r="K268" s="250"/>
      <c r="L268" s="250"/>
      <c r="M268" s="250"/>
      <c r="N268" s="476"/>
      <c r="O268" s="250"/>
      <c r="P268" s="250"/>
      <c r="Q268" s="250"/>
      <c r="R268" s="250"/>
      <c r="S268" s="250"/>
      <c r="T268" s="250"/>
      <c r="U268" s="250"/>
      <c r="V268" s="585"/>
      <c r="W268" s="250"/>
      <c r="X268" s="250"/>
      <c r="Y268" s="250"/>
      <c r="Z268" s="248"/>
      <c r="AA268" s="586"/>
      <c r="AB268" s="250"/>
      <c r="AC268" s="250"/>
      <c r="AD268" s="250"/>
      <c r="AE268" s="250"/>
      <c r="AF268" s="250"/>
      <c r="AG268" s="586"/>
      <c r="AH268" s="250"/>
      <c r="AI268" s="250"/>
      <c r="AJ268" s="250"/>
      <c r="AK268" s="250"/>
      <c r="AL268" s="250"/>
      <c r="AM268" s="250"/>
      <c r="AN268" s="250"/>
      <c r="AO268" s="250"/>
      <c r="AP268" s="250"/>
      <c r="AQ268" s="250"/>
      <c r="AR268" s="250"/>
      <c r="AS268" s="250"/>
      <c r="AT268" s="250"/>
      <c r="AU268" s="250"/>
      <c r="AV268" s="250"/>
      <c r="AW268" s="250"/>
      <c r="AX268" s="251"/>
      <c r="AY268" s="250"/>
      <c r="AZ268" s="250"/>
      <c r="BA268" s="250"/>
      <c r="BB268" s="250"/>
      <c r="BC268" s="250"/>
      <c r="BD268" s="250"/>
      <c r="BE268" s="250"/>
      <c r="BF268" s="250"/>
      <c r="BG268" s="250"/>
      <c r="BH268" s="250"/>
      <c r="BI268" s="252"/>
      <c r="BJ268" s="252"/>
      <c r="BK268" s="250"/>
      <c r="BL268" s="252"/>
      <c r="BM268" s="252"/>
      <c r="BN268" s="252"/>
      <c r="BO268" s="252"/>
      <c r="BP268" s="252"/>
      <c r="BQ268" s="252"/>
      <c r="BR268" s="252"/>
      <c r="BS268" s="252"/>
    </row>
    <row r="269" spans="1:71" s="358" customFormat="1" x14ac:dyDescent="0.2">
      <c r="A269" s="584"/>
      <c r="B269" s="584"/>
      <c r="C269" s="479"/>
      <c r="D269" s="248"/>
      <c r="E269" s="250"/>
      <c r="F269" s="250"/>
      <c r="G269" s="250"/>
      <c r="H269" s="250"/>
      <c r="I269" s="250"/>
      <c r="J269" s="250"/>
      <c r="K269" s="250"/>
      <c r="L269" s="250"/>
      <c r="M269" s="250"/>
      <c r="N269" s="476"/>
      <c r="O269" s="250"/>
      <c r="P269" s="250"/>
      <c r="Q269" s="250"/>
      <c r="R269" s="250"/>
      <c r="S269" s="250"/>
      <c r="T269" s="250"/>
      <c r="U269" s="250"/>
      <c r="V269" s="585"/>
      <c r="W269" s="250"/>
      <c r="X269" s="250"/>
      <c r="Y269" s="250"/>
      <c r="Z269" s="248"/>
      <c r="AA269" s="586"/>
      <c r="AB269" s="250"/>
      <c r="AC269" s="250"/>
      <c r="AD269" s="250"/>
      <c r="AE269" s="250"/>
      <c r="AF269" s="250"/>
      <c r="AG269" s="586"/>
      <c r="AH269" s="250"/>
      <c r="AI269" s="250"/>
      <c r="AJ269" s="250"/>
      <c r="AK269" s="250"/>
      <c r="AL269" s="250"/>
      <c r="AM269" s="250"/>
      <c r="AN269" s="250"/>
      <c r="AO269" s="250"/>
      <c r="AP269" s="250"/>
      <c r="AQ269" s="250"/>
      <c r="AR269" s="250"/>
      <c r="AS269" s="250"/>
      <c r="AT269" s="250"/>
      <c r="AU269" s="250"/>
      <c r="AV269" s="250"/>
      <c r="AW269" s="250"/>
      <c r="AX269" s="251"/>
      <c r="AY269" s="250"/>
      <c r="AZ269" s="250"/>
      <c r="BA269" s="250"/>
      <c r="BB269" s="250"/>
      <c r="BC269" s="250"/>
      <c r="BD269" s="250"/>
      <c r="BE269" s="250"/>
      <c r="BF269" s="250"/>
      <c r="BG269" s="250"/>
      <c r="BH269" s="250"/>
      <c r="BI269" s="252"/>
      <c r="BJ269" s="252"/>
      <c r="BK269" s="250"/>
      <c r="BL269" s="252"/>
      <c r="BM269" s="252"/>
      <c r="BN269" s="252"/>
      <c r="BO269" s="252"/>
      <c r="BP269" s="252"/>
      <c r="BQ269" s="252"/>
      <c r="BR269" s="252"/>
      <c r="BS269" s="252"/>
    </row>
    <row r="270" spans="1:71" s="358" customFormat="1" x14ac:dyDescent="0.2">
      <c r="A270" s="584"/>
      <c r="B270" s="584"/>
      <c r="C270" s="479"/>
      <c r="D270" s="248"/>
      <c r="E270" s="250"/>
      <c r="F270" s="250"/>
      <c r="G270" s="250"/>
      <c r="H270" s="250"/>
      <c r="I270" s="250"/>
      <c r="J270" s="250"/>
      <c r="K270" s="250"/>
      <c r="L270" s="250"/>
      <c r="M270" s="250"/>
      <c r="N270" s="476"/>
      <c r="O270" s="250"/>
      <c r="P270" s="250"/>
      <c r="Q270" s="250"/>
      <c r="R270" s="250"/>
      <c r="S270" s="250"/>
      <c r="T270" s="250"/>
      <c r="U270" s="250"/>
      <c r="V270" s="585"/>
      <c r="W270" s="250"/>
      <c r="X270" s="250"/>
      <c r="Y270" s="250"/>
      <c r="Z270" s="248"/>
      <c r="AA270" s="586"/>
      <c r="AB270" s="250"/>
      <c r="AC270" s="250"/>
      <c r="AD270" s="250"/>
      <c r="AE270" s="250"/>
      <c r="AF270" s="250"/>
      <c r="AG270" s="586"/>
      <c r="AH270" s="250"/>
      <c r="AI270" s="250"/>
      <c r="AJ270" s="250"/>
      <c r="AK270" s="250"/>
      <c r="AL270" s="250"/>
      <c r="AM270" s="250"/>
      <c r="AN270" s="250"/>
      <c r="AO270" s="250"/>
      <c r="AP270" s="250"/>
      <c r="AQ270" s="250"/>
      <c r="AR270" s="250"/>
      <c r="AS270" s="250"/>
      <c r="AT270" s="250"/>
      <c r="AU270" s="250"/>
      <c r="AV270" s="250"/>
      <c r="AW270" s="250"/>
      <c r="AX270" s="251"/>
      <c r="AY270" s="250"/>
      <c r="AZ270" s="250"/>
      <c r="BA270" s="250"/>
      <c r="BB270" s="250"/>
      <c r="BC270" s="250"/>
      <c r="BD270" s="250"/>
      <c r="BE270" s="250"/>
      <c r="BF270" s="250"/>
      <c r="BG270" s="250"/>
      <c r="BH270" s="250"/>
      <c r="BI270" s="252"/>
      <c r="BJ270" s="252"/>
      <c r="BK270" s="250"/>
      <c r="BL270" s="252"/>
      <c r="BM270" s="252"/>
      <c r="BN270" s="252"/>
      <c r="BO270" s="252"/>
      <c r="BP270" s="252"/>
      <c r="BQ270" s="252"/>
      <c r="BR270" s="252"/>
      <c r="BS270" s="252"/>
    </row>
    <row r="271" spans="1:71" s="358" customFormat="1" x14ac:dyDescent="0.2">
      <c r="A271" s="584"/>
      <c r="B271" s="584"/>
      <c r="C271" s="479"/>
      <c r="D271" s="248"/>
      <c r="E271" s="250"/>
      <c r="F271" s="250"/>
      <c r="G271" s="250"/>
      <c r="H271" s="250"/>
      <c r="I271" s="250"/>
      <c r="J271" s="250"/>
      <c r="K271" s="250"/>
      <c r="L271" s="250"/>
      <c r="M271" s="250"/>
      <c r="N271" s="476"/>
      <c r="O271" s="250"/>
      <c r="P271" s="250"/>
      <c r="Q271" s="250"/>
      <c r="R271" s="250"/>
      <c r="S271" s="250"/>
      <c r="T271" s="250"/>
      <c r="U271" s="250"/>
      <c r="V271" s="585"/>
      <c r="W271" s="250"/>
      <c r="X271" s="250"/>
      <c r="Y271" s="250"/>
      <c r="Z271" s="248"/>
      <c r="AA271" s="586"/>
      <c r="AB271" s="250"/>
      <c r="AC271" s="250"/>
      <c r="AD271" s="250"/>
      <c r="AE271" s="250"/>
      <c r="AF271" s="250"/>
      <c r="AG271" s="586"/>
      <c r="AH271" s="250"/>
      <c r="AI271" s="250"/>
      <c r="AJ271" s="250"/>
      <c r="AK271" s="250"/>
      <c r="AL271" s="250"/>
      <c r="AM271" s="250"/>
      <c r="AN271" s="250"/>
      <c r="AO271" s="250"/>
      <c r="AP271" s="250"/>
      <c r="AQ271" s="250"/>
      <c r="AR271" s="250"/>
      <c r="AS271" s="250"/>
      <c r="AT271" s="250"/>
      <c r="AU271" s="250"/>
      <c r="AV271" s="250"/>
      <c r="AW271" s="250"/>
      <c r="AX271" s="251"/>
      <c r="AY271" s="250"/>
      <c r="AZ271" s="250"/>
      <c r="BA271" s="250"/>
      <c r="BB271" s="250"/>
      <c r="BC271" s="250"/>
      <c r="BD271" s="250"/>
      <c r="BE271" s="250"/>
      <c r="BF271" s="250"/>
      <c r="BG271" s="250"/>
      <c r="BH271" s="250"/>
      <c r="BI271" s="252"/>
      <c r="BJ271" s="252"/>
      <c r="BK271" s="250"/>
      <c r="BL271" s="252"/>
      <c r="BM271" s="252"/>
      <c r="BN271" s="252"/>
      <c r="BO271" s="252"/>
      <c r="BP271" s="252"/>
      <c r="BQ271" s="252"/>
      <c r="BR271" s="252"/>
      <c r="BS271" s="252"/>
    </row>
    <row r="272" spans="1:71" s="358" customFormat="1" x14ac:dyDescent="0.2">
      <c r="A272" s="584"/>
      <c r="B272" s="584"/>
      <c r="C272" s="479"/>
      <c r="D272" s="248"/>
      <c r="E272" s="250"/>
      <c r="F272" s="250"/>
      <c r="G272" s="250"/>
      <c r="H272" s="250"/>
      <c r="I272" s="250"/>
      <c r="J272" s="250"/>
      <c r="K272" s="250"/>
      <c r="L272" s="250"/>
      <c r="M272" s="250"/>
      <c r="N272" s="476"/>
      <c r="O272" s="250"/>
      <c r="P272" s="250"/>
      <c r="Q272" s="250"/>
      <c r="R272" s="250"/>
      <c r="S272" s="250"/>
      <c r="T272" s="250"/>
      <c r="U272" s="250"/>
      <c r="V272" s="585"/>
      <c r="W272" s="250"/>
      <c r="X272" s="250"/>
      <c r="Y272" s="250"/>
      <c r="Z272" s="248"/>
      <c r="AA272" s="586"/>
      <c r="AB272" s="250"/>
      <c r="AC272" s="250"/>
      <c r="AD272" s="250"/>
      <c r="AE272" s="250"/>
      <c r="AF272" s="250"/>
      <c r="AG272" s="586"/>
      <c r="AH272" s="250"/>
      <c r="AI272" s="250"/>
      <c r="AJ272" s="250"/>
      <c r="AK272" s="250"/>
      <c r="AL272" s="250"/>
      <c r="AM272" s="250"/>
      <c r="AN272" s="250"/>
      <c r="AO272" s="250"/>
      <c r="AP272" s="250"/>
      <c r="AQ272" s="250"/>
      <c r="AR272" s="250"/>
      <c r="AS272" s="250"/>
      <c r="AT272" s="250"/>
      <c r="AU272" s="250"/>
      <c r="AV272" s="250"/>
      <c r="AW272" s="250"/>
      <c r="AX272" s="251"/>
      <c r="AY272" s="250"/>
      <c r="AZ272" s="250"/>
      <c r="BA272" s="250"/>
      <c r="BB272" s="250"/>
      <c r="BC272" s="250"/>
      <c r="BD272" s="250"/>
      <c r="BE272" s="250"/>
      <c r="BF272" s="250"/>
      <c r="BG272" s="250"/>
      <c r="BH272" s="250"/>
      <c r="BI272" s="252"/>
      <c r="BJ272" s="252"/>
      <c r="BK272" s="250"/>
      <c r="BL272" s="252"/>
      <c r="BM272" s="252"/>
      <c r="BN272" s="252"/>
      <c r="BO272" s="252"/>
      <c r="BP272" s="252"/>
      <c r="BQ272" s="252"/>
      <c r="BR272" s="252"/>
      <c r="BS272" s="252"/>
    </row>
    <row r="273" spans="1:71" s="358" customFormat="1" x14ac:dyDescent="0.2">
      <c r="A273" s="584"/>
      <c r="B273" s="584"/>
      <c r="C273" s="479"/>
      <c r="D273" s="248"/>
      <c r="E273" s="250"/>
      <c r="F273" s="250"/>
      <c r="G273" s="250"/>
      <c r="H273" s="250"/>
      <c r="I273" s="250"/>
      <c r="J273" s="250"/>
      <c r="K273" s="250"/>
      <c r="L273" s="250"/>
      <c r="M273" s="250"/>
      <c r="N273" s="476"/>
      <c r="O273" s="250"/>
      <c r="P273" s="250"/>
      <c r="Q273" s="250"/>
      <c r="R273" s="250"/>
      <c r="S273" s="250"/>
      <c r="T273" s="250"/>
      <c r="U273" s="250"/>
      <c r="V273" s="585"/>
      <c r="W273" s="250"/>
      <c r="X273" s="250"/>
      <c r="Y273" s="250"/>
      <c r="Z273" s="248"/>
      <c r="AA273" s="586"/>
      <c r="AB273" s="250"/>
      <c r="AC273" s="250"/>
      <c r="AD273" s="250"/>
      <c r="AE273" s="250"/>
      <c r="AF273" s="250"/>
      <c r="AG273" s="586"/>
      <c r="AH273" s="250"/>
      <c r="AI273" s="250"/>
      <c r="AJ273" s="250"/>
      <c r="AK273" s="250"/>
      <c r="AL273" s="250"/>
      <c r="AM273" s="250"/>
      <c r="AN273" s="250"/>
      <c r="AO273" s="250"/>
      <c r="AP273" s="250"/>
      <c r="AQ273" s="250"/>
      <c r="AR273" s="250"/>
      <c r="AS273" s="250"/>
      <c r="AT273" s="250"/>
      <c r="AU273" s="250"/>
      <c r="AV273" s="250"/>
      <c r="AW273" s="250"/>
      <c r="AX273" s="251"/>
      <c r="AY273" s="250"/>
      <c r="AZ273" s="250"/>
      <c r="BA273" s="250"/>
      <c r="BB273" s="250"/>
      <c r="BC273" s="250"/>
      <c r="BD273" s="250"/>
      <c r="BE273" s="250"/>
      <c r="BF273" s="250"/>
      <c r="BG273" s="250"/>
      <c r="BH273" s="250"/>
      <c r="BI273" s="252"/>
      <c r="BJ273" s="252"/>
      <c r="BK273" s="250"/>
      <c r="BL273" s="252"/>
      <c r="BM273" s="252"/>
      <c r="BN273" s="252"/>
      <c r="BO273" s="252"/>
      <c r="BP273" s="252"/>
      <c r="BQ273" s="252"/>
      <c r="BR273" s="252"/>
      <c r="BS273" s="252"/>
    </row>
    <row r="274" spans="1:71" s="358" customFormat="1" x14ac:dyDescent="0.2">
      <c r="A274" s="584"/>
      <c r="B274" s="584"/>
      <c r="C274" s="479"/>
      <c r="D274" s="248"/>
      <c r="E274" s="250"/>
      <c r="F274" s="250"/>
      <c r="G274" s="250"/>
      <c r="H274" s="250"/>
      <c r="I274" s="250"/>
      <c r="J274" s="250"/>
      <c r="K274" s="250"/>
      <c r="L274" s="250"/>
      <c r="M274" s="250"/>
      <c r="N274" s="476"/>
      <c r="O274" s="250"/>
      <c r="P274" s="250"/>
      <c r="Q274" s="250"/>
      <c r="R274" s="250"/>
      <c r="S274" s="250"/>
      <c r="T274" s="250"/>
      <c r="U274" s="250"/>
      <c r="V274" s="585"/>
      <c r="W274" s="250"/>
      <c r="X274" s="250"/>
      <c r="Y274" s="250"/>
      <c r="Z274" s="248"/>
      <c r="AA274" s="586"/>
      <c r="AB274" s="250"/>
      <c r="AC274" s="250"/>
      <c r="AD274" s="250"/>
      <c r="AE274" s="250"/>
      <c r="AF274" s="250"/>
      <c r="AG274" s="586"/>
      <c r="AH274" s="250"/>
      <c r="AI274" s="250"/>
      <c r="AJ274" s="250"/>
      <c r="AK274" s="250"/>
      <c r="AL274" s="250"/>
      <c r="AM274" s="250"/>
      <c r="AN274" s="250"/>
      <c r="AO274" s="250"/>
      <c r="AP274" s="250"/>
      <c r="AQ274" s="250"/>
      <c r="AR274" s="250"/>
      <c r="AS274" s="250"/>
      <c r="AT274" s="250"/>
      <c r="AU274" s="250"/>
      <c r="AV274" s="250"/>
      <c r="AW274" s="250"/>
      <c r="AX274" s="251"/>
      <c r="AY274" s="250"/>
      <c r="AZ274" s="250"/>
      <c r="BA274" s="250"/>
      <c r="BB274" s="250"/>
      <c r="BC274" s="250"/>
      <c r="BD274" s="250"/>
      <c r="BE274" s="250"/>
      <c r="BF274" s="250"/>
      <c r="BG274" s="250"/>
      <c r="BH274" s="250"/>
      <c r="BI274" s="252"/>
      <c r="BJ274" s="252"/>
      <c r="BK274" s="250"/>
      <c r="BL274" s="252"/>
      <c r="BM274" s="252"/>
      <c r="BN274" s="252"/>
      <c r="BO274" s="252"/>
      <c r="BP274" s="252"/>
      <c r="BQ274" s="252"/>
      <c r="BR274" s="252"/>
      <c r="BS274" s="252"/>
    </row>
    <row r="275" spans="1:71" s="358" customFormat="1" x14ac:dyDescent="0.2">
      <c r="A275" s="584"/>
      <c r="B275" s="584"/>
      <c r="C275" s="479"/>
      <c r="D275" s="248"/>
      <c r="E275" s="250"/>
      <c r="F275" s="250"/>
      <c r="G275" s="250"/>
      <c r="H275" s="250"/>
      <c r="I275" s="250"/>
      <c r="J275" s="250"/>
      <c r="K275" s="250"/>
      <c r="L275" s="250"/>
      <c r="M275" s="250"/>
      <c r="N275" s="476"/>
      <c r="O275" s="250"/>
      <c r="P275" s="250"/>
      <c r="Q275" s="250"/>
      <c r="R275" s="250"/>
      <c r="S275" s="250"/>
      <c r="T275" s="250"/>
      <c r="U275" s="250"/>
      <c r="V275" s="585"/>
      <c r="W275" s="250"/>
      <c r="X275" s="250"/>
      <c r="Y275" s="250"/>
      <c r="Z275" s="248"/>
      <c r="AA275" s="586"/>
      <c r="AB275" s="250"/>
      <c r="AC275" s="250"/>
      <c r="AD275" s="250"/>
      <c r="AE275" s="250"/>
      <c r="AF275" s="250"/>
      <c r="AG275" s="586"/>
      <c r="AH275" s="250"/>
      <c r="AI275" s="250"/>
      <c r="AJ275" s="250"/>
      <c r="AK275" s="250"/>
      <c r="AL275" s="250"/>
      <c r="AM275" s="250"/>
      <c r="AN275" s="250"/>
      <c r="AO275" s="250"/>
      <c r="AP275" s="250"/>
      <c r="AQ275" s="250"/>
      <c r="AR275" s="250"/>
      <c r="AS275" s="250"/>
      <c r="AT275" s="250"/>
      <c r="AU275" s="250"/>
      <c r="AV275" s="250"/>
      <c r="AW275" s="250"/>
      <c r="AX275" s="251"/>
      <c r="AY275" s="250"/>
      <c r="AZ275" s="250"/>
      <c r="BA275" s="250"/>
      <c r="BB275" s="250"/>
      <c r="BC275" s="250"/>
      <c r="BD275" s="250"/>
      <c r="BE275" s="250"/>
      <c r="BF275" s="250"/>
      <c r="BG275" s="250"/>
      <c r="BH275" s="250"/>
      <c r="BI275" s="252"/>
      <c r="BJ275" s="252"/>
      <c r="BK275" s="250"/>
      <c r="BL275" s="252"/>
      <c r="BM275" s="252"/>
      <c r="BN275" s="252"/>
      <c r="BO275" s="252"/>
      <c r="BP275" s="252"/>
      <c r="BQ275" s="252"/>
      <c r="BR275" s="252"/>
      <c r="BS275" s="252"/>
    </row>
    <row r="276" spans="1:71" s="358" customFormat="1" x14ac:dyDescent="0.2">
      <c r="A276" s="584"/>
      <c r="B276" s="584"/>
      <c r="C276" s="479"/>
      <c r="D276" s="248"/>
      <c r="E276" s="250"/>
      <c r="F276" s="250"/>
      <c r="G276" s="250"/>
      <c r="H276" s="250"/>
      <c r="I276" s="250"/>
      <c r="J276" s="250"/>
      <c r="K276" s="250"/>
      <c r="L276" s="250"/>
      <c r="M276" s="250"/>
      <c r="N276" s="476"/>
      <c r="O276" s="250"/>
      <c r="P276" s="250"/>
      <c r="Q276" s="250"/>
      <c r="R276" s="250"/>
      <c r="S276" s="250"/>
      <c r="T276" s="250"/>
      <c r="U276" s="250"/>
      <c r="V276" s="585"/>
      <c r="W276" s="250"/>
      <c r="X276" s="250"/>
      <c r="Y276" s="250"/>
      <c r="Z276" s="248"/>
      <c r="AA276" s="586"/>
      <c r="AB276" s="250"/>
      <c r="AC276" s="250"/>
      <c r="AD276" s="250"/>
      <c r="AE276" s="250"/>
      <c r="AF276" s="250"/>
      <c r="AG276" s="586"/>
      <c r="AH276" s="250"/>
      <c r="AI276" s="250"/>
      <c r="AJ276" s="250"/>
      <c r="AK276" s="250"/>
      <c r="AL276" s="250"/>
      <c r="AM276" s="250"/>
      <c r="AN276" s="250"/>
      <c r="AO276" s="250"/>
      <c r="AP276" s="250"/>
      <c r="AQ276" s="250"/>
      <c r="AR276" s="250"/>
      <c r="AS276" s="250"/>
      <c r="AT276" s="250"/>
      <c r="AU276" s="250"/>
      <c r="AV276" s="250"/>
      <c r="AW276" s="250"/>
      <c r="AX276" s="251"/>
      <c r="AY276" s="250"/>
      <c r="AZ276" s="250"/>
      <c r="BA276" s="250"/>
      <c r="BB276" s="250"/>
      <c r="BC276" s="250"/>
      <c r="BD276" s="250"/>
      <c r="BE276" s="250"/>
      <c r="BF276" s="250"/>
      <c r="BG276" s="250"/>
      <c r="BH276" s="250"/>
      <c r="BI276" s="252"/>
      <c r="BJ276" s="252"/>
      <c r="BK276" s="250"/>
      <c r="BL276" s="252"/>
      <c r="BM276" s="252"/>
      <c r="BN276" s="252"/>
      <c r="BO276" s="252"/>
      <c r="BP276" s="252"/>
      <c r="BQ276" s="252"/>
      <c r="BR276" s="252"/>
      <c r="BS276" s="252"/>
    </row>
    <row r="277" spans="1:71" s="358" customFormat="1" x14ac:dyDescent="0.2">
      <c r="A277" s="584"/>
      <c r="B277" s="584"/>
      <c r="C277" s="479"/>
      <c r="D277" s="248"/>
      <c r="E277" s="250"/>
      <c r="F277" s="250"/>
      <c r="G277" s="250"/>
      <c r="H277" s="250"/>
      <c r="I277" s="250"/>
      <c r="J277" s="250"/>
      <c r="K277" s="250"/>
      <c r="L277" s="250"/>
      <c r="M277" s="250"/>
      <c r="N277" s="476"/>
      <c r="O277" s="250"/>
      <c r="P277" s="250"/>
      <c r="Q277" s="250"/>
      <c r="R277" s="250"/>
      <c r="S277" s="250"/>
      <c r="T277" s="250"/>
      <c r="U277" s="250"/>
      <c r="V277" s="585"/>
      <c r="W277" s="250"/>
      <c r="X277" s="250"/>
      <c r="Y277" s="250"/>
      <c r="Z277" s="248"/>
      <c r="AA277" s="586"/>
      <c r="AB277" s="250"/>
      <c r="AC277" s="250"/>
      <c r="AD277" s="250"/>
      <c r="AE277" s="250"/>
      <c r="AF277" s="250"/>
      <c r="AG277" s="586"/>
      <c r="AH277" s="250"/>
      <c r="AI277" s="250"/>
      <c r="AJ277" s="250"/>
      <c r="AK277" s="250"/>
      <c r="AL277" s="250"/>
      <c r="AM277" s="250"/>
      <c r="AN277" s="250"/>
      <c r="AO277" s="250"/>
      <c r="AP277" s="250"/>
      <c r="AQ277" s="250"/>
      <c r="AR277" s="250"/>
      <c r="AS277" s="250"/>
      <c r="AT277" s="250"/>
      <c r="AU277" s="250"/>
      <c r="AV277" s="250"/>
      <c r="AW277" s="250"/>
      <c r="AX277" s="251"/>
      <c r="AY277" s="250"/>
      <c r="AZ277" s="250"/>
      <c r="BA277" s="250"/>
      <c r="BB277" s="250"/>
      <c r="BC277" s="250"/>
      <c r="BD277" s="250"/>
      <c r="BE277" s="250"/>
      <c r="BF277" s="250"/>
      <c r="BG277" s="250"/>
      <c r="BH277" s="250"/>
      <c r="BI277" s="252"/>
      <c r="BJ277" s="252"/>
      <c r="BK277" s="250"/>
      <c r="BL277" s="252"/>
      <c r="BM277" s="252"/>
      <c r="BN277" s="252"/>
      <c r="BO277" s="252"/>
      <c r="BP277" s="252"/>
      <c r="BQ277" s="252"/>
      <c r="BR277" s="252"/>
      <c r="BS277" s="252"/>
    </row>
    <row r="278" spans="1:71" s="358" customFormat="1" x14ac:dyDescent="0.2">
      <c r="A278" s="584"/>
      <c r="B278" s="584"/>
      <c r="C278" s="479"/>
      <c r="D278" s="248"/>
      <c r="E278" s="250"/>
      <c r="F278" s="250"/>
      <c r="G278" s="250"/>
      <c r="H278" s="250"/>
      <c r="I278" s="250"/>
      <c r="J278" s="250"/>
      <c r="K278" s="250"/>
      <c r="L278" s="250"/>
      <c r="M278" s="250"/>
      <c r="N278" s="476"/>
      <c r="O278" s="250"/>
      <c r="P278" s="250"/>
      <c r="Q278" s="250"/>
      <c r="R278" s="250"/>
      <c r="S278" s="250"/>
      <c r="T278" s="250"/>
      <c r="U278" s="250"/>
      <c r="V278" s="585"/>
      <c r="W278" s="250"/>
      <c r="X278" s="250"/>
      <c r="Y278" s="250"/>
      <c r="Z278" s="248"/>
      <c r="AA278" s="586"/>
      <c r="AB278" s="250"/>
      <c r="AC278" s="250"/>
      <c r="AD278" s="250"/>
      <c r="AE278" s="250"/>
      <c r="AF278" s="250"/>
      <c r="AG278" s="586"/>
      <c r="AH278" s="250"/>
      <c r="AI278" s="250"/>
      <c r="AJ278" s="250"/>
      <c r="AK278" s="250"/>
      <c r="AL278" s="250"/>
      <c r="AM278" s="250"/>
      <c r="AN278" s="250"/>
      <c r="AO278" s="250"/>
      <c r="AP278" s="250"/>
      <c r="AQ278" s="250"/>
      <c r="AR278" s="250"/>
      <c r="AS278" s="250"/>
      <c r="AT278" s="250"/>
      <c r="AU278" s="250"/>
      <c r="AV278" s="250"/>
      <c r="AW278" s="250"/>
      <c r="AX278" s="251"/>
      <c r="AY278" s="250"/>
      <c r="AZ278" s="250"/>
      <c r="BA278" s="250"/>
      <c r="BB278" s="250"/>
      <c r="BC278" s="250"/>
      <c r="BD278" s="250"/>
      <c r="BE278" s="250"/>
      <c r="BF278" s="250"/>
      <c r="BG278" s="250"/>
      <c r="BH278" s="250"/>
      <c r="BI278" s="252"/>
      <c r="BJ278" s="252"/>
      <c r="BK278" s="250"/>
      <c r="BL278" s="252"/>
      <c r="BM278" s="252"/>
      <c r="BN278" s="252"/>
      <c r="BO278" s="252"/>
      <c r="BP278" s="252"/>
      <c r="BQ278" s="252"/>
      <c r="BR278" s="252"/>
      <c r="BS278" s="252"/>
    </row>
    <row r="279" spans="1:71" s="358" customFormat="1" x14ac:dyDescent="0.2">
      <c r="A279" s="584"/>
      <c r="B279" s="584"/>
      <c r="C279" s="479"/>
      <c r="D279" s="248"/>
      <c r="E279" s="250"/>
      <c r="F279" s="250"/>
      <c r="G279" s="250"/>
      <c r="H279" s="250"/>
      <c r="I279" s="250"/>
      <c r="J279" s="250"/>
      <c r="K279" s="250"/>
      <c r="L279" s="250"/>
      <c r="M279" s="250"/>
      <c r="N279" s="476"/>
      <c r="O279" s="250"/>
      <c r="P279" s="250"/>
      <c r="Q279" s="250"/>
      <c r="R279" s="250"/>
      <c r="S279" s="250"/>
      <c r="T279" s="250"/>
      <c r="U279" s="250"/>
      <c r="V279" s="585"/>
      <c r="W279" s="250"/>
      <c r="X279" s="250"/>
      <c r="Y279" s="250"/>
      <c r="Z279" s="248"/>
      <c r="AA279" s="586"/>
      <c r="AB279" s="250"/>
      <c r="AC279" s="250"/>
      <c r="AD279" s="250"/>
      <c r="AE279" s="250"/>
      <c r="AF279" s="250"/>
      <c r="AG279" s="586"/>
      <c r="AH279" s="250"/>
      <c r="AI279" s="250"/>
      <c r="AJ279" s="250"/>
      <c r="AK279" s="250"/>
      <c r="AL279" s="250"/>
      <c r="AM279" s="250"/>
      <c r="AN279" s="250"/>
      <c r="AO279" s="250"/>
      <c r="AP279" s="250"/>
      <c r="AQ279" s="250"/>
      <c r="AR279" s="250"/>
      <c r="AS279" s="250"/>
      <c r="AT279" s="250"/>
      <c r="AU279" s="250"/>
      <c r="AV279" s="250"/>
      <c r="AW279" s="250"/>
      <c r="AX279" s="251"/>
      <c r="AY279" s="250"/>
      <c r="AZ279" s="250"/>
      <c r="BA279" s="250"/>
      <c r="BB279" s="250"/>
      <c r="BC279" s="250"/>
      <c r="BD279" s="250"/>
      <c r="BE279" s="250"/>
      <c r="BF279" s="250"/>
      <c r="BG279" s="250"/>
      <c r="BH279" s="250"/>
      <c r="BI279" s="252"/>
      <c r="BJ279" s="252"/>
      <c r="BK279" s="250"/>
      <c r="BL279" s="252"/>
      <c r="BM279" s="252"/>
      <c r="BN279" s="252"/>
      <c r="BO279" s="252"/>
      <c r="BP279" s="252"/>
      <c r="BQ279" s="252"/>
      <c r="BR279" s="252"/>
      <c r="BS279" s="252"/>
    </row>
    <row r="280" spans="1:71" s="358" customFormat="1" x14ac:dyDescent="0.2">
      <c r="A280" s="584"/>
      <c r="B280" s="584"/>
      <c r="C280" s="479"/>
      <c r="D280" s="248"/>
      <c r="E280" s="250"/>
      <c r="F280" s="250"/>
      <c r="G280" s="250"/>
      <c r="H280" s="250"/>
      <c r="I280" s="250"/>
      <c r="J280" s="250"/>
      <c r="K280" s="250"/>
      <c r="L280" s="250"/>
      <c r="M280" s="250"/>
      <c r="N280" s="476"/>
      <c r="O280" s="250"/>
      <c r="P280" s="250"/>
      <c r="Q280" s="250"/>
      <c r="R280" s="250"/>
      <c r="S280" s="250"/>
      <c r="T280" s="250"/>
      <c r="U280" s="250"/>
      <c r="V280" s="585"/>
      <c r="W280" s="250"/>
      <c r="X280" s="250"/>
      <c r="Y280" s="250"/>
      <c r="Z280" s="248"/>
      <c r="AA280" s="586"/>
      <c r="AB280" s="250"/>
      <c r="AC280" s="250"/>
      <c r="AD280" s="250"/>
      <c r="AE280" s="250"/>
      <c r="AF280" s="250"/>
      <c r="AG280" s="586"/>
      <c r="AH280" s="250"/>
      <c r="AI280" s="250"/>
      <c r="AJ280" s="250"/>
      <c r="AK280" s="250"/>
      <c r="AL280" s="250"/>
      <c r="AM280" s="250"/>
      <c r="AN280" s="250"/>
      <c r="AO280" s="250"/>
      <c r="AP280" s="250"/>
      <c r="AQ280" s="250"/>
      <c r="AR280" s="250"/>
      <c r="AS280" s="250"/>
      <c r="AT280" s="250"/>
      <c r="AU280" s="250"/>
      <c r="AV280" s="250"/>
      <c r="AW280" s="250"/>
      <c r="AX280" s="251"/>
      <c r="AY280" s="250"/>
      <c r="AZ280" s="250"/>
      <c r="BA280" s="250"/>
      <c r="BB280" s="250"/>
      <c r="BC280" s="250"/>
      <c r="BD280" s="250"/>
      <c r="BE280" s="250"/>
      <c r="BF280" s="250"/>
      <c r="BG280" s="250"/>
      <c r="BH280" s="250"/>
      <c r="BI280" s="252"/>
      <c r="BJ280" s="252"/>
      <c r="BK280" s="250"/>
      <c r="BL280" s="252"/>
      <c r="BM280" s="252"/>
      <c r="BN280" s="252"/>
      <c r="BO280" s="252"/>
      <c r="BP280" s="252"/>
      <c r="BQ280" s="252"/>
      <c r="BR280" s="252"/>
      <c r="BS280" s="252"/>
    </row>
    <row r="281" spans="1:71" s="358" customFormat="1" x14ac:dyDescent="0.2">
      <c r="A281" s="584"/>
      <c r="B281" s="584"/>
      <c r="C281" s="479"/>
      <c r="D281" s="248"/>
      <c r="E281" s="250"/>
      <c r="F281" s="250"/>
      <c r="G281" s="250"/>
      <c r="H281" s="250"/>
      <c r="I281" s="250"/>
      <c r="J281" s="250"/>
      <c r="K281" s="250"/>
      <c r="L281" s="250"/>
      <c r="M281" s="250"/>
      <c r="N281" s="476"/>
      <c r="O281" s="250"/>
      <c r="P281" s="250"/>
      <c r="Q281" s="250"/>
      <c r="R281" s="250"/>
      <c r="S281" s="250"/>
      <c r="T281" s="250"/>
      <c r="U281" s="250"/>
      <c r="V281" s="585"/>
      <c r="W281" s="250"/>
      <c r="X281" s="250"/>
      <c r="Y281" s="250"/>
      <c r="Z281" s="248"/>
      <c r="AA281" s="586"/>
      <c r="AB281" s="250"/>
      <c r="AC281" s="250"/>
      <c r="AD281" s="250"/>
      <c r="AE281" s="250"/>
      <c r="AF281" s="250"/>
      <c r="AG281" s="586"/>
      <c r="AH281" s="250"/>
      <c r="AI281" s="250"/>
      <c r="AJ281" s="250"/>
      <c r="AK281" s="250"/>
      <c r="AL281" s="250"/>
      <c r="AM281" s="250"/>
      <c r="AN281" s="250"/>
      <c r="AO281" s="250"/>
      <c r="AP281" s="250"/>
      <c r="AQ281" s="250"/>
      <c r="AR281" s="250"/>
      <c r="AS281" s="250"/>
      <c r="AT281" s="250"/>
      <c r="AU281" s="250"/>
      <c r="AV281" s="250"/>
      <c r="AW281" s="250"/>
      <c r="AX281" s="251"/>
      <c r="AY281" s="250"/>
      <c r="AZ281" s="250"/>
      <c r="BA281" s="250"/>
      <c r="BB281" s="250"/>
      <c r="BC281" s="250"/>
      <c r="BD281" s="250"/>
      <c r="BE281" s="250"/>
      <c r="BF281" s="250"/>
      <c r="BG281" s="250"/>
      <c r="BH281" s="250"/>
      <c r="BI281" s="252"/>
      <c r="BJ281" s="252"/>
      <c r="BK281" s="250"/>
      <c r="BL281" s="252"/>
      <c r="BM281" s="252"/>
      <c r="BN281" s="252"/>
      <c r="BO281" s="252"/>
      <c r="BP281" s="252"/>
      <c r="BQ281" s="252"/>
      <c r="BR281" s="252"/>
      <c r="BS281" s="252"/>
    </row>
    <row r="282" spans="1:71" s="358" customFormat="1" x14ac:dyDescent="0.2">
      <c r="A282" s="584"/>
      <c r="B282" s="584"/>
      <c r="C282" s="479"/>
      <c r="D282" s="248"/>
      <c r="E282" s="250"/>
      <c r="F282" s="250"/>
      <c r="G282" s="250"/>
      <c r="H282" s="250"/>
      <c r="I282" s="250"/>
      <c r="J282" s="250"/>
      <c r="K282" s="250"/>
      <c r="L282" s="250"/>
      <c r="M282" s="250"/>
      <c r="N282" s="476"/>
      <c r="O282" s="250"/>
      <c r="P282" s="250"/>
      <c r="Q282" s="250"/>
      <c r="R282" s="250"/>
      <c r="S282" s="250"/>
      <c r="T282" s="250"/>
      <c r="U282" s="250"/>
      <c r="V282" s="585"/>
      <c r="W282" s="250"/>
      <c r="X282" s="250"/>
      <c r="Y282" s="250"/>
      <c r="Z282" s="248"/>
      <c r="AA282" s="586"/>
      <c r="AB282" s="250"/>
      <c r="AC282" s="250"/>
      <c r="AD282" s="250"/>
      <c r="AE282" s="250"/>
      <c r="AF282" s="250"/>
      <c r="AG282" s="586"/>
      <c r="AH282" s="250"/>
      <c r="AI282" s="250"/>
      <c r="AJ282" s="250"/>
      <c r="AK282" s="250"/>
      <c r="AL282" s="250"/>
      <c r="AM282" s="250"/>
      <c r="AN282" s="250"/>
      <c r="AO282" s="250"/>
      <c r="AP282" s="250"/>
      <c r="AQ282" s="250"/>
      <c r="AR282" s="250"/>
      <c r="AS282" s="250"/>
      <c r="AT282" s="250"/>
      <c r="AU282" s="250"/>
      <c r="AV282" s="250"/>
      <c r="AW282" s="250"/>
      <c r="AX282" s="251"/>
      <c r="AY282" s="250"/>
      <c r="AZ282" s="250"/>
      <c r="BA282" s="250"/>
      <c r="BB282" s="250"/>
      <c r="BC282" s="250"/>
      <c r="BD282" s="250"/>
      <c r="BE282" s="250"/>
      <c r="BF282" s="250"/>
      <c r="BG282" s="250"/>
      <c r="BH282" s="250"/>
      <c r="BI282" s="252"/>
      <c r="BJ282" s="252"/>
      <c r="BK282" s="250"/>
      <c r="BL282" s="252"/>
      <c r="BM282" s="252"/>
      <c r="BN282" s="252"/>
      <c r="BO282" s="252"/>
      <c r="BP282" s="252"/>
      <c r="BQ282" s="252"/>
      <c r="BR282" s="252"/>
      <c r="BS282" s="252"/>
    </row>
    <row r="283" spans="1:71" s="358" customFormat="1" x14ac:dyDescent="0.2">
      <c r="A283" s="584"/>
      <c r="B283" s="584"/>
      <c r="C283" s="479"/>
      <c r="D283" s="248"/>
      <c r="E283" s="250"/>
      <c r="F283" s="250"/>
      <c r="G283" s="250"/>
      <c r="H283" s="250"/>
      <c r="I283" s="250"/>
      <c r="J283" s="250"/>
      <c r="K283" s="250"/>
      <c r="L283" s="250"/>
      <c r="M283" s="250"/>
      <c r="N283" s="476"/>
      <c r="O283" s="250"/>
      <c r="P283" s="250"/>
      <c r="Q283" s="250"/>
      <c r="R283" s="250"/>
      <c r="S283" s="250"/>
      <c r="T283" s="250"/>
      <c r="U283" s="250"/>
      <c r="V283" s="585"/>
      <c r="W283" s="250"/>
      <c r="X283" s="250"/>
      <c r="Y283" s="250"/>
      <c r="Z283" s="248"/>
      <c r="AA283" s="586"/>
      <c r="AB283" s="250"/>
      <c r="AC283" s="250"/>
      <c r="AD283" s="250"/>
      <c r="AE283" s="250"/>
      <c r="AF283" s="250"/>
      <c r="AG283" s="586"/>
      <c r="AH283" s="250"/>
      <c r="AI283" s="250"/>
      <c r="AJ283" s="250"/>
      <c r="AK283" s="250"/>
      <c r="AL283" s="250"/>
      <c r="AM283" s="250"/>
      <c r="AN283" s="250"/>
      <c r="AO283" s="250"/>
      <c r="AP283" s="250"/>
      <c r="AQ283" s="250"/>
      <c r="AR283" s="250"/>
      <c r="AS283" s="250"/>
      <c r="AT283" s="250"/>
      <c r="AU283" s="250"/>
      <c r="AV283" s="250"/>
      <c r="AW283" s="250"/>
      <c r="AX283" s="251"/>
      <c r="AY283" s="250"/>
      <c r="AZ283" s="250"/>
      <c r="BA283" s="250"/>
      <c r="BB283" s="250"/>
      <c r="BC283" s="250"/>
      <c r="BD283" s="250"/>
      <c r="BE283" s="250"/>
      <c r="BF283" s="250"/>
      <c r="BG283" s="250"/>
      <c r="BH283" s="250"/>
      <c r="BI283" s="252"/>
      <c r="BJ283" s="252"/>
      <c r="BK283" s="250"/>
      <c r="BL283" s="252"/>
      <c r="BM283" s="252"/>
      <c r="BN283" s="252"/>
      <c r="BO283" s="252"/>
      <c r="BP283" s="252"/>
      <c r="BQ283" s="252"/>
      <c r="BR283" s="252"/>
      <c r="BS283" s="252"/>
    </row>
    <row r="284" spans="1:71" s="358" customFormat="1" x14ac:dyDescent="0.2">
      <c r="A284" s="584"/>
      <c r="B284" s="584"/>
      <c r="C284" s="479"/>
      <c r="D284" s="248"/>
      <c r="E284" s="250"/>
      <c r="F284" s="250"/>
      <c r="G284" s="250"/>
      <c r="H284" s="250"/>
      <c r="I284" s="250"/>
      <c r="J284" s="250"/>
      <c r="K284" s="250"/>
      <c r="L284" s="250"/>
      <c r="M284" s="250"/>
      <c r="N284" s="476"/>
      <c r="O284" s="250"/>
      <c r="P284" s="250"/>
      <c r="Q284" s="250"/>
      <c r="R284" s="250"/>
      <c r="S284" s="250"/>
      <c r="T284" s="250"/>
      <c r="U284" s="250"/>
      <c r="V284" s="585"/>
      <c r="W284" s="250"/>
      <c r="X284" s="250"/>
      <c r="Y284" s="250"/>
      <c r="Z284" s="248"/>
      <c r="AA284" s="586"/>
      <c r="AB284" s="250"/>
      <c r="AC284" s="250"/>
      <c r="AD284" s="250"/>
      <c r="AE284" s="250"/>
      <c r="AF284" s="250"/>
      <c r="AG284" s="586"/>
      <c r="AH284" s="250"/>
      <c r="AI284" s="250"/>
      <c r="AJ284" s="250"/>
      <c r="AK284" s="250"/>
      <c r="AL284" s="250"/>
      <c r="AM284" s="250"/>
      <c r="AN284" s="250"/>
      <c r="AO284" s="250"/>
      <c r="AP284" s="250"/>
      <c r="AQ284" s="250"/>
      <c r="AR284" s="250"/>
      <c r="AS284" s="250"/>
      <c r="AT284" s="250"/>
      <c r="AU284" s="250"/>
      <c r="AV284" s="250"/>
      <c r="AW284" s="250"/>
      <c r="AX284" s="251"/>
      <c r="AY284" s="250"/>
      <c r="AZ284" s="250"/>
      <c r="BA284" s="250"/>
      <c r="BB284" s="250"/>
      <c r="BC284" s="250"/>
      <c r="BD284" s="250"/>
      <c r="BE284" s="250"/>
      <c r="BF284" s="250"/>
      <c r="BG284" s="250"/>
      <c r="BH284" s="250"/>
      <c r="BI284" s="252"/>
      <c r="BJ284" s="252"/>
      <c r="BK284" s="250"/>
      <c r="BL284" s="252"/>
      <c r="BM284" s="252"/>
      <c r="BN284" s="252"/>
      <c r="BO284" s="252"/>
      <c r="BP284" s="252"/>
      <c r="BQ284" s="252"/>
      <c r="BR284" s="252"/>
      <c r="BS284" s="252"/>
    </row>
    <row r="285" spans="1:71" s="358" customFormat="1" x14ac:dyDescent="0.2">
      <c r="A285" s="584"/>
      <c r="B285" s="584"/>
      <c r="C285" s="479"/>
      <c r="D285" s="248"/>
      <c r="E285" s="250"/>
      <c r="F285" s="250"/>
      <c r="G285" s="250"/>
      <c r="H285" s="250"/>
      <c r="I285" s="250"/>
      <c r="J285" s="250"/>
      <c r="K285" s="250"/>
      <c r="L285" s="250"/>
      <c r="M285" s="250"/>
      <c r="N285" s="476"/>
      <c r="O285" s="250"/>
      <c r="P285" s="250"/>
      <c r="Q285" s="250"/>
      <c r="R285" s="250"/>
      <c r="S285" s="250"/>
      <c r="T285" s="250"/>
      <c r="U285" s="250"/>
      <c r="V285" s="585"/>
      <c r="W285" s="250"/>
      <c r="X285" s="250"/>
      <c r="Y285" s="250"/>
      <c r="Z285" s="248"/>
      <c r="AA285" s="586"/>
      <c r="AB285" s="250"/>
      <c r="AC285" s="250"/>
      <c r="AD285" s="250"/>
      <c r="AE285" s="250"/>
      <c r="AF285" s="250"/>
      <c r="AG285" s="586"/>
      <c r="AH285" s="250"/>
      <c r="AI285" s="250"/>
      <c r="AJ285" s="250"/>
      <c r="AK285" s="250"/>
      <c r="AL285" s="250"/>
      <c r="AM285" s="250"/>
      <c r="AN285" s="250"/>
      <c r="AO285" s="250"/>
      <c r="AP285" s="250"/>
      <c r="AQ285" s="250"/>
      <c r="AR285" s="250"/>
      <c r="AS285" s="250"/>
      <c r="AT285" s="250"/>
      <c r="AU285" s="250"/>
      <c r="AV285" s="250"/>
      <c r="AW285" s="250"/>
      <c r="AX285" s="251"/>
      <c r="AY285" s="250"/>
      <c r="AZ285" s="250"/>
      <c r="BA285" s="250"/>
      <c r="BB285" s="250"/>
      <c r="BC285" s="250"/>
      <c r="BD285" s="250"/>
      <c r="BE285" s="250"/>
      <c r="BF285" s="250"/>
      <c r="BG285" s="250"/>
      <c r="BH285" s="250"/>
      <c r="BI285" s="252"/>
      <c r="BJ285" s="252"/>
      <c r="BK285" s="250"/>
      <c r="BL285" s="252"/>
      <c r="BM285" s="252"/>
      <c r="BN285" s="252"/>
      <c r="BO285" s="252"/>
      <c r="BP285" s="252"/>
      <c r="BQ285" s="252"/>
      <c r="BR285" s="252"/>
      <c r="BS285" s="252"/>
    </row>
  </sheetData>
  <autoFilter ref="A4:BK95" xr:uid="{00000000-0009-0000-0000-000001000000}"/>
  <mergeCells count="69">
    <mergeCell ref="BL30:BL39"/>
    <mergeCell ref="M3:M4"/>
    <mergeCell ref="J3:J4"/>
    <mergeCell ref="N2:R2"/>
    <mergeCell ref="S2:W2"/>
    <mergeCell ref="N3:N4"/>
    <mergeCell ref="O3:O4"/>
    <mergeCell ref="W3:W4"/>
    <mergeCell ref="V3:V4"/>
    <mergeCell ref="P3:P4"/>
    <mergeCell ref="Q3:Q4"/>
    <mergeCell ref="BL6:BL15"/>
    <mergeCell ref="BL17:BL28"/>
    <mergeCell ref="BL1:BL4"/>
    <mergeCell ref="BF3:BF4"/>
    <mergeCell ref="BJ3:BJ4"/>
    <mergeCell ref="BM1:BS2"/>
    <mergeCell ref="BM3:BM4"/>
    <mergeCell ref="BN3:BN4"/>
    <mergeCell ref="BO3:BO4"/>
    <mergeCell ref="BP3:BP4"/>
    <mergeCell ref="BQ3:BQ4"/>
    <mergeCell ref="BR3:BR4"/>
    <mergeCell ref="BS3:BS4"/>
    <mergeCell ref="A1:L1"/>
    <mergeCell ref="N1:W1"/>
    <mergeCell ref="AJ2:AQ2"/>
    <mergeCell ref="AR2:AY2"/>
    <mergeCell ref="AZ2:BH2"/>
    <mergeCell ref="AH2:AH4"/>
    <mergeCell ref="AX3:AX4"/>
    <mergeCell ref="AY3:AY4"/>
    <mergeCell ref="R3:R4"/>
    <mergeCell ref="S3:T3"/>
    <mergeCell ref="AI2:AI4"/>
    <mergeCell ref="A3:A4"/>
    <mergeCell ref="B3:B4"/>
    <mergeCell ref="F3:F4"/>
    <mergeCell ref="G3:G4"/>
    <mergeCell ref="H3:H4"/>
    <mergeCell ref="Y3:Y4"/>
    <mergeCell ref="AF2:AF4"/>
    <mergeCell ref="Z3:Z4"/>
    <mergeCell ref="I3:I4"/>
    <mergeCell ref="X3:X4"/>
    <mergeCell ref="AD2:AD4"/>
    <mergeCell ref="U3:U4"/>
    <mergeCell ref="K3:K4"/>
    <mergeCell ref="BK1:BK4"/>
    <mergeCell ref="AA2:AA4"/>
    <mergeCell ref="AC2:AC4"/>
    <mergeCell ref="AG2:AG4"/>
    <mergeCell ref="AB2:AB4"/>
    <mergeCell ref="BH3:BH4"/>
    <mergeCell ref="BG3:BG4"/>
    <mergeCell ref="AQ3:AQ4"/>
    <mergeCell ref="AE2:AE4"/>
    <mergeCell ref="AA1:AF1"/>
    <mergeCell ref="AG1:BJ1"/>
    <mergeCell ref="BI3:BI4"/>
    <mergeCell ref="AJ3:AM3"/>
    <mergeCell ref="AP3:AP4"/>
    <mergeCell ref="AR3:AU3"/>
    <mergeCell ref="AZ3:BC3"/>
    <mergeCell ref="E3:E4"/>
    <mergeCell ref="D3:D4"/>
    <mergeCell ref="A2:L2"/>
    <mergeCell ref="L3:L4"/>
    <mergeCell ref="C3:C4"/>
  </mergeCells>
  <phoneticPr fontId="11" type="noConversion"/>
  <conditionalFormatting sqref="BI63:BJ71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23:BG24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23:AY24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23:BJ24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74:BJ82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50:BJ50 BI52:BJ59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85:BJ93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95"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95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96:BJ104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106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04:AY106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28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118:BJ126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29:AY130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30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130:BJ130 BI129:BJ129 BI131:BJ137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130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6:AY15"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6:AQ15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6:BJ15"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30:AY39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30:AQ39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30:BJ39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7:AQ28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17:BG22 BG25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7:AY22 AY25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27:BJ28 BJ25 BI17:BJ17 BJ18:BJ22 BI18:BI28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7:AQ28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7:AY25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17:BG25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27:BJ28 BI17:BJ17 BJ18:BJ25 BI18:BI28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26:BG28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26:AY28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26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26:AY28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26:BG28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26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7:AN28">
    <cfRule type="containsBlanks" dxfId="39" priority="117">
      <formula>LEN(TRIM(AN17))=0</formula>
    </cfRule>
  </conditionalFormatting>
  <conditionalFormatting sqref="AO17:AO28">
    <cfRule type="containsBlanks" dxfId="38" priority="116">
      <formula>LEN(TRIM(AO17))=0</formula>
    </cfRule>
  </conditionalFormatting>
  <conditionalFormatting sqref="BH17:BH28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74:BE83">
    <cfRule type="containsBlanks" dxfId="37" priority="81">
      <formula>LEN(TRIM(BE74))=0</formula>
    </cfRule>
  </conditionalFormatting>
  <conditionalFormatting sqref="BI41:BJ47"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41:AQ50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41:AY50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41:BG50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41:BH50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61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61:BJ61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52:AQ61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52:AY59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52:BG61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52:BH61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6:BD15">
    <cfRule type="containsBlanks" dxfId="36" priority="102">
      <formula>LEN(TRIM(BD6))=0</formula>
    </cfRule>
  </conditionalFormatting>
  <conditionalFormatting sqref="BE6:BE15">
    <cfRule type="containsBlanks" dxfId="35" priority="101">
      <formula>LEN(TRIM(BE6))=0</formula>
    </cfRule>
  </conditionalFormatting>
  <conditionalFormatting sqref="BD17:BD28">
    <cfRule type="containsBlanks" dxfId="34" priority="100">
      <formula>LEN(TRIM(BD17))=0</formula>
    </cfRule>
  </conditionalFormatting>
  <conditionalFormatting sqref="BE17:BE28">
    <cfRule type="containsBlanks" dxfId="33" priority="99">
      <formula>LEN(TRIM(BE17))=0</formula>
    </cfRule>
  </conditionalFormatting>
  <conditionalFormatting sqref="BD30:BD39">
    <cfRule type="containsBlanks" dxfId="32" priority="98">
      <formula>LEN(TRIM(BD30))=0</formula>
    </cfRule>
  </conditionalFormatting>
  <conditionalFormatting sqref="BE30:BE39">
    <cfRule type="containsBlanks" dxfId="31" priority="97">
      <formula>LEN(TRIM(BE30))=0</formula>
    </cfRule>
  </conditionalFormatting>
  <conditionalFormatting sqref="BD41:BD50">
    <cfRule type="containsBlanks" dxfId="30" priority="96">
      <formula>LEN(TRIM(BD41))=0</formula>
    </cfRule>
  </conditionalFormatting>
  <conditionalFormatting sqref="BE41:BE50">
    <cfRule type="containsBlanks" dxfId="29" priority="95">
      <formula>LEN(TRIM(BE41))=0</formula>
    </cfRule>
  </conditionalFormatting>
  <conditionalFormatting sqref="BD52:BD61">
    <cfRule type="containsBlanks" dxfId="28" priority="94">
      <formula>LEN(TRIM(BD52))=0</formula>
    </cfRule>
  </conditionalFormatting>
  <conditionalFormatting sqref="BE52:BE61">
    <cfRule type="containsBlanks" dxfId="27" priority="93">
      <formula>LEN(TRIM(BE52))=0</formula>
    </cfRule>
  </conditionalFormatting>
  <conditionalFormatting sqref="AQ63:AQ71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72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63:AY70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63:BG72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63:BH72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63:BD72">
    <cfRule type="containsBlanks" dxfId="26" priority="87">
      <formula>LEN(TRIM(BD63))=0</formula>
    </cfRule>
  </conditionalFormatting>
  <conditionalFormatting sqref="BE63:BE72">
    <cfRule type="containsBlanks" dxfId="25" priority="86">
      <formula>LEN(TRIM(BE63))=0</formula>
    </cfRule>
  </conditionalFormatting>
  <conditionalFormatting sqref="AQ74:AQ83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83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74:AY81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74:BD83">
    <cfRule type="containsBlanks" dxfId="24" priority="82">
      <formula>LEN(TRIM(BD74))=0</formula>
    </cfRule>
  </conditionalFormatting>
  <conditionalFormatting sqref="BG74:BG83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74:BH82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85:AQ94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94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85:AY92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85:BD94">
    <cfRule type="containsBlanks" dxfId="23" priority="75">
      <formula>LEN(TRIM(BD85))=0</formula>
    </cfRule>
  </conditionalFormatting>
  <conditionalFormatting sqref="BE85:BE94">
    <cfRule type="containsBlanks" dxfId="22" priority="74">
      <formula>LEN(TRIM(BE85))=0</formula>
    </cfRule>
  </conditionalFormatting>
  <conditionalFormatting sqref="BG85:BG94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85:BH93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96:AQ105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96:AY103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96:BD105">
    <cfRule type="containsBlanks" dxfId="21" priority="69">
      <formula>LEN(TRIM(BD96))=0</formula>
    </cfRule>
  </conditionalFormatting>
  <conditionalFormatting sqref="BE96:BE105">
    <cfRule type="containsBlanks" dxfId="20" priority="68">
      <formula>LEN(TRIM(BE96))=0</formula>
    </cfRule>
  </conditionalFormatting>
  <conditionalFormatting sqref="BG96:BG105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96:BH104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I107:BJ116">
    <cfRule type="colorScale" priority="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117">
    <cfRule type="colorScale" priority="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17"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07:AQ116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15:AY116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07:AY114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07:BD116">
    <cfRule type="containsBlanks" dxfId="19" priority="62">
      <formula>LEN(TRIM(BD107))=0</formula>
    </cfRule>
  </conditionalFormatting>
  <conditionalFormatting sqref="BE107:BE116">
    <cfRule type="containsBlanks" dxfId="18" priority="61">
      <formula>LEN(TRIM(BE107))=0</formula>
    </cfRule>
  </conditionalFormatting>
  <conditionalFormatting sqref="BG107:BG116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107:BH115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18:AQ129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18:AY127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18:BD129">
    <cfRule type="containsBlanks" dxfId="17" priority="55">
      <formula>LEN(TRIM(BD118))=0</formula>
    </cfRule>
  </conditionalFormatting>
  <conditionalFormatting sqref="BE118:BE129">
    <cfRule type="containsBlanks" dxfId="16" priority="54">
      <formula>LEN(TRIM(BE118))=0</formula>
    </cfRule>
  </conditionalFormatting>
  <conditionalFormatting sqref="BG118:BG129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118:BH129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31:AQ14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41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31:AY140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31:BD140">
    <cfRule type="containsBlanks" dxfId="15" priority="47">
      <formula>LEN(TRIM(BD131))=0</formula>
    </cfRule>
  </conditionalFormatting>
  <conditionalFormatting sqref="BE131:BE140">
    <cfRule type="containsBlanks" dxfId="14" priority="46">
      <formula>LEN(TRIM(BE131))=0</formula>
    </cfRule>
  </conditionalFormatting>
  <conditionalFormatting sqref="BG131:BG140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131:BH140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42:AQ151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42:AY151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42:BD151">
    <cfRule type="containsBlanks" dxfId="13" priority="41">
      <formula>LEN(TRIM(BD142))=0</formula>
    </cfRule>
  </conditionalFormatting>
  <conditionalFormatting sqref="BE142:BE151">
    <cfRule type="containsBlanks" dxfId="12" priority="40">
      <formula>LEN(TRIM(BE142))=0</formula>
    </cfRule>
  </conditionalFormatting>
  <conditionalFormatting sqref="BG142:BG15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142:BH15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53:AQ158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53:AY15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53:BD158">
    <cfRule type="containsBlanks" dxfId="11" priority="35">
      <formula>LEN(TRIM(BD153))=0</formula>
    </cfRule>
  </conditionalFormatting>
  <conditionalFormatting sqref="BE153:BE158">
    <cfRule type="containsBlanks" dxfId="10" priority="34">
      <formula>LEN(TRIM(BE153))=0</formula>
    </cfRule>
  </conditionalFormatting>
  <conditionalFormatting sqref="BG153:BG15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153:BH158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60:AQ16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60:AY16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60:BD165">
    <cfRule type="containsBlanks" dxfId="9" priority="29">
      <formula>LEN(TRIM(BD160))=0</formula>
    </cfRule>
  </conditionalFormatting>
  <conditionalFormatting sqref="BE160:BE165">
    <cfRule type="containsBlanks" dxfId="8" priority="28">
      <formula>LEN(TRIM(BE160))=0</formula>
    </cfRule>
  </conditionalFormatting>
  <conditionalFormatting sqref="BG160:BG16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160:BH16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67:AQ17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67:AY17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67:BD173">
    <cfRule type="containsBlanks" dxfId="7" priority="23">
      <formula>LEN(TRIM(BD167))=0</formula>
    </cfRule>
  </conditionalFormatting>
  <conditionalFormatting sqref="BE167:BE173">
    <cfRule type="containsBlanks" dxfId="6" priority="22">
      <formula>LEN(TRIM(BE167))=0</formula>
    </cfRule>
  </conditionalFormatting>
  <conditionalFormatting sqref="BG167:BG17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167:BH17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75:AQ18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75:AY18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75:BD187">
    <cfRule type="containsBlanks" dxfId="5" priority="17">
      <formula>LEN(TRIM(BD175))=0</formula>
    </cfRule>
  </conditionalFormatting>
  <conditionalFormatting sqref="BE175:BE187">
    <cfRule type="containsBlanks" dxfId="4" priority="16">
      <formula>LEN(TRIM(BE175))=0</formula>
    </cfRule>
  </conditionalFormatting>
  <conditionalFormatting sqref="BG175:BG18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175:BH18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89:AQ20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18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189:BD202">
    <cfRule type="containsBlanks" dxfId="3" priority="11">
      <formula>LEN(TRIM(BD189))=0</formula>
    </cfRule>
  </conditionalFormatting>
  <conditionalFormatting sqref="BE189:BE202">
    <cfRule type="containsBlanks" dxfId="2" priority="10">
      <formula>LEN(TRIM(BE189))=0</formula>
    </cfRule>
  </conditionalFormatting>
  <conditionalFormatting sqref="BH189:BH20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04:AQ2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204:AY2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204:BD221">
    <cfRule type="containsBlanks" dxfId="1" priority="6">
      <formula>LEN(TRIM(BD204))=0</formula>
    </cfRule>
  </conditionalFormatting>
  <conditionalFormatting sqref="BE204:BE221">
    <cfRule type="containsBlanks" dxfId="0" priority="5">
      <formula>LEN(TRIM(BE204))=0</formula>
    </cfRule>
  </conditionalFormatting>
  <conditionalFormatting sqref="BG204:BG2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H204:BH2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100-000001000000}">
          <x14:formula1>
            <xm:f>Mtl_values!$E$5:$E$12</xm:f>
          </x14:formula1>
          <xm:sqref>E164:E1048576 D235:D236 E126:E130 E141 E152 E6:E117</xm:sqref>
        </x14:dataValidation>
        <x14:dataValidation type="list" allowBlank="1" showInputMessage="1" showErrorMessage="1" xr:uid="{7B8E54C3-3241-46EB-9ED3-C28621DDBA2F}">
          <x14:formula1>
            <xm:f>Mtl_values!$L$5</xm:f>
          </x14:formula1>
          <xm:sqref>L6:M13 L30:M37 L17:M26 L41:M48 L52:M59 L63:M70 L74:M81 L85:M92 L96:M103 L107:M114 L118:M127 L131:M138 L142:M149 L153:M156 L158:M163 L167:M171 L175:L185 L189:L200 L204:L219 L223:L238</xm:sqref>
        </x14:dataValidation>
        <x14:dataValidation type="list" showInputMessage="1" showErrorMessage="1" xr:uid="{41966D89-5ECC-46E2-84A1-CF78203C5DCD}">
          <x14:formula1>
            <xm:f>Mtl_values!$I$5:$I$6</xm:f>
          </x14:formula1>
          <xm:sqref>I6:I48 I61:I70 I72:I81 I83:I1048576 L201:M202 I50:I59 J85:J237</xm:sqref>
        </x14:dataValidation>
        <x14:dataValidation type="list" showInputMessage="1" showErrorMessage="1" xr:uid="{5C6F812A-7CED-41BE-8A5D-4FC77E782849}">
          <x14:formula1>
            <xm:f>Mtl_values!$O$5:$O$7</xm:f>
          </x14:formula1>
          <xm:sqref>P50:P59 P6:P48 P61:P188 P203:P1048576 R223:R236</xm:sqref>
        </x14:dataValidation>
        <x14:dataValidation type="list" allowBlank="1" showInputMessage="1" showErrorMessage="1" xr:uid="{E3542893-DEE2-4C94-A287-CB57B05528D5}">
          <x14:formula1>
            <xm:f>Mtl_values!$P$5:$P$8</xm:f>
          </x14:formula1>
          <xm:sqref>Q50:Q59 Q6:Q48 Q61:Q188 Q203:Q1048576</xm:sqref>
        </x14:dataValidation>
        <x14:dataValidation type="list" allowBlank="1" showInputMessage="1" showErrorMessage="1" xr:uid="{A869491D-F5DF-4620-95C8-77BB9C521CF8}">
          <x14:formula1>
            <xm:f>Mtl_values!$W$5</xm:f>
          </x14:formula1>
          <xm:sqref>X50:X59 AD50:AD59 AD6:AD48 X6:X48 AD61:AD70 X203:X1048576 X61:X188 AD72:AD1048576 AE202 AF201:AF202 AJ201:AM202 AR201:AU202 AY201:BC202 BG201:BG202 BI201:BK202</xm:sqref>
        </x14:dataValidation>
        <x14:dataValidation type="list" allowBlank="1" showInputMessage="1" showErrorMessage="1" xr:uid="{70ADDE14-D25F-4F4E-8C3C-21A5C05BE682}">
          <x14:formula1>
            <xm:f>Mtl_values!$BB$5</xm:f>
          </x14:formula1>
          <xm:sqref>BI50:BI59 BI6:BI48 BI61:BI200 BI203:BI1048576</xm:sqref>
        </x14:dataValidation>
        <x14:dataValidation type="list" allowBlank="1" showInputMessage="1" showErrorMessage="1" xr:uid="{243FB5EB-47EE-4D7D-917D-87554006D65C}">
          <x14:formula1>
            <xm:f>Mtl_values!$AD$5:$AD$6</xm:f>
          </x14:formula1>
          <xm:sqref>AE6:AE201 AE203:AE1048576</xm:sqref>
        </x14:dataValidation>
        <x14:dataValidation type="list" showInputMessage="1" showErrorMessage="1" xr:uid="{00000000-0002-0000-0100-000000000000}">
          <x14:formula1>
            <xm:f>Mtl_values!$C$5:$C$62</xm:f>
          </x14:formula1>
          <xm:sqref>C6:C1048576</xm:sqref>
        </x14:dataValidation>
        <x14:dataValidation type="list" allowBlank="1" showInputMessage="1" showErrorMessage="1" xr:uid="{ED00D87B-7E55-4904-B39F-7936B6C5B24A}">
          <x14:formula1>
            <xm:f>Mtl_values!$D$6:$D$10</xm:f>
          </x14:formula1>
          <xm:sqref>D6:D234 D237:D1048576</xm:sqref>
        </x14:dataValidation>
        <x14:dataValidation type="list" showInputMessage="1" showErrorMessage="1" xr:uid="{6C15607A-E27C-455E-ACF3-482E77AEC6A1}">
          <x14:formula1>
            <xm:f>Mtl_values!$J$5</xm:f>
          </x14:formula1>
          <xm:sqref>J238:J1048576 J6:J84</xm:sqref>
        </x14:dataValidation>
        <x14:dataValidation type="list" allowBlank="1" showInputMessage="1" showErrorMessage="1" xr:uid="{D6BD7FBE-D4C8-4D63-A9AE-FE4BD0597919}">
          <x14:formula1>
            <xm:f>Mtl_values!$F$5:$F$8</xm:f>
          </x14:formula1>
          <xm:sqref>F6:F1048576</xm:sqref>
        </x14:dataValidation>
        <x14:dataValidation type="list" allowBlank="1" showInputMessage="1" showErrorMessage="1" xr:uid="{E9568387-6EB3-4112-80C2-B2932DCB36A4}">
          <x14:formula1>
            <xm:f>Mtl_values!$K$5:$K$7</xm:f>
          </x14:formula1>
          <xm:sqref>K6:K1048576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XES63"/>
  <sheetViews>
    <sheetView showGridLines="0" zoomScale="80" zoomScaleNormal="80" workbookViewId="0">
      <selection activeCell="L8" sqref="L8"/>
    </sheetView>
  </sheetViews>
  <sheetFormatPr baseColWidth="10" defaultColWidth="8.6640625" defaultRowHeight="13" x14ac:dyDescent="0.15"/>
  <cols>
    <col min="1" max="1" width="15.6640625" style="164" customWidth="1"/>
    <col min="2" max="2" width="29.33203125" style="164" customWidth="1"/>
    <col min="3" max="3" width="18.33203125" style="164" customWidth="1"/>
    <col min="4" max="4" width="21" style="583" bestFit="1" customWidth="1"/>
    <col min="5" max="5" width="11" style="164" customWidth="1"/>
    <col min="6" max="6" width="13.1640625" style="1" bestFit="1" customWidth="1"/>
    <col min="7" max="7" width="11.33203125" style="1" bestFit="1" customWidth="1"/>
    <col min="8" max="8" width="11.33203125" style="1" customWidth="1"/>
    <col min="9" max="9" width="14.1640625" style="1" bestFit="1" customWidth="1"/>
    <col min="10" max="10" width="14.1640625" style="1" customWidth="1"/>
    <col min="11" max="11" width="14.1640625" style="658" customWidth="1"/>
    <col min="12" max="12" width="16.1640625" style="1" bestFit="1" customWidth="1"/>
    <col min="13" max="13" width="11.33203125" style="1" customWidth="1"/>
    <col min="14" max="14" width="16" style="1" bestFit="1" customWidth="1"/>
    <col min="15" max="15" width="11.33203125" style="1" customWidth="1"/>
    <col min="16" max="16" width="16.6640625" style="1" customWidth="1"/>
    <col min="17" max="17" width="18" style="1" bestFit="1" customWidth="1"/>
    <col min="18" max="18" width="11" style="164" bestFit="1" customWidth="1"/>
    <col min="19" max="19" width="15.83203125" style="1" customWidth="1"/>
    <col min="20" max="20" width="15.6640625" style="1" customWidth="1"/>
    <col min="21" max="21" width="11.6640625" style="1" bestFit="1" customWidth="1"/>
    <col min="22" max="22" width="11.33203125" style="1" bestFit="1" customWidth="1"/>
    <col min="23" max="23" width="13.33203125" style="1" customWidth="1"/>
    <col min="24" max="24" width="12.33203125" style="1" customWidth="1"/>
    <col min="25" max="26" width="13.33203125" style="1" customWidth="1"/>
    <col min="27" max="27" width="13.6640625" style="1" bestFit="1" customWidth="1"/>
    <col min="28" max="28" width="9.6640625" style="1" customWidth="1"/>
    <col min="29" max="29" width="26.1640625" style="164" bestFit="1" customWidth="1"/>
    <col min="30" max="30" width="16.6640625" style="1" customWidth="1"/>
    <col min="31" max="31" width="18.1640625" style="1" customWidth="1"/>
    <col min="32" max="32" width="17.6640625" style="164" bestFit="1" customWidth="1"/>
    <col min="33" max="33" width="17.6640625" style="1" customWidth="1"/>
    <col min="34" max="37" width="16.83203125" style="1" customWidth="1"/>
    <col min="38" max="40" width="8.33203125" style="1" bestFit="1" customWidth="1"/>
    <col min="41" max="41" width="11.83203125" style="1" bestFit="1" customWidth="1"/>
    <col min="42" max="42" width="14.6640625" style="1" customWidth="1"/>
    <col min="43" max="43" width="10.6640625" style="1" bestFit="1" customWidth="1"/>
    <col min="44" max="46" width="8.33203125" style="1" bestFit="1" customWidth="1"/>
    <col min="47" max="47" width="11.83203125" style="1" bestFit="1" customWidth="1"/>
    <col min="48" max="48" width="13" style="29" customWidth="1"/>
    <col min="49" max="49" width="15.33203125" style="29" customWidth="1"/>
    <col min="50" max="52" width="8.33203125" style="1" bestFit="1" customWidth="1"/>
    <col min="53" max="53" width="11.83203125" style="1" bestFit="1" customWidth="1"/>
    <col min="54" max="54" width="19.33203125" style="1" customWidth="1"/>
    <col min="55" max="55" width="19.1640625" style="1" customWidth="1"/>
    <col min="56" max="56" width="20.33203125" style="154" bestFit="1" customWidth="1"/>
    <col min="57" max="58" width="20.33203125" style="154" customWidth="1"/>
    <col min="59" max="59" width="114.83203125" style="1" customWidth="1"/>
    <col min="60" max="60" width="20.33203125" style="2" customWidth="1"/>
    <col min="61" max="66" width="8.6640625" style="158"/>
    <col min="67" max="67" width="8.6640625" style="182"/>
    <col min="68" max="68" width="8.6640625" style="188"/>
    <col min="69" max="16341" width="8.6640625" style="185"/>
    <col min="16342" max="16364" width="8.6640625" style="185" bestFit="1" customWidth="1"/>
    <col min="16365" max="16384" width="8.6640625" style="185"/>
  </cols>
  <sheetData>
    <row r="1" spans="1:67 16367:16373" s="2" customFormat="1" ht="14.5" customHeight="1" x14ac:dyDescent="0.15">
      <c r="A1" s="788"/>
      <c r="B1" s="788"/>
      <c r="C1" s="788"/>
      <c r="D1" s="788"/>
      <c r="E1" s="788"/>
      <c r="F1" s="788"/>
      <c r="G1" s="788"/>
      <c r="H1" s="788"/>
      <c r="I1" s="788"/>
      <c r="J1" s="788"/>
      <c r="K1" s="788"/>
      <c r="L1" s="789"/>
      <c r="M1" s="790" t="s">
        <v>13</v>
      </c>
      <c r="N1" s="790"/>
      <c r="O1" s="790"/>
      <c r="P1" s="790"/>
      <c r="Q1" s="790"/>
      <c r="R1" s="790"/>
      <c r="S1" s="790"/>
      <c r="T1" s="790"/>
      <c r="U1" s="790"/>
      <c r="V1" s="790"/>
      <c r="W1" s="236"/>
      <c r="X1" s="236"/>
      <c r="Y1" s="236"/>
      <c r="Z1" s="254" t="s">
        <v>317</v>
      </c>
      <c r="AA1" s="254"/>
      <c r="AB1" s="254"/>
      <c r="AC1" s="254"/>
      <c r="AD1" s="254"/>
      <c r="AE1" s="254"/>
      <c r="AF1" s="226"/>
      <c r="AG1" s="226"/>
      <c r="AH1" s="226"/>
      <c r="AI1" s="226"/>
      <c r="AJ1" s="226"/>
      <c r="AK1" s="226"/>
      <c r="AL1" s="226"/>
      <c r="AM1" s="226"/>
      <c r="AN1" s="226"/>
      <c r="AO1" s="226"/>
      <c r="AP1" s="226"/>
      <c r="AQ1" s="226"/>
      <c r="AR1" s="226"/>
      <c r="AS1" s="226"/>
      <c r="AT1" s="226"/>
      <c r="AU1" s="226" t="s">
        <v>183</v>
      </c>
      <c r="AV1" s="226"/>
      <c r="AW1" s="226"/>
      <c r="AX1" s="226"/>
      <c r="AY1" s="226"/>
      <c r="AZ1" s="226"/>
      <c r="BA1" s="227"/>
      <c r="BB1" s="181"/>
      <c r="BC1" s="181"/>
      <c r="BD1" s="772" t="s">
        <v>184</v>
      </c>
      <c r="BE1" s="808" t="s">
        <v>185</v>
      </c>
      <c r="BF1" s="795" t="s">
        <v>186</v>
      </c>
      <c r="BG1" s="796"/>
      <c r="BH1" s="796"/>
      <c r="BI1" s="796"/>
      <c r="BJ1" s="796"/>
      <c r="BK1" s="796"/>
      <c r="BL1" s="797"/>
      <c r="BM1" s="256"/>
      <c r="XEM1" s="814"/>
      <c r="XEN1" s="815"/>
      <c r="XEO1" s="815"/>
      <c r="XEP1" s="815"/>
      <c r="XEQ1" s="815"/>
      <c r="XER1" s="815"/>
      <c r="XES1" s="815"/>
    </row>
    <row r="2" spans="1:67 16367:16373" s="3" customFormat="1" ht="14.5" customHeight="1" x14ac:dyDescent="0.2">
      <c r="A2" s="768"/>
      <c r="B2" s="768"/>
      <c r="C2" s="768"/>
      <c r="D2" s="768"/>
      <c r="E2" s="768"/>
      <c r="F2" s="768"/>
      <c r="G2" s="768"/>
      <c r="H2" s="768"/>
      <c r="I2" s="768"/>
      <c r="J2" s="768"/>
      <c r="K2" s="768"/>
      <c r="L2" s="769"/>
      <c r="M2" s="732" t="s">
        <v>16</v>
      </c>
      <c r="N2" s="732"/>
      <c r="O2" s="732"/>
      <c r="P2" s="732"/>
      <c r="Q2" s="732"/>
      <c r="R2" s="732" t="s">
        <v>17</v>
      </c>
      <c r="S2" s="732"/>
      <c r="T2" s="732"/>
      <c r="U2" s="732"/>
      <c r="V2" s="732"/>
      <c r="W2" s="229"/>
      <c r="X2" s="229"/>
      <c r="Y2" s="229"/>
      <c r="Z2" s="775" t="s">
        <v>187</v>
      </c>
      <c r="AA2" s="729" t="s">
        <v>188</v>
      </c>
      <c r="AB2" s="729" t="s">
        <v>189</v>
      </c>
      <c r="AC2" s="729" t="s">
        <v>190</v>
      </c>
      <c r="AD2" s="729" t="s">
        <v>191</v>
      </c>
      <c r="AE2" s="729" t="s">
        <v>192</v>
      </c>
      <c r="AF2" s="775" t="s">
        <v>193</v>
      </c>
      <c r="AG2" s="729" t="s">
        <v>194</v>
      </c>
      <c r="AH2" s="729" t="s">
        <v>195</v>
      </c>
      <c r="AI2" s="732" t="s">
        <v>21</v>
      </c>
      <c r="AJ2" s="732"/>
      <c r="AK2" s="732"/>
      <c r="AL2" s="732"/>
      <c r="AM2" s="732"/>
      <c r="AN2" s="732"/>
      <c r="AO2" s="732" t="s">
        <v>22</v>
      </c>
      <c r="AP2" s="732"/>
      <c r="AQ2" s="732"/>
      <c r="AR2" s="732"/>
      <c r="AS2" s="732"/>
      <c r="AT2" s="732"/>
      <c r="AU2" s="732" t="s">
        <v>23</v>
      </c>
      <c r="AV2" s="732"/>
      <c r="AW2" s="732"/>
      <c r="AX2" s="732"/>
      <c r="AY2" s="732"/>
      <c r="AZ2" s="732"/>
      <c r="BA2" s="791"/>
      <c r="BB2" s="184"/>
      <c r="BC2" s="233"/>
      <c r="BD2" s="773"/>
      <c r="BE2" s="808"/>
      <c r="BF2" s="798"/>
      <c r="BG2" s="799"/>
      <c r="BH2" s="799"/>
      <c r="BI2" s="799"/>
      <c r="BJ2" s="799"/>
      <c r="BK2" s="799"/>
      <c r="BL2" s="800"/>
      <c r="BM2" s="258"/>
      <c r="XEM2" s="815"/>
      <c r="XEN2" s="815"/>
      <c r="XEO2" s="815"/>
      <c r="XEP2" s="815"/>
      <c r="XEQ2" s="815"/>
      <c r="XER2" s="815"/>
      <c r="XES2" s="815"/>
    </row>
    <row r="3" spans="1:67 16367:16373" s="3" customFormat="1" ht="15" customHeight="1" x14ac:dyDescent="0.2">
      <c r="A3" s="792" t="s">
        <v>196</v>
      </c>
      <c r="B3" s="792" t="s">
        <v>197</v>
      </c>
      <c r="C3" s="770" t="s">
        <v>198</v>
      </c>
      <c r="D3" s="812" t="s">
        <v>199</v>
      </c>
      <c r="E3" s="813" t="s">
        <v>200</v>
      </c>
      <c r="F3" s="770" t="s">
        <v>201</v>
      </c>
      <c r="G3" s="729" t="s">
        <v>202</v>
      </c>
      <c r="H3" s="729" t="s">
        <v>203</v>
      </c>
      <c r="I3" s="729" t="s">
        <v>204</v>
      </c>
      <c r="J3" s="729" t="s">
        <v>318</v>
      </c>
      <c r="K3" s="729" t="s">
        <v>424</v>
      </c>
      <c r="L3" s="732" t="s">
        <v>206</v>
      </c>
      <c r="M3" s="775" t="s">
        <v>319</v>
      </c>
      <c r="N3" s="729" t="s">
        <v>37</v>
      </c>
      <c r="O3" s="729" t="s">
        <v>209</v>
      </c>
      <c r="P3" s="729" t="s">
        <v>210</v>
      </c>
      <c r="Q3" s="732" t="s">
        <v>211</v>
      </c>
      <c r="R3" s="732" t="s">
        <v>40</v>
      </c>
      <c r="S3" s="732"/>
      <c r="T3" s="732" t="s">
        <v>212</v>
      </c>
      <c r="U3" s="732" t="s">
        <v>213</v>
      </c>
      <c r="V3" s="732" t="s">
        <v>41</v>
      </c>
      <c r="W3" s="729" t="s">
        <v>214</v>
      </c>
      <c r="X3" s="729" t="s">
        <v>215</v>
      </c>
      <c r="Y3" s="775" t="s">
        <v>216</v>
      </c>
      <c r="Z3" s="775"/>
      <c r="AA3" s="776"/>
      <c r="AB3" s="776"/>
      <c r="AC3" s="779"/>
      <c r="AD3" s="779"/>
      <c r="AE3" s="779"/>
      <c r="AF3" s="775"/>
      <c r="AG3" s="776"/>
      <c r="AH3" s="776"/>
      <c r="AI3" s="732" t="s">
        <v>8</v>
      </c>
      <c r="AJ3" s="732"/>
      <c r="AK3" s="732"/>
      <c r="AL3" s="732"/>
      <c r="AM3" s="732" t="s">
        <v>217</v>
      </c>
      <c r="AN3" s="732" t="s">
        <v>43</v>
      </c>
      <c r="AO3" s="732" t="s">
        <v>8</v>
      </c>
      <c r="AP3" s="732"/>
      <c r="AQ3" s="732"/>
      <c r="AR3" s="732"/>
      <c r="AS3" s="732" t="s">
        <v>217</v>
      </c>
      <c r="AT3" s="732" t="s">
        <v>45</v>
      </c>
      <c r="AU3" s="732" t="s">
        <v>8</v>
      </c>
      <c r="AV3" s="732"/>
      <c r="AW3" s="732"/>
      <c r="AX3" s="732"/>
      <c r="AY3" s="778" t="s">
        <v>44</v>
      </c>
      <c r="AZ3" s="778" t="s">
        <v>45</v>
      </c>
      <c r="BA3" s="791" t="s">
        <v>46</v>
      </c>
      <c r="BB3" s="729" t="s">
        <v>218</v>
      </c>
      <c r="BC3" s="816" t="s">
        <v>219</v>
      </c>
      <c r="BD3" s="773"/>
      <c r="BE3" s="808"/>
      <c r="BF3" s="729" t="s">
        <v>220</v>
      </c>
      <c r="BG3" s="729" t="s">
        <v>221</v>
      </c>
      <c r="BH3" s="729" t="s">
        <v>222</v>
      </c>
      <c r="BI3" s="729" t="s">
        <v>223</v>
      </c>
      <c r="BJ3" s="729" t="s">
        <v>224</v>
      </c>
      <c r="BK3" s="729" t="s">
        <v>225</v>
      </c>
      <c r="BL3" s="802" t="s">
        <v>226</v>
      </c>
      <c r="BM3" s="258"/>
    </row>
    <row r="4" spans="1:67 16367:16373" s="3" customFormat="1" ht="39.5" customHeight="1" x14ac:dyDescent="0.2">
      <c r="A4" s="780"/>
      <c r="B4" s="780"/>
      <c r="C4" s="771"/>
      <c r="D4" s="812"/>
      <c r="E4" s="813"/>
      <c r="F4" s="771"/>
      <c r="G4" s="780"/>
      <c r="H4" s="780"/>
      <c r="I4" s="780"/>
      <c r="J4" s="780"/>
      <c r="K4" s="780"/>
      <c r="L4" s="732"/>
      <c r="M4" s="775"/>
      <c r="N4" s="777"/>
      <c r="O4" s="801"/>
      <c r="P4" s="801"/>
      <c r="Q4" s="732"/>
      <c r="R4" s="228" t="s">
        <v>48</v>
      </c>
      <c r="S4" s="228" t="s">
        <v>227</v>
      </c>
      <c r="T4" s="732"/>
      <c r="U4" s="732"/>
      <c r="V4" s="732"/>
      <c r="W4" s="780"/>
      <c r="X4" s="780"/>
      <c r="Y4" s="775"/>
      <c r="Z4" s="775"/>
      <c r="AA4" s="777"/>
      <c r="AB4" s="777"/>
      <c r="AC4" s="780"/>
      <c r="AD4" s="780"/>
      <c r="AE4" s="780"/>
      <c r="AF4" s="775"/>
      <c r="AG4" s="777"/>
      <c r="AH4" s="777"/>
      <c r="AI4" s="228">
        <v>1</v>
      </c>
      <c r="AJ4" s="228">
        <v>2</v>
      </c>
      <c r="AK4" s="228">
        <v>3</v>
      </c>
      <c r="AL4" s="228" t="s">
        <v>52</v>
      </c>
      <c r="AM4" s="732"/>
      <c r="AN4" s="732"/>
      <c r="AO4" s="228">
        <v>1</v>
      </c>
      <c r="AP4" s="228">
        <v>2</v>
      </c>
      <c r="AQ4" s="228">
        <v>3</v>
      </c>
      <c r="AR4" s="228" t="s">
        <v>53</v>
      </c>
      <c r="AS4" s="732"/>
      <c r="AT4" s="732"/>
      <c r="AU4" s="228">
        <v>1</v>
      </c>
      <c r="AV4" s="228">
        <v>2</v>
      </c>
      <c r="AW4" s="228">
        <v>3</v>
      </c>
      <c r="AX4" s="228" t="s">
        <v>53</v>
      </c>
      <c r="AY4" s="778"/>
      <c r="AZ4" s="778"/>
      <c r="BA4" s="791"/>
      <c r="BB4" s="780"/>
      <c r="BC4" s="801"/>
      <c r="BD4" s="774"/>
      <c r="BE4" s="808"/>
      <c r="BF4" s="801"/>
      <c r="BG4" s="801"/>
      <c r="BH4" s="801"/>
      <c r="BI4" s="801"/>
      <c r="BJ4" s="801"/>
      <c r="BK4" s="801"/>
      <c r="BL4" s="803"/>
      <c r="BM4" s="258"/>
    </row>
    <row r="5" spans="1:67 16367:16373" s="183" customFormat="1" ht="15" x14ac:dyDescent="0.15">
      <c r="A5" s="259"/>
      <c r="B5" s="260"/>
      <c r="C5" s="249" t="s">
        <v>243</v>
      </c>
      <c r="D5" s="217" t="s">
        <v>244</v>
      </c>
      <c r="E5" s="249" t="s">
        <v>232</v>
      </c>
      <c r="F5" s="217" t="s">
        <v>233</v>
      </c>
      <c r="H5" s="220"/>
      <c r="I5" s="261" t="s">
        <v>320</v>
      </c>
      <c r="J5" s="261" t="s">
        <v>320</v>
      </c>
      <c r="K5" s="261">
        <v>4</v>
      </c>
      <c r="L5" s="262" t="s">
        <v>234</v>
      </c>
      <c r="N5" s="262">
        <v>50</v>
      </c>
      <c r="O5" s="262" t="s">
        <v>235</v>
      </c>
      <c r="P5" s="262" t="s">
        <v>236</v>
      </c>
      <c r="Q5" s="262" t="s">
        <v>321</v>
      </c>
      <c r="R5" s="263"/>
      <c r="U5" s="262"/>
      <c r="V5" s="262"/>
      <c r="W5" s="262" t="s">
        <v>240</v>
      </c>
      <c r="X5" s="262"/>
      <c r="Y5" s="262" t="s">
        <v>322</v>
      </c>
      <c r="AA5" s="262">
        <v>50</v>
      </c>
      <c r="AB5" s="262"/>
      <c r="AC5" s="262" t="s">
        <v>240</v>
      </c>
      <c r="AD5" s="262" t="s">
        <v>323</v>
      </c>
      <c r="AE5" s="262"/>
      <c r="AF5" s="263"/>
      <c r="AG5" s="264">
        <v>5</v>
      </c>
      <c r="AH5" s="262"/>
      <c r="AI5" s="262"/>
      <c r="AK5" s="262"/>
      <c r="AL5" s="265"/>
      <c r="AM5" s="265"/>
      <c r="AN5" s="265"/>
      <c r="AO5" s="265"/>
      <c r="AP5" s="266"/>
      <c r="AQ5" s="267"/>
      <c r="AR5" s="265"/>
      <c r="AS5" s="265"/>
      <c r="AT5" s="265"/>
      <c r="AU5" s="265"/>
      <c r="AV5" s="268"/>
      <c r="AW5" s="268"/>
      <c r="AX5" s="265"/>
      <c r="AY5" s="265"/>
      <c r="AZ5" s="265"/>
      <c r="BA5" s="265"/>
      <c r="BB5" s="262" t="s">
        <v>240</v>
      </c>
      <c r="BC5" s="269"/>
      <c r="BD5" s="268"/>
      <c r="BE5" s="268"/>
      <c r="BF5" s="268"/>
      <c r="BG5" s="262"/>
      <c r="BH5" s="811"/>
    </row>
    <row r="6" spans="1:67 16367:16373" s="183" customFormat="1" ht="15" x14ac:dyDescent="0.15">
      <c r="A6" s="259"/>
      <c r="B6" s="263"/>
      <c r="C6" s="249" t="s">
        <v>288</v>
      </c>
      <c r="D6" s="217" t="s">
        <v>244</v>
      </c>
      <c r="E6" s="249" t="s">
        <v>246</v>
      </c>
      <c r="F6" s="217" t="s">
        <v>303</v>
      </c>
      <c r="H6" s="220"/>
      <c r="I6" s="261" t="s">
        <v>324</v>
      </c>
      <c r="J6" s="261"/>
      <c r="K6" s="261">
        <v>-20</v>
      </c>
      <c r="M6" s="262"/>
      <c r="N6" s="262">
        <v>100</v>
      </c>
      <c r="O6" s="262" t="s">
        <v>284</v>
      </c>
      <c r="P6" s="262" t="s">
        <v>325</v>
      </c>
      <c r="Q6" s="262"/>
      <c r="R6" s="263"/>
      <c r="T6" s="262"/>
      <c r="U6" s="270"/>
      <c r="V6" s="262"/>
      <c r="W6" s="262"/>
      <c r="X6" s="262"/>
      <c r="Y6" s="262"/>
      <c r="AA6" s="262"/>
      <c r="AB6" s="262"/>
      <c r="AC6" s="263"/>
      <c r="AD6" s="713" t="s">
        <v>425</v>
      </c>
      <c r="AE6" s="262"/>
      <c r="AF6" s="263"/>
      <c r="AG6" s="264"/>
      <c r="AH6" s="262"/>
      <c r="AI6" s="262"/>
      <c r="AK6" s="262"/>
      <c r="AL6" s="265"/>
      <c r="AM6" s="265"/>
      <c r="AN6" s="265"/>
      <c r="AO6" s="265"/>
      <c r="AP6" s="266"/>
      <c r="AQ6" s="267"/>
      <c r="AR6" s="265"/>
      <c r="AS6" s="265"/>
      <c r="AT6" s="265"/>
      <c r="AU6" s="265"/>
      <c r="AV6" s="268"/>
      <c r="AW6" s="268"/>
      <c r="AX6" s="265"/>
      <c r="AY6" s="265"/>
      <c r="AZ6" s="265"/>
      <c r="BA6" s="265"/>
      <c r="BB6" s="269"/>
      <c r="BC6" s="269"/>
      <c r="BD6" s="268"/>
      <c r="BE6" s="268"/>
      <c r="BF6" s="268"/>
      <c r="BG6" s="262"/>
      <c r="BH6" s="811"/>
    </row>
    <row r="7" spans="1:67 16367:16373" s="183" customFormat="1" ht="15" x14ac:dyDescent="0.15">
      <c r="A7" s="259"/>
      <c r="B7" s="263"/>
      <c r="C7" s="249" t="s">
        <v>279</v>
      </c>
      <c r="D7" s="217" t="s">
        <v>289</v>
      </c>
      <c r="E7" s="249" t="s">
        <v>249</v>
      </c>
      <c r="F7" s="217" t="s">
        <v>299</v>
      </c>
      <c r="H7" s="220"/>
      <c r="K7" s="220">
        <v>-80</v>
      </c>
      <c r="M7" s="262"/>
      <c r="N7" s="262"/>
      <c r="O7" s="262" t="s">
        <v>326</v>
      </c>
      <c r="P7" s="262" t="s">
        <v>285</v>
      </c>
      <c r="Q7" s="262"/>
      <c r="R7" s="263"/>
      <c r="S7" s="262"/>
      <c r="T7" s="262"/>
      <c r="U7" s="270"/>
      <c r="V7" s="262"/>
      <c r="W7" s="262"/>
      <c r="X7" s="262"/>
      <c r="Y7" s="262"/>
      <c r="Z7" s="262"/>
      <c r="AA7" s="262"/>
      <c r="AB7" s="262"/>
      <c r="AC7" s="263"/>
      <c r="AD7" s="262"/>
      <c r="AE7" s="262"/>
      <c r="AF7" s="263"/>
      <c r="AG7" s="264"/>
      <c r="AH7" s="262"/>
      <c r="AI7" s="262"/>
      <c r="AJ7" s="262"/>
      <c r="AK7" s="262"/>
      <c r="AL7" s="265"/>
      <c r="AM7" s="265"/>
      <c r="AN7" s="265"/>
      <c r="AO7" s="265"/>
      <c r="AP7" s="266"/>
      <c r="AQ7" s="267"/>
      <c r="AR7" s="265"/>
      <c r="AS7" s="265"/>
      <c r="AT7" s="265"/>
      <c r="AU7" s="265"/>
      <c r="AV7" s="268"/>
      <c r="AW7" s="268"/>
      <c r="AX7" s="265"/>
      <c r="AY7" s="265"/>
      <c r="AZ7" s="265"/>
      <c r="BA7" s="265"/>
      <c r="BB7" s="269"/>
      <c r="BC7" s="269"/>
      <c r="BD7" s="268"/>
      <c r="BE7" s="268"/>
      <c r="BF7" s="268"/>
      <c r="BG7" s="262"/>
      <c r="BH7" s="811"/>
    </row>
    <row r="8" spans="1:67 16367:16373" s="183" customFormat="1" ht="15" x14ac:dyDescent="0.15">
      <c r="A8" s="259"/>
      <c r="B8" s="263"/>
      <c r="C8" s="249" t="s">
        <v>230</v>
      </c>
      <c r="D8" s="217" t="s">
        <v>280</v>
      </c>
      <c r="E8" s="249" t="s">
        <v>252</v>
      </c>
      <c r="F8" s="219" t="s">
        <v>305</v>
      </c>
      <c r="H8" s="221"/>
      <c r="I8" s="262"/>
      <c r="J8" s="262"/>
      <c r="K8" s="262"/>
      <c r="M8" s="262"/>
      <c r="N8" s="262"/>
      <c r="O8" s="262"/>
      <c r="P8" s="262" t="s">
        <v>327</v>
      </c>
      <c r="Q8" s="262"/>
      <c r="R8" s="263"/>
      <c r="S8" s="262"/>
      <c r="T8" s="262"/>
      <c r="U8" s="270"/>
      <c r="V8" s="262"/>
      <c r="W8" s="262"/>
      <c r="X8" s="262"/>
      <c r="Y8" s="262"/>
      <c r="Z8" s="262"/>
      <c r="AA8" s="262"/>
      <c r="AB8" s="262"/>
      <c r="AC8" s="263"/>
      <c r="AD8" s="262"/>
      <c r="AE8" s="262"/>
      <c r="AF8" s="263"/>
      <c r="AG8" s="264"/>
      <c r="AH8" s="262"/>
      <c r="AI8" s="262"/>
      <c r="AJ8" s="262"/>
      <c r="AK8" s="262"/>
      <c r="AL8" s="265"/>
      <c r="AM8" s="265"/>
      <c r="AN8" s="265"/>
      <c r="AO8" s="265"/>
      <c r="AP8" s="266"/>
      <c r="AQ8" s="267"/>
      <c r="AR8" s="265"/>
      <c r="AS8" s="265"/>
      <c r="AT8" s="265"/>
      <c r="AU8" s="265"/>
      <c r="AV8" s="268"/>
      <c r="AW8" s="268"/>
      <c r="AX8" s="265"/>
      <c r="AY8" s="265"/>
      <c r="AZ8" s="265"/>
      <c r="BA8" s="265"/>
      <c r="BB8" s="269"/>
      <c r="BC8" s="269"/>
      <c r="BD8" s="268"/>
      <c r="BE8" s="268"/>
      <c r="BF8" s="268"/>
      <c r="BG8" s="262"/>
      <c r="BH8" s="811"/>
    </row>
    <row r="9" spans="1:67 16367:16373" s="183" customFormat="1" ht="15" x14ac:dyDescent="0.15">
      <c r="A9" s="259"/>
      <c r="B9" s="263"/>
      <c r="C9" s="249" t="s">
        <v>302</v>
      </c>
      <c r="D9" s="217" t="s">
        <v>231</v>
      </c>
      <c r="E9" s="249" t="s">
        <v>328</v>
      </c>
      <c r="G9" s="218"/>
      <c r="H9" s="221"/>
      <c r="I9" s="262"/>
      <c r="J9" s="262"/>
      <c r="K9" s="262"/>
      <c r="L9" s="262"/>
      <c r="M9" s="262"/>
      <c r="N9" s="262"/>
      <c r="O9" s="262"/>
      <c r="P9" s="262"/>
      <c r="Q9" s="262"/>
      <c r="R9" s="263"/>
      <c r="S9" s="262"/>
      <c r="T9" s="262"/>
      <c r="U9" s="270"/>
      <c r="V9" s="262"/>
      <c r="W9" s="262"/>
      <c r="X9" s="262"/>
      <c r="Y9" s="262"/>
      <c r="Z9" s="262"/>
      <c r="AA9" s="262"/>
      <c r="AB9" s="262"/>
      <c r="AC9" s="263"/>
      <c r="AD9" s="262"/>
      <c r="AE9" s="262"/>
      <c r="AF9" s="263"/>
      <c r="AG9" s="264"/>
      <c r="AH9" s="262"/>
      <c r="AI9" s="262"/>
      <c r="AJ9" s="262"/>
      <c r="AK9" s="262"/>
      <c r="AL9" s="265"/>
      <c r="AM9" s="265"/>
      <c r="AN9" s="265"/>
      <c r="AO9" s="265"/>
      <c r="AP9" s="266"/>
      <c r="AQ9" s="267"/>
      <c r="AR9" s="265"/>
      <c r="AS9" s="265"/>
      <c r="AT9" s="265"/>
      <c r="AU9" s="265"/>
      <c r="AV9" s="268"/>
      <c r="AW9" s="268"/>
      <c r="AX9" s="265"/>
      <c r="AY9" s="265"/>
      <c r="AZ9" s="265"/>
      <c r="BA9" s="265"/>
      <c r="BB9" s="269"/>
      <c r="BC9" s="269"/>
      <c r="BD9" s="268"/>
      <c r="BE9" s="268"/>
      <c r="BF9" s="268"/>
      <c r="BG9" s="262"/>
      <c r="BH9" s="811"/>
    </row>
    <row r="10" spans="1:67 16367:16373" s="183" customFormat="1" ht="15" x14ac:dyDescent="0.15">
      <c r="A10" s="259"/>
      <c r="B10" s="263"/>
      <c r="C10" s="249" t="s">
        <v>297</v>
      </c>
      <c r="D10" s="217" t="s">
        <v>298</v>
      </c>
      <c r="E10" s="249" t="s">
        <v>329</v>
      </c>
      <c r="G10" s="218"/>
      <c r="H10" s="220"/>
      <c r="I10" s="262"/>
      <c r="J10" s="262"/>
      <c r="K10" s="262"/>
      <c r="L10" s="262"/>
      <c r="M10" s="262"/>
      <c r="N10" s="262"/>
      <c r="O10" s="262"/>
      <c r="P10" s="262"/>
      <c r="Q10" s="262"/>
      <c r="R10" s="263"/>
      <c r="S10" s="262"/>
      <c r="T10" s="262"/>
      <c r="U10" s="270"/>
      <c r="V10" s="262"/>
      <c r="W10" s="262"/>
      <c r="X10" s="262"/>
      <c r="Y10" s="262"/>
      <c r="Z10" s="262"/>
      <c r="AA10" s="262"/>
      <c r="AB10" s="262"/>
      <c r="AC10" s="263"/>
      <c r="AD10" s="262"/>
      <c r="AE10" s="262"/>
      <c r="AF10" s="263"/>
      <c r="AG10" s="264"/>
      <c r="AH10" s="262"/>
      <c r="AI10" s="262"/>
      <c r="AJ10" s="262"/>
      <c r="AK10" s="262"/>
      <c r="AL10" s="265"/>
      <c r="AM10" s="265"/>
      <c r="AN10" s="265"/>
      <c r="AO10" s="265"/>
      <c r="AP10" s="266"/>
      <c r="AQ10" s="267"/>
      <c r="AR10" s="265"/>
      <c r="AS10" s="265"/>
      <c r="AT10" s="265"/>
      <c r="AU10" s="265"/>
      <c r="AV10" s="268"/>
      <c r="AW10" s="268"/>
      <c r="AX10" s="265"/>
      <c r="AY10" s="265"/>
      <c r="AZ10" s="265"/>
      <c r="BA10" s="265"/>
      <c r="BB10" s="269"/>
      <c r="BC10" s="269"/>
      <c r="BD10" s="268"/>
      <c r="BE10" s="268"/>
      <c r="BF10" s="268"/>
      <c r="BG10" s="262"/>
      <c r="BH10" s="811"/>
    </row>
    <row r="11" spans="1:67 16367:16373" s="183" customFormat="1" x14ac:dyDescent="0.15">
      <c r="A11" s="259"/>
      <c r="B11" s="263"/>
      <c r="C11" s="249" t="s">
        <v>304</v>
      </c>
      <c r="D11" s="220"/>
      <c r="E11" s="249" t="s">
        <v>330</v>
      </c>
      <c r="H11" s="220"/>
      <c r="I11" s="262"/>
      <c r="J11" s="262"/>
      <c r="K11" s="262"/>
      <c r="L11" s="262"/>
      <c r="M11" s="262"/>
      <c r="N11" s="262"/>
      <c r="O11" s="262"/>
      <c r="P11" s="262"/>
      <c r="Q11" s="262"/>
      <c r="R11" s="263"/>
      <c r="S11" s="262"/>
      <c r="T11" s="262"/>
      <c r="U11" s="270"/>
      <c r="V11" s="262"/>
      <c r="W11" s="262"/>
      <c r="X11" s="262"/>
      <c r="Y11" s="262"/>
      <c r="Z11" s="262"/>
      <c r="AA11" s="262"/>
      <c r="AB11" s="262"/>
      <c r="AC11" s="263"/>
      <c r="AD11" s="262"/>
      <c r="AE11" s="262"/>
      <c r="AF11" s="263"/>
      <c r="AG11" s="264"/>
      <c r="AH11" s="262"/>
      <c r="AI11" s="262"/>
      <c r="AJ11" s="262"/>
      <c r="AK11" s="262"/>
      <c r="AL11" s="265"/>
      <c r="AM11" s="265"/>
      <c r="AN11" s="265"/>
      <c r="AO11" s="265"/>
      <c r="AP11" s="266"/>
      <c r="AQ11" s="267"/>
      <c r="AR11" s="265"/>
      <c r="AS11" s="265"/>
      <c r="AT11" s="265"/>
      <c r="AU11" s="265"/>
      <c r="AV11" s="268"/>
      <c r="AW11" s="268"/>
      <c r="AX11" s="265"/>
      <c r="AY11" s="265"/>
      <c r="AZ11" s="265"/>
      <c r="BA11" s="265"/>
      <c r="BB11" s="269"/>
      <c r="BC11" s="269"/>
      <c r="BD11" s="268"/>
      <c r="BE11" s="268"/>
      <c r="BF11" s="268"/>
      <c r="BG11" s="262"/>
      <c r="BH11" s="811"/>
    </row>
    <row r="12" spans="1:67 16367:16373" s="183" customFormat="1" x14ac:dyDescent="0.15">
      <c r="A12" s="259"/>
      <c r="B12" s="263"/>
      <c r="C12" s="249" t="s">
        <v>247</v>
      </c>
      <c r="D12" s="220"/>
      <c r="E12" s="249" t="s">
        <v>331</v>
      </c>
      <c r="H12" s="262"/>
      <c r="I12" s="262"/>
      <c r="J12" s="262"/>
      <c r="K12" s="262"/>
      <c r="L12" s="262"/>
      <c r="M12" s="262"/>
      <c r="N12" s="262"/>
      <c r="O12" s="262"/>
      <c r="P12" s="262"/>
      <c r="Q12" s="262"/>
      <c r="R12" s="263"/>
      <c r="S12" s="262"/>
      <c r="T12" s="262"/>
      <c r="U12" s="270"/>
      <c r="V12" s="262"/>
      <c r="W12" s="262"/>
      <c r="X12" s="262"/>
      <c r="Y12" s="262"/>
      <c r="Z12" s="262"/>
      <c r="AA12" s="262"/>
      <c r="AB12" s="262"/>
      <c r="AC12" s="263"/>
      <c r="AD12" s="262"/>
      <c r="AE12" s="262"/>
      <c r="AF12" s="263"/>
      <c r="AG12" s="264"/>
      <c r="AH12" s="262"/>
      <c r="AI12" s="262"/>
      <c r="AJ12" s="262"/>
      <c r="AK12" s="262"/>
      <c r="AL12" s="265"/>
      <c r="AM12" s="265"/>
      <c r="AN12" s="265"/>
      <c r="AO12" s="265"/>
      <c r="AP12" s="266"/>
      <c r="AQ12" s="267"/>
      <c r="AR12" s="265"/>
      <c r="AS12" s="265"/>
      <c r="AT12" s="265"/>
      <c r="AU12" s="265"/>
      <c r="AV12" s="268"/>
      <c r="AW12" s="268"/>
      <c r="AX12" s="265"/>
      <c r="AY12" s="265"/>
      <c r="AZ12" s="265"/>
      <c r="BA12" s="265"/>
      <c r="BB12" s="269"/>
      <c r="BC12" s="269"/>
      <c r="BD12" s="268"/>
      <c r="BE12" s="268"/>
      <c r="BF12" s="268"/>
      <c r="BG12" s="262"/>
      <c r="BH12" s="811"/>
    </row>
    <row r="13" spans="1:67 16367:16373" s="183" customFormat="1" x14ac:dyDescent="0.15">
      <c r="A13" s="259"/>
      <c r="B13" s="263"/>
      <c r="C13" s="249" t="s">
        <v>290</v>
      </c>
      <c r="D13" s="220"/>
      <c r="F13" s="218"/>
      <c r="H13" s="218"/>
      <c r="I13" s="218"/>
      <c r="J13" s="218"/>
      <c r="K13" s="218"/>
      <c r="L13" s="218"/>
      <c r="M13" s="218"/>
      <c r="N13" s="218"/>
      <c r="O13" s="218"/>
      <c r="P13" s="218"/>
      <c r="Q13" s="262"/>
      <c r="R13" s="263"/>
      <c r="S13" s="262"/>
      <c r="T13" s="262"/>
      <c r="U13" s="270"/>
      <c r="V13" s="262"/>
      <c r="W13" s="262"/>
      <c r="X13" s="262"/>
      <c r="Y13" s="262"/>
      <c r="Z13" s="262"/>
      <c r="AA13" s="262"/>
      <c r="AB13" s="262"/>
      <c r="AC13" s="263"/>
      <c r="AD13" s="262"/>
      <c r="AE13" s="262"/>
      <c r="AF13" s="263"/>
      <c r="AG13" s="264"/>
      <c r="AH13" s="262"/>
      <c r="AI13" s="262"/>
      <c r="AJ13" s="262"/>
      <c r="AK13" s="262"/>
      <c r="AL13" s="265"/>
      <c r="AM13" s="265"/>
      <c r="AN13" s="265"/>
      <c r="AO13" s="265"/>
      <c r="AP13" s="266"/>
      <c r="AQ13" s="267"/>
      <c r="AR13" s="265"/>
      <c r="AS13" s="265"/>
      <c r="AT13" s="265"/>
      <c r="AU13" s="265"/>
      <c r="AV13" s="268"/>
      <c r="AW13" s="268"/>
      <c r="AX13" s="265"/>
      <c r="AY13" s="265"/>
      <c r="AZ13" s="265"/>
      <c r="BA13" s="265"/>
      <c r="BB13" s="269"/>
      <c r="BC13" s="269"/>
      <c r="BD13" s="268"/>
      <c r="BE13" s="268"/>
      <c r="BF13" s="268"/>
      <c r="BG13" s="262"/>
      <c r="BH13" s="811"/>
    </row>
    <row r="14" spans="1:67 16367:16373" s="183" customFormat="1" x14ac:dyDescent="0.15">
      <c r="A14" s="259"/>
      <c r="B14" s="263"/>
      <c r="C14" s="249" t="s">
        <v>282</v>
      </c>
      <c r="D14" s="220"/>
      <c r="E14" s="263"/>
      <c r="F14" s="218"/>
      <c r="H14" s="218"/>
      <c r="I14" s="218"/>
      <c r="J14" s="218"/>
      <c r="K14" s="218"/>
      <c r="L14" s="218"/>
      <c r="M14" s="218"/>
      <c r="N14" s="218"/>
      <c r="O14" s="218"/>
      <c r="P14" s="218"/>
      <c r="Q14" s="262"/>
      <c r="R14" s="263"/>
      <c r="S14" s="262"/>
      <c r="T14" s="262"/>
      <c r="U14" s="270"/>
      <c r="V14" s="262"/>
      <c r="W14" s="262"/>
      <c r="X14" s="262"/>
      <c r="Y14" s="262"/>
      <c r="Z14" s="262"/>
      <c r="AA14" s="262"/>
      <c r="AB14" s="262"/>
      <c r="AC14" s="263"/>
      <c r="AD14" s="262"/>
      <c r="AE14" s="262"/>
      <c r="AF14" s="263"/>
      <c r="AG14" s="264"/>
      <c r="AH14" s="262"/>
      <c r="AI14" s="262"/>
      <c r="AJ14" s="262"/>
      <c r="AK14" s="262"/>
      <c r="AL14" s="265"/>
      <c r="AM14" s="265"/>
      <c r="AN14" s="265"/>
      <c r="AO14" s="265"/>
      <c r="AP14" s="266"/>
      <c r="AQ14" s="267"/>
      <c r="AR14" s="265"/>
      <c r="AS14" s="265"/>
      <c r="AT14" s="265"/>
      <c r="AU14" s="265"/>
      <c r="AV14" s="268"/>
      <c r="AW14" s="268"/>
      <c r="AX14" s="265"/>
      <c r="AY14" s="265"/>
      <c r="AZ14" s="265"/>
      <c r="BA14" s="265"/>
      <c r="BB14" s="269"/>
      <c r="BC14" s="269"/>
      <c r="BD14" s="268"/>
      <c r="BE14" s="268"/>
      <c r="BF14" s="268"/>
      <c r="BG14" s="262"/>
      <c r="BH14" s="811"/>
    </row>
    <row r="15" spans="1:67 16367:16373" s="253" customFormat="1" x14ac:dyDescent="0.15">
      <c r="A15" s="151"/>
      <c r="B15" s="151"/>
      <c r="C15" s="249" t="s">
        <v>245</v>
      </c>
      <c r="D15" s="220"/>
      <c r="E15" s="151"/>
      <c r="F15" s="152"/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1"/>
      <c r="S15" s="152"/>
      <c r="T15" s="152"/>
      <c r="U15" s="152"/>
      <c r="V15" s="152"/>
      <c r="W15" s="152"/>
      <c r="X15" s="152"/>
      <c r="Y15" s="152"/>
      <c r="Z15" s="152"/>
      <c r="AA15" s="152"/>
      <c r="AB15" s="152"/>
      <c r="AC15" s="151"/>
      <c r="AD15" s="152"/>
      <c r="AE15" s="152"/>
      <c r="AF15" s="151"/>
      <c r="AG15" s="152"/>
      <c r="AH15" s="152"/>
      <c r="AI15" s="152"/>
      <c r="AJ15" s="152"/>
      <c r="AK15" s="152"/>
      <c r="AL15" s="152"/>
      <c r="AM15" s="152"/>
      <c r="AN15" s="152"/>
      <c r="AO15" s="152"/>
      <c r="AP15" s="152"/>
      <c r="AQ15" s="152"/>
      <c r="AR15" s="152"/>
      <c r="AS15" s="152"/>
      <c r="AT15" s="152"/>
      <c r="AU15" s="152"/>
      <c r="AV15" s="271"/>
      <c r="AW15" s="271"/>
      <c r="AX15" s="152"/>
      <c r="AY15" s="152"/>
      <c r="AZ15" s="152"/>
      <c r="BA15" s="152"/>
      <c r="BB15" s="152"/>
      <c r="BC15" s="152"/>
      <c r="BD15" s="272"/>
      <c r="BE15" s="272"/>
      <c r="BF15" s="272"/>
      <c r="BG15" s="152"/>
      <c r="BH15" s="157"/>
      <c r="BI15" s="157"/>
      <c r="BJ15" s="157"/>
      <c r="BK15" s="157"/>
      <c r="BL15" s="157"/>
      <c r="BM15" s="157"/>
      <c r="BN15" s="157"/>
      <c r="BO15" s="157"/>
    </row>
    <row r="16" spans="1:67 16367:16373" s="253" customFormat="1" x14ac:dyDescent="0.15">
      <c r="A16" s="151"/>
      <c r="B16" s="151"/>
      <c r="C16" s="249" t="s">
        <v>307</v>
      </c>
      <c r="D16" s="220"/>
      <c r="E16" s="151"/>
      <c r="F16" s="152"/>
      <c r="G16" s="152"/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1"/>
      <c r="S16" s="152"/>
      <c r="T16" s="152"/>
      <c r="U16" s="152"/>
      <c r="V16" s="152"/>
      <c r="W16" s="152"/>
      <c r="X16" s="152"/>
      <c r="Y16" s="152"/>
      <c r="Z16" s="152"/>
      <c r="AA16" s="152"/>
      <c r="AB16" s="152"/>
      <c r="AC16" s="151"/>
      <c r="AD16" s="152"/>
      <c r="AE16" s="152"/>
      <c r="AF16" s="151"/>
      <c r="AG16" s="152"/>
      <c r="AH16" s="152"/>
      <c r="AI16" s="152"/>
      <c r="AJ16" s="152"/>
      <c r="AK16" s="152"/>
      <c r="AL16" s="152"/>
      <c r="AM16" s="152"/>
      <c r="AN16" s="152"/>
      <c r="AO16" s="152"/>
      <c r="AP16" s="152"/>
      <c r="AQ16" s="152"/>
      <c r="AR16" s="152"/>
      <c r="AS16" s="152"/>
      <c r="AT16" s="152"/>
      <c r="AU16" s="152"/>
      <c r="AV16" s="271"/>
      <c r="AW16" s="271"/>
      <c r="AX16" s="152"/>
      <c r="AY16" s="152"/>
      <c r="AZ16" s="152"/>
      <c r="BA16" s="152"/>
      <c r="BB16" s="152"/>
      <c r="BC16" s="152"/>
      <c r="BD16" s="272"/>
      <c r="BE16" s="272"/>
      <c r="BF16" s="272"/>
      <c r="BG16" s="152"/>
      <c r="BH16" s="157"/>
      <c r="BI16" s="157"/>
      <c r="BJ16" s="157"/>
      <c r="BK16" s="157"/>
      <c r="BL16" s="157"/>
      <c r="BM16" s="157"/>
      <c r="BN16" s="157"/>
      <c r="BO16" s="157"/>
    </row>
    <row r="17" spans="1:67" s="253" customFormat="1" ht="14" x14ac:dyDescent="0.15">
      <c r="A17" s="151"/>
      <c r="B17" s="151"/>
      <c r="C17" s="249" t="s">
        <v>306</v>
      </c>
      <c r="D17" s="220"/>
      <c r="E17" s="151"/>
      <c r="F17" s="152"/>
      <c r="G17" s="217"/>
      <c r="H17" s="152"/>
      <c r="I17" s="152"/>
      <c r="J17" s="152"/>
      <c r="K17" s="152"/>
      <c r="L17" s="152"/>
      <c r="M17" s="152"/>
      <c r="N17" s="152"/>
      <c r="O17" s="152"/>
      <c r="P17" s="152"/>
      <c r="Q17" s="152"/>
      <c r="R17" s="151"/>
      <c r="S17" s="152"/>
      <c r="T17" s="152"/>
      <c r="U17" s="152"/>
      <c r="V17" s="152"/>
      <c r="W17" s="152"/>
      <c r="X17" s="152"/>
      <c r="Y17" s="152"/>
      <c r="Z17" s="152"/>
      <c r="AA17" s="152"/>
      <c r="AB17" s="152"/>
      <c r="AC17" s="151"/>
      <c r="AD17" s="152"/>
      <c r="AE17" s="152"/>
      <c r="AF17" s="151"/>
      <c r="AG17" s="152"/>
      <c r="AH17" s="152"/>
      <c r="AI17" s="152"/>
      <c r="AJ17" s="152"/>
      <c r="AK17" s="152"/>
      <c r="AL17" s="152"/>
      <c r="AM17" s="152"/>
      <c r="AN17" s="152"/>
      <c r="AO17" s="152"/>
      <c r="AP17" s="152"/>
      <c r="AQ17" s="152"/>
      <c r="AR17" s="152"/>
      <c r="AS17" s="152"/>
      <c r="AT17" s="152"/>
      <c r="AU17" s="152"/>
      <c r="AV17" s="271"/>
      <c r="AW17" s="271"/>
      <c r="AX17" s="152"/>
      <c r="AY17" s="152"/>
      <c r="AZ17" s="152"/>
      <c r="BA17" s="152"/>
      <c r="BB17" s="152"/>
      <c r="BC17" s="152"/>
      <c r="BD17" s="272"/>
      <c r="BE17" s="272"/>
      <c r="BF17" s="272"/>
      <c r="BG17" s="152"/>
      <c r="BH17" s="157"/>
      <c r="BI17" s="157"/>
      <c r="BJ17" s="157"/>
      <c r="BK17" s="157"/>
      <c r="BL17" s="157"/>
      <c r="BM17" s="157"/>
      <c r="BN17" s="157"/>
      <c r="BO17" s="157"/>
    </row>
    <row r="18" spans="1:67" s="253" customFormat="1" ht="14" x14ac:dyDescent="0.15">
      <c r="A18" s="151"/>
      <c r="B18" s="151"/>
      <c r="C18" s="249" t="s">
        <v>308</v>
      </c>
      <c r="D18" s="220"/>
      <c r="E18" s="151"/>
      <c r="F18" s="152"/>
      <c r="G18" s="217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1"/>
      <c r="S18" s="152"/>
      <c r="T18" s="152"/>
      <c r="U18" s="152"/>
      <c r="V18" s="152"/>
      <c r="W18" s="152"/>
      <c r="X18" s="152"/>
      <c r="Y18" s="152"/>
      <c r="Z18" s="152"/>
      <c r="AA18" s="152"/>
      <c r="AB18" s="152"/>
      <c r="AC18" s="151"/>
      <c r="AD18" s="152"/>
      <c r="AE18" s="152"/>
      <c r="AF18" s="151"/>
      <c r="AG18" s="152"/>
      <c r="AH18" s="152"/>
      <c r="AI18" s="152"/>
      <c r="AJ18" s="152"/>
      <c r="AK18" s="152"/>
      <c r="AL18" s="152"/>
      <c r="AM18" s="152"/>
      <c r="AN18" s="152"/>
      <c r="AO18" s="152"/>
      <c r="AP18" s="152"/>
      <c r="AQ18" s="152"/>
      <c r="AR18" s="152"/>
      <c r="AS18" s="152"/>
      <c r="AT18" s="152"/>
      <c r="AU18" s="152"/>
      <c r="AV18" s="271"/>
      <c r="AW18" s="271"/>
      <c r="AX18" s="152"/>
      <c r="AY18" s="152"/>
      <c r="AZ18" s="152"/>
      <c r="BA18" s="152"/>
      <c r="BB18" s="152"/>
      <c r="BC18" s="152"/>
      <c r="BD18" s="272"/>
      <c r="BE18" s="272"/>
      <c r="BF18" s="272"/>
      <c r="BG18" s="152"/>
      <c r="BH18" s="157"/>
      <c r="BI18" s="157"/>
      <c r="BJ18" s="157"/>
      <c r="BK18" s="157"/>
      <c r="BL18" s="157"/>
      <c r="BM18" s="157"/>
      <c r="BN18" s="157"/>
      <c r="BO18" s="157"/>
    </row>
    <row r="19" spans="1:67" s="253" customFormat="1" ht="14" x14ac:dyDescent="0.15">
      <c r="A19" s="151"/>
      <c r="B19" s="151"/>
      <c r="C19" s="249" t="s">
        <v>250</v>
      </c>
      <c r="D19" s="220"/>
      <c r="E19" s="151"/>
      <c r="F19" s="152"/>
      <c r="G19" s="217"/>
      <c r="H19" s="152"/>
      <c r="I19" s="152"/>
      <c r="J19" s="152"/>
      <c r="K19" s="152"/>
      <c r="L19" s="152"/>
      <c r="M19" s="152"/>
      <c r="N19" s="152"/>
      <c r="O19" s="152"/>
      <c r="P19" s="152"/>
      <c r="Q19" s="152"/>
      <c r="R19" s="151"/>
      <c r="S19" s="152"/>
      <c r="T19" s="152"/>
      <c r="U19" s="152"/>
      <c r="V19" s="152"/>
      <c r="W19" s="152"/>
      <c r="X19" s="152"/>
      <c r="Y19" s="152"/>
      <c r="Z19" s="152"/>
      <c r="AA19" s="152"/>
      <c r="AB19" s="152"/>
      <c r="AC19" s="151"/>
      <c r="AD19" s="152"/>
      <c r="AE19" s="152"/>
      <c r="AF19" s="151"/>
      <c r="AG19" s="152"/>
      <c r="AH19" s="152"/>
      <c r="AI19" s="152"/>
      <c r="AJ19" s="152"/>
      <c r="AK19" s="152"/>
      <c r="AL19" s="152"/>
      <c r="AM19" s="152"/>
      <c r="AN19" s="152"/>
      <c r="AO19" s="152"/>
      <c r="AP19" s="152"/>
      <c r="AQ19" s="152"/>
      <c r="AR19" s="152"/>
      <c r="AS19" s="152"/>
      <c r="AT19" s="152"/>
      <c r="AU19" s="152"/>
      <c r="AV19" s="271"/>
      <c r="AW19" s="271"/>
      <c r="AX19" s="152"/>
      <c r="AY19" s="152"/>
      <c r="AZ19" s="152"/>
      <c r="BA19" s="152"/>
      <c r="BB19" s="152"/>
      <c r="BC19" s="152"/>
      <c r="BD19" s="272"/>
      <c r="BE19" s="272"/>
      <c r="BF19" s="272"/>
      <c r="BG19" s="152"/>
      <c r="BH19" s="157"/>
      <c r="BI19" s="157"/>
      <c r="BJ19" s="157"/>
      <c r="BK19" s="157"/>
      <c r="BL19" s="157"/>
      <c r="BM19" s="157"/>
      <c r="BN19" s="157"/>
      <c r="BO19" s="157"/>
    </row>
    <row r="20" spans="1:67" s="253" customFormat="1" x14ac:dyDescent="0.15">
      <c r="A20" s="151"/>
      <c r="B20" s="151"/>
      <c r="C20" s="249" t="s">
        <v>291</v>
      </c>
      <c r="D20" s="220"/>
      <c r="E20" s="151"/>
      <c r="F20" s="152"/>
      <c r="G20" s="152"/>
      <c r="H20" s="152"/>
      <c r="I20" s="152"/>
      <c r="J20" s="152"/>
      <c r="K20" s="152"/>
      <c r="L20" s="152"/>
      <c r="M20" s="152"/>
      <c r="N20" s="152"/>
      <c r="O20" s="152"/>
      <c r="P20" s="152"/>
      <c r="Q20" s="152"/>
      <c r="R20" s="151"/>
      <c r="S20" s="152"/>
      <c r="T20" s="152"/>
      <c r="U20" s="152"/>
      <c r="V20" s="152"/>
      <c r="W20" s="152"/>
      <c r="X20" s="152"/>
      <c r="Y20" s="152"/>
      <c r="Z20" s="152"/>
      <c r="AA20" s="152"/>
      <c r="AB20" s="152"/>
      <c r="AC20" s="151"/>
      <c r="AD20" s="152"/>
      <c r="AE20" s="152"/>
      <c r="AF20" s="151"/>
      <c r="AG20" s="152"/>
      <c r="AH20" s="152"/>
      <c r="AI20" s="152"/>
      <c r="AJ20" s="152"/>
      <c r="AK20" s="152"/>
      <c r="AL20" s="152"/>
      <c r="AM20" s="152"/>
      <c r="AN20" s="152"/>
      <c r="AO20" s="152"/>
      <c r="AP20" s="152"/>
      <c r="AQ20" s="152"/>
      <c r="AR20" s="152"/>
      <c r="AS20" s="152"/>
      <c r="AT20" s="152"/>
      <c r="AU20" s="152"/>
      <c r="AV20" s="271"/>
      <c r="AW20" s="271"/>
      <c r="AX20" s="152"/>
      <c r="AY20" s="152"/>
      <c r="AZ20" s="152"/>
      <c r="BA20" s="152"/>
      <c r="BB20" s="152"/>
      <c r="BC20" s="152"/>
      <c r="BD20" s="272"/>
      <c r="BE20" s="272"/>
      <c r="BF20" s="272"/>
      <c r="BG20" s="152"/>
      <c r="BH20" s="157"/>
      <c r="BI20" s="157"/>
      <c r="BJ20" s="157"/>
      <c r="BK20" s="157"/>
      <c r="BL20" s="157"/>
      <c r="BM20" s="157"/>
      <c r="BN20" s="157"/>
      <c r="BO20" s="157"/>
    </row>
    <row r="21" spans="1:67" s="253" customFormat="1" x14ac:dyDescent="0.15">
      <c r="A21" s="151"/>
      <c r="B21" s="151"/>
      <c r="C21" s="249" t="s">
        <v>283</v>
      </c>
      <c r="D21" s="220"/>
      <c r="E21" s="151"/>
      <c r="F21" s="152"/>
      <c r="G21" s="152"/>
      <c r="H21" s="152"/>
      <c r="I21" s="152"/>
      <c r="J21" s="152"/>
      <c r="K21" s="152"/>
      <c r="L21" s="152"/>
      <c r="M21" s="152"/>
      <c r="N21" s="152"/>
      <c r="O21" s="152"/>
      <c r="P21" s="152"/>
      <c r="Q21" s="152"/>
      <c r="R21" s="151"/>
      <c r="S21" s="152"/>
      <c r="T21" s="152"/>
      <c r="U21" s="152"/>
      <c r="V21" s="152"/>
      <c r="W21" s="152"/>
      <c r="X21" s="152"/>
      <c r="Y21" s="152"/>
      <c r="Z21" s="152"/>
      <c r="AA21" s="152"/>
      <c r="AB21" s="152"/>
      <c r="AC21" s="151"/>
      <c r="AD21" s="152"/>
      <c r="AE21" s="152"/>
      <c r="AF21" s="151"/>
      <c r="AG21" s="152"/>
      <c r="AH21" s="152"/>
      <c r="AI21" s="152"/>
      <c r="AJ21" s="152"/>
      <c r="AK21" s="152"/>
      <c r="AL21" s="152"/>
      <c r="AM21" s="152"/>
      <c r="AN21" s="152"/>
      <c r="AO21" s="152"/>
      <c r="AP21" s="152"/>
      <c r="AQ21" s="152"/>
      <c r="AR21" s="152"/>
      <c r="AS21" s="152"/>
      <c r="AT21" s="152"/>
      <c r="AU21" s="152"/>
      <c r="AV21" s="271"/>
      <c r="AW21" s="271"/>
      <c r="AX21" s="152"/>
      <c r="AY21" s="152"/>
      <c r="AZ21" s="152"/>
      <c r="BA21" s="152"/>
      <c r="BB21" s="152"/>
      <c r="BC21" s="152"/>
      <c r="BD21" s="272"/>
      <c r="BE21" s="272"/>
      <c r="BF21" s="272"/>
      <c r="BG21" s="152"/>
      <c r="BH21" s="157"/>
      <c r="BI21" s="157"/>
      <c r="BJ21" s="157"/>
      <c r="BK21" s="157"/>
      <c r="BL21" s="157"/>
      <c r="BM21" s="157"/>
      <c r="BN21" s="157"/>
      <c r="BO21" s="157"/>
    </row>
    <row r="22" spans="1:67" s="253" customFormat="1" x14ac:dyDescent="0.15">
      <c r="A22" s="151"/>
      <c r="B22" s="151"/>
      <c r="C22" s="249" t="s">
        <v>248</v>
      </c>
      <c r="D22" s="220"/>
      <c r="E22" s="151"/>
      <c r="F22" s="152"/>
      <c r="G22" s="152"/>
      <c r="H22" s="152"/>
      <c r="I22" s="152"/>
      <c r="J22" s="152"/>
      <c r="K22" s="152"/>
      <c r="L22" s="152"/>
      <c r="M22" s="152"/>
      <c r="N22" s="152"/>
      <c r="O22" s="152"/>
      <c r="P22" s="152"/>
      <c r="Q22" s="152"/>
      <c r="R22" s="151"/>
      <c r="S22" s="152"/>
      <c r="T22" s="152"/>
      <c r="U22" s="152"/>
      <c r="V22" s="152"/>
      <c r="W22" s="152"/>
      <c r="X22" s="152"/>
      <c r="Y22" s="152"/>
      <c r="Z22" s="152"/>
      <c r="AA22" s="152"/>
      <c r="AB22" s="152"/>
      <c r="AC22" s="151"/>
      <c r="AD22" s="152"/>
      <c r="AE22" s="152"/>
      <c r="AF22" s="151"/>
      <c r="AG22" s="152"/>
      <c r="AH22" s="152"/>
      <c r="AI22" s="152"/>
      <c r="AJ22" s="152"/>
      <c r="AK22" s="152"/>
      <c r="AL22" s="152"/>
      <c r="AM22" s="152"/>
      <c r="AN22" s="152"/>
      <c r="AO22" s="152"/>
      <c r="AP22" s="152"/>
      <c r="AQ22" s="152"/>
      <c r="AR22" s="152"/>
      <c r="AS22" s="152"/>
      <c r="AT22" s="152"/>
      <c r="AU22" s="152"/>
      <c r="AV22" s="271"/>
      <c r="AW22" s="271"/>
      <c r="AX22" s="152"/>
      <c r="AY22" s="152"/>
      <c r="AZ22" s="152"/>
      <c r="BA22" s="152"/>
      <c r="BB22" s="152"/>
      <c r="BC22" s="152"/>
      <c r="BD22" s="272"/>
      <c r="BE22" s="272"/>
      <c r="BF22" s="272"/>
      <c r="BG22" s="152"/>
      <c r="BH22" s="157"/>
      <c r="BI22" s="157"/>
      <c r="BJ22" s="157"/>
      <c r="BK22" s="157"/>
      <c r="BL22" s="157"/>
      <c r="BM22" s="157"/>
      <c r="BN22" s="157"/>
      <c r="BO22" s="157"/>
    </row>
    <row r="23" spans="1:67" s="253" customFormat="1" x14ac:dyDescent="0.15">
      <c r="A23" s="151"/>
      <c r="B23" s="151"/>
      <c r="C23" s="249" t="s">
        <v>310</v>
      </c>
      <c r="D23" s="220"/>
      <c r="E23" s="151"/>
      <c r="F23" s="152"/>
      <c r="G23" s="152"/>
      <c r="H23" s="152"/>
      <c r="I23" s="152"/>
      <c r="J23" s="152"/>
      <c r="K23" s="152"/>
      <c r="L23" s="152"/>
      <c r="M23" s="152"/>
      <c r="N23" s="152"/>
      <c r="O23" s="152"/>
      <c r="P23" s="152"/>
      <c r="Q23" s="152"/>
      <c r="R23" s="151"/>
      <c r="S23" s="152"/>
      <c r="T23" s="152"/>
      <c r="U23" s="152"/>
      <c r="V23" s="152"/>
      <c r="W23" s="152"/>
      <c r="X23" s="152"/>
      <c r="Y23" s="152"/>
      <c r="Z23" s="152"/>
      <c r="AA23" s="152"/>
      <c r="AB23" s="152"/>
      <c r="AC23" s="151"/>
      <c r="AD23" s="152"/>
      <c r="AE23" s="152"/>
      <c r="AF23" s="151"/>
      <c r="AG23" s="152"/>
      <c r="AH23" s="152"/>
      <c r="AI23" s="152"/>
      <c r="AJ23" s="152"/>
      <c r="AK23" s="152"/>
      <c r="AL23" s="152"/>
      <c r="AM23" s="152"/>
      <c r="AN23" s="152"/>
      <c r="AO23" s="152"/>
      <c r="AP23" s="152"/>
      <c r="AQ23" s="152"/>
      <c r="AR23" s="152"/>
      <c r="AS23" s="152"/>
      <c r="AT23" s="152"/>
      <c r="AU23" s="152"/>
      <c r="AV23" s="271"/>
      <c r="AW23" s="271"/>
      <c r="AX23" s="152"/>
      <c r="AY23" s="152"/>
      <c r="AZ23" s="152"/>
      <c r="BA23" s="152"/>
      <c r="BB23" s="152"/>
      <c r="BC23" s="152"/>
      <c r="BD23" s="272"/>
      <c r="BE23" s="272"/>
      <c r="BF23" s="272"/>
      <c r="BG23" s="152"/>
      <c r="BH23" s="157"/>
      <c r="BI23" s="157"/>
      <c r="BJ23" s="157"/>
      <c r="BK23" s="157"/>
      <c r="BL23" s="157"/>
      <c r="BM23" s="157"/>
      <c r="BN23" s="157"/>
      <c r="BO23" s="157"/>
    </row>
    <row r="24" spans="1:67" s="253" customFormat="1" x14ac:dyDescent="0.15">
      <c r="A24" s="151"/>
      <c r="B24" s="151"/>
      <c r="C24" s="249" t="s">
        <v>309</v>
      </c>
      <c r="D24" s="220"/>
      <c r="E24" s="151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2"/>
      <c r="R24" s="151"/>
      <c r="S24" s="152"/>
      <c r="T24" s="152"/>
      <c r="U24" s="152"/>
      <c r="V24" s="152"/>
      <c r="W24" s="152"/>
      <c r="X24" s="152"/>
      <c r="Y24" s="152"/>
      <c r="Z24" s="152"/>
      <c r="AA24" s="152"/>
      <c r="AB24" s="152"/>
      <c r="AC24" s="151"/>
      <c r="AD24" s="152"/>
      <c r="AE24" s="152"/>
      <c r="AF24" s="151"/>
      <c r="AG24" s="152"/>
      <c r="AH24" s="152"/>
      <c r="AI24" s="152"/>
      <c r="AJ24" s="152"/>
      <c r="AK24" s="152"/>
      <c r="AL24" s="152"/>
      <c r="AM24" s="152"/>
      <c r="AN24" s="152"/>
      <c r="AO24" s="152"/>
      <c r="AP24" s="152"/>
      <c r="AQ24" s="152"/>
      <c r="AR24" s="152"/>
      <c r="AS24" s="152"/>
      <c r="AT24" s="152"/>
      <c r="AU24" s="152"/>
      <c r="AV24" s="271"/>
      <c r="AW24" s="271"/>
      <c r="AX24" s="152"/>
      <c r="AY24" s="152"/>
      <c r="AZ24" s="152"/>
      <c r="BA24" s="152"/>
      <c r="BB24" s="152"/>
      <c r="BC24" s="152"/>
      <c r="BD24" s="272"/>
      <c r="BE24" s="272"/>
      <c r="BF24" s="272"/>
      <c r="BG24" s="152"/>
      <c r="BH24" s="157"/>
      <c r="BI24" s="157"/>
      <c r="BJ24" s="157"/>
      <c r="BK24" s="157"/>
      <c r="BL24" s="157"/>
      <c r="BM24" s="157"/>
      <c r="BN24" s="157"/>
      <c r="BO24" s="157"/>
    </row>
    <row r="25" spans="1:67" s="253" customFormat="1" x14ac:dyDescent="0.15">
      <c r="A25" s="151"/>
      <c r="B25" s="151"/>
      <c r="C25" s="249" t="s">
        <v>311</v>
      </c>
      <c r="D25" s="220"/>
      <c r="E25" s="151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1"/>
      <c r="S25" s="152"/>
      <c r="T25" s="152"/>
      <c r="U25" s="152"/>
      <c r="V25" s="152"/>
      <c r="W25" s="152"/>
      <c r="X25" s="152"/>
      <c r="Y25" s="152"/>
      <c r="Z25" s="152"/>
      <c r="AA25" s="152"/>
      <c r="AB25" s="152"/>
      <c r="AC25" s="151"/>
      <c r="AD25" s="152"/>
      <c r="AE25" s="152"/>
      <c r="AF25" s="151"/>
      <c r="AG25" s="152"/>
      <c r="AH25" s="152"/>
      <c r="AI25" s="152"/>
      <c r="AJ25" s="152"/>
      <c r="AK25" s="152"/>
      <c r="AL25" s="152"/>
      <c r="AM25" s="152"/>
      <c r="AN25" s="152"/>
      <c r="AO25" s="152"/>
      <c r="AP25" s="152"/>
      <c r="AQ25" s="152"/>
      <c r="AR25" s="152"/>
      <c r="AS25" s="152"/>
      <c r="AT25" s="152"/>
      <c r="AU25" s="152"/>
      <c r="AV25" s="271"/>
      <c r="AW25" s="271"/>
      <c r="AX25" s="152"/>
      <c r="AY25" s="152"/>
      <c r="AZ25" s="152"/>
      <c r="BA25" s="152"/>
      <c r="BB25" s="152"/>
      <c r="BC25" s="152"/>
      <c r="BD25" s="272"/>
      <c r="BE25" s="272"/>
      <c r="BF25" s="272"/>
      <c r="BG25" s="152"/>
      <c r="BH25" s="157"/>
      <c r="BI25" s="157"/>
      <c r="BJ25" s="157"/>
      <c r="BK25" s="157"/>
      <c r="BL25" s="157"/>
      <c r="BM25" s="157"/>
      <c r="BN25" s="157"/>
      <c r="BO25" s="157"/>
    </row>
    <row r="26" spans="1:67" s="253" customFormat="1" x14ac:dyDescent="0.15">
      <c r="A26" s="151"/>
      <c r="B26" s="151"/>
      <c r="C26" s="249" t="s">
        <v>253</v>
      </c>
      <c r="D26" s="220"/>
      <c r="E26" s="151"/>
      <c r="F26" s="152"/>
      <c r="G26" s="152"/>
      <c r="H26" s="152"/>
      <c r="I26" s="152"/>
      <c r="J26" s="152"/>
      <c r="K26" s="152"/>
      <c r="L26" s="152"/>
      <c r="M26" s="152"/>
      <c r="N26" s="152"/>
      <c r="O26" s="152"/>
      <c r="P26" s="152"/>
      <c r="Q26" s="152"/>
      <c r="R26" s="151"/>
      <c r="S26" s="152"/>
      <c r="T26" s="152"/>
      <c r="U26" s="152"/>
      <c r="V26" s="152"/>
      <c r="W26" s="152"/>
      <c r="X26" s="152"/>
      <c r="Y26" s="152"/>
      <c r="Z26" s="152"/>
      <c r="AA26" s="152"/>
      <c r="AB26" s="152"/>
      <c r="AC26" s="151"/>
      <c r="AD26" s="152"/>
      <c r="AE26" s="152"/>
      <c r="AF26" s="151"/>
      <c r="AG26" s="152"/>
      <c r="AH26" s="152"/>
      <c r="AI26" s="152"/>
      <c r="AJ26" s="152"/>
      <c r="AK26" s="152"/>
      <c r="AL26" s="152"/>
      <c r="AM26" s="152"/>
      <c r="AN26" s="152"/>
      <c r="AO26" s="152"/>
      <c r="AP26" s="152"/>
      <c r="AQ26" s="152"/>
      <c r="AR26" s="152"/>
      <c r="AS26" s="152"/>
      <c r="AT26" s="152"/>
      <c r="AU26" s="152"/>
      <c r="AV26" s="271"/>
      <c r="AW26" s="271"/>
      <c r="AX26" s="152"/>
      <c r="AY26" s="152"/>
      <c r="AZ26" s="152"/>
      <c r="BA26" s="152"/>
      <c r="BB26" s="152"/>
      <c r="BC26" s="152"/>
      <c r="BD26" s="272"/>
      <c r="BE26" s="272"/>
      <c r="BF26" s="272"/>
      <c r="BG26" s="152"/>
      <c r="BH26" s="157"/>
      <c r="BI26" s="157"/>
      <c r="BJ26" s="157"/>
      <c r="BK26" s="157"/>
      <c r="BL26" s="157"/>
      <c r="BM26" s="157"/>
      <c r="BN26" s="157"/>
      <c r="BO26" s="157"/>
    </row>
    <row r="27" spans="1:67" s="253" customFormat="1" x14ac:dyDescent="0.15">
      <c r="A27" s="151"/>
      <c r="B27" s="151"/>
      <c r="C27" s="249" t="s">
        <v>332</v>
      </c>
      <c r="D27" s="220"/>
      <c r="E27" s="151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1"/>
      <c r="S27" s="152"/>
      <c r="T27" s="152"/>
      <c r="U27" s="152"/>
      <c r="V27" s="152"/>
      <c r="W27" s="152"/>
      <c r="X27" s="152"/>
      <c r="Y27" s="152"/>
      <c r="Z27" s="152"/>
      <c r="AA27" s="152"/>
      <c r="AB27" s="152"/>
      <c r="AC27" s="151"/>
      <c r="AD27" s="152"/>
      <c r="AE27" s="152"/>
      <c r="AF27" s="151"/>
      <c r="AG27" s="152"/>
      <c r="AH27" s="152"/>
      <c r="AI27" s="152"/>
      <c r="AJ27" s="152"/>
      <c r="AK27" s="152"/>
      <c r="AL27" s="152"/>
      <c r="AM27" s="152"/>
      <c r="AN27" s="152"/>
      <c r="AO27" s="152"/>
      <c r="AP27" s="152"/>
      <c r="AQ27" s="152"/>
      <c r="AR27" s="152"/>
      <c r="AS27" s="152"/>
      <c r="AT27" s="152"/>
      <c r="AU27" s="152"/>
      <c r="AV27" s="271"/>
      <c r="AW27" s="271"/>
      <c r="AX27" s="152"/>
      <c r="AY27" s="152"/>
      <c r="AZ27" s="152"/>
      <c r="BA27" s="152"/>
      <c r="BB27" s="152"/>
      <c r="BC27" s="152"/>
      <c r="BD27" s="272"/>
      <c r="BE27" s="272"/>
      <c r="BF27" s="272"/>
      <c r="BG27" s="152"/>
      <c r="BH27" s="157"/>
      <c r="BI27" s="157"/>
      <c r="BJ27" s="157"/>
      <c r="BK27" s="157"/>
      <c r="BL27" s="157"/>
      <c r="BM27" s="157"/>
      <c r="BN27" s="157"/>
      <c r="BO27" s="157"/>
    </row>
    <row r="28" spans="1:67" s="253" customFormat="1" x14ac:dyDescent="0.15">
      <c r="A28" s="151"/>
      <c r="B28" s="151"/>
      <c r="C28" s="249" t="s">
        <v>333</v>
      </c>
      <c r="D28" s="220"/>
      <c r="E28" s="151"/>
      <c r="F28" s="152"/>
      <c r="G28" s="152"/>
      <c r="H28" s="152"/>
      <c r="I28" s="152"/>
      <c r="J28" s="152"/>
      <c r="K28" s="152"/>
      <c r="L28" s="152"/>
      <c r="M28" s="152"/>
      <c r="N28" s="152"/>
      <c r="O28" s="152"/>
      <c r="P28" s="152"/>
      <c r="Q28" s="152"/>
      <c r="R28" s="151"/>
      <c r="S28" s="152"/>
      <c r="T28" s="152"/>
      <c r="U28" s="152"/>
      <c r="V28" s="152"/>
      <c r="W28" s="152"/>
      <c r="X28" s="152"/>
      <c r="Y28" s="152"/>
      <c r="Z28" s="152"/>
      <c r="AA28" s="152"/>
      <c r="AB28" s="152"/>
      <c r="AC28" s="151"/>
      <c r="AD28" s="152"/>
      <c r="AE28" s="152"/>
      <c r="AF28" s="151"/>
      <c r="AG28" s="152"/>
      <c r="AH28" s="152"/>
      <c r="AI28" s="152"/>
      <c r="AJ28" s="152"/>
      <c r="AK28" s="152"/>
      <c r="AL28" s="152"/>
      <c r="AM28" s="152"/>
      <c r="AN28" s="152"/>
      <c r="AO28" s="152"/>
      <c r="AP28" s="152"/>
      <c r="AQ28" s="152"/>
      <c r="AR28" s="152"/>
      <c r="AS28" s="152"/>
      <c r="AT28" s="152"/>
      <c r="AU28" s="152"/>
      <c r="AV28" s="271"/>
      <c r="AW28" s="271"/>
      <c r="AX28" s="152"/>
      <c r="AY28" s="152"/>
      <c r="AZ28" s="152"/>
      <c r="BA28" s="152"/>
      <c r="BB28" s="152"/>
      <c r="BC28" s="152"/>
      <c r="BD28" s="272"/>
      <c r="BE28" s="272"/>
      <c r="BF28" s="272"/>
      <c r="BG28" s="152"/>
      <c r="BH28" s="157"/>
      <c r="BI28" s="157"/>
      <c r="BJ28" s="157"/>
      <c r="BK28" s="157"/>
      <c r="BL28" s="157"/>
      <c r="BM28" s="157"/>
      <c r="BN28" s="157"/>
      <c r="BO28" s="157"/>
    </row>
    <row r="29" spans="1:67" s="273" customFormat="1" x14ac:dyDescent="0.15">
      <c r="A29" s="151"/>
      <c r="B29" s="151"/>
      <c r="C29" s="249" t="s">
        <v>251</v>
      </c>
      <c r="D29" s="220"/>
      <c r="E29" s="151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152"/>
      <c r="R29" s="151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1"/>
      <c r="AD29" s="152"/>
      <c r="AE29" s="152"/>
      <c r="AF29" s="151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271"/>
      <c r="AW29" s="271"/>
      <c r="AX29" s="152"/>
      <c r="AY29" s="152"/>
      <c r="AZ29" s="152"/>
      <c r="BA29" s="152"/>
      <c r="BB29" s="152"/>
      <c r="BC29" s="152"/>
      <c r="BD29" s="272"/>
      <c r="BE29" s="272"/>
      <c r="BF29" s="272"/>
      <c r="BG29" s="152"/>
      <c r="BH29" s="152"/>
      <c r="BI29" s="152"/>
      <c r="BJ29" s="152"/>
      <c r="BK29" s="152"/>
      <c r="BL29" s="152"/>
      <c r="BM29" s="152"/>
      <c r="BN29" s="152"/>
      <c r="BO29" s="152"/>
    </row>
    <row r="30" spans="1:67" s="253" customFormat="1" x14ac:dyDescent="0.15">
      <c r="A30" s="248"/>
      <c r="B30" s="248"/>
      <c r="C30" s="249" t="s">
        <v>313</v>
      </c>
      <c r="D30" s="261"/>
      <c r="E30" s="248"/>
      <c r="F30" s="250"/>
      <c r="G30" s="250"/>
      <c r="H30" s="250"/>
      <c r="I30" s="250"/>
      <c r="J30" s="250"/>
      <c r="K30" s="250"/>
      <c r="L30" s="250"/>
      <c r="M30" s="250"/>
      <c r="N30" s="250"/>
      <c r="O30" s="250"/>
      <c r="P30" s="250"/>
      <c r="Q30" s="250"/>
      <c r="R30" s="248"/>
      <c r="S30" s="250"/>
      <c r="T30" s="250"/>
      <c r="U30" s="250"/>
      <c r="V30" s="250"/>
      <c r="W30" s="250"/>
      <c r="X30" s="250"/>
      <c r="Y30" s="250"/>
      <c r="Z30" s="250"/>
      <c r="AA30" s="250"/>
      <c r="AB30" s="250"/>
      <c r="AC30" s="248"/>
      <c r="AD30" s="250"/>
      <c r="AE30" s="250"/>
      <c r="AF30" s="248"/>
      <c r="AG30" s="250"/>
      <c r="AH30" s="250"/>
      <c r="AI30" s="250"/>
      <c r="AJ30" s="250"/>
      <c r="AK30" s="250"/>
      <c r="AL30" s="250"/>
      <c r="AM30" s="250"/>
      <c r="AN30" s="250"/>
      <c r="AO30" s="250"/>
      <c r="AP30" s="250"/>
      <c r="AQ30" s="250"/>
      <c r="AR30" s="250"/>
      <c r="AS30" s="250"/>
      <c r="AT30" s="250"/>
      <c r="AU30" s="250"/>
      <c r="AV30" s="251"/>
      <c r="AW30" s="251"/>
      <c r="AX30" s="250"/>
      <c r="AY30" s="250"/>
      <c r="AZ30" s="250"/>
      <c r="BA30" s="250"/>
      <c r="BB30" s="250"/>
      <c r="BC30" s="250"/>
      <c r="BD30" s="252"/>
      <c r="BE30" s="252"/>
      <c r="BF30" s="252"/>
      <c r="BG30" s="250"/>
      <c r="BH30" s="158"/>
      <c r="BI30" s="158"/>
      <c r="BJ30" s="158"/>
      <c r="BK30" s="158"/>
      <c r="BL30" s="158"/>
      <c r="BM30" s="158"/>
      <c r="BN30" s="158"/>
      <c r="BO30" s="158"/>
    </row>
    <row r="31" spans="1:67" s="253" customFormat="1" x14ac:dyDescent="0.15">
      <c r="A31" s="248"/>
      <c r="B31" s="248"/>
      <c r="C31" s="249" t="s">
        <v>312</v>
      </c>
      <c r="D31" s="220"/>
      <c r="E31" s="248"/>
      <c r="F31" s="250"/>
      <c r="G31" s="250"/>
      <c r="H31" s="250"/>
      <c r="I31" s="250"/>
      <c r="J31" s="250"/>
      <c r="K31" s="250"/>
      <c r="L31" s="250"/>
      <c r="M31" s="250"/>
      <c r="N31" s="250"/>
      <c r="O31" s="250"/>
      <c r="P31" s="250"/>
      <c r="Q31" s="250"/>
      <c r="R31" s="248"/>
      <c r="S31" s="250"/>
      <c r="T31" s="250"/>
      <c r="U31" s="250"/>
      <c r="V31" s="250"/>
      <c r="W31" s="250"/>
      <c r="X31" s="250"/>
      <c r="Y31" s="250"/>
      <c r="Z31" s="250"/>
      <c r="AA31" s="250"/>
      <c r="AB31" s="250"/>
      <c r="AC31" s="248"/>
      <c r="AD31" s="250"/>
      <c r="AE31" s="250"/>
      <c r="AF31" s="248"/>
      <c r="AG31" s="250"/>
      <c r="AH31" s="250"/>
      <c r="AI31" s="250"/>
      <c r="AJ31" s="250"/>
      <c r="AK31" s="250"/>
      <c r="AL31" s="250"/>
      <c r="AM31" s="250"/>
      <c r="AN31" s="250"/>
      <c r="AO31" s="250"/>
      <c r="AP31" s="250"/>
      <c r="AQ31" s="250"/>
      <c r="AR31" s="250"/>
      <c r="AS31" s="250"/>
      <c r="AT31" s="250"/>
      <c r="AU31" s="250"/>
      <c r="AV31" s="251"/>
      <c r="AW31" s="251"/>
      <c r="AX31" s="250"/>
      <c r="AY31" s="250"/>
      <c r="AZ31" s="250"/>
      <c r="BA31" s="250"/>
      <c r="BB31" s="250"/>
      <c r="BC31" s="250"/>
      <c r="BD31" s="252"/>
      <c r="BE31" s="252"/>
      <c r="BF31" s="252"/>
      <c r="BG31" s="250"/>
      <c r="BH31" s="158"/>
      <c r="BI31" s="158"/>
      <c r="BJ31" s="158"/>
      <c r="BK31" s="158"/>
      <c r="BL31" s="158"/>
      <c r="BM31" s="158"/>
      <c r="BN31" s="158"/>
      <c r="BO31" s="158"/>
    </row>
    <row r="32" spans="1:67" s="253" customFormat="1" x14ac:dyDescent="0.15">
      <c r="A32" s="248"/>
      <c r="B32" s="248"/>
      <c r="C32" s="249" t="s">
        <v>334</v>
      </c>
      <c r="D32" s="220"/>
      <c r="E32" s="248"/>
      <c r="F32" s="250"/>
      <c r="G32" s="250"/>
      <c r="H32" s="250"/>
      <c r="I32" s="250"/>
      <c r="J32" s="250"/>
      <c r="K32" s="250"/>
      <c r="L32" s="250"/>
      <c r="M32" s="250"/>
      <c r="N32" s="250"/>
      <c r="O32" s="250"/>
      <c r="P32" s="250"/>
      <c r="Q32" s="250"/>
      <c r="R32" s="248"/>
      <c r="S32" s="250"/>
      <c r="T32" s="250"/>
      <c r="U32" s="250"/>
      <c r="V32" s="250"/>
      <c r="W32" s="250"/>
      <c r="X32" s="250"/>
      <c r="Y32" s="250"/>
      <c r="Z32" s="250"/>
      <c r="AA32" s="250"/>
      <c r="AB32" s="250"/>
      <c r="AC32" s="248"/>
      <c r="AD32" s="250"/>
      <c r="AE32" s="250"/>
      <c r="AF32" s="248"/>
      <c r="AG32" s="250"/>
      <c r="AH32" s="250"/>
      <c r="AI32" s="250"/>
      <c r="AJ32" s="250"/>
      <c r="AK32" s="250"/>
      <c r="AL32" s="250"/>
      <c r="AM32" s="250"/>
      <c r="AN32" s="250"/>
      <c r="AO32" s="250"/>
      <c r="AP32" s="250"/>
      <c r="AQ32" s="250"/>
      <c r="AR32" s="250"/>
      <c r="AS32" s="250"/>
      <c r="AT32" s="250"/>
      <c r="AU32" s="250"/>
      <c r="AV32" s="251"/>
      <c r="AW32" s="251"/>
      <c r="AX32" s="250"/>
      <c r="AY32" s="250"/>
      <c r="AZ32" s="250"/>
      <c r="BA32" s="250"/>
      <c r="BB32" s="250"/>
      <c r="BC32" s="250"/>
      <c r="BD32" s="252"/>
      <c r="BE32" s="252"/>
      <c r="BF32" s="252"/>
      <c r="BG32" s="250"/>
      <c r="BH32" s="158"/>
      <c r="BI32" s="158"/>
      <c r="BJ32" s="158"/>
      <c r="BK32" s="158"/>
      <c r="BL32" s="158"/>
      <c r="BM32" s="158"/>
      <c r="BN32" s="158"/>
      <c r="BO32" s="158"/>
    </row>
    <row r="33" spans="1:67" s="253" customFormat="1" x14ac:dyDescent="0.15">
      <c r="A33" s="248"/>
      <c r="B33" s="248"/>
      <c r="C33" s="249" t="s">
        <v>335</v>
      </c>
      <c r="D33" s="220"/>
      <c r="E33" s="248"/>
      <c r="F33" s="250"/>
      <c r="G33" s="250"/>
      <c r="H33" s="250"/>
      <c r="I33" s="250"/>
      <c r="J33" s="250"/>
      <c r="K33" s="250"/>
      <c r="L33" s="250"/>
      <c r="M33" s="250"/>
      <c r="N33" s="250"/>
      <c r="O33" s="250"/>
      <c r="P33" s="250"/>
      <c r="Q33" s="250"/>
      <c r="R33" s="248"/>
      <c r="S33" s="250"/>
      <c r="T33" s="250"/>
      <c r="U33" s="250"/>
      <c r="V33" s="250"/>
      <c r="W33" s="250"/>
      <c r="X33" s="250"/>
      <c r="Y33" s="250"/>
      <c r="Z33" s="250"/>
      <c r="AA33" s="250"/>
      <c r="AB33" s="250"/>
      <c r="AC33" s="248"/>
      <c r="AD33" s="250"/>
      <c r="AE33" s="250"/>
      <c r="AF33" s="248"/>
      <c r="AG33" s="250"/>
      <c r="AH33" s="250"/>
      <c r="AI33" s="250"/>
      <c r="AJ33" s="250"/>
      <c r="AK33" s="250"/>
      <c r="AL33" s="250"/>
      <c r="AM33" s="250"/>
      <c r="AN33" s="250"/>
      <c r="AO33" s="250"/>
      <c r="AP33" s="250"/>
      <c r="AQ33" s="250"/>
      <c r="AR33" s="250"/>
      <c r="AS33" s="250"/>
      <c r="AT33" s="250"/>
      <c r="AU33" s="250"/>
      <c r="AV33" s="251"/>
      <c r="AW33" s="251"/>
      <c r="AX33" s="250"/>
      <c r="AY33" s="250"/>
      <c r="AZ33" s="250"/>
      <c r="BA33" s="250"/>
      <c r="BB33" s="250"/>
      <c r="BC33" s="250"/>
      <c r="BD33" s="252"/>
      <c r="BE33" s="252"/>
      <c r="BF33" s="252"/>
      <c r="BG33" s="250"/>
      <c r="BH33" s="158"/>
      <c r="BI33" s="158"/>
      <c r="BJ33" s="158"/>
      <c r="BK33" s="158"/>
      <c r="BL33" s="158"/>
      <c r="BM33" s="158"/>
      <c r="BN33" s="158"/>
      <c r="BO33" s="158"/>
    </row>
    <row r="34" spans="1:67" s="253" customFormat="1" x14ac:dyDescent="0.15">
      <c r="A34" s="248"/>
      <c r="B34" s="248"/>
      <c r="C34" s="249" t="s">
        <v>336</v>
      </c>
      <c r="D34" s="220"/>
      <c r="E34" s="248"/>
      <c r="F34" s="250"/>
      <c r="G34" s="250"/>
      <c r="H34" s="250"/>
      <c r="I34" s="250"/>
      <c r="J34" s="250"/>
      <c r="K34" s="250"/>
      <c r="L34" s="250"/>
      <c r="M34" s="250"/>
      <c r="N34" s="250"/>
      <c r="O34" s="250"/>
      <c r="P34" s="250"/>
      <c r="Q34" s="250"/>
      <c r="R34" s="248"/>
      <c r="S34" s="250"/>
      <c r="T34" s="250"/>
      <c r="U34" s="250"/>
      <c r="V34" s="250"/>
      <c r="W34" s="250"/>
      <c r="X34" s="250"/>
      <c r="Y34" s="250"/>
      <c r="Z34" s="250"/>
      <c r="AA34" s="250"/>
      <c r="AB34" s="250"/>
      <c r="AC34" s="248"/>
      <c r="AD34" s="250"/>
      <c r="AE34" s="250"/>
      <c r="AF34" s="248"/>
      <c r="AG34" s="250"/>
      <c r="AH34" s="250"/>
      <c r="AI34" s="250"/>
      <c r="AJ34" s="250"/>
      <c r="AK34" s="250"/>
      <c r="AL34" s="250"/>
      <c r="AM34" s="250"/>
      <c r="AN34" s="250"/>
      <c r="AO34" s="250"/>
      <c r="AP34" s="250"/>
      <c r="AQ34" s="250"/>
      <c r="AR34" s="250"/>
      <c r="AS34" s="250"/>
      <c r="AT34" s="250"/>
      <c r="AU34" s="250"/>
      <c r="AV34" s="251"/>
      <c r="AW34" s="251"/>
      <c r="AX34" s="250"/>
      <c r="AY34" s="250"/>
      <c r="AZ34" s="250"/>
      <c r="BA34" s="250"/>
      <c r="BB34" s="250"/>
      <c r="BC34" s="250"/>
      <c r="BD34" s="252"/>
      <c r="BE34" s="252"/>
      <c r="BF34" s="252"/>
      <c r="BG34" s="250"/>
      <c r="BH34" s="158"/>
      <c r="BI34" s="158"/>
      <c r="BJ34" s="158"/>
      <c r="BK34" s="158"/>
      <c r="BL34" s="158"/>
      <c r="BM34" s="158"/>
      <c r="BN34" s="158"/>
      <c r="BO34" s="158"/>
    </row>
    <row r="35" spans="1:67" s="253" customFormat="1" x14ac:dyDescent="0.15">
      <c r="A35" s="248"/>
      <c r="B35" s="248"/>
      <c r="C35" s="249" t="s">
        <v>337</v>
      </c>
      <c r="D35" s="220"/>
      <c r="E35" s="248"/>
      <c r="F35" s="250"/>
      <c r="G35" s="250"/>
      <c r="H35" s="250"/>
      <c r="I35" s="250"/>
      <c r="J35" s="250"/>
      <c r="K35" s="250"/>
      <c r="L35" s="250"/>
      <c r="M35" s="250"/>
      <c r="N35" s="250"/>
      <c r="O35" s="250"/>
      <c r="P35" s="250"/>
      <c r="Q35" s="250"/>
      <c r="R35" s="248"/>
      <c r="S35" s="250"/>
      <c r="T35" s="250"/>
      <c r="U35" s="250"/>
      <c r="V35" s="250"/>
      <c r="W35" s="250"/>
      <c r="X35" s="250"/>
      <c r="Y35" s="250"/>
      <c r="Z35" s="250"/>
      <c r="AA35" s="250"/>
      <c r="AB35" s="250"/>
      <c r="AC35" s="248"/>
      <c r="AD35" s="250"/>
      <c r="AE35" s="250"/>
      <c r="AF35" s="248"/>
      <c r="AG35" s="250"/>
      <c r="AH35" s="250"/>
      <c r="AI35" s="250"/>
      <c r="AJ35" s="250"/>
      <c r="AK35" s="250"/>
      <c r="AL35" s="250"/>
      <c r="AM35" s="250"/>
      <c r="AN35" s="250"/>
      <c r="AO35" s="250"/>
      <c r="AP35" s="250"/>
      <c r="AQ35" s="250"/>
      <c r="AR35" s="250"/>
      <c r="AS35" s="250"/>
      <c r="AT35" s="250"/>
      <c r="AU35" s="250"/>
      <c r="AV35" s="251"/>
      <c r="AW35" s="251"/>
      <c r="AX35" s="250"/>
      <c r="AY35" s="250"/>
      <c r="AZ35" s="250"/>
      <c r="BA35" s="250"/>
      <c r="BB35" s="250"/>
      <c r="BC35" s="250"/>
      <c r="BD35" s="252"/>
      <c r="BE35" s="252"/>
      <c r="BF35" s="252"/>
      <c r="BG35" s="250"/>
      <c r="BH35" s="158"/>
      <c r="BI35" s="158"/>
      <c r="BJ35" s="158"/>
      <c r="BK35" s="158"/>
      <c r="BL35" s="158"/>
      <c r="BM35" s="158"/>
      <c r="BN35" s="158"/>
      <c r="BO35" s="158"/>
    </row>
    <row r="36" spans="1:67" s="253" customFormat="1" x14ac:dyDescent="0.15">
      <c r="A36" s="248"/>
      <c r="B36" s="248"/>
      <c r="C36" s="249" t="s">
        <v>338</v>
      </c>
      <c r="D36" s="220"/>
      <c r="E36" s="248"/>
      <c r="F36" s="250"/>
      <c r="G36" s="250"/>
      <c r="H36" s="250"/>
      <c r="I36" s="250"/>
      <c r="J36" s="250"/>
      <c r="K36" s="250"/>
      <c r="L36" s="250"/>
      <c r="M36" s="250"/>
      <c r="N36" s="250"/>
      <c r="O36" s="250"/>
      <c r="P36" s="250"/>
      <c r="Q36" s="250"/>
      <c r="R36" s="248"/>
      <c r="S36" s="250"/>
      <c r="T36" s="250"/>
      <c r="U36" s="250"/>
      <c r="V36" s="250"/>
      <c r="W36" s="250"/>
      <c r="X36" s="250"/>
      <c r="Y36" s="250"/>
      <c r="Z36" s="250"/>
      <c r="AA36" s="250"/>
      <c r="AB36" s="250"/>
      <c r="AC36" s="248"/>
      <c r="AD36" s="250"/>
      <c r="AE36" s="250"/>
      <c r="AF36" s="248"/>
      <c r="AG36" s="250"/>
      <c r="AH36" s="250"/>
      <c r="AI36" s="250"/>
      <c r="AJ36" s="250"/>
      <c r="AK36" s="250"/>
      <c r="AL36" s="250"/>
      <c r="AM36" s="250"/>
      <c r="AN36" s="250"/>
      <c r="AO36" s="250"/>
      <c r="AP36" s="250"/>
      <c r="AQ36" s="250"/>
      <c r="AR36" s="250"/>
      <c r="AS36" s="250"/>
      <c r="AT36" s="250"/>
      <c r="AU36" s="250"/>
      <c r="AV36" s="251"/>
      <c r="AW36" s="251"/>
      <c r="AX36" s="250"/>
      <c r="AY36" s="250"/>
      <c r="AZ36" s="250"/>
      <c r="BA36" s="250"/>
      <c r="BB36" s="250"/>
      <c r="BC36" s="250"/>
      <c r="BD36" s="252"/>
      <c r="BE36" s="252"/>
      <c r="BF36" s="252"/>
      <c r="BG36" s="250"/>
      <c r="BH36" s="158"/>
      <c r="BI36" s="158"/>
      <c r="BJ36" s="158"/>
      <c r="BK36" s="158"/>
      <c r="BL36" s="158"/>
      <c r="BM36" s="158"/>
      <c r="BN36" s="158"/>
      <c r="BO36" s="158"/>
    </row>
    <row r="37" spans="1:67" s="253" customFormat="1" x14ac:dyDescent="0.15">
      <c r="A37" s="248"/>
      <c r="B37" s="248"/>
      <c r="C37" s="249" t="s">
        <v>339</v>
      </c>
      <c r="D37" s="220"/>
      <c r="E37" s="248"/>
      <c r="F37" s="250"/>
      <c r="G37" s="250"/>
      <c r="H37" s="250"/>
      <c r="I37" s="250"/>
      <c r="J37" s="250"/>
      <c r="K37" s="250"/>
      <c r="L37" s="250"/>
      <c r="M37" s="250"/>
      <c r="N37" s="250"/>
      <c r="O37" s="250"/>
      <c r="P37" s="250"/>
      <c r="Q37" s="250"/>
      <c r="R37" s="248"/>
      <c r="S37" s="250"/>
      <c r="T37" s="250"/>
      <c r="U37" s="250"/>
      <c r="V37" s="250"/>
      <c r="W37" s="250"/>
      <c r="X37" s="250"/>
      <c r="Y37" s="250"/>
      <c r="Z37" s="250"/>
      <c r="AA37" s="250"/>
      <c r="AB37" s="250"/>
      <c r="AC37" s="248"/>
      <c r="AD37" s="250"/>
      <c r="AE37" s="250"/>
      <c r="AF37" s="248"/>
      <c r="AG37" s="250"/>
      <c r="AH37" s="250"/>
      <c r="AI37" s="250"/>
      <c r="AJ37" s="250"/>
      <c r="AK37" s="250"/>
      <c r="AL37" s="250"/>
      <c r="AM37" s="250"/>
      <c r="AN37" s="250"/>
      <c r="AO37" s="250"/>
      <c r="AP37" s="250"/>
      <c r="AQ37" s="250"/>
      <c r="AR37" s="250"/>
      <c r="AS37" s="250"/>
      <c r="AT37" s="250"/>
      <c r="AU37" s="250"/>
      <c r="AV37" s="251"/>
      <c r="AW37" s="251"/>
      <c r="AX37" s="250"/>
      <c r="AY37" s="250"/>
      <c r="AZ37" s="250"/>
      <c r="BA37" s="250"/>
      <c r="BB37" s="250"/>
      <c r="BC37" s="250"/>
      <c r="BD37" s="252"/>
      <c r="BE37" s="252"/>
      <c r="BF37" s="252"/>
      <c r="BG37" s="250"/>
      <c r="BH37" s="158"/>
      <c r="BI37" s="158"/>
      <c r="BJ37" s="158"/>
      <c r="BK37" s="158"/>
      <c r="BL37" s="158"/>
      <c r="BM37" s="158"/>
      <c r="BN37" s="158"/>
      <c r="BO37" s="158"/>
    </row>
    <row r="38" spans="1:67" s="253" customFormat="1" x14ac:dyDescent="0.15">
      <c r="A38" s="248"/>
      <c r="B38" s="248"/>
      <c r="C38" s="249" t="s">
        <v>340</v>
      </c>
      <c r="D38" s="220"/>
      <c r="E38" s="248"/>
      <c r="F38" s="250"/>
      <c r="G38" s="250"/>
      <c r="H38" s="250"/>
      <c r="I38" s="250"/>
      <c r="J38" s="250"/>
      <c r="K38" s="250"/>
      <c r="L38" s="250"/>
      <c r="M38" s="250"/>
      <c r="N38" s="250"/>
      <c r="O38" s="250"/>
      <c r="P38" s="250"/>
      <c r="Q38" s="250"/>
      <c r="R38" s="248"/>
      <c r="S38" s="250"/>
      <c r="T38" s="250"/>
      <c r="U38" s="250"/>
      <c r="V38" s="250"/>
      <c r="W38" s="250"/>
      <c r="X38" s="250"/>
      <c r="Y38" s="250"/>
      <c r="Z38" s="250"/>
      <c r="AA38" s="250"/>
      <c r="AB38" s="250"/>
      <c r="AC38" s="248"/>
      <c r="AD38" s="250"/>
      <c r="AE38" s="250"/>
      <c r="AF38" s="248"/>
      <c r="AG38" s="250"/>
      <c r="AH38" s="250"/>
      <c r="AI38" s="250"/>
      <c r="AJ38" s="250"/>
      <c r="AK38" s="250"/>
      <c r="AL38" s="250"/>
      <c r="AM38" s="250"/>
      <c r="AN38" s="250"/>
      <c r="AO38" s="250"/>
      <c r="AP38" s="250"/>
      <c r="AQ38" s="250"/>
      <c r="AR38" s="250"/>
      <c r="AS38" s="250"/>
      <c r="AT38" s="250"/>
      <c r="AU38" s="250"/>
      <c r="AV38" s="251"/>
      <c r="AW38" s="251"/>
      <c r="AX38" s="250"/>
      <c r="AY38" s="250"/>
      <c r="AZ38" s="250"/>
      <c r="BA38" s="250"/>
      <c r="BB38" s="250"/>
      <c r="BC38" s="250"/>
      <c r="BD38" s="252"/>
      <c r="BE38" s="252"/>
      <c r="BF38" s="252"/>
      <c r="BG38" s="250"/>
      <c r="BH38" s="158"/>
      <c r="BI38" s="158"/>
      <c r="BJ38" s="158"/>
      <c r="BK38" s="158"/>
      <c r="BL38" s="158"/>
      <c r="BM38" s="158"/>
      <c r="BN38" s="158"/>
      <c r="BO38" s="158"/>
    </row>
    <row r="39" spans="1:67" s="253" customFormat="1" x14ac:dyDescent="0.15">
      <c r="A39" s="248"/>
      <c r="B39" s="248"/>
      <c r="C39" s="249" t="s">
        <v>341</v>
      </c>
      <c r="D39" s="220"/>
      <c r="E39" s="248"/>
      <c r="F39" s="250"/>
      <c r="G39" s="250"/>
      <c r="H39" s="250"/>
      <c r="I39" s="250"/>
      <c r="J39" s="250"/>
      <c r="K39" s="250"/>
      <c r="L39" s="250"/>
      <c r="M39" s="250"/>
      <c r="N39" s="250"/>
      <c r="O39" s="250"/>
      <c r="P39" s="250"/>
      <c r="Q39" s="250"/>
      <c r="R39" s="248"/>
      <c r="S39" s="250"/>
      <c r="T39" s="250"/>
      <c r="U39" s="250"/>
      <c r="V39" s="250"/>
      <c r="W39" s="250"/>
      <c r="X39" s="250"/>
      <c r="Y39" s="250"/>
      <c r="Z39" s="250"/>
      <c r="AA39" s="250"/>
      <c r="AB39" s="250"/>
      <c r="AC39" s="248"/>
      <c r="AD39" s="250"/>
      <c r="AE39" s="250"/>
      <c r="AF39" s="248"/>
      <c r="AG39" s="250"/>
      <c r="AH39" s="250"/>
      <c r="AI39" s="250"/>
      <c r="AJ39" s="250"/>
      <c r="AK39" s="250"/>
      <c r="AL39" s="250"/>
      <c r="AM39" s="250"/>
      <c r="AN39" s="250"/>
      <c r="AO39" s="250"/>
      <c r="AP39" s="250"/>
      <c r="AQ39" s="250"/>
      <c r="AR39" s="250"/>
      <c r="AS39" s="250"/>
      <c r="AT39" s="250"/>
      <c r="AU39" s="250"/>
      <c r="AV39" s="251"/>
      <c r="AW39" s="251"/>
      <c r="AX39" s="250"/>
      <c r="AY39" s="250"/>
      <c r="AZ39" s="250"/>
      <c r="BA39" s="250"/>
      <c r="BB39" s="250"/>
      <c r="BC39" s="250"/>
      <c r="BD39" s="252"/>
      <c r="BE39" s="252"/>
      <c r="BF39" s="252"/>
      <c r="BG39" s="250"/>
      <c r="BH39" s="158"/>
      <c r="BI39" s="158"/>
      <c r="BJ39" s="158"/>
      <c r="BK39" s="158"/>
      <c r="BL39" s="158"/>
      <c r="BM39" s="158"/>
      <c r="BN39" s="158"/>
      <c r="BO39" s="158"/>
    </row>
    <row r="40" spans="1:67" s="253" customFormat="1" x14ac:dyDescent="0.15">
      <c r="A40" s="248"/>
      <c r="B40" s="248"/>
      <c r="C40" s="249" t="s">
        <v>342</v>
      </c>
      <c r="D40" s="220"/>
      <c r="E40" s="248"/>
      <c r="F40" s="250"/>
      <c r="G40" s="250"/>
      <c r="H40" s="250"/>
      <c r="I40" s="250"/>
      <c r="J40" s="250"/>
      <c r="K40" s="250"/>
      <c r="L40" s="250"/>
      <c r="M40" s="250"/>
      <c r="N40" s="250"/>
      <c r="O40" s="250"/>
      <c r="P40" s="250"/>
      <c r="Q40" s="250"/>
      <c r="R40" s="248"/>
      <c r="S40" s="250"/>
      <c r="T40" s="250"/>
      <c r="U40" s="250"/>
      <c r="V40" s="250"/>
      <c r="W40" s="250"/>
      <c r="X40" s="250"/>
      <c r="Y40" s="250"/>
      <c r="Z40" s="250"/>
      <c r="AA40" s="250"/>
      <c r="AB40" s="250"/>
      <c r="AC40" s="248"/>
      <c r="AD40" s="250"/>
      <c r="AE40" s="250"/>
      <c r="AF40" s="248"/>
      <c r="AG40" s="250"/>
      <c r="AH40" s="250"/>
      <c r="AI40" s="250"/>
      <c r="AJ40" s="250"/>
      <c r="AK40" s="250"/>
      <c r="AL40" s="250"/>
      <c r="AM40" s="250"/>
      <c r="AN40" s="250"/>
      <c r="AO40" s="250"/>
      <c r="AP40" s="250"/>
      <c r="AQ40" s="250"/>
      <c r="AR40" s="250"/>
      <c r="AS40" s="250"/>
      <c r="AT40" s="250"/>
      <c r="AU40" s="250"/>
      <c r="AV40" s="251"/>
      <c r="AW40" s="251"/>
      <c r="AX40" s="250"/>
      <c r="AY40" s="250"/>
      <c r="AZ40" s="250"/>
      <c r="BA40" s="250"/>
      <c r="BB40" s="250"/>
      <c r="BC40" s="250"/>
      <c r="BD40" s="252"/>
      <c r="BE40" s="252"/>
      <c r="BF40" s="252"/>
      <c r="BG40" s="250"/>
      <c r="BH40" s="158"/>
      <c r="BI40" s="158"/>
      <c r="BJ40" s="158"/>
      <c r="BK40" s="158"/>
      <c r="BL40" s="158"/>
      <c r="BM40" s="158"/>
      <c r="BN40" s="158"/>
      <c r="BO40" s="158"/>
    </row>
    <row r="41" spans="1:67" s="253" customFormat="1" x14ac:dyDescent="0.15">
      <c r="A41" s="248"/>
      <c r="B41" s="248"/>
      <c r="C41" s="249" t="s">
        <v>343</v>
      </c>
      <c r="D41" s="220"/>
      <c r="E41" s="248"/>
      <c r="F41" s="250"/>
      <c r="G41" s="250"/>
      <c r="H41" s="250"/>
      <c r="I41" s="250"/>
      <c r="J41" s="250"/>
      <c r="K41" s="250"/>
      <c r="L41" s="250"/>
      <c r="M41" s="250"/>
      <c r="N41" s="250"/>
      <c r="O41" s="250"/>
      <c r="P41" s="250"/>
      <c r="Q41" s="250"/>
      <c r="R41" s="248"/>
      <c r="S41" s="250"/>
      <c r="T41" s="250"/>
      <c r="U41" s="250"/>
      <c r="V41" s="250"/>
      <c r="W41" s="250"/>
      <c r="X41" s="250"/>
      <c r="Y41" s="250"/>
      <c r="Z41" s="250"/>
      <c r="AA41" s="250"/>
      <c r="AB41" s="250"/>
      <c r="AC41" s="248"/>
      <c r="AD41" s="250"/>
      <c r="AE41" s="250"/>
      <c r="AF41" s="248"/>
      <c r="AG41" s="250"/>
      <c r="AH41" s="250"/>
      <c r="AI41" s="250"/>
      <c r="AJ41" s="250"/>
      <c r="AK41" s="250"/>
      <c r="AL41" s="250"/>
      <c r="AM41" s="250"/>
      <c r="AN41" s="250"/>
      <c r="AO41" s="250"/>
      <c r="AP41" s="250"/>
      <c r="AQ41" s="250"/>
      <c r="AR41" s="250"/>
      <c r="AS41" s="250"/>
      <c r="AT41" s="250"/>
      <c r="AU41" s="250"/>
      <c r="AV41" s="251"/>
      <c r="AW41" s="251"/>
      <c r="AX41" s="250"/>
      <c r="AY41" s="250"/>
      <c r="AZ41" s="250"/>
      <c r="BA41" s="250"/>
      <c r="BB41" s="250"/>
      <c r="BC41" s="250"/>
      <c r="BD41" s="252"/>
      <c r="BE41" s="252"/>
      <c r="BF41" s="252"/>
      <c r="BG41" s="250"/>
      <c r="BH41" s="158"/>
      <c r="BI41" s="158"/>
      <c r="BJ41" s="158"/>
      <c r="BK41" s="158"/>
      <c r="BL41" s="158"/>
      <c r="BM41" s="158"/>
      <c r="BN41" s="158"/>
      <c r="BO41" s="158"/>
    </row>
    <row r="42" spans="1:67" s="253" customFormat="1" x14ac:dyDescent="0.15">
      <c r="A42" s="248"/>
      <c r="B42" s="248"/>
      <c r="C42" s="249" t="s">
        <v>344</v>
      </c>
      <c r="D42" s="220"/>
      <c r="E42" s="248"/>
      <c r="F42" s="250"/>
      <c r="G42" s="250"/>
      <c r="H42" s="250"/>
      <c r="I42" s="250"/>
      <c r="J42" s="250"/>
      <c r="K42" s="250"/>
      <c r="L42" s="250"/>
      <c r="M42" s="250"/>
      <c r="N42" s="250"/>
      <c r="O42" s="250"/>
      <c r="P42" s="250"/>
      <c r="Q42" s="250"/>
      <c r="R42" s="248"/>
      <c r="S42" s="250"/>
      <c r="T42" s="250"/>
      <c r="U42" s="250"/>
      <c r="V42" s="250"/>
      <c r="W42" s="250"/>
      <c r="X42" s="250"/>
      <c r="Y42" s="250"/>
      <c r="Z42" s="250"/>
      <c r="AA42" s="250"/>
      <c r="AB42" s="250"/>
      <c r="AC42" s="248"/>
      <c r="AD42" s="250"/>
      <c r="AE42" s="250"/>
      <c r="AF42" s="248"/>
      <c r="AG42" s="250"/>
      <c r="AH42" s="250"/>
      <c r="AI42" s="250"/>
      <c r="AJ42" s="250"/>
      <c r="AK42" s="250"/>
      <c r="AL42" s="250"/>
      <c r="AM42" s="250"/>
      <c r="AN42" s="250"/>
      <c r="AO42" s="250"/>
      <c r="AP42" s="250"/>
      <c r="AQ42" s="250"/>
      <c r="AR42" s="250"/>
      <c r="AS42" s="250"/>
      <c r="AT42" s="250"/>
      <c r="AU42" s="250"/>
      <c r="AV42" s="251"/>
      <c r="AW42" s="251"/>
      <c r="AX42" s="250"/>
      <c r="AY42" s="250"/>
      <c r="AZ42" s="250"/>
      <c r="BA42" s="250"/>
      <c r="BB42" s="250"/>
      <c r="BC42" s="250"/>
      <c r="BD42" s="252"/>
      <c r="BE42" s="252"/>
      <c r="BF42" s="252"/>
      <c r="BG42" s="250"/>
      <c r="BH42" s="158"/>
      <c r="BI42" s="158"/>
      <c r="BJ42" s="158"/>
      <c r="BK42" s="158"/>
      <c r="BL42" s="158"/>
      <c r="BM42" s="158"/>
      <c r="BN42" s="158"/>
      <c r="BO42" s="158"/>
    </row>
    <row r="43" spans="1:67" s="253" customFormat="1" x14ac:dyDescent="0.15">
      <c r="A43" s="248"/>
      <c r="B43" s="248"/>
      <c r="C43" s="249" t="s">
        <v>345</v>
      </c>
      <c r="D43" s="220"/>
      <c r="E43" s="248"/>
      <c r="F43" s="250"/>
      <c r="G43" s="250"/>
      <c r="H43" s="250"/>
      <c r="I43" s="250"/>
      <c r="J43" s="250"/>
      <c r="K43" s="250"/>
      <c r="L43" s="250"/>
      <c r="M43" s="250"/>
      <c r="N43" s="250"/>
      <c r="O43" s="250"/>
      <c r="P43" s="250"/>
      <c r="Q43" s="250"/>
      <c r="R43" s="248"/>
      <c r="S43" s="250"/>
      <c r="T43" s="250"/>
      <c r="U43" s="250"/>
      <c r="V43" s="250"/>
      <c r="W43" s="250"/>
      <c r="X43" s="250"/>
      <c r="Y43" s="250"/>
      <c r="Z43" s="250"/>
      <c r="AA43" s="250"/>
      <c r="AB43" s="250"/>
      <c r="AC43" s="248"/>
      <c r="AD43" s="250"/>
      <c r="AE43" s="250"/>
      <c r="AF43" s="248"/>
      <c r="AG43" s="250"/>
      <c r="AH43" s="250"/>
      <c r="AI43" s="250"/>
      <c r="AJ43" s="250"/>
      <c r="AK43" s="250"/>
      <c r="AL43" s="250"/>
      <c r="AM43" s="250"/>
      <c r="AN43" s="250"/>
      <c r="AO43" s="250"/>
      <c r="AP43" s="250"/>
      <c r="AQ43" s="250"/>
      <c r="AR43" s="250"/>
      <c r="AS43" s="250"/>
      <c r="AT43" s="250"/>
      <c r="AU43" s="250"/>
      <c r="AV43" s="251"/>
      <c r="AW43" s="251"/>
      <c r="AX43" s="250"/>
      <c r="AY43" s="250"/>
      <c r="AZ43" s="250"/>
      <c r="BA43" s="250"/>
      <c r="BB43" s="250"/>
      <c r="BC43" s="250"/>
      <c r="BD43" s="252"/>
      <c r="BE43" s="252"/>
      <c r="BF43" s="252"/>
      <c r="BG43" s="250"/>
      <c r="BH43" s="158"/>
      <c r="BI43" s="158"/>
      <c r="BJ43" s="158"/>
      <c r="BK43" s="158"/>
      <c r="BL43" s="158"/>
      <c r="BM43" s="158"/>
      <c r="BN43" s="158"/>
      <c r="BO43" s="158"/>
    </row>
    <row r="44" spans="1:67" s="253" customFormat="1" x14ac:dyDescent="0.15">
      <c r="A44" s="248"/>
      <c r="B44" s="248"/>
      <c r="C44" s="249" t="s">
        <v>346</v>
      </c>
      <c r="D44" s="220"/>
      <c r="E44" s="248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0"/>
      <c r="Q44" s="250"/>
      <c r="R44" s="248"/>
      <c r="S44" s="250"/>
      <c r="T44" s="250"/>
      <c r="U44" s="250"/>
      <c r="V44" s="250"/>
      <c r="W44" s="250"/>
      <c r="X44" s="250"/>
      <c r="Y44" s="250"/>
      <c r="Z44" s="250"/>
      <c r="AA44" s="250"/>
      <c r="AB44" s="250"/>
      <c r="AC44" s="248"/>
      <c r="AD44" s="250"/>
      <c r="AE44" s="250"/>
      <c r="AF44" s="248"/>
      <c r="AG44" s="250"/>
      <c r="AH44" s="250"/>
      <c r="AI44" s="250"/>
      <c r="AJ44" s="250"/>
      <c r="AK44" s="250"/>
      <c r="AL44" s="250"/>
      <c r="AM44" s="250"/>
      <c r="AN44" s="250"/>
      <c r="AO44" s="250"/>
      <c r="AP44" s="250"/>
      <c r="AQ44" s="250"/>
      <c r="AR44" s="250"/>
      <c r="AS44" s="250"/>
      <c r="AT44" s="250"/>
      <c r="AU44" s="250"/>
      <c r="AV44" s="251"/>
      <c r="AW44" s="251"/>
      <c r="AX44" s="250"/>
      <c r="AY44" s="250"/>
      <c r="AZ44" s="250"/>
      <c r="BA44" s="250"/>
      <c r="BB44" s="250"/>
      <c r="BC44" s="250"/>
      <c r="BD44" s="252"/>
      <c r="BE44" s="252"/>
      <c r="BF44" s="252"/>
      <c r="BG44" s="250"/>
      <c r="BH44" s="158"/>
      <c r="BI44" s="158"/>
      <c r="BJ44" s="158"/>
      <c r="BK44" s="158"/>
      <c r="BL44" s="158"/>
      <c r="BM44" s="158"/>
      <c r="BN44" s="158"/>
      <c r="BO44" s="158"/>
    </row>
    <row r="45" spans="1:67" s="253" customFormat="1" x14ac:dyDescent="0.15">
      <c r="A45" s="248"/>
      <c r="B45" s="248"/>
      <c r="C45" s="249" t="s">
        <v>347</v>
      </c>
      <c r="D45" s="220"/>
      <c r="E45" s="248"/>
      <c r="F45" s="250"/>
      <c r="G45" s="250"/>
      <c r="H45" s="250"/>
      <c r="I45" s="250"/>
      <c r="J45" s="250"/>
      <c r="K45" s="250"/>
      <c r="L45" s="250"/>
      <c r="M45" s="250"/>
      <c r="N45" s="250"/>
      <c r="O45" s="250"/>
      <c r="P45" s="250"/>
      <c r="Q45" s="250"/>
      <c r="R45" s="248"/>
      <c r="S45" s="250"/>
      <c r="T45" s="250"/>
      <c r="U45" s="250"/>
      <c r="V45" s="250"/>
      <c r="W45" s="250"/>
      <c r="X45" s="250"/>
      <c r="Y45" s="250"/>
      <c r="Z45" s="250"/>
      <c r="AA45" s="250"/>
      <c r="AB45" s="250"/>
      <c r="AC45" s="248"/>
      <c r="AD45" s="250"/>
      <c r="AE45" s="250"/>
      <c r="AF45" s="248"/>
      <c r="AG45" s="250"/>
      <c r="AH45" s="250"/>
      <c r="AI45" s="250"/>
      <c r="AJ45" s="250"/>
      <c r="AK45" s="250"/>
      <c r="AL45" s="250"/>
      <c r="AM45" s="250"/>
      <c r="AN45" s="250"/>
      <c r="AO45" s="250"/>
      <c r="AP45" s="250"/>
      <c r="AQ45" s="250"/>
      <c r="AR45" s="250"/>
      <c r="AS45" s="250"/>
      <c r="AT45" s="250"/>
      <c r="AU45" s="250"/>
      <c r="AV45" s="251"/>
      <c r="AW45" s="251"/>
      <c r="AX45" s="250"/>
      <c r="AY45" s="250"/>
      <c r="AZ45" s="250"/>
      <c r="BA45" s="250"/>
      <c r="BB45" s="250"/>
      <c r="BC45" s="250"/>
      <c r="BD45" s="252"/>
      <c r="BE45" s="252"/>
      <c r="BF45" s="252"/>
      <c r="BG45" s="250"/>
      <c r="BH45" s="158"/>
      <c r="BI45" s="158"/>
      <c r="BJ45" s="158"/>
      <c r="BK45" s="158"/>
      <c r="BL45" s="158"/>
      <c r="BM45" s="158"/>
      <c r="BN45" s="158"/>
      <c r="BO45" s="158"/>
    </row>
    <row r="46" spans="1:67" s="253" customFormat="1" x14ac:dyDescent="0.15">
      <c r="A46" s="248"/>
      <c r="B46" s="248"/>
      <c r="C46" s="249" t="s">
        <v>348</v>
      </c>
      <c r="D46" s="220"/>
      <c r="E46" s="248"/>
      <c r="F46" s="250"/>
      <c r="G46" s="250"/>
      <c r="H46" s="250"/>
      <c r="I46" s="250"/>
      <c r="J46" s="250"/>
      <c r="K46" s="250"/>
      <c r="L46" s="250"/>
      <c r="M46" s="250"/>
      <c r="N46" s="250"/>
      <c r="O46" s="250"/>
      <c r="P46" s="250"/>
      <c r="Q46" s="250"/>
      <c r="R46" s="248"/>
      <c r="S46" s="250"/>
      <c r="T46" s="250"/>
      <c r="U46" s="250"/>
      <c r="V46" s="250"/>
      <c r="W46" s="250"/>
      <c r="X46" s="250"/>
      <c r="Y46" s="250"/>
      <c r="Z46" s="250"/>
      <c r="AA46" s="250"/>
      <c r="AB46" s="250"/>
      <c r="AC46" s="248"/>
      <c r="AD46" s="250"/>
      <c r="AE46" s="250"/>
      <c r="AF46" s="248"/>
      <c r="AG46" s="250"/>
      <c r="AH46" s="250"/>
      <c r="AI46" s="250"/>
      <c r="AJ46" s="250"/>
      <c r="AK46" s="250"/>
      <c r="AL46" s="250"/>
      <c r="AM46" s="250"/>
      <c r="AN46" s="250"/>
      <c r="AO46" s="250"/>
      <c r="AP46" s="250"/>
      <c r="AQ46" s="250"/>
      <c r="AR46" s="250"/>
      <c r="AS46" s="250"/>
      <c r="AT46" s="250"/>
      <c r="AU46" s="250"/>
      <c r="AV46" s="251"/>
      <c r="AW46" s="251"/>
      <c r="AX46" s="250"/>
      <c r="AY46" s="250"/>
      <c r="AZ46" s="250"/>
      <c r="BA46" s="250"/>
      <c r="BB46" s="250"/>
      <c r="BC46" s="250"/>
      <c r="BD46" s="252"/>
      <c r="BE46" s="252"/>
      <c r="BF46" s="252"/>
      <c r="BG46" s="250"/>
      <c r="BH46" s="158"/>
      <c r="BI46" s="158"/>
      <c r="BJ46" s="158"/>
      <c r="BK46" s="158"/>
      <c r="BL46" s="158"/>
      <c r="BM46" s="158"/>
      <c r="BN46" s="158"/>
      <c r="BO46" s="158"/>
    </row>
    <row r="47" spans="1:67" s="253" customFormat="1" x14ac:dyDescent="0.15">
      <c r="A47" s="248"/>
      <c r="B47" s="248"/>
      <c r="C47" s="249" t="s">
        <v>349</v>
      </c>
      <c r="D47" s="220"/>
      <c r="E47" s="248"/>
      <c r="F47" s="250"/>
      <c r="G47" s="250"/>
      <c r="H47" s="250"/>
      <c r="I47" s="250"/>
      <c r="J47" s="250"/>
      <c r="K47" s="250"/>
      <c r="L47" s="250"/>
      <c r="M47" s="250"/>
      <c r="N47" s="250"/>
      <c r="O47" s="250"/>
      <c r="P47" s="250"/>
      <c r="Q47" s="250"/>
      <c r="R47" s="248"/>
      <c r="S47" s="250"/>
      <c r="T47" s="250"/>
      <c r="U47" s="250"/>
      <c r="V47" s="250"/>
      <c r="W47" s="250"/>
      <c r="X47" s="250"/>
      <c r="Y47" s="250"/>
      <c r="Z47" s="250"/>
      <c r="AA47" s="250"/>
      <c r="AB47" s="250"/>
      <c r="AC47" s="248"/>
      <c r="AD47" s="250"/>
      <c r="AE47" s="250"/>
      <c r="AF47" s="248"/>
      <c r="AG47" s="250"/>
      <c r="AH47" s="250"/>
      <c r="AI47" s="250"/>
      <c r="AJ47" s="250"/>
      <c r="AK47" s="250"/>
      <c r="AL47" s="250"/>
      <c r="AM47" s="250"/>
      <c r="AN47" s="250"/>
      <c r="AO47" s="250"/>
      <c r="AP47" s="250"/>
      <c r="AQ47" s="250"/>
      <c r="AR47" s="250"/>
      <c r="AS47" s="250"/>
      <c r="AT47" s="250"/>
      <c r="AU47" s="250"/>
      <c r="AV47" s="251"/>
      <c r="AW47" s="251"/>
      <c r="AX47" s="250"/>
      <c r="AY47" s="250"/>
      <c r="AZ47" s="250"/>
      <c r="BA47" s="250"/>
      <c r="BB47" s="250"/>
      <c r="BC47" s="250"/>
      <c r="BD47" s="252"/>
      <c r="BE47" s="252"/>
      <c r="BF47" s="252"/>
      <c r="BG47" s="250"/>
      <c r="BH47" s="158"/>
      <c r="BI47" s="158"/>
      <c r="BJ47" s="158"/>
      <c r="BK47" s="158"/>
      <c r="BL47" s="158"/>
      <c r="BM47" s="158"/>
      <c r="BN47" s="158"/>
      <c r="BO47" s="158"/>
    </row>
    <row r="48" spans="1:67" s="253" customFormat="1" x14ac:dyDescent="0.15">
      <c r="A48" s="248"/>
      <c r="B48" s="248"/>
      <c r="C48" s="249" t="s">
        <v>350</v>
      </c>
      <c r="D48" s="582"/>
      <c r="E48" s="248"/>
      <c r="F48" s="250"/>
      <c r="G48" s="250"/>
      <c r="H48" s="250"/>
      <c r="I48" s="250"/>
      <c r="J48" s="250"/>
      <c r="K48" s="250"/>
      <c r="L48" s="250"/>
      <c r="M48" s="250"/>
      <c r="N48" s="250"/>
      <c r="O48" s="250"/>
      <c r="P48" s="250"/>
      <c r="Q48" s="250"/>
      <c r="R48" s="248"/>
      <c r="S48" s="250"/>
      <c r="T48" s="250"/>
      <c r="U48" s="250"/>
      <c r="V48" s="250"/>
      <c r="W48" s="250"/>
      <c r="X48" s="250"/>
      <c r="Y48" s="250"/>
      <c r="Z48" s="250"/>
      <c r="AA48" s="250"/>
      <c r="AB48" s="250"/>
      <c r="AC48" s="248"/>
      <c r="AD48" s="250"/>
      <c r="AE48" s="250"/>
      <c r="AF48" s="248"/>
      <c r="AG48" s="250"/>
      <c r="AH48" s="250"/>
      <c r="AI48" s="250"/>
      <c r="AJ48" s="250"/>
      <c r="AK48" s="250"/>
      <c r="AL48" s="250"/>
      <c r="AM48" s="250"/>
      <c r="AN48" s="250"/>
      <c r="AO48" s="250"/>
      <c r="AP48" s="250"/>
      <c r="AQ48" s="250"/>
      <c r="AR48" s="250"/>
      <c r="AS48" s="250"/>
      <c r="AT48" s="250"/>
      <c r="AU48" s="250"/>
      <c r="AV48" s="251"/>
      <c r="AW48" s="251"/>
      <c r="AX48" s="250"/>
      <c r="AY48" s="250"/>
      <c r="AZ48" s="250"/>
      <c r="BA48" s="250"/>
      <c r="BB48" s="250"/>
      <c r="BC48" s="250"/>
      <c r="BD48" s="252"/>
      <c r="BE48" s="252"/>
      <c r="BF48" s="252"/>
      <c r="BG48" s="250"/>
      <c r="BH48" s="158"/>
      <c r="BI48" s="158"/>
      <c r="BJ48" s="158"/>
      <c r="BK48" s="158"/>
      <c r="BL48" s="158"/>
      <c r="BM48" s="158"/>
      <c r="BN48" s="158"/>
      <c r="BO48" s="158"/>
    </row>
    <row r="49" spans="1:67" s="253" customFormat="1" x14ac:dyDescent="0.15">
      <c r="A49" s="248"/>
      <c r="B49" s="248"/>
      <c r="C49" s="249" t="s">
        <v>351</v>
      </c>
      <c r="D49" s="582"/>
      <c r="E49" s="248"/>
      <c r="F49" s="250"/>
      <c r="G49" s="250"/>
      <c r="H49" s="250"/>
      <c r="I49" s="250"/>
      <c r="J49" s="250"/>
      <c r="K49" s="250"/>
      <c r="L49" s="250"/>
      <c r="M49" s="250"/>
      <c r="N49" s="250"/>
      <c r="O49" s="250"/>
      <c r="P49" s="250"/>
      <c r="Q49" s="250"/>
      <c r="R49" s="248"/>
      <c r="S49" s="250"/>
      <c r="T49" s="250"/>
      <c r="U49" s="250"/>
      <c r="V49" s="250"/>
      <c r="W49" s="250"/>
      <c r="X49" s="250"/>
      <c r="Y49" s="250"/>
      <c r="Z49" s="250"/>
      <c r="AA49" s="250"/>
      <c r="AB49" s="250"/>
      <c r="AC49" s="248"/>
      <c r="AD49" s="250"/>
      <c r="AE49" s="250"/>
      <c r="AF49" s="248"/>
      <c r="AG49" s="250"/>
      <c r="AH49" s="250"/>
      <c r="AI49" s="250"/>
      <c r="AJ49" s="250"/>
      <c r="AK49" s="250"/>
      <c r="AL49" s="250"/>
      <c r="AM49" s="250"/>
      <c r="AN49" s="250"/>
      <c r="AO49" s="250"/>
      <c r="AP49" s="250"/>
      <c r="AQ49" s="250"/>
      <c r="AR49" s="250"/>
      <c r="AS49" s="250"/>
      <c r="AT49" s="250"/>
      <c r="AU49" s="250"/>
      <c r="AV49" s="251"/>
      <c r="AW49" s="251"/>
      <c r="AX49" s="250"/>
      <c r="AY49" s="250"/>
      <c r="AZ49" s="250"/>
      <c r="BA49" s="250"/>
      <c r="BB49" s="250"/>
      <c r="BC49" s="250"/>
      <c r="BD49" s="252"/>
      <c r="BE49" s="252"/>
      <c r="BF49" s="252"/>
      <c r="BG49" s="250"/>
      <c r="BH49" s="158"/>
      <c r="BI49" s="158"/>
      <c r="BJ49" s="158"/>
      <c r="BK49" s="158"/>
      <c r="BL49" s="158"/>
      <c r="BM49" s="158"/>
      <c r="BN49" s="158"/>
      <c r="BO49" s="158"/>
    </row>
    <row r="50" spans="1:67" s="253" customFormat="1" x14ac:dyDescent="0.15">
      <c r="A50" s="248"/>
      <c r="B50" s="248"/>
      <c r="C50" s="249" t="s">
        <v>352</v>
      </c>
      <c r="D50" s="582"/>
      <c r="E50" s="248"/>
      <c r="F50" s="250"/>
      <c r="G50" s="250"/>
      <c r="H50" s="250"/>
      <c r="I50" s="250"/>
      <c r="J50" s="250"/>
      <c r="K50" s="250"/>
      <c r="L50" s="250"/>
      <c r="M50" s="250"/>
      <c r="N50" s="250"/>
      <c r="O50" s="250"/>
      <c r="P50" s="250"/>
      <c r="Q50" s="250"/>
      <c r="R50" s="248"/>
      <c r="S50" s="250"/>
      <c r="T50" s="250"/>
      <c r="U50" s="250"/>
      <c r="V50" s="250"/>
      <c r="W50" s="250"/>
      <c r="X50" s="250"/>
      <c r="Y50" s="250"/>
      <c r="Z50" s="250"/>
      <c r="AA50" s="250"/>
      <c r="AB50" s="250"/>
      <c r="AC50" s="248"/>
      <c r="AD50" s="250"/>
      <c r="AE50" s="250"/>
      <c r="AF50" s="248"/>
      <c r="AG50" s="250"/>
      <c r="AH50" s="250"/>
      <c r="AI50" s="250"/>
      <c r="AJ50" s="250"/>
      <c r="AK50" s="250"/>
      <c r="AL50" s="250"/>
      <c r="AM50" s="250"/>
      <c r="AN50" s="250"/>
      <c r="AO50" s="250"/>
      <c r="AP50" s="250"/>
      <c r="AQ50" s="250"/>
      <c r="AR50" s="250"/>
      <c r="AS50" s="250"/>
      <c r="AT50" s="250"/>
      <c r="AU50" s="250"/>
      <c r="AV50" s="251"/>
      <c r="AW50" s="251"/>
      <c r="AX50" s="250"/>
      <c r="AY50" s="250"/>
      <c r="AZ50" s="250"/>
      <c r="BA50" s="250"/>
      <c r="BB50" s="250"/>
      <c r="BC50" s="250"/>
      <c r="BD50" s="252"/>
      <c r="BE50" s="252"/>
      <c r="BF50" s="252"/>
      <c r="BG50" s="250"/>
      <c r="BH50" s="158"/>
      <c r="BI50" s="158"/>
      <c r="BJ50" s="158"/>
      <c r="BK50" s="158"/>
      <c r="BL50" s="158"/>
      <c r="BM50" s="158"/>
      <c r="BN50" s="158"/>
      <c r="BO50" s="158"/>
    </row>
    <row r="51" spans="1:67" s="253" customFormat="1" x14ac:dyDescent="0.15">
      <c r="A51" s="248"/>
      <c r="B51" s="248"/>
      <c r="C51" s="249" t="s">
        <v>353</v>
      </c>
      <c r="D51" s="582"/>
      <c r="E51" s="248"/>
      <c r="F51" s="250"/>
      <c r="G51" s="250"/>
      <c r="H51" s="250"/>
      <c r="I51" s="250"/>
      <c r="J51" s="250"/>
      <c r="K51" s="250"/>
      <c r="L51" s="250"/>
      <c r="M51" s="250"/>
      <c r="N51" s="250"/>
      <c r="O51" s="250"/>
      <c r="P51" s="250"/>
      <c r="Q51" s="250"/>
      <c r="R51" s="248"/>
      <c r="S51" s="250"/>
      <c r="T51" s="250"/>
      <c r="U51" s="250"/>
      <c r="V51" s="250"/>
      <c r="W51" s="250"/>
      <c r="X51" s="250"/>
      <c r="Y51" s="250"/>
      <c r="Z51" s="250"/>
      <c r="AA51" s="250"/>
      <c r="AB51" s="250"/>
      <c r="AC51" s="248"/>
      <c r="AD51" s="250"/>
      <c r="AE51" s="250"/>
      <c r="AF51" s="248"/>
      <c r="AG51" s="250"/>
      <c r="AH51" s="250"/>
      <c r="AI51" s="250"/>
      <c r="AJ51" s="250"/>
      <c r="AK51" s="250"/>
      <c r="AL51" s="250"/>
      <c r="AM51" s="250"/>
      <c r="AN51" s="250"/>
      <c r="AO51" s="250"/>
      <c r="AP51" s="250"/>
      <c r="AQ51" s="250"/>
      <c r="AR51" s="250"/>
      <c r="AS51" s="250"/>
      <c r="AT51" s="250"/>
      <c r="AU51" s="250"/>
      <c r="AV51" s="251"/>
      <c r="AW51" s="251"/>
      <c r="AX51" s="250"/>
      <c r="AY51" s="250"/>
      <c r="AZ51" s="250"/>
      <c r="BA51" s="250"/>
      <c r="BB51" s="250"/>
      <c r="BC51" s="250"/>
      <c r="BD51" s="252"/>
      <c r="BE51" s="252"/>
      <c r="BF51" s="252"/>
      <c r="BG51" s="250"/>
      <c r="BH51" s="158"/>
      <c r="BI51" s="158"/>
      <c r="BJ51" s="158"/>
      <c r="BK51" s="158"/>
      <c r="BL51" s="158"/>
      <c r="BM51" s="158"/>
      <c r="BN51" s="158"/>
      <c r="BO51" s="158"/>
    </row>
    <row r="52" spans="1:67" s="253" customFormat="1" x14ac:dyDescent="0.15">
      <c r="A52" s="248"/>
      <c r="B52" s="248"/>
      <c r="C52" s="249" t="s">
        <v>354</v>
      </c>
      <c r="D52" s="582"/>
      <c r="E52" s="248"/>
      <c r="F52" s="250"/>
      <c r="G52" s="250"/>
      <c r="H52" s="250"/>
      <c r="I52" s="250"/>
      <c r="J52" s="250"/>
      <c r="K52" s="250"/>
      <c r="L52" s="250"/>
      <c r="M52" s="250"/>
      <c r="N52" s="250"/>
      <c r="O52" s="250"/>
      <c r="P52" s="250"/>
      <c r="Q52" s="250"/>
      <c r="R52" s="248"/>
      <c r="S52" s="250"/>
      <c r="T52" s="250"/>
      <c r="U52" s="250"/>
      <c r="V52" s="250"/>
      <c r="W52" s="250"/>
      <c r="X52" s="250"/>
      <c r="Y52" s="250"/>
      <c r="Z52" s="250"/>
      <c r="AA52" s="250"/>
      <c r="AB52" s="250"/>
      <c r="AC52" s="248"/>
      <c r="AD52" s="250"/>
      <c r="AE52" s="250"/>
      <c r="AF52" s="248"/>
      <c r="AG52" s="250"/>
      <c r="AH52" s="250"/>
      <c r="AI52" s="250"/>
      <c r="AJ52" s="250"/>
      <c r="AK52" s="250"/>
      <c r="AL52" s="250"/>
      <c r="AM52" s="250"/>
      <c r="AN52" s="250"/>
      <c r="AO52" s="250"/>
      <c r="AP52" s="250"/>
      <c r="AQ52" s="250"/>
      <c r="AR52" s="250"/>
      <c r="AS52" s="250"/>
      <c r="AT52" s="250"/>
      <c r="AU52" s="250"/>
      <c r="AV52" s="251"/>
      <c r="AW52" s="251"/>
      <c r="AX52" s="250"/>
      <c r="AY52" s="250"/>
      <c r="AZ52" s="250"/>
      <c r="BA52" s="250"/>
      <c r="BB52" s="250"/>
      <c r="BC52" s="250"/>
      <c r="BD52" s="252"/>
      <c r="BE52" s="252"/>
      <c r="BF52" s="252"/>
      <c r="BG52" s="250"/>
      <c r="BH52" s="158"/>
      <c r="BI52" s="158"/>
      <c r="BJ52" s="158"/>
      <c r="BK52" s="158"/>
      <c r="BL52" s="158"/>
      <c r="BM52" s="158"/>
      <c r="BN52" s="158"/>
      <c r="BO52" s="158"/>
    </row>
    <row r="53" spans="1:67" s="253" customFormat="1" x14ac:dyDescent="0.15">
      <c r="A53" s="248"/>
      <c r="B53" s="248"/>
      <c r="C53" s="249" t="s">
        <v>355</v>
      </c>
      <c r="D53" s="582"/>
      <c r="E53" s="248"/>
      <c r="F53" s="250"/>
      <c r="G53" s="250"/>
      <c r="H53" s="250"/>
      <c r="I53" s="250"/>
      <c r="J53" s="250"/>
      <c r="K53" s="250"/>
      <c r="L53" s="250"/>
      <c r="M53" s="250"/>
      <c r="N53" s="250"/>
      <c r="O53" s="250"/>
      <c r="P53" s="250"/>
      <c r="Q53" s="250"/>
      <c r="R53" s="248"/>
      <c r="S53" s="250"/>
      <c r="T53" s="250"/>
      <c r="U53" s="250"/>
      <c r="V53" s="250"/>
      <c r="W53" s="250"/>
      <c r="X53" s="250"/>
      <c r="Y53" s="250"/>
      <c r="Z53" s="250"/>
      <c r="AA53" s="250"/>
      <c r="AB53" s="250"/>
      <c r="AC53" s="248"/>
      <c r="AD53" s="250"/>
      <c r="AE53" s="250"/>
      <c r="AF53" s="248"/>
      <c r="AG53" s="250"/>
      <c r="AH53" s="250"/>
      <c r="AI53" s="250"/>
      <c r="AJ53" s="250"/>
      <c r="AK53" s="250"/>
      <c r="AL53" s="250"/>
      <c r="AM53" s="250"/>
      <c r="AN53" s="250"/>
      <c r="AO53" s="250"/>
      <c r="AP53" s="250"/>
      <c r="AQ53" s="250"/>
      <c r="AR53" s="250"/>
      <c r="AS53" s="250"/>
      <c r="AT53" s="250"/>
      <c r="AU53" s="250"/>
      <c r="AV53" s="251"/>
      <c r="AW53" s="251"/>
      <c r="AX53" s="250"/>
      <c r="AY53" s="250"/>
      <c r="AZ53" s="250"/>
      <c r="BA53" s="250"/>
      <c r="BB53" s="250"/>
      <c r="BC53" s="250"/>
      <c r="BD53" s="252"/>
      <c r="BE53" s="252"/>
      <c r="BF53" s="252"/>
      <c r="BG53" s="250"/>
      <c r="BH53" s="158"/>
      <c r="BI53" s="158"/>
      <c r="BJ53" s="158"/>
      <c r="BK53" s="158"/>
      <c r="BL53" s="158"/>
      <c r="BM53" s="158"/>
      <c r="BN53" s="158"/>
      <c r="BO53" s="158"/>
    </row>
    <row r="54" spans="1:67" s="253" customFormat="1" x14ac:dyDescent="0.15">
      <c r="A54" s="248"/>
      <c r="B54" s="248"/>
      <c r="C54" s="249" t="s">
        <v>356</v>
      </c>
      <c r="D54" s="582"/>
      <c r="E54" s="248"/>
      <c r="F54" s="250"/>
      <c r="G54" s="250"/>
      <c r="H54" s="250"/>
      <c r="I54" s="250"/>
      <c r="J54" s="250"/>
      <c r="K54" s="250"/>
      <c r="L54" s="250"/>
      <c r="M54" s="250"/>
      <c r="N54" s="250"/>
      <c r="O54" s="250"/>
      <c r="P54" s="250"/>
      <c r="Q54" s="250"/>
      <c r="R54" s="248"/>
      <c r="S54" s="250"/>
      <c r="T54" s="250"/>
      <c r="U54" s="250"/>
      <c r="V54" s="250"/>
      <c r="W54" s="250"/>
      <c r="X54" s="250"/>
      <c r="Y54" s="250"/>
      <c r="Z54" s="250"/>
      <c r="AA54" s="250"/>
      <c r="AB54" s="250"/>
      <c r="AC54" s="248"/>
      <c r="AD54" s="250"/>
      <c r="AE54" s="250"/>
      <c r="AF54" s="248"/>
      <c r="AG54" s="250"/>
      <c r="AH54" s="250"/>
      <c r="AI54" s="250"/>
      <c r="AJ54" s="250"/>
      <c r="AK54" s="250"/>
      <c r="AL54" s="250"/>
      <c r="AM54" s="250"/>
      <c r="AN54" s="250"/>
      <c r="AO54" s="250"/>
      <c r="AP54" s="250"/>
      <c r="AQ54" s="250"/>
      <c r="AR54" s="250"/>
      <c r="AS54" s="250"/>
      <c r="AT54" s="250"/>
      <c r="AU54" s="250"/>
      <c r="AV54" s="251"/>
      <c r="AW54" s="251"/>
      <c r="AX54" s="250"/>
      <c r="AY54" s="250"/>
      <c r="AZ54" s="250"/>
      <c r="BA54" s="250"/>
      <c r="BB54" s="250"/>
      <c r="BC54" s="250"/>
      <c r="BD54" s="252"/>
      <c r="BE54" s="252"/>
      <c r="BF54" s="252"/>
      <c r="BG54" s="250"/>
      <c r="BH54" s="158"/>
      <c r="BI54" s="158"/>
      <c r="BJ54" s="158"/>
      <c r="BK54" s="158"/>
      <c r="BL54" s="158"/>
      <c r="BM54" s="158"/>
      <c r="BN54" s="158"/>
      <c r="BO54" s="158"/>
    </row>
    <row r="55" spans="1:67" s="253" customFormat="1" x14ac:dyDescent="0.15">
      <c r="A55" s="248"/>
      <c r="B55" s="248"/>
      <c r="C55" s="249" t="s">
        <v>357</v>
      </c>
      <c r="D55" s="582"/>
      <c r="E55" s="248"/>
      <c r="F55" s="250"/>
      <c r="G55" s="250"/>
      <c r="H55" s="250"/>
      <c r="I55" s="250"/>
      <c r="J55" s="250"/>
      <c r="K55" s="250"/>
      <c r="L55" s="250"/>
      <c r="M55" s="250"/>
      <c r="N55" s="250"/>
      <c r="O55" s="250"/>
      <c r="P55" s="250"/>
      <c r="Q55" s="250"/>
      <c r="R55" s="248"/>
      <c r="S55" s="250"/>
      <c r="T55" s="250"/>
      <c r="U55" s="250"/>
      <c r="V55" s="250"/>
      <c r="W55" s="250"/>
      <c r="X55" s="250"/>
      <c r="Y55" s="250"/>
      <c r="Z55" s="250"/>
      <c r="AA55" s="250"/>
      <c r="AB55" s="250"/>
      <c r="AC55" s="248"/>
      <c r="AD55" s="250"/>
      <c r="AE55" s="250"/>
      <c r="AF55" s="248"/>
      <c r="AG55" s="250"/>
      <c r="AH55" s="250"/>
      <c r="AI55" s="250"/>
      <c r="AJ55" s="250"/>
      <c r="AK55" s="250"/>
      <c r="AL55" s="250"/>
      <c r="AM55" s="250"/>
      <c r="AN55" s="250"/>
      <c r="AO55" s="250"/>
      <c r="AP55" s="250"/>
      <c r="AQ55" s="250"/>
      <c r="AR55" s="250"/>
      <c r="AS55" s="250"/>
      <c r="AT55" s="250"/>
      <c r="AU55" s="250"/>
      <c r="AV55" s="251"/>
      <c r="AW55" s="251"/>
      <c r="AX55" s="250"/>
      <c r="AY55" s="250"/>
      <c r="AZ55" s="250"/>
      <c r="BA55" s="250"/>
      <c r="BB55" s="250"/>
      <c r="BC55" s="250"/>
      <c r="BD55" s="252"/>
      <c r="BE55" s="252"/>
      <c r="BF55" s="252"/>
      <c r="BG55" s="250"/>
      <c r="BH55" s="158"/>
      <c r="BI55" s="158"/>
      <c r="BJ55" s="158"/>
      <c r="BK55" s="158"/>
      <c r="BL55" s="158"/>
      <c r="BM55" s="158"/>
      <c r="BN55" s="158"/>
      <c r="BO55" s="158"/>
    </row>
    <row r="56" spans="1:67" s="253" customFormat="1" x14ac:dyDescent="0.15">
      <c r="A56" s="248"/>
      <c r="B56" s="248"/>
      <c r="C56" s="249" t="s">
        <v>358</v>
      </c>
      <c r="D56" s="582"/>
      <c r="E56" s="248"/>
      <c r="F56" s="250"/>
      <c r="G56" s="250"/>
      <c r="H56" s="250"/>
      <c r="I56" s="250"/>
      <c r="J56" s="250"/>
      <c r="K56" s="250"/>
      <c r="L56" s="250"/>
      <c r="M56" s="250"/>
      <c r="N56" s="250"/>
      <c r="O56" s="250"/>
      <c r="P56" s="250"/>
      <c r="Q56" s="250"/>
      <c r="R56" s="248"/>
      <c r="S56" s="250"/>
      <c r="T56" s="250"/>
      <c r="U56" s="250"/>
      <c r="V56" s="250"/>
      <c r="W56" s="250"/>
      <c r="X56" s="250"/>
      <c r="Y56" s="250"/>
      <c r="Z56" s="250"/>
      <c r="AA56" s="250"/>
      <c r="AB56" s="250"/>
      <c r="AC56" s="248"/>
      <c r="AD56" s="250"/>
      <c r="AE56" s="250"/>
      <c r="AF56" s="248"/>
      <c r="AG56" s="250"/>
      <c r="AH56" s="250"/>
      <c r="AI56" s="250"/>
      <c r="AJ56" s="250"/>
      <c r="AK56" s="250"/>
      <c r="AL56" s="250"/>
      <c r="AM56" s="250"/>
      <c r="AN56" s="250"/>
      <c r="AO56" s="250"/>
      <c r="AP56" s="250"/>
      <c r="AQ56" s="250"/>
      <c r="AR56" s="250"/>
      <c r="AS56" s="250"/>
      <c r="AT56" s="250"/>
      <c r="AU56" s="250"/>
      <c r="AV56" s="251"/>
      <c r="AW56" s="251"/>
      <c r="AX56" s="250"/>
      <c r="AY56" s="250"/>
      <c r="AZ56" s="250"/>
      <c r="BA56" s="250"/>
      <c r="BB56" s="250"/>
      <c r="BC56" s="250"/>
      <c r="BD56" s="252"/>
      <c r="BE56" s="252"/>
      <c r="BF56" s="252"/>
      <c r="BG56" s="250"/>
      <c r="BH56" s="158"/>
      <c r="BI56" s="158"/>
      <c r="BJ56" s="158"/>
      <c r="BK56" s="158"/>
      <c r="BL56" s="158"/>
      <c r="BM56" s="158"/>
      <c r="BN56" s="158"/>
      <c r="BO56" s="158"/>
    </row>
    <row r="57" spans="1:67" s="253" customFormat="1" x14ac:dyDescent="0.15">
      <c r="A57" s="248"/>
      <c r="B57" s="248"/>
      <c r="C57" s="249" t="s">
        <v>359</v>
      </c>
      <c r="D57" s="582"/>
      <c r="E57" s="248"/>
      <c r="F57" s="250"/>
      <c r="G57" s="250"/>
      <c r="H57" s="250"/>
      <c r="I57" s="250"/>
      <c r="J57" s="250"/>
      <c r="K57" s="250"/>
      <c r="L57" s="250"/>
      <c r="M57" s="250"/>
      <c r="N57" s="250"/>
      <c r="O57" s="250"/>
      <c r="P57" s="250"/>
      <c r="Q57" s="250"/>
      <c r="R57" s="248"/>
      <c r="S57" s="250"/>
      <c r="T57" s="250"/>
      <c r="U57" s="250"/>
      <c r="V57" s="250"/>
      <c r="W57" s="250"/>
      <c r="X57" s="250"/>
      <c r="Y57" s="250"/>
      <c r="Z57" s="250"/>
      <c r="AA57" s="250"/>
      <c r="AB57" s="250"/>
      <c r="AC57" s="248"/>
      <c r="AD57" s="250"/>
      <c r="AE57" s="250"/>
      <c r="AF57" s="248"/>
      <c r="AG57" s="250"/>
      <c r="AH57" s="250"/>
      <c r="AI57" s="250"/>
      <c r="AJ57" s="250"/>
      <c r="AK57" s="250"/>
      <c r="AL57" s="250"/>
      <c r="AM57" s="250"/>
      <c r="AN57" s="250"/>
      <c r="AO57" s="250"/>
      <c r="AP57" s="250"/>
      <c r="AQ57" s="250"/>
      <c r="AR57" s="250"/>
      <c r="AS57" s="250"/>
      <c r="AT57" s="250"/>
      <c r="AU57" s="250"/>
      <c r="AV57" s="251"/>
      <c r="AW57" s="251"/>
      <c r="AX57" s="250"/>
      <c r="AY57" s="250"/>
      <c r="AZ57" s="250"/>
      <c r="BA57" s="250"/>
      <c r="BB57" s="250"/>
      <c r="BC57" s="250"/>
      <c r="BD57" s="252"/>
      <c r="BE57" s="252"/>
      <c r="BF57" s="252"/>
      <c r="BG57" s="250"/>
      <c r="BH57" s="158"/>
      <c r="BI57" s="158"/>
      <c r="BJ57" s="158"/>
      <c r="BK57" s="158"/>
      <c r="BL57" s="158"/>
      <c r="BM57" s="158"/>
      <c r="BN57" s="158"/>
      <c r="BO57" s="158"/>
    </row>
    <row r="58" spans="1:67" s="253" customFormat="1" x14ac:dyDescent="0.15">
      <c r="A58" s="248"/>
      <c r="B58" s="248"/>
      <c r="C58" s="249" t="s">
        <v>360</v>
      </c>
      <c r="D58" s="582"/>
      <c r="E58" s="248"/>
      <c r="F58" s="250"/>
      <c r="G58" s="250"/>
      <c r="H58" s="250"/>
      <c r="I58" s="250"/>
      <c r="J58" s="250"/>
      <c r="K58" s="250"/>
      <c r="L58" s="250"/>
      <c r="M58" s="250"/>
      <c r="N58" s="250"/>
      <c r="O58" s="250"/>
      <c r="P58" s="250"/>
      <c r="Q58" s="250"/>
      <c r="R58" s="248"/>
      <c r="S58" s="250"/>
      <c r="T58" s="250"/>
      <c r="U58" s="250"/>
      <c r="V58" s="250"/>
      <c r="W58" s="250"/>
      <c r="X58" s="250"/>
      <c r="Y58" s="250"/>
      <c r="Z58" s="250"/>
      <c r="AA58" s="250"/>
      <c r="AB58" s="250"/>
      <c r="AC58" s="248"/>
      <c r="AD58" s="250"/>
      <c r="AE58" s="250"/>
      <c r="AF58" s="248"/>
      <c r="AG58" s="250"/>
      <c r="AH58" s="250"/>
      <c r="AI58" s="250"/>
      <c r="AJ58" s="250"/>
      <c r="AK58" s="250"/>
      <c r="AL58" s="250"/>
      <c r="AM58" s="250"/>
      <c r="AN58" s="250"/>
      <c r="AO58" s="250"/>
      <c r="AP58" s="250"/>
      <c r="AQ58" s="250"/>
      <c r="AR58" s="250"/>
      <c r="AS58" s="250"/>
      <c r="AT58" s="250"/>
      <c r="AU58" s="250"/>
      <c r="AV58" s="251"/>
      <c r="AW58" s="251"/>
      <c r="AX58" s="250"/>
      <c r="AY58" s="250"/>
      <c r="AZ58" s="250"/>
      <c r="BA58" s="250"/>
      <c r="BB58" s="250"/>
      <c r="BC58" s="250"/>
      <c r="BD58" s="252"/>
      <c r="BE58" s="252"/>
      <c r="BF58" s="252"/>
      <c r="BG58" s="250"/>
      <c r="BH58" s="158"/>
      <c r="BI58" s="158"/>
      <c r="BJ58" s="158"/>
      <c r="BK58" s="158"/>
      <c r="BL58" s="158"/>
      <c r="BM58" s="158"/>
      <c r="BN58" s="158"/>
      <c r="BO58" s="158"/>
    </row>
    <row r="59" spans="1:67" s="253" customFormat="1" x14ac:dyDescent="0.15">
      <c r="A59" s="248"/>
      <c r="B59" s="248"/>
      <c r="C59" s="249" t="s">
        <v>361</v>
      </c>
      <c r="D59" s="582"/>
      <c r="E59" s="248"/>
      <c r="F59" s="250"/>
      <c r="G59" s="250"/>
      <c r="H59" s="250"/>
      <c r="I59" s="250"/>
      <c r="J59" s="250"/>
      <c r="K59" s="250"/>
      <c r="L59" s="250"/>
      <c r="M59" s="250"/>
      <c r="N59" s="250"/>
      <c r="O59" s="250"/>
      <c r="P59" s="250"/>
      <c r="Q59" s="250"/>
      <c r="R59" s="248"/>
      <c r="S59" s="250"/>
      <c r="T59" s="250"/>
      <c r="U59" s="250"/>
      <c r="V59" s="250"/>
      <c r="W59" s="250"/>
      <c r="X59" s="250"/>
      <c r="Y59" s="250"/>
      <c r="Z59" s="250"/>
      <c r="AA59" s="250"/>
      <c r="AB59" s="250"/>
      <c r="AC59" s="248"/>
      <c r="AD59" s="250"/>
      <c r="AE59" s="250"/>
      <c r="AF59" s="248"/>
      <c r="AG59" s="250"/>
      <c r="AH59" s="250"/>
      <c r="AI59" s="250"/>
      <c r="AJ59" s="250"/>
      <c r="AK59" s="250"/>
      <c r="AL59" s="250"/>
      <c r="AM59" s="250"/>
      <c r="AN59" s="250"/>
      <c r="AO59" s="250"/>
      <c r="AP59" s="250"/>
      <c r="AQ59" s="250"/>
      <c r="AR59" s="250"/>
      <c r="AS59" s="250"/>
      <c r="AT59" s="250"/>
      <c r="AU59" s="250"/>
      <c r="AV59" s="251"/>
      <c r="AW59" s="251"/>
      <c r="AX59" s="250"/>
      <c r="AY59" s="250"/>
      <c r="AZ59" s="250"/>
      <c r="BA59" s="250"/>
      <c r="BB59" s="250"/>
      <c r="BC59" s="250"/>
      <c r="BD59" s="252"/>
      <c r="BE59" s="252"/>
      <c r="BF59" s="252"/>
      <c r="BG59" s="250"/>
      <c r="BH59" s="158"/>
      <c r="BI59" s="158"/>
      <c r="BJ59" s="158"/>
      <c r="BK59" s="158"/>
      <c r="BL59" s="158"/>
      <c r="BM59" s="158"/>
      <c r="BN59" s="158"/>
      <c r="BO59" s="158"/>
    </row>
    <row r="60" spans="1:67" s="253" customFormat="1" x14ac:dyDescent="0.15">
      <c r="A60" s="248"/>
      <c r="B60" s="248"/>
      <c r="C60" s="249" t="s">
        <v>362</v>
      </c>
      <c r="D60" s="582"/>
      <c r="E60" s="248"/>
      <c r="F60" s="250"/>
      <c r="G60" s="250"/>
      <c r="H60" s="250"/>
      <c r="I60" s="250"/>
      <c r="J60" s="250"/>
      <c r="K60" s="250"/>
      <c r="L60" s="250"/>
      <c r="M60" s="250"/>
      <c r="N60" s="250"/>
      <c r="O60" s="250"/>
      <c r="P60" s="250"/>
      <c r="Q60" s="250"/>
      <c r="R60" s="248"/>
      <c r="S60" s="250"/>
      <c r="T60" s="250"/>
      <c r="U60" s="250"/>
      <c r="V60" s="250"/>
      <c r="W60" s="250"/>
      <c r="X60" s="250"/>
      <c r="Y60" s="250"/>
      <c r="Z60" s="250"/>
      <c r="AA60" s="250"/>
      <c r="AB60" s="250"/>
      <c r="AC60" s="248"/>
      <c r="AD60" s="250"/>
      <c r="AE60" s="250"/>
      <c r="AF60" s="248"/>
      <c r="AG60" s="250"/>
      <c r="AH60" s="250"/>
      <c r="AI60" s="250"/>
      <c r="AJ60" s="250"/>
      <c r="AK60" s="250"/>
      <c r="AL60" s="250"/>
      <c r="AM60" s="250"/>
      <c r="AN60" s="250"/>
      <c r="AO60" s="250"/>
      <c r="AP60" s="250"/>
      <c r="AQ60" s="250"/>
      <c r="AR60" s="250"/>
      <c r="AS60" s="250"/>
      <c r="AT60" s="250"/>
      <c r="AU60" s="250"/>
      <c r="AV60" s="251"/>
      <c r="AW60" s="251"/>
      <c r="AX60" s="250"/>
      <c r="AY60" s="250"/>
      <c r="AZ60" s="250"/>
      <c r="BA60" s="250"/>
      <c r="BB60" s="250"/>
      <c r="BC60" s="250"/>
      <c r="BD60" s="252"/>
      <c r="BE60" s="252"/>
      <c r="BF60" s="252"/>
      <c r="BG60" s="250"/>
      <c r="BH60" s="158"/>
      <c r="BI60" s="158"/>
      <c r="BJ60" s="158"/>
      <c r="BK60" s="158"/>
      <c r="BL60" s="158"/>
      <c r="BM60" s="158"/>
      <c r="BN60" s="158"/>
      <c r="BO60" s="158"/>
    </row>
    <row r="61" spans="1:67" s="253" customFormat="1" x14ac:dyDescent="0.15">
      <c r="A61" s="248"/>
      <c r="B61" s="248"/>
      <c r="C61" s="218" t="s">
        <v>254</v>
      </c>
      <c r="D61" s="582"/>
      <c r="E61" s="248"/>
      <c r="F61" s="250"/>
      <c r="G61" s="250"/>
      <c r="H61" s="250"/>
      <c r="I61" s="250"/>
      <c r="J61" s="250"/>
      <c r="K61" s="250"/>
      <c r="L61" s="250"/>
      <c r="M61" s="250"/>
      <c r="N61" s="250"/>
      <c r="O61" s="250"/>
      <c r="P61" s="250"/>
      <c r="Q61" s="250"/>
      <c r="R61" s="248"/>
      <c r="S61" s="250"/>
      <c r="T61" s="250"/>
      <c r="U61" s="250"/>
      <c r="V61" s="250"/>
      <c r="W61" s="250"/>
      <c r="X61" s="250"/>
      <c r="Y61" s="250"/>
      <c r="Z61" s="250"/>
      <c r="AA61" s="250"/>
      <c r="AB61" s="250"/>
      <c r="AC61" s="248"/>
      <c r="AD61" s="250"/>
      <c r="AE61" s="250"/>
      <c r="AF61" s="248"/>
      <c r="AG61" s="250"/>
      <c r="AH61" s="250"/>
      <c r="AI61" s="250"/>
      <c r="AJ61" s="250"/>
      <c r="AK61" s="250"/>
      <c r="AL61" s="250"/>
      <c r="AM61" s="250"/>
      <c r="AN61" s="250"/>
      <c r="AO61" s="250"/>
      <c r="AP61" s="250"/>
      <c r="AQ61" s="250"/>
      <c r="AR61" s="250"/>
      <c r="AS61" s="250"/>
      <c r="AT61" s="250"/>
      <c r="AU61" s="250"/>
      <c r="AV61" s="251"/>
      <c r="AW61" s="251"/>
      <c r="AX61" s="250"/>
      <c r="AY61" s="250"/>
      <c r="AZ61" s="250"/>
      <c r="BA61" s="250"/>
      <c r="BB61" s="250"/>
      <c r="BC61" s="250"/>
      <c r="BD61" s="252"/>
      <c r="BE61" s="252"/>
      <c r="BF61" s="252"/>
      <c r="BG61" s="250"/>
      <c r="BH61" s="158"/>
      <c r="BI61" s="158"/>
      <c r="BJ61" s="158"/>
      <c r="BK61" s="158"/>
      <c r="BL61" s="158"/>
      <c r="BM61" s="158"/>
      <c r="BN61" s="158"/>
      <c r="BO61" s="158"/>
    </row>
    <row r="62" spans="1:67" s="253" customFormat="1" x14ac:dyDescent="0.15">
      <c r="A62" s="248"/>
      <c r="B62" s="248"/>
      <c r="C62" s="218" t="s">
        <v>255</v>
      </c>
      <c r="D62" s="582"/>
      <c r="E62" s="248"/>
      <c r="F62" s="250"/>
      <c r="G62" s="250"/>
      <c r="H62" s="250"/>
      <c r="I62" s="250"/>
      <c r="J62" s="250"/>
      <c r="K62" s="250"/>
      <c r="L62" s="250"/>
      <c r="M62" s="250"/>
      <c r="N62" s="250"/>
      <c r="O62" s="250"/>
      <c r="P62" s="250"/>
      <c r="Q62" s="250"/>
      <c r="R62" s="248"/>
      <c r="S62" s="250"/>
      <c r="T62" s="250"/>
      <c r="U62" s="250"/>
      <c r="V62" s="250"/>
      <c r="W62" s="250"/>
      <c r="X62" s="250"/>
      <c r="Y62" s="250"/>
      <c r="Z62" s="250"/>
      <c r="AA62" s="250"/>
      <c r="AB62" s="250"/>
      <c r="AC62" s="248"/>
      <c r="AD62" s="250"/>
      <c r="AE62" s="250"/>
      <c r="AF62" s="248"/>
      <c r="AG62" s="250"/>
      <c r="AH62" s="250"/>
      <c r="AI62" s="250"/>
      <c r="AJ62" s="250"/>
      <c r="AK62" s="250"/>
      <c r="AL62" s="250"/>
      <c r="AM62" s="250"/>
      <c r="AN62" s="250"/>
      <c r="AO62" s="250"/>
      <c r="AP62" s="250"/>
      <c r="AQ62" s="250"/>
      <c r="AR62" s="250"/>
      <c r="AS62" s="250"/>
      <c r="AT62" s="250"/>
      <c r="AU62" s="250"/>
      <c r="AV62" s="251"/>
      <c r="AW62" s="251"/>
      <c r="AX62" s="250"/>
      <c r="AY62" s="250"/>
      <c r="AZ62" s="250"/>
      <c r="BA62" s="250"/>
      <c r="BB62" s="250"/>
      <c r="BC62" s="250"/>
      <c r="BD62" s="252"/>
      <c r="BE62" s="252"/>
      <c r="BF62" s="252"/>
      <c r="BG62" s="250"/>
      <c r="BH62" s="158"/>
      <c r="BI62" s="158"/>
      <c r="BJ62" s="158"/>
      <c r="BK62" s="158"/>
      <c r="BL62" s="158"/>
      <c r="BM62" s="158"/>
      <c r="BN62" s="158"/>
      <c r="BO62" s="158"/>
    </row>
    <row r="63" spans="1:67" x14ac:dyDescent="0.15">
      <c r="D63" s="582"/>
      <c r="F63" s="257"/>
      <c r="G63" s="257"/>
      <c r="H63" s="257"/>
      <c r="I63" s="257"/>
      <c r="J63" s="257"/>
      <c r="L63" s="257"/>
      <c r="M63" s="257"/>
      <c r="N63" s="257"/>
      <c r="O63" s="257"/>
      <c r="P63" s="257"/>
      <c r="Q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D63" s="257"/>
      <c r="AE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57"/>
      <c r="AR63" s="257"/>
      <c r="AS63" s="257"/>
      <c r="AT63" s="257"/>
      <c r="AU63" s="257"/>
      <c r="AX63" s="257"/>
      <c r="AY63" s="257"/>
      <c r="AZ63" s="257"/>
      <c r="BA63" s="257"/>
      <c r="BB63" s="257"/>
      <c r="BC63" s="257"/>
      <c r="BG63" s="257"/>
      <c r="BI63" s="243"/>
      <c r="BJ63" s="243"/>
      <c r="BK63" s="243"/>
      <c r="BL63" s="243"/>
      <c r="BM63" s="243"/>
      <c r="BN63" s="243"/>
      <c r="BO63" s="244"/>
    </row>
  </sheetData>
  <mergeCells count="65">
    <mergeCell ref="K3:K4"/>
    <mergeCell ref="J3:J4"/>
    <mergeCell ref="BH3:BH4"/>
    <mergeCell ref="BI3:BI4"/>
    <mergeCell ref="BJ3:BJ4"/>
    <mergeCell ref="Y3:Y4"/>
    <mergeCell ref="AI3:AL3"/>
    <mergeCell ref="AM3:AM4"/>
    <mergeCell ref="AN3:AN4"/>
    <mergeCell ref="AO3:AR3"/>
    <mergeCell ref="T3:T4"/>
    <mergeCell ref="N3:N4"/>
    <mergeCell ref="O3:O4"/>
    <mergeCell ref="P3:P4"/>
    <mergeCell ref="Q3:Q4"/>
    <mergeCell ref="R3:S3"/>
    <mergeCell ref="BL3:BL4"/>
    <mergeCell ref="BA3:BA4"/>
    <mergeCell ref="BB3:BB4"/>
    <mergeCell ref="BC3:BC4"/>
    <mergeCell ref="BF3:BF4"/>
    <mergeCell ref="BG3:BG4"/>
    <mergeCell ref="BK3:BK4"/>
    <mergeCell ref="AU2:BA2"/>
    <mergeCell ref="U3:U4"/>
    <mergeCell ref="V3:V4"/>
    <mergeCell ref="W3:W4"/>
    <mergeCell ref="X3:X4"/>
    <mergeCell ref="AS3:AS4"/>
    <mergeCell ref="AT3:AT4"/>
    <mergeCell ref="AU3:AX3"/>
    <mergeCell ref="AY3:AY4"/>
    <mergeCell ref="AZ3:AZ4"/>
    <mergeCell ref="M3:M4"/>
    <mergeCell ref="XEM1:XES2"/>
    <mergeCell ref="A2:L2"/>
    <mergeCell ref="M2:Q2"/>
    <mergeCell ref="R2:V2"/>
    <mergeCell ref="Z2:Z4"/>
    <mergeCell ref="AA2:AA4"/>
    <mergeCell ref="AB2:AB4"/>
    <mergeCell ref="AC2:AC4"/>
    <mergeCell ref="AD2:AD4"/>
    <mergeCell ref="AE2:AE4"/>
    <mergeCell ref="AF2:AF4"/>
    <mergeCell ref="AG2:AG4"/>
    <mergeCell ref="AH2:AH4"/>
    <mergeCell ref="AI2:AN2"/>
    <mergeCell ref="AO2:AT2"/>
    <mergeCell ref="BH5:BH14"/>
    <mergeCell ref="A1:L1"/>
    <mergeCell ref="M1:V1"/>
    <mergeCell ref="BD1:BD4"/>
    <mergeCell ref="BE1:BE4"/>
    <mergeCell ref="BF1:BL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L3:L4"/>
  </mergeCells>
  <conditionalFormatting sqref="AW5:AW1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5:AQ1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5:BF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X9"/>
  <sheetViews>
    <sheetView zoomScale="115" zoomScaleNormal="115" workbookViewId="0">
      <pane xSplit="2" ySplit="1" topLeftCell="BR2" activePane="bottomRight" state="frozen"/>
      <selection pane="topRight" activeCell="C1" sqref="C1"/>
      <selection pane="bottomLeft" activeCell="A2" sqref="A2"/>
      <selection pane="bottomRight" activeCell="B35" sqref="B35"/>
    </sheetView>
  </sheetViews>
  <sheetFormatPr baseColWidth="10" defaultColWidth="9" defaultRowHeight="15" x14ac:dyDescent="0.2"/>
  <cols>
    <col min="1" max="1" width="10" style="180" bestFit="1" customWidth="1"/>
    <col min="2" max="2" width="14.1640625" style="196" bestFit="1" customWidth="1"/>
    <col min="3" max="5" width="9" style="180"/>
    <col min="6" max="6" width="9" style="194"/>
    <col min="7" max="8" width="9" style="180"/>
    <col min="9" max="9" width="9" style="194"/>
    <col min="10" max="11" width="9" style="180"/>
    <col min="12" max="12" width="9" style="194"/>
    <col min="13" max="14" width="9" style="180"/>
    <col min="15" max="15" width="9" style="194"/>
    <col min="16" max="17" width="9" style="180"/>
    <col min="18" max="18" width="9" style="194"/>
    <col min="19" max="20" width="9" style="180"/>
    <col min="21" max="21" width="9" style="194"/>
    <col min="22" max="23" width="9" style="180"/>
    <col min="24" max="24" width="9" style="194"/>
    <col min="25" max="26" width="9" style="180"/>
    <col min="27" max="27" width="9" style="194"/>
    <col min="28" max="28" width="9" style="180"/>
    <col min="29" max="29" width="9" style="208"/>
    <col min="30" max="32" width="9" style="180"/>
    <col min="33" max="33" width="13.1640625" style="199" bestFit="1" customWidth="1"/>
    <col min="34" max="34" width="12.1640625" style="180" bestFit="1" customWidth="1"/>
    <col min="35" max="35" width="11.1640625" style="180" bestFit="1" customWidth="1"/>
    <col min="36" max="41" width="9.6640625" style="180" bestFit="1" customWidth="1"/>
    <col min="42" max="42" width="9.6640625" style="208" customWidth="1"/>
    <col min="43" max="46" width="9" style="180" bestFit="1" customWidth="1"/>
    <col min="47" max="50" width="9" bestFit="1" customWidth="1"/>
    <col min="51" max="51" width="9.6640625" bestFit="1" customWidth="1"/>
    <col min="52" max="52" width="10" style="210" bestFit="1" customWidth="1"/>
    <col min="53" max="53" width="15.6640625" bestFit="1" customWidth="1"/>
    <col min="54" max="54" width="14.6640625" bestFit="1" customWidth="1"/>
    <col min="55" max="55" width="13.1640625" bestFit="1" customWidth="1"/>
    <col min="56" max="56" width="12.1640625" bestFit="1" customWidth="1"/>
    <col min="57" max="57" width="11.1640625" bestFit="1" customWidth="1"/>
    <col min="58" max="60" width="9.6640625" bestFit="1" customWidth="1"/>
    <col min="61" max="61" width="9.6640625" customWidth="1"/>
    <col min="62" max="62" width="10.33203125" style="210" bestFit="1" customWidth="1"/>
    <col min="63" max="63" width="8.33203125" style="180" bestFit="1" customWidth="1"/>
    <col min="64" max="71" width="8.33203125" bestFit="1" customWidth="1"/>
    <col min="72" max="72" width="9.33203125" style="210" bestFit="1" customWidth="1"/>
    <col min="73" max="73" width="8.33203125" bestFit="1" customWidth="1"/>
    <col min="74" max="74" width="9.33203125" bestFit="1" customWidth="1"/>
    <col min="75" max="75" width="5.1640625" style="180" bestFit="1" customWidth="1"/>
    <col min="76" max="76" width="8.6640625" style="208" bestFit="1" customWidth="1"/>
    <col min="77" max="16384" width="9" style="180"/>
  </cols>
  <sheetData>
    <row r="1" spans="1:76" customFormat="1" x14ac:dyDescent="0.2">
      <c r="A1" s="201" t="s">
        <v>363</v>
      </c>
      <c r="B1" s="201" t="s">
        <v>364</v>
      </c>
      <c r="C1" s="817">
        <v>1</v>
      </c>
      <c r="D1" s="818"/>
      <c r="E1" s="819"/>
      <c r="F1" s="817">
        <v>2</v>
      </c>
      <c r="G1" s="818"/>
      <c r="H1" s="819"/>
      <c r="I1" s="817">
        <v>3</v>
      </c>
      <c r="J1" s="818"/>
      <c r="K1" s="819"/>
      <c r="L1" s="817">
        <v>4</v>
      </c>
      <c r="M1" s="818"/>
      <c r="N1" s="819"/>
      <c r="O1" s="817">
        <v>5</v>
      </c>
      <c r="P1" s="818"/>
      <c r="Q1" s="819"/>
      <c r="R1" s="817">
        <v>6</v>
      </c>
      <c r="S1" s="818"/>
      <c r="T1" s="819"/>
      <c r="U1" s="817">
        <v>7</v>
      </c>
      <c r="V1" s="818"/>
      <c r="W1" s="819"/>
      <c r="X1" s="817">
        <v>8</v>
      </c>
      <c r="Y1" s="818"/>
      <c r="Z1" s="819"/>
      <c r="AA1" s="817">
        <v>9</v>
      </c>
      <c r="AB1" s="818"/>
      <c r="AC1" s="819"/>
      <c r="AD1" s="817">
        <v>10</v>
      </c>
      <c r="AE1" s="818"/>
      <c r="AF1" s="819"/>
      <c r="AG1" s="381" t="s">
        <v>365</v>
      </c>
      <c r="AH1" s="381" t="s">
        <v>366</v>
      </c>
      <c r="AI1" s="381" t="s">
        <v>367</v>
      </c>
      <c r="AJ1" s="381" t="s">
        <v>368</v>
      </c>
      <c r="AK1" s="381" t="s">
        <v>369</v>
      </c>
      <c r="AL1" s="381" t="s">
        <v>370</v>
      </c>
      <c r="AM1" s="381" t="s">
        <v>371</v>
      </c>
      <c r="AN1" s="381" t="s">
        <v>372</v>
      </c>
      <c r="AO1" s="381" t="s">
        <v>373</v>
      </c>
      <c r="AP1" s="214" t="s">
        <v>374</v>
      </c>
      <c r="AQ1" s="381" t="s">
        <v>375</v>
      </c>
      <c r="AR1" s="381" t="s">
        <v>376</v>
      </c>
      <c r="AS1" s="381" t="s">
        <v>377</v>
      </c>
      <c r="AT1" s="381" t="s">
        <v>378</v>
      </c>
      <c r="AU1" s="381" t="s">
        <v>379</v>
      </c>
      <c r="AV1" s="381" t="s">
        <v>380</v>
      </c>
      <c r="AW1" s="381" t="s">
        <v>381</v>
      </c>
      <c r="AX1" s="381" t="s">
        <v>382</v>
      </c>
      <c r="AY1" s="381" t="s">
        <v>383</v>
      </c>
      <c r="AZ1" s="214" t="s">
        <v>384</v>
      </c>
      <c r="BA1" s="381" t="s">
        <v>385</v>
      </c>
      <c r="BB1" s="381" t="s">
        <v>386</v>
      </c>
      <c r="BC1" s="381" t="s">
        <v>387</v>
      </c>
      <c r="BD1" s="381" t="s">
        <v>388</v>
      </c>
      <c r="BE1" s="381" t="s">
        <v>389</v>
      </c>
      <c r="BF1" s="381" t="s">
        <v>390</v>
      </c>
      <c r="BG1" s="381" t="s">
        <v>391</v>
      </c>
      <c r="BH1" s="381" t="s">
        <v>392</v>
      </c>
      <c r="BI1" s="381" t="s">
        <v>393</v>
      </c>
      <c r="BJ1" s="214" t="s">
        <v>394</v>
      </c>
      <c r="BK1" s="381" t="s">
        <v>395</v>
      </c>
      <c r="BL1" s="381" t="s">
        <v>396</v>
      </c>
      <c r="BM1" s="381" t="s">
        <v>397</v>
      </c>
      <c r="BN1" s="381" t="s">
        <v>398</v>
      </c>
      <c r="BO1" s="381" t="s">
        <v>399</v>
      </c>
      <c r="BP1" s="381" t="s">
        <v>400</v>
      </c>
      <c r="BQ1" s="381" t="s">
        <v>401</v>
      </c>
      <c r="BR1" s="381" t="s">
        <v>402</v>
      </c>
      <c r="BS1" s="381" t="s">
        <v>403</v>
      </c>
      <c r="BT1" s="214" t="s">
        <v>404</v>
      </c>
      <c r="BU1" s="381" t="s">
        <v>4</v>
      </c>
      <c r="BV1" s="381" t="s">
        <v>3</v>
      </c>
      <c r="BW1" s="240" t="s">
        <v>405</v>
      </c>
      <c r="BX1" s="206" t="s">
        <v>406</v>
      </c>
    </row>
    <row r="2" spans="1:76" customFormat="1" ht="16" thickBot="1" x14ac:dyDescent="0.25">
      <c r="A2" s="213"/>
      <c r="B2" s="200"/>
      <c r="C2" s="190" t="s">
        <v>407</v>
      </c>
      <c r="D2" s="190" t="s">
        <v>408</v>
      </c>
      <c r="E2" s="190" t="s">
        <v>409</v>
      </c>
      <c r="F2" s="191" t="s">
        <v>407</v>
      </c>
      <c r="G2" s="190" t="s">
        <v>408</v>
      </c>
      <c r="H2" s="190" t="s">
        <v>409</v>
      </c>
      <c r="I2" s="191" t="s">
        <v>407</v>
      </c>
      <c r="J2" s="190" t="s">
        <v>408</v>
      </c>
      <c r="K2" s="190" t="s">
        <v>409</v>
      </c>
      <c r="L2" s="191" t="s">
        <v>407</v>
      </c>
      <c r="M2" s="190" t="s">
        <v>408</v>
      </c>
      <c r="N2" s="190" t="s">
        <v>409</v>
      </c>
      <c r="O2" s="191" t="s">
        <v>407</v>
      </c>
      <c r="P2" s="190" t="s">
        <v>408</v>
      </c>
      <c r="Q2" s="190" t="s">
        <v>409</v>
      </c>
      <c r="R2" s="191" t="s">
        <v>407</v>
      </c>
      <c r="S2" s="190" t="s">
        <v>408</v>
      </c>
      <c r="T2" s="190" t="s">
        <v>409</v>
      </c>
      <c r="U2" s="191" t="s">
        <v>407</v>
      </c>
      <c r="V2" s="190" t="s">
        <v>408</v>
      </c>
      <c r="W2" s="190" t="s">
        <v>409</v>
      </c>
      <c r="X2" s="191" t="s">
        <v>407</v>
      </c>
      <c r="Y2" s="190" t="s">
        <v>408</v>
      </c>
      <c r="Z2" s="190" t="s">
        <v>409</v>
      </c>
      <c r="AA2" s="191" t="s">
        <v>407</v>
      </c>
      <c r="AB2" s="190" t="s">
        <v>408</v>
      </c>
      <c r="AC2" s="203" t="s">
        <v>409</v>
      </c>
      <c r="AD2" s="190" t="s">
        <v>407</v>
      </c>
      <c r="AE2" s="190" t="s">
        <v>408</v>
      </c>
      <c r="AF2" s="203" t="s">
        <v>409</v>
      </c>
      <c r="AG2" s="237" t="s">
        <v>410</v>
      </c>
      <c r="AH2" s="238" t="s">
        <v>410</v>
      </c>
      <c r="AI2" s="238" t="s">
        <v>410</v>
      </c>
      <c r="AJ2" s="238" t="s">
        <v>410</v>
      </c>
      <c r="AK2" s="238" t="s">
        <v>410</v>
      </c>
      <c r="AL2" s="238" t="s">
        <v>410</v>
      </c>
      <c r="AM2" s="238" t="s">
        <v>410</v>
      </c>
      <c r="AN2" s="238" t="s">
        <v>410</v>
      </c>
      <c r="AO2" s="238" t="s">
        <v>410</v>
      </c>
      <c r="AP2" s="239" t="s">
        <v>410</v>
      </c>
      <c r="AQ2" s="238" t="s">
        <v>411</v>
      </c>
      <c r="AR2" s="238" t="s">
        <v>411</v>
      </c>
      <c r="AS2" s="238" t="s">
        <v>411</v>
      </c>
      <c r="AT2" s="238" t="s">
        <v>411</v>
      </c>
      <c r="AU2" s="238" t="s">
        <v>411</v>
      </c>
      <c r="AV2" s="238" t="s">
        <v>411</v>
      </c>
      <c r="AW2" s="238" t="s">
        <v>411</v>
      </c>
      <c r="AX2" s="238" t="s">
        <v>411</v>
      </c>
      <c r="AY2" s="238" t="s">
        <v>411</v>
      </c>
      <c r="AZ2" s="239" t="s">
        <v>411</v>
      </c>
      <c r="BA2" s="238" t="s">
        <v>217</v>
      </c>
      <c r="BB2" s="238" t="s">
        <v>217</v>
      </c>
      <c r="BC2" s="238" t="s">
        <v>217</v>
      </c>
      <c r="BD2" s="238" t="s">
        <v>217</v>
      </c>
      <c r="BE2" s="238" t="s">
        <v>217</v>
      </c>
      <c r="BF2" s="238" t="s">
        <v>217</v>
      </c>
      <c r="BG2" s="238" t="s">
        <v>217</v>
      </c>
      <c r="BH2" s="238" t="s">
        <v>217</v>
      </c>
      <c r="BI2" s="238" t="s">
        <v>217</v>
      </c>
      <c r="BJ2" s="239" t="s">
        <v>217</v>
      </c>
      <c r="BK2" s="204" t="s">
        <v>412</v>
      </c>
      <c r="BL2" s="204" t="s">
        <v>412</v>
      </c>
      <c r="BM2" s="204" t="s">
        <v>412</v>
      </c>
      <c r="BN2" s="204" t="s">
        <v>412</v>
      </c>
      <c r="BO2" s="204" t="s">
        <v>412</v>
      </c>
      <c r="BP2" s="204" t="s">
        <v>412</v>
      </c>
      <c r="BQ2" s="204" t="s">
        <v>412</v>
      </c>
      <c r="BR2" s="204" t="s">
        <v>412</v>
      </c>
      <c r="BS2" s="204" t="s">
        <v>412</v>
      </c>
      <c r="BT2" s="202" t="s">
        <v>412</v>
      </c>
      <c r="BU2" s="238" t="s">
        <v>413</v>
      </c>
      <c r="BV2" s="204" t="s">
        <v>414</v>
      </c>
      <c r="BW2" s="190"/>
      <c r="BX2" s="203"/>
    </row>
    <row r="3" spans="1:76" x14ac:dyDescent="0.2">
      <c r="A3" s="382" t="s">
        <v>23</v>
      </c>
      <c r="B3" s="212">
        <v>44236</v>
      </c>
      <c r="C3" s="149">
        <v>10.381406680918801</v>
      </c>
      <c r="D3" s="149">
        <v>10.3139587323159</v>
      </c>
      <c r="E3" s="149">
        <v>10.3538053879951</v>
      </c>
      <c r="F3" s="171">
        <v>13.890435230222501</v>
      </c>
      <c r="G3" s="149">
        <v>13.921286086157799</v>
      </c>
      <c r="H3" s="149">
        <v>14.002871337518901</v>
      </c>
      <c r="I3" s="171">
        <v>17.155532435871901</v>
      </c>
      <c r="J3" s="149">
        <v>17.248150188369301</v>
      </c>
      <c r="K3" s="149">
        <v>17.1815637734082</v>
      </c>
      <c r="L3" s="171">
        <v>20.588998646133099</v>
      </c>
      <c r="M3" s="149">
        <v>20.8694886257334</v>
      </c>
      <c r="N3" s="149">
        <v>20.8460791008733</v>
      </c>
      <c r="O3" s="171">
        <v>24.154624154283599</v>
      </c>
      <c r="P3" s="149">
        <v>24.1195507951781</v>
      </c>
      <c r="Q3" s="149">
        <v>24.2756871156102</v>
      </c>
      <c r="R3" s="171">
        <v>28.5497214752912</v>
      </c>
      <c r="S3" s="149">
        <v>27.690522125814201</v>
      </c>
      <c r="T3" s="149">
        <v>27.618385054433201</v>
      </c>
      <c r="U3" s="171">
        <v>30.925112912053699</v>
      </c>
      <c r="V3" s="149">
        <v>31.1036411334678</v>
      </c>
      <c r="W3" s="149">
        <v>30.809373247162402</v>
      </c>
      <c r="X3" s="171">
        <v>33.6166803201384</v>
      </c>
      <c r="Y3" s="149">
        <v>32.914195755469201</v>
      </c>
      <c r="Z3" s="149"/>
      <c r="AA3" s="171">
        <v>33.6166803201384</v>
      </c>
      <c r="AB3" s="149">
        <v>32.914195755469201</v>
      </c>
      <c r="AC3" s="207"/>
      <c r="AD3" s="149"/>
      <c r="AE3" s="149"/>
      <c r="AF3" s="149"/>
      <c r="AG3" s="197">
        <f>AVERAGE(C3:E3)</f>
        <v>10.349723600409932</v>
      </c>
      <c r="AH3" s="149">
        <f t="shared" ref="AH3:AH9" si="0">AVERAGE(F3:H3)</f>
        <v>13.938197551299732</v>
      </c>
      <c r="AI3" s="149">
        <f t="shared" ref="AI3:AI9" si="1">AVERAGE(I3:K3)</f>
        <v>17.1950821325498</v>
      </c>
      <c r="AJ3" s="149">
        <f t="shared" ref="AJ3:AJ9" si="2">AVERAGE(L3:N3)</f>
        <v>20.768188790913268</v>
      </c>
      <c r="AK3" s="149">
        <f t="shared" ref="AK3:AK9" si="3">AVERAGE(O3:Q3)</f>
        <v>24.183287355023964</v>
      </c>
      <c r="AL3" s="149">
        <f>AVERAGE(R3:T3)</f>
        <v>27.95287621851287</v>
      </c>
      <c r="AM3" s="149">
        <f>AVERAGE(U3:W3)</f>
        <v>30.946042430894632</v>
      </c>
      <c r="AN3" s="149">
        <f>AVERAGE(X3:Z3)</f>
        <v>33.265438037803804</v>
      </c>
      <c r="AO3" s="149">
        <f>AVERAGE(AA3:AC3)</f>
        <v>33.265438037803804</v>
      </c>
      <c r="AP3" s="207"/>
      <c r="AQ3" s="242">
        <v>10</v>
      </c>
      <c r="AR3" s="242">
        <v>1</v>
      </c>
      <c r="AS3" s="242">
        <v>0.1</v>
      </c>
      <c r="AT3" s="242">
        <v>0.01</v>
      </c>
      <c r="AU3" s="242">
        <v>1E-3</v>
      </c>
      <c r="AV3" s="242">
        <v>1E-4</v>
      </c>
      <c r="AW3" s="242">
        <v>1.0000000000000001E-5</v>
      </c>
      <c r="AX3" s="242">
        <v>9.9999999999999995E-7</v>
      </c>
      <c r="AY3" s="242">
        <v>9.9999999999999995E-8</v>
      </c>
      <c r="AZ3" s="215"/>
      <c r="BA3" s="383">
        <f t="shared" ref="BA3:BI6" si="4">(AQ3*(6.0221*10^23))/(29903*340*10^9)</f>
        <v>592317119.47060192</v>
      </c>
      <c r="BB3" s="383">
        <f t="shared" si="4"/>
        <v>59231711.94706019</v>
      </c>
      <c r="BC3" s="383">
        <f t="shared" si="4"/>
        <v>5923171.1947060199</v>
      </c>
      <c r="BD3" s="383">
        <f t="shared" si="4"/>
        <v>592317.11947060202</v>
      </c>
      <c r="BE3" s="383">
        <f t="shared" si="4"/>
        <v>59231.711947060197</v>
      </c>
      <c r="BF3" s="383">
        <f t="shared" si="4"/>
        <v>5923.1711947060194</v>
      </c>
      <c r="BG3" s="383">
        <f t="shared" si="4"/>
        <v>592.31711947060205</v>
      </c>
      <c r="BH3" s="383">
        <f t="shared" si="4"/>
        <v>59.231711947060191</v>
      </c>
      <c r="BI3" s="383">
        <f t="shared" si="4"/>
        <v>5.9231711947060193</v>
      </c>
      <c r="BJ3" s="211"/>
      <c r="BK3" s="383">
        <f>LOG10(BA3)</f>
        <v>8.7725542850369767</v>
      </c>
      <c r="BL3" s="383">
        <f t="shared" ref="BL3:BS6" si="5">LOG10(BB3)</f>
        <v>7.7725542850369775</v>
      </c>
      <c r="BM3" s="383">
        <f t="shared" si="5"/>
        <v>6.7725542850369775</v>
      </c>
      <c r="BN3" s="383">
        <f t="shared" si="5"/>
        <v>5.7725542850369775</v>
      </c>
      <c r="BO3" s="383">
        <f t="shared" si="5"/>
        <v>4.7725542850369775</v>
      </c>
      <c r="BP3" s="383">
        <f t="shared" si="5"/>
        <v>3.7725542850369775</v>
      </c>
      <c r="BQ3" s="383">
        <f t="shared" si="5"/>
        <v>2.7725542850369775</v>
      </c>
      <c r="BR3" s="383">
        <f t="shared" si="5"/>
        <v>1.7725542850369773</v>
      </c>
      <c r="BS3" s="383">
        <f t="shared" si="5"/>
        <v>0.77255428503697743</v>
      </c>
      <c r="BT3" s="211"/>
      <c r="BU3" s="383">
        <f t="shared" ref="BU3:BU6" si="6">INTERCEPT(AG3:AP3,BK3:BT3)</f>
        <v>38.202651531078082</v>
      </c>
      <c r="BV3" s="383">
        <f t="shared" ref="BV3:BV6" si="7">SLOPE(AG3:AP3,BK3:BT3)</f>
        <v>-3.072186453889616</v>
      </c>
      <c r="BW3" s="205">
        <f t="shared" ref="BW3:BW6" si="8">CORREL(AG3:AP3,BK3:BT3)^2</f>
        <v>0.97971677004968594</v>
      </c>
      <c r="BX3" s="207">
        <f t="shared" ref="BX3:BX6" si="9">10^(-1/BV3)-1</f>
        <v>1.1159289333083806</v>
      </c>
    </row>
    <row r="4" spans="1:76" x14ac:dyDescent="0.2">
      <c r="A4" s="382" t="s">
        <v>23</v>
      </c>
      <c r="B4" s="212">
        <v>44243</v>
      </c>
      <c r="C4" s="149">
        <v>12.057260056363001</v>
      </c>
      <c r="D4" s="149">
        <v>12.1013605568829</v>
      </c>
      <c r="E4" s="149">
        <v>12.035847621659499</v>
      </c>
      <c r="F4" s="171">
        <v>15.5152607336461</v>
      </c>
      <c r="G4" s="149">
        <v>15.5517069268912</v>
      </c>
      <c r="H4" s="149">
        <v>15.5247140527587</v>
      </c>
      <c r="I4" s="171">
        <v>18.866883753370299</v>
      </c>
      <c r="J4" s="149">
        <v>18.816019479765298</v>
      </c>
      <c r="K4" s="149">
        <v>18.774991939246199</v>
      </c>
      <c r="L4" s="171">
        <v>22.455602126837501</v>
      </c>
      <c r="M4" s="149">
        <v>22.406743409691799</v>
      </c>
      <c r="N4" s="149">
        <v>22.437013252033299</v>
      </c>
      <c r="O4" s="171">
        <v>25.854292251372598</v>
      </c>
      <c r="P4" s="149">
        <v>25.745255632262399</v>
      </c>
      <c r="Q4" s="149">
        <v>25.8042600829516</v>
      </c>
      <c r="R4" s="171">
        <v>29.3108151748736</v>
      </c>
      <c r="S4" s="149">
        <v>29.3312925543852</v>
      </c>
      <c r="T4" s="149">
        <v>29.573004989163501</v>
      </c>
      <c r="U4" s="171">
        <v>33.133327108436497</v>
      </c>
      <c r="V4" s="149">
        <v>32.704975486847601</v>
      </c>
      <c r="W4" s="149">
        <v>32.620320476066397</v>
      </c>
      <c r="X4" s="171">
        <v>37.177793049106</v>
      </c>
      <c r="Y4" s="149">
        <v>35.2988743781655</v>
      </c>
      <c r="Z4" s="149"/>
      <c r="AA4" s="171">
        <v>37.177793049106</v>
      </c>
      <c r="AB4" s="149">
        <v>35.2988743781655</v>
      </c>
      <c r="AC4" s="207"/>
      <c r="AD4" s="149"/>
      <c r="AE4" s="149"/>
      <c r="AF4" s="149"/>
      <c r="AG4" s="197">
        <f>AVERAGE(C4:E4)</f>
        <v>12.064822744968467</v>
      </c>
      <c r="AH4" s="149">
        <f t="shared" si="0"/>
        <v>15.530560571098667</v>
      </c>
      <c r="AI4" s="149">
        <f t="shared" si="1"/>
        <v>18.819298390793932</v>
      </c>
      <c r="AJ4" s="149">
        <f t="shared" si="2"/>
        <v>22.433119596187534</v>
      </c>
      <c r="AK4" s="149">
        <f t="shared" si="3"/>
        <v>25.801269322195534</v>
      </c>
      <c r="AL4" s="149">
        <f>AVERAGE(R4:T4)</f>
        <v>29.40503757280743</v>
      </c>
      <c r="AM4" s="149">
        <f>AVERAGE(U4:W4)</f>
        <v>32.819541023783493</v>
      </c>
      <c r="AN4" s="149">
        <f>AVERAGE(X4:Z4)</f>
        <v>36.238333713635754</v>
      </c>
      <c r="AO4" s="149">
        <f>AVERAGE(AA4:AC4)</f>
        <v>36.238333713635754</v>
      </c>
      <c r="AP4" s="207"/>
      <c r="AQ4" s="242">
        <v>10</v>
      </c>
      <c r="AR4" s="242">
        <v>1</v>
      </c>
      <c r="AS4" s="242">
        <v>0.1</v>
      </c>
      <c r="AT4" s="242">
        <v>0.01</v>
      </c>
      <c r="AU4" s="242">
        <v>1E-3</v>
      </c>
      <c r="AV4" s="242">
        <v>1E-4</v>
      </c>
      <c r="AW4" s="242">
        <v>1.0000000000000001E-5</v>
      </c>
      <c r="AX4" s="242">
        <v>9.9999999999999995E-7</v>
      </c>
      <c r="AY4" s="242">
        <v>9.9999999999999995E-8</v>
      </c>
      <c r="AZ4" s="215"/>
      <c r="BA4" s="383">
        <f t="shared" si="4"/>
        <v>592317119.47060192</v>
      </c>
      <c r="BB4" s="383">
        <f t="shared" si="4"/>
        <v>59231711.94706019</v>
      </c>
      <c r="BC4" s="383">
        <f t="shared" si="4"/>
        <v>5923171.1947060199</v>
      </c>
      <c r="BD4" s="383">
        <f t="shared" si="4"/>
        <v>592317.11947060202</v>
      </c>
      <c r="BE4" s="383">
        <f t="shared" si="4"/>
        <v>59231.711947060197</v>
      </c>
      <c r="BF4" s="383">
        <f t="shared" si="4"/>
        <v>5923.1711947060194</v>
      </c>
      <c r="BG4" s="383">
        <f t="shared" si="4"/>
        <v>592.31711947060205</v>
      </c>
      <c r="BH4" s="383">
        <f t="shared" si="4"/>
        <v>59.231711947060191</v>
      </c>
      <c r="BI4" s="383">
        <f t="shared" si="4"/>
        <v>5.9231711947060193</v>
      </c>
      <c r="BJ4" s="211"/>
      <c r="BK4" s="383">
        <f t="shared" ref="BK4:BK6" si="10">LOG10(BA4)</f>
        <v>8.7725542850369767</v>
      </c>
      <c r="BL4" s="383">
        <f t="shared" si="5"/>
        <v>7.7725542850369775</v>
      </c>
      <c r="BM4" s="383">
        <f t="shared" si="5"/>
        <v>6.7725542850369775</v>
      </c>
      <c r="BN4" s="383">
        <f t="shared" si="5"/>
        <v>5.7725542850369775</v>
      </c>
      <c r="BO4" s="383">
        <f t="shared" si="5"/>
        <v>4.7725542850369775</v>
      </c>
      <c r="BP4" s="383">
        <f t="shared" si="5"/>
        <v>3.7725542850369775</v>
      </c>
      <c r="BQ4" s="383">
        <f t="shared" si="5"/>
        <v>2.7725542850369775</v>
      </c>
      <c r="BR4" s="383">
        <f t="shared" si="5"/>
        <v>1.7725542850369773</v>
      </c>
      <c r="BS4" s="383">
        <f t="shared" si="5"/>
        <v>0.77255428503697743</v>
      </c>
      <c r="BT4" s="211"/>
      <c r="BU4" s="383">
        <f t="shared" si="6"/>
        <v>40.897904861902056</v>
      </c>
      <c r="BV4" s="383">
        <f t="shared" si="7"/>
        <v>-3.2298294424146565</v>
      </c>
      <c r="BW4" s="205">
        <f t="shared" si="8"/>
        <v>0.98806531750071025</v>
      </c>
      <c r="BX4" s="207">
        <f t="shared" si="9"/>
        <v>1.0399234579940408</v>
      </c>
    </row>
    <row r="5" spans="1:76" x14ac:dyDescent="0.2">
      <c r="A5" s="382" t="s">
        <v>23</v>
      </c>
      <c r="B5" s="212">
        <v>44260</v>
      </c>
      <c r="C5" s="193"/>
      <c r="D5" s="193"/>
      <c r="E5" s="193"/>
      <c r="F5" s="171">
        <v>14.427099703689599</v>
      </c>
      <c r="G5" s="149">
        <v>14.522966896449701</v>
      </c>
      <c r="H5" s="149"/>
      <c r="I5" s="171">
        <v>18.230122433810799</v>
      </c>
      <c r="J5" s="149">
        <v>18.115894321197899</v>
      </c>
      <c r="K5" s="149"/>
      <c r="L5" s="171">
        <v>21.525714443879998</v>
      </c>
      <c r="M5" s="149">
        <v>21.697569725223499</v>
      </c>
      <c r="N5" s="149"/>
      <c r="O5" s="171">
        <v>24.7634202720978</v>
      </c>
      <c r="P5" s="149">
        <v>24.666150230924899</v>
      </c>
      <c r="Q5" s="149"/>
      <c r="R5" s="171">
        <v>28.3454392749899</v>
      </c>
      <c r="S5" s="149">
        <v>28.146872715649</v>
      </c>
      <c r="T5" s="149"/>
      <c r="U5" s="171">
        <v>31.3633189985574</v>
      </c>
      <c r="V5" s="149">
        <v>31.7191027027845</v>
      </c>
      <c r="W5" s="149">
        <v>31.321173182735699</v>
      </c>
      <c r="X5" s="171">
        <v>34.774842455642997</v>
      </c>
      <c r="Y5" s="149">
        <v>35.212833431216701</v>
      </c>
      <c r="Z5" s="149">
        <v>34.564402635310003</v>
      </c>
      <c r="AA5" s="171">
        <v>36.428175327376401</v>
      </c>
      <c r="AB5" s="149">
        <v>38.502421453468997</v>
      </c>
      <c r="AC5" s="207">
        <v>37.156075850779303</v>
      </c>
      <c r="AD5" s="149"/>
      <c r="AE5" s="149"/>
      <c r="AF5" s="149"/>
      <c r="AG5" s="198"/>
      <c r="AH5" s="149">
        <f t="shared" si="0"/>
        <v>14.475033300069651</v>
      </c>
      <c r="AI5" s="149">
        <f t="shared" si="1"/>
        <v>18.173008377504349</v>
      </c>
      <c r="AJ5" s="149">
        <f t="shared" si="2"/>
        <v>21.611642084551747</v>
      </c>
      <c r="AK5" s="149">
        <f t="shared" si="3"/>
        <v>24.714785251511351</v>
      </c>
      <c r="AL5" s="149">
        <f>AVERAGE(R5:T5)</f>
        <v>28.246155995319448</v>
      </c>
      <c r="AM5" s="149">
        <f>AVERAGE(U5:W5)</f>
        <v>31.467864961359197</v>
      </c>
      <c r="AN5" s="149">
        <f>AVERAGE(X5:Z5)</f>
        <v>34.850692840723234</v>
      </c>
      <c r="AO5" s="149">
        <f>AVERAGE(AA5:AC5)</f>
        <v>37.362224210541569</v>
      </c>
      <c r="AP5" s="207"/>
      <c r="AQ5" s="242">
        <v>10</v>
      </c>
      <c r="AR5" s="242">
        <v>1</v>
      </c>
      <c r="AS5" s="242">
        <v>0.1</v>
      </c>
      <c r="AT5" s="242">
        <v>0.01</v>
      </c>
      <c r="AU5" s="242">
        <v>1E-3</v>
      </c>
      <c r="AV5" s="242">
        <v>1E-4</v>
      </c>
      <c r="AW5" s="242">
        <v>1.0000000000000001E-5</v>
      </c>
      <c r="AX5" s="242">
        <v>9.9999999999999995E-7</v>
      </c>
      <c r="AY5" s="242">
        <v>9.9999999999999995E-8</v>
      </c>
      <c r="AZ5" s="215"/>
      <c r="BA5" s="383">
        <f t="shared" si="4"/>
        <v>592317119.47060192</v>
      </c>
      <c r="BB5" s="383">
        <f t="shared" si="4"/>
        <v>59231711.94706019</v>
      </c>
      <c r="BC5" s="383">
        <f t="shared" si="4"/>
        <v>5923171.1947060199</v>
      </c>
      <c r="BD5" s="383">
        <f t="shared" si="4"/>
        <v>592317.11947060202</v>
      </c>
      <c r="BE5" s="383">
        <f t="shared" si="4"/>
        <v>59231.711947060197</v>
      </c>
      <c r="BF5" s="383">
        <f t="shared" si="4"/>
        <v>5923.1711947060194</v>
      </c>
      <c r="BG5" s="383">
        <f t="shared" si="4"/>
        <v>592.31711947060205</v>
      </c>
      <c r="BH5" s="383">
        <f t="shared" si="4"/>
        <v>59.231711947060191</v>
      </c>
      <c r="BI5" s="383">
        <f t="shared" si="4"/>
        <v>5.9231711947060193</v>
      </c>
      <c r="BJ5" s="211"/>
      <c r="BK5" s="383">
        <f t="shared" si="10"/>
        <v>8.7725542850369767</v>
      </c>
      <c r="BL5" s="383">
        <f t="shared" si="5"/>
        <v>7.7725542850369775</v>
      </c>
      <c r="BM5" s="383">
        <f t="shared" si="5"/>
        <v>6.7725542850369775</v>
      </c>
      <c r="BN5" s="383">
        <f t="shared" si="5"/>
        <v>5.7725542850369775</v>
      </c>
      <c r="BO5" s="383">
        <f t="shared" si="5"/>
        <v>4.7725542850369775</v>
      </c>
      <c r="BP5" s="383">
        <f t="shared" si="5"/>
        <v>3.7725542850369775</v>
      </c>
      <c r="BQ5" s="383">
        <f t="shared" si="5"/>
        <v>2.7725542850369775</v>
      </c>
      <c r="BR5" s="383">
        <f t="shared" si="5"/>
        <v>1.7725542850369773</v>
      </c>
      <c r="BS5" s="383">
        <f t="shared" si="5"/>
        <v>0.77255428503697743</v>
      </c>
      <c r="BT5" s="211"/>
      <c r="BU5" s="383">
        <f t="shared" si="6"/>
        <v>40.436612012594431</v>
      </c>
      <c r="BV5" s="383">
        <f t="shared" si="7"/>
        <v>-3.2940333102812893</v>
      </c>
      <c r="BW5" s="205">
        <f t="shared" si="8"/>
        <v>0.9986983191127311</v>
      </c>
      <c r="BX5" s="207">
        <f t="shared" si="9"/>
        <v>1.0117740454651289</v>
      </c>
    </row>
    <row r="6" spans="1:76" x14ac:dyDescent="0.2">
      <c r="A6" s="382" t="s">
        <v>23</v>
      </c>
      <c r="B6" s="212">
        <v>44264</v>
      </c>
      <c r="C6" s="193"/>
      <c r="D6" s="193"/>
      <c r="E6" s="193"/>
      <c r="F6" s="171">
        <v>14.0192984384033</v>
      </c>
      <c r="G6" s="149">
        <v>14.0025886669863</v>
      </c>
      <c r="H6" s="149"/>
      <c r="I6" s="171">
        <v>17.468267625727002</v>
      </c>
      <c r="J6" s="149">
        <v>17.502258769969899</v>
      </c>
      <c r="K6" s="149"/>
      <c r="L6" s="171">
        <v>20.808865033541402</v>
      </c>
      <c r="M6" s="149">
        <v>20.9038608077513</v>
      </c>
      <c r="N6" s="149"/>
      <c r="O6" s="171">
        <v>24.2265925155159</v>
      </c>
      <c r="P6" s="149">
        <v>24.5018507737006</v>
      </c>
      <c r="Q6" s="149">
        <v>24.246688359067299</v>
      </c>
      <c r="R6" s="171">
        <v>27.5320380295808</v>
      </c>
      <c r="S6" s="149">
        <v>27.609679950134002</v>
      </c>
      <c r="T6" s="149">
        <v>27.449338252322299</v>
      </c>
      <c r="U6" s="171">
        <v>31.1951540783149</v>
      </c>
      <c r="V6" s="149">
        <v>30.938715827261699</v>
      </c>
      <c r="W6" s="149">
        <v>31.016395929236399</v>
      </c>
      <c r="X6" s="171">
        <v>34.014820246438099</v>
      </c>
      <c r="Y6" s="149">
        <v>34.047752784109399</v>
      </c>
      <c r="Z6" s="207">
        <v>33.667734564501202</v>
      </c>
      <c r="AA6" s="149">
        <v>36.662392963706097</v>
      </c>
      <c r="AB6" s="149">
        <v>36.360211491207998</v>
      </c>
      <c r="AC6" s="207"/>
      <c r="AD6" s="149"/>
      <c r="AE6" s="149"/>
      <c r="AF6" s="207"/>
      <c r="AG6" s="193"/>
      <c r="AH6" s="149">
        <f t="shared" si="0"/>
        <v>14.010943552694801</v>
      </c>
      <c r="AI6" s="149">
        <f t="shared" si="1"/>
        <v>17.48526319784845</v>
      </c>
      <c r="AJ6" s="149">
        <f t="shared" si="2"/>
        <v>20.856362920646351</v>
      </c>
      <c r="AK6" s="149">
        <f t="shared" si="3"/>
        <v>24.325043882761264</v>
      </c>
      <c r="AL6" s="149">
        <f>AVERAGE(R6:T6)</f>
        <v>27.530352077345697</v>
      </c>
      <c r="AM6" s="149">
        <f>AVERAGE(U6:W6)</f>
        <v>31.050088611604334</v>
      </c>
      <c r="AN6" s="149">
        <f>AVERAGE(X6:Z6)</f>
        <v>33.910102531682902</v>
      </c>
      <c r="AO6" s="149">
        <f>AVERAGE(AA6:AC6)</f>
        <v>36.511302227457051</v>
      </c>
      <c r="AP6" s="207"/>
      <c r="AQ6" s="242">
        <v>10</v>
      </c>
      <c r="AR6" s="242">
        <v>1</v>
      </c>
      <c r="AS6" s="242">
        <v>0.1</v>
      </c>
      <c r="AT6" s="242">
        <v>0.01</v>
      </c>
      <c r="AU6" s="242">
        <v>1E-3</v>
      </c>
      <c r="AV6" s="242">
        <v>1E-4</v>
      </c>
      <c r="AW6" s="242">
        <v>1.0000000000000001E-5</v>
      </c>
      <c r="AX6" s="242">
        <v>9.9999999999999995E-7</v>
      </c>
      <c r="AY6" s="242">
        <v>9.9999999999999995E-8</v>
      </c>
      <c r="AZ6" s="215"/>
      <c r="BA6" s="383">
        <f t="shared" si="4"/>
        <v>592317119.47060192</v>
      </c>
      <c r="BB6" s="383">
        <f t="shared" si="4"/>
        <v>59231711.94706019</v>
      </c>
      <c r="BC6" s="383">
        <f t="shared" si="4"/>
        <v>5923171.1947060199</v>
      </c>
      <c r="BD6" s="383">
        <f t="shared" si="4"/>
        <v>592317.11947060202</v>
      </c>
      <c r="BE6" s="383">
        <f t="shared" si="4"/>
        <v>59231.711947060197</v>
      </c>
      <c r="BF6" s="383">
        <f t="shared" si="4"/>
        <v>5923.1711947060194</v>
      </c>
      <c r="BG6" s="383">
        <f t="shared" si="4"/>
        <v>592.31711947060205</v>
      </c>
      <c r="BH6" s="383">
        <f t="shared" si="4"/>
        <v>59.231711947060191</v>
      </c>
      <c r="BI6" s="383">
        <f t="shared" si="4"/>
        <v>5.9231711947060193</v>
      </c>
      <c r="BJ6" s="211"/>
      <c r="BK6" s="383">
        <f t="shared" si="10"/>
        <v>8.7725542850369767</v>
      </c>
      <c r="BL6" s="383">
        <f t="shared" si="5"/>
        <v>7.7725542850369775</v>
      </c>
      <c r="BM6" s="383">
        <f t="shared" si="5"/>
        <v>6.7725542850369775</v>
      </c>
      <c r="BN6" s="383">
        <f t="shared" si="5"/>
        <v>5.7725542850369775</v>
      </c>
      <c r="BO6" s="383">
        <f t="shared" si="5"/>
        <v>4.7725542850369775</v>
      </c>
      <c r="BP6" s="383">
        <f t="shared" si="5"/>
        <v>3.7725542850369775</v>
      </c>
      <c r="BQ6" s="383">
        <f t="shared" si="5"/>
        <v>2.7725542850369775</v>
      </c>
      <c r="BR6" s="383">
        <f t="shared" si="5"/>
        <v>1.7725542850369773</v>
      </c>
      <c r="BS6" s="383">
        <f t="shared" si="5"/>
        <v>0.77255428503697743</v>
      </c>
      <c r="BT6" s="211"/>
      <c r="BU6" s="383">
        <f t="shared" si="6"/>
        <v>39.616750326266775</v>
      </c>
      <c r="BV6" s="383">
        <f t="shared" si="7"/>
        <v>-3.2549189602376951</v>
      </c>
      <c r="BW6" s="205">
        <f t="shared" si="8"/>
        <v>0.99829210443741023</v>
      </c>
      <c r="BX6" s="207">
        <f t="shared" si="9"/>
        <v>1.0287442928325197</v>
      </c>
    </row>
    <row r="7" spans="1:76" x14ac:dyDescent="0.2">
      <c r="A7" s="180" t="s">
        <v>22</v>
      </c>
      <c r="B7" s="195">
        <v>44259</v>
      </c>
      <c r="C7" s="149">
        <v>5.0599999999999996</v>
      </c>
      <c r="D7" s="149">
        <v>4.57</v>
      </c>
      <c r="E7" s="149"/>
      <c r="F7" s="171">
        <v>9.18</v>
      </c>
      <c r="G7" s="149">
        <v>8.9600000000000009</v>
      </c>
      <c r="H7" s="149"/>
      <c r="I7" s="171">
        <v>13.03</v>
      </c>
      <c r="J7" s="149">
        <v>12.91</v>
      </c>
      <c r="K7" s="149"/>
      <c r="L7" s="171">
        <v>16.47</v>
      </c>
      <c r="M7" s="149">
        <v>16.489999999999998</v>
      </c>
      <c r="N7" s="149"/>
      <c r="O7" s="171">
        <v>19.82</v>
      </c>
      <c r="P7" s="149">
        <v>20.13</v>
      </c>
      <c r="Q7" s="149"/>
      <c r="R7" s="171">
        <v>23.52</v>
      </c>
      <c r="S7" s="149">
        <v>23.46</v>
      </c>
      <c r="T7" s="149"/>
      <c r="U7" s="171">
        <v>27.01</v>
      </c>
      <c r="V7" s="149">
        <v>27.06</v>
      </c>
      <c r="W7" s="207">
        <v>26.83</v>
      </c>
      <c r="X7" s="149">
        <v>30.17</v>
      </c>
      <c r="Y7" s="149">
        <v>30.19</v>
      </c>
      <c r="Z7" s="207">
        <v>30.07</v>
      </c>
      <c r="AA7" s="149">
        <v>33.4</v>
      </c>
      <c r="AB7" s="149">
        <v>33.69</v>
      </c>
      <c r="AC7" s="207">
        <v>33.479999999999997</v>
      </c>
      <c r="AD7" s="149">
        <v>36.369999999999997</v>
      </c>
      <c r="AE7" s="149">
        <v>36.74</v>
      </c>
      <c r="AF7" s="207">
        <v>36.69</v>
      </c>
      <c r="AG7" s="149">
        <f>AVERAGE(C7:E7)</f>
        <v>4.8149999999999995</v>
      </c>
      <c r="AH7" s="149">
        <f t="shared" si="0"/>
        <v>9.07</v>
      </c>
      <c r="AI7" s="149">
        <f t="shared" si="1"/>
        <v>12.969999999999999</v>
      </c>
      <c r="AJ7" s="149">
        <f t="shared" si="2"/>
        <v>16.479999999999997</v>
      </c>
      <c r="AK7" s="149">
        <f t="shared" si="3"/>
        <v>19.975000000000001</v>
      </c>
      <c r="AL7" s="149">
        <f>AVERAGE(R7:T7)</f>
        <v>23.490000000000002</v>
      </c>
      <c r="AM7" s="149">
        <f>AVERAGE(U7:W7)</f>
        <v>26.966666666666669</v>
      </c>
      <c r="AN7" s="149">
        <f>AVERAGE(X7:Z7)</f>
        <v>30.143333333333334</v>
      </c>
      <c r="AO7" s="149">
        <f>AVERAGE(AA7:AC7)</f>
        <v>33.523333333333333</v>
      </c>
      <c r="AP7" s="207">
        <f>AVERAGE(AD7:AF7)</f>
        <v>36.6</v>
      </c>
      <c r="AU7" s="180"/>
      <c r="AV7" s="180"/>
      <c r="AW7" s="180"/>
      <c r="AX7" s="180"/>
      <c r="AY7" s="180"/>
      <c r="AZ7" s="208"/>
      <c r="BA7" s="383">
        <f>10^10</f>
        <v>10000000000</v>
      </c>
      <c r="BB7" s="383">
        <f>10^9</f>
        <v>1000000000</v>
      </c>
      <c r="BC7" s="383">
        <f>10^8</f>
        <v>100000000</v>
      </c>
      <c r="BD7" s="383">
        <f>10^7</f>
        <v>10000000</v>
      </c>
      <c r="BE7" s="383">
        <f>10^6</f>
        <v>1000000</v>
      </c>
      <c r="BF7" s="383">
        <f>10^5</f>
        <v>100000</v>
      </c>
      <c r="BG7" s="383">
        <f>10^4</f>
        <v>10000</v>
      </c>
      <c r="BH7" s="383">
        <f>10^3</f>
        <v>1000</v>
      </c>
      <c r="BI7" s="383">
        <f>10^2</f>
        <v>100</v>
      </c>
      <c r="BJ7" s="211">
        <f>10^1</f>
        <v>10</v>
      </c>
      <c r="BK7" s="193">
        <f>LOG(BA7)</f>
        <v>10</v>
      </c>
      <c r="BL7" s="193">
        <f t="shared" ref="BL7:BS7" si="11">LOG(BB7)</f>
        <v>9</v>
      </c>
      <c r="BM7" s="193">
        <f t="shared" si="11"/>
        <v>8</v>
      </c>
      <c r="BN7" s="193">
        <f t="shared" si="11"/>
        <v>7</v>
      </c>
      <c r="BO7" s="193">
        <f t="shared" si="11"/>
        <v>6</v>
      </c>
      <c r="BP7" s="193">
        <f t="shared" si="11"/>
        <v>5</v>
      </c>
      <c r="BQ7" s="193">
        <f t="shared" si="11"/>
        <v>4</v>
      </c>
      <c r="BR7" s="193">
        <f t="shared" si="11"/>
        <v>3</v>
      </c>
      <c r="BS7" s="193">
        <f t="shared" si="11"/>
        <v>2</v>
      </c>
      <c r="BT7" s="209">
        <f>LOG(BJ7)</f>
        <v>1</v>
      </c>
      <c r="BU7" s="383">
        <f>INTERCEPT(AG7:AP7,BK7:BT7)</f>
        <v>40.672666666666665</v>
      </c>
      <c r="BV7" s="383">
        <f>SLOPE(AG7:AP7,BK7:BT7)</f>
        <v>-3.5035151515151512</v>
      </c>
      <c r="BW7" s="205">
        <f>CORREL(AG7:AP7,BK7:BT7)^2</f>
        <v>0.99846788504716344</v>
      </c>
      <c r="BX7" s="207">
        <f>10^(-1/BV7)-1</f>
        <v>0.92942376048342568</v>
      </c>
    </row>
    <row r="8" spans="1:76" x14ac:dyDescent="0.2">
      <c r="A8" s="180" t="s">
        <v>415</v>
      </c>
      <c r="B8" s="195">
        <v>44238</v>
      </c>
      <c r="C8" s="149">
        <v>14.14</v>
      </c>
      <c r="D8" s="149">
        <v>13.82</v>
      </c>
      <c r="E8" s="149">
        <v>13.94</v>
      </c>
      <c r="F8" s="171">
        <v>17.399999999999999</v>
      </c>
      <c r="G8" s="149">
        <v>16.72</v>
      </c>
      <c r="H8" s="149">
        <v>17.16</v>
      </c>
      <c r="I8" s="171">
        <v>20.91</v>
      </c>
      <c r="J8" s="149">
        <v>20.74</v>
      </c>
      <c r="K8" s="149">
        <v>20.58</v>
      </c>
      <c r="L8" s="171">
        <v>22.68</v>
      </c>
      <c r="M8" s="149">
        <v>23.85</v>
      </c>
      <c r="N8" s="149">
        <v>22.52</v>
      </c>
      <c r="O8" s="171">
        <v>26.22</v>
      </c>
      <c r="P8" s="149">
        <v>25.93</v>
      </c>
      <c r="Q8" s="149">
        <v>27.28</v>
      </c>
      <c r="R8" s="192"/>
      <c r="S8" s="193"/>
      <c r="T8" s="193"/>
      <c r="U8" s="192"/>
      <c r="V8" s="193"/>
      <c r="W8" s="209"/>
      <c r="X8" s="180"/>
      <c r="Z8" s="208"/>
      <c r="AA8" s="180"/>
      <c r="AF8" s="208"/>
      <c r="AG8" s="149">
        <f>AVERAGE(C8:E8)</f>
        <v>13.966666666666667</v>
      </c>
      <c r="AH8" s="149">
        <f t="shared" si="0"/>
        <v>17.093333333333334</v>
      </c>
      <c r="AI8" s="149">
        <f t="shared" si="1"/>
        <v>20.743333333333332</v>
      </c>
      <c r="AJ8" s="149">
        <f t="shared" si="2"/>
        <v>23.016666666666666</v>
      </c>
      <c r="AK8" s="149">
        <f t="shared" si="3"/>
        <v>26.47666666666667</v>
      </c>
      <c r="AL8" s="193"/>
      <c r="AM8" s="193"/>
      <c r="AQ8" s="242">
        <v>100</v>
      </c>
      <c r="AR8" s="242">
        <v>10</v>
      </c>
      <c r="AS8" s="242">
        <v>1</v>
      </c>
      <c r="AT8" s="242">
        <v>0.1</v>
      </c>
      <c r="AU8" s="242">
        <v>0.01</v>
      </c>
      <c r="AV8" s="180"/>
      <c r="AW8" s="180"/>
      <c r="AX8" s="180"/>
      <c r="AY8" s="180"/>
      <c r="AZ8" s="208"/>
      <c r="BA8" s="383">
        <f t="shared" ref="BA8:BE9" si="12">(AQ8*(6.0221*10^23))/(15123*340*10^9)</f>
        <v>11712000809.052048</v>
      </c>
      <c r="BB8" s="383">
        <f t="shared" si="12"/>
        <v>1171200080.9052045</v>
      </c>
      <c r="BC8" s="383">
        <f t="shared" si="12"/>
        <v>117120008.09052046</v>
      </c>
      <c r="BD8" s="383">
        <f t="shared" si="12"/>
        <v>11712000.809052046</v>
      </c>
      <c r="BE8" s="383">
        <f t="shared" si="12"/>
        <v>1171200.0809052046</v>
      </c>
      <c r="BF8" s="180"/>
      <c r="BG8" s="180"/>
      <c r="BH8" s="180"/>
      <c r="BI8" s="180"/>
      <c r="BJ8" s="208"/>
      <c r="BK8" s="193">
        <f t="shared" ref="BK8:BQ9" si="13">IF(BA8="","",LOG(BA8))</f>
        <v>10.068631093714899</v>
      </c>
      <c r="BL8" s="193">
        <f t="shared" si="13"/>
        <v>9.0686310937148988</v>
      </c>
      <c r="BM8" s="193">
        <f t="shared" si="13"/>
        <v>8.0686310937148988</v>
      </c>
      <c r="BN8" s="193">
        <f t="shared" si="13"/>
        <v>7.0686310937148997</v>
      </c>
      <c r="BO8" s="193">
        <f t="shared" si="13"/>
        <v>6.0686310937148997</v>
      </c>
      <c r="BP8" s="193" t="str">
        <f t="shared" si="13"/>
        <v/>
      </c>
      <c r="BQ8" s="193" t="str">
        <f t="shared" si="13"/>
        <v/>
      </c>
      <c r="BR8" s="189"/>
      <c r="BS8" s="189"/>
      <c r="BT8" s="216"/>
      <c r="BU8" s="383">
        <f t="shared" ref="BU8:BU9" si="14">INTERCEPT(AG8:AP8,BK8:BT8)</f>
        <v>45.226367480985147</v>
      </c>
      <c r="BV8" s="383">
        <f t="shared" ref="BV8:BV9" si="15">SLOPE(AG8:AP8,BK8:BT8)</f>
        <v>-3.0943333333333345</v>
      </c>
      <c r="BW8" s="205">
        <f t="shared" ref="BW8:BW9" si="16">CORREL(AG8:AP8,BK8:BT8)^2</f>
        <v>0.99620658325702294</v>
      </c>
      <c r="BX8" s="207">
        <f t="shared" ref="BX8:BX9" si="17">10^(-1/BV8)-1</f>
        <v>1.1046088318782554</v>
      </c>
    </row>
    <row r="9" spans="1:76" x14ac:dyDescent="0.2">
      <c r="A9" s="180" t="s">
        <v>415</v>
      </c>
      <c r="B9" s="195">
        <v>44243</v>
      </c>
      <c r="C9" s="149">
        <v>15.15</v>
      </c>
      <c r="D9" s="149">
        <v>15.4</v>
      </c>
      <c r="E9" s="149"/>
      <c r="F9" s="171">
        <v>19.149999999999999</v>
      </c>
      <c r="G9" s="149">
        <v>18.75</v>
      </c>
      <c r="H9" s="149"/>
      <c r="I9" s="171">
        <v>22.43</v>
      </c>
      <c r="J9" s="149">
        <v>22.01</v>
      </c>
      <c r="K9" s="149"/>
      <c r="L9" s="171">
        <v>25.74</v>
      </c>
      <c r="M9" s="149">
        <v>25.91</v>
      </c>
      <c r="N9" s="149"/>
      <c r="O9" s="171">
        <v>29.37</v>
      </c>
      <c r="P9" s="149">
        <v>28.64</v>
      </c>
      <c r="Q9" s="149"/>
      <c r="R9" s="171">
        <v>32.35</v>
      </c>
      <c r="S9" s="149">
        <v>30.96</v>
      </c>
      <c r="T9" s="149"/>
      <c r="U9" s="171">
        <v>36.85</v>
      </c>
      <c r="V9" s="149">
        <v>36.47</v>
      </c>
      <c r="W9" s="207"/>
      <c r="X9" s="180"/>
      <c r="Z9" s="208"/>
      <c r="AA9" s="180"/>
      <c r="AF9" s="208"/>
      <c r="AG9" s="149">
        <f>AVERAGE(C9:E9)</f>
        <v>15.275</v>
      </c>
      <c r="AH9" s="149">
        <f t="shared" si="0"/>
        <v>18.95</v>
      </c>
      <c r="AI9" s="149">
        <f t="shared" si="1"/>
        <v>22.22</v>
      </c>
      <c r="AJ9" s="149">
        <f t="shared" si="2"/>
        <v>25.824999999999999</v>
      </c>
      <c r="AK9" s="149">
        <f t="shared" si="3"/>
        <v>29.005000000000003</v>
      </c>
      <c r="AL9" s="149">
        <f>AVERAGE(R9:T9)</f>
        <v>31.655000000000001</v>
      </c>
      <c r="AM9" s="149">
        <f>AVERAGE(U9:W9)</f>
        <v>36.659999999999997</v>
      </c>
      <c r="AQ9" s="242">
        <v>50</v>
      </c>
      <c r="AR9" s="242">
        <v>5</v>
      </c>
      <c r="AS9" s="242">
        <v>0.5</v>
      </c>
      <c r="AT9" s="242">
        <v>0.05</v>
      </c>
      <c r="AU9" s="242">
        <v>5.0000000000000001E-3</v>
      </c>
      <c r="AV9" s="242">
        <v>5.0000000000000001E-4</v>
      </c>
      <c r="AW9" s="242">
        <v>5.0000000000000002E-5</v>
      </c>
      <c r="AX9" s="180"/>
      <c r="AY9" s="180"/>
      <c r="AZ9" s="208"/>
      <c r="BA9" s="383">
        <f t="shared" si="12"/>
        <v>5856000404.5260239</v>
      </c>
      <c r="BB9" s="383">
        <f t="shared" si="12"/>
        <v>585600040.45260227</v>
      </c>
      <c r="BC9" s="383">
        <f t="shared" si="12"/>
        <v>58560004.045260228</v>
      </c>
      <c r="BD9" s="383">
        <f t="shared" si="12"/>
        <v>5856000.4045260232</v>
      </c>
      <c r="BE9" s="383">
        <f t="shared" si="12"/>
        <v>585600.04045260232</v>
      </c>
      <c r="BF9" s="383">
        <f>(AV9*(6.0221*10^23))/(15123*340*10^9)</f>
        <v>58560.004045260233</v>
      </c>
      <c r="BG9" s="383">
        <f>(AW9*(6.0221*10^23))/(15123*340*10^9)</f>
        <v>5856.000404526023</v>
      </c>
      <c r="BH9" s="180"/>
      <c r="BI9" s="180"/>
      <c r="BJ9" s="208"/>
      <c r="BK9" s="193">
        <f t="shared" si="13"/>
        <v>9.7676010980509176</v>
      </c>
      <c r="BL9" s="193">
        <f t="shared" si="13"/>
        <v>8.7676010980509176</v>
      </c>
      <c r="BM9" s="193">
        <f t="shared" si="13"/>
        <v>7.7676010980509185</v>
      </c>
      <c r="BN9" s="193">
        <f t="shared" si="13"/>
        <v>6.7676010980509185</v>
      </c>
      <c r="BO9" s="193">
        <f t="shared" si="13"/>
        <v>5.7676010980509185</v>
      </c>
      <c r="BP9" s="193">
        <f t="shared" si="13"/>
        <v>4.7676010980509185</v>
      </c>
      <c r="BQ9" s="193">
        <f t="shared" si="13"/>
        <v>3.7676010980509185</v>
      </c>
      <c r="BR9" s="189"/>
      <c r="BS9" s="189"/>
      <c r="BT9" s="216"/>
      <c r="BU9" s="383">
        <f t="shared" si="14"/>
        <v>48.943513064185922</v>
      </c>
      <c r="BV9" s="383">
        <f t="shared" si="15"/>
        <v>-3.4410714285714286</v>
      </c>
      <c r="BW9" s="205">
        <f t="shared" si="16"/>
        <v>0.9960498975444354</v>
      </c>
      <c r="BX9" s="207">
        <f t="shared" si="17"/>
        <v>0.95257246839009757</v>
      </c>
    </row>
  </sheetData>
  <mergeCells count="10">
    <mergeCell ref="AD1:AF1"/>
    <mergeCell ref="I1:K1"/>
    <mergeCell ref="F1:H1"/>
    <mergeCell ref="C1:E1"/>
    <mergeCell ref="AA1:AC1"/>
    <mergeCell ref="X1:Z1"/>
    <mergeCell ref="U1:W1"/>
    <mergeCell ref="R1:T1"/>
    <mergeCell ref="O1:Q1"/>
    <mergeCell ref="L1:N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F26"/>
  <sheetViews>
    <sheetView showGridLines="0" topLeftCell="A8" zoomScaleNormal="100" workbookViewId="0">
      <selection activeCell="E19" sqref="E19"/>
    </sheetView>
  </sheetViews>
  <sheetFormatPr baseColWidth="10" defaultColWidth="8.83203125" defaultRowHeight="15" x14ac:dyDescent="0.2"/>
  <cols>
    <col min="1" max="1" width="2.33203125" customWidth="1"/>
    <col min="2" max="2" width="15.33203125" customWidth="1"/>
    <col min="3" max="3" width="17.1640625" customWidth="1"/>
    <col min="4" max="4" width="11.33203125" style="155" customWidth="1"/>
    <col min="5" max="5" width="13.1640625" style="155" customWidth="1"/>
    <col min="7" max="7" width="11.1640625" bestFit="1" customWidth="1"/>
  </cols>
  <sheetData>
    <row r="2" spans="2:5" x14ac:dyDescent="0.2">
      <c r="B2" s="820" t="s">
        <v>364</v>
      </c>
      <c r="C2" s="787" t="s">
        <v>416</v>
      </c>
      <c r="D2" s="820" t="s">
        <v>417</v>
      </c>
      <c r="E2" s="820"/>
    </row>
    <row r="3" spans="2:5" x14ac:dyDescent="0.2">
      <c r="B3" s="820"/>
      <c r="C3" s="787"/>
      <c r="D3" s="820" t="s">
        <v>418</v>
      </c>
      <c r="E3" s="820"/>
    </row>
    <row r="4" spans="2:5" x14ac:dyDescent="0.2">
      <c r="B4" s="820"/>
      <c r="C4" s="787"/>
      <c r="D4" s="241" t="s">
        <v>419</v>
      </c>
      <c r="E4" s="241" t="s">
        <v>57</v>
      </c>
    </row>
    <row r="5" spans="2:5" x14ac:dyDescent="0.2">
      <c r="B5" s="159">
        <v>44242</v>
      </c>
      <c r="C5" s="148">
        <v>317</v>
      </c>
      <c r="D5" s="241"/>
      <c r="E5" s="241"/>
    </row>
    <row r="6" spans="2:5" x14ac:dyDescent="0.2">
      <c r="B6" s="159">
        <v>44243</v>
      </c>
      <c r="C6" s="148">
        <v>412</v>
      </c>
      <c r="D6" s="160"/>
      <c r="E6" s="241"/>
    </row>
    <row r="7" spans="2:5" x14ac:dyDescent="0.2">
      <c r="B7" s="159">
        <v>44244</v>
      </c>
      <c r="C7" s="148">
        <v>331</v>
      </c>
      <c r="D7" s="160"/>
      <c r="E7" s="241"/>
    </row>
    <row r="8" spans="2:5" x14ac:dyDescent="0.2">
      <c r="B8" s="159">
        <v>44245</v>
      </c>
      <c r="C8" s="148">
        <v>375</v>
      </c>
      <c r="D8" s="160"/>
      <c r="E8" s="241"/>
    </row>
    <row r="9" spans="2:5" x14ac:dyDescent="0.2">
      <c r="B9" s="159">
        <v>44246</v>
      </c>
      <c r="C9" s="148">
        <v>394</v>
      </c>
      <c r="D9" s="160"/>
      <c r="E9" s="241"/>
    </row>
    <row r="10" spans="2:5" x14ac:dyDescent="0.2">
      <c r="B10" s="159">
        <v>44247</v>
      </c>
      <c r="C10" s="148">
        <v>392</v>
      </c>
      <c r="D10" s="160"/>
      <c r="E10" s="241"/>
    </row>
    <row r="11" spans="2:5" x14ac:dyDescent="0.2">
      <c r="B11" s="159">
        <v>44248</v>
      </c>
      <c r="C11" s="148">
        <v>404</v>
      </c>
      <c r="D11" s="160"/>
      <c r="E11" s="241"/>
    </row>
    <row r="12" spans="2:5" x14ac:dyDescent="0.2">
      <c r="B12" s="159">
        <v>44249</v>
      </c>
      <c r="C12" s="148">
        <v>259</v>
      </c>
      <c r="D12" s="160"/>
      <c r="E12" s="241"/>
    </row>
    <row r="13" spans="2:5" x14ac:dyDescent="0.2">
      <c r="B13" s="159">
        <v>44250</v>
      </c>
      <c r="C13" s="148">
        <v>417</v>
      </c>
      <c r="D13" s="160"/>
      <c r="E13" s="241"/>
    </row>
    <row r="14" spans="2:5" x14ac:dyDescent="0.2">
      <c r="B14" s="159">
        <v>44251</v>
      </c>
      <c r="C14" s="148">
        <v>410</v>
      </c>
      <c r="D14" s="160"/>
      <c r="E14" s="241"/>
    </row>
    <row r="15" spans="2:5" x14ac:dyDescent="0.2">
      <c r="B15" s="159">
        <v>44252</v>
      </c>
      <c r="C15" s="148">
        <v>389</v>
      </c>
      <c r="D15" s="161"/>
      <c r="E15" s="161"/>
    </row>
    <row r="16" spans="2:5" x14ac:dyDescent="0.2">
      <c r="B16" s="159">
        <v>44253</v>
      </c>
      <c r="C16" s="148">
        <v>399</v>
      </c>
      <c r="D16" s="161">
        <v>3.0892588037332804</v>
      </c>
      <c r="E16" s="161">
        <v>5.5517519075425774</v>
      </c>
    </row>
    <row r="17" spans="2:6" x14ac:dyDescent="0.2">
      <c r="B17" s="159">
        <v>44254</v>
      </c>
      <c r="C17" s="148">
        <v>324</v>
      </c>
      <c r="D17" s="241"/>
      <c r="E17" s="241"/>
      <c r="F17" t="s">
        <v>420</v>
      </c>
    </row>
    <row r="18" spans="2:6" x14ac:dyDescent="0.2">
      <c r="B18" s="159">
        <v>44255</v>
      </c>
      <c r="C18" s="148">
        <v>248</v>
      </c>
      <c r="D18" s="241"/>
      <c r="E18" s="241"/>
      <c r="F18" t="s">
        <v>420</v>
      </c>
    </row>
    <row r="19" spans="2:6" x14ac:dyDescent="0.2">
      <c r="B19" s="159">
        <v>44256</v>
      </c>
      <c r="C19" s="148">
        <v>259</v>
      </c>
      <c r="D19" s="161">
        <v>8.93229218911892</v>
      </c>
      <c r="E19" s="161">
        <v>9.8646937649361526</v>
      </c>
    </row>
    <row r="20" spans="2:6" x14ac:dyDescent="0.2">
      <c r="B20" s="159">
        <v>44257</v>
      </c>
      <c r="C20" s="148">
        <v>391</v>
      </c>
      <c r="D20" s="241"/>
      <c r="E20" s="241"/>
    </row>
    <row r="21" spans="2:6" x14ac:dyDescent="0.2">
      <c r="B21" s="159">
        <v>44258</v>
      </c>
      <c r="C21" s="148">
        <v>306</v>
      </c>
      <c r="D21" s="161">
        <v>8.89439958459241</v>
      </c>
      <c r="E21" s="161">
        <v>12.23296718573455</v>
      </c>
    </row>
    <row r="22" spans="2:6" x14ac:dyDescent="0.2">
      <c r="B22" s="159">
        <v>44259</v>
      </c>
      <c r="C22" s="148">
        <v>371</v>
      </c>
      <c r="D22" s="161">
        <v>3.7857172553192249</v>
      </c>
      <c r="E22" s="161">
        <v>19.229459984012177</v>
      </c>
    </row>
    <row r="23" spans="2:6" x14ac:dyDescent="0.2">
      <c r="B23" s="159">
        <v>44260</v>
      </c>
      <c r="C23" s="148">
        <v>281</v>
      </c>
      <c r="D23" s="160"/>
      <c r="E23" s="162"/>
    </row>
    <row r="24" spans="2:6" x14ac:dyDescent="0.2">
      <c r="B24" s="159">
        <v>44261</v>
      </c>
      <c r="C24" s="148">
        <v>393</v>
      </c>
      <c r="D24" s="241"/>
      <c r="E24" s="241"/>
    </row>
    <row r="25" spans="2:6" x14ac:dyDescent="0.2">
      <c r="B25" s="159">
        <v>44262</v>
      </c>
      <c r="C25" s="148">
        <v>277</v>
      </c>
      <c r="D25" s="160"/>
      <c r="E25" s="241"/>
    </row>
    <row r="26" spans="2:6" x14ac:dyDescent="0.2">
      <c r="B26" s="159">
        <v>44263</v>
      </c>
      <c r="C26" s="148">
        <v>158</v>
      </c>
      <c r="D26" s="160"/>
      <c r="E26" s="241"/>
    </row>
  </sheetData>
  <mergeCells count="4">
    <mergeCell ref="D2:E2"/>
    <mergeCell ref="D3:E3"/>
    <mergeCell ref="B2:B4"/>
    <mergeCell ref="C2:C4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E26"/>
  <sheetViews>
    <sheetView showGridLines="0" zoomScaleNormal="100" workbookViewId="0">
      <selection activeCell="E19" sqref="E19"/>
    </sheetView>
  </sheetViews>
  <sheetFormatPr baseColWidth="10" defaultColWidth="8.83203125" defaultRowHeight="15" x14ac:dyDescent="0.2"/>
  <cols>
    <col min="1" max="1" width="2.33203125" customWidth="1"/>
    <col min="2" max="2" width="15.33203125" customWidth="1"/>
    <col min="3" max="3" width="17.1640625" customWidth="1"/>
    <col min="4" max="4" width="11.33203125" style="155" customWidth="1"/>
    <col min="5" max="5" width="13.1640625" style="155" customWidth="1"/>
    <col min="6" max="6" width="13.83203125" customWidth="1"/>
    <col min="8" max="8" width="11.1640625" bestFit="1" customWidth="1"/>
  </cols>
  <sheetData>
    <row r="2" spans="2:5" x14ac:dyDescent="0.2">
      <c r="D2" s="815" t="s">
        <v>421</v>
      </c>
      <c r="E2" s="815"/>
    </row>
    <row r="3" spans="2:5" x14ac:dyDescent="0.2">
      <c r="D3" s="815" t="s">
        <v>418</v>
      </c>
      <c r="E3" s="815"/>
    </row>
    <row r="4" spans="2:5" x14ac:dyDescent="0.2">
      <c r="B4" s="148" t="s">
        <v>364</v>
      </c>
      <c r="C4" s="148" t="s">
        <v>422</v>
      </c>
      <c r="D4" s="241" t="s">
        <v>419</v>
      </c>
      <c r="E4" s="241" t="s">
        <v>57</v>
      </c>
    </row>
    <row r="5" spans="2:5" x14ac:dyDescent="0.2">
      <c r="B5" s="159">
        <v>44242</v>
      </c>
      <c r="C5" s="148">
        <v>317</v>
      </c>
      <c r="D5" s="241"/>
      <c r="E5" s="241"/>
    </row>
    <row r="6" spans="2:5" x14ac:dyDescent="0.2">
      <c r="B6" s="159">
        <v>44243</v>
      </c>
      <c r="C6" s="148">
        <v>412</v>
      </c>
      <c r="D6" s="160"/>
      <c r="E6" s="241"/>
    </row>
    <row r="7" spans="2:5" x14ac:dyDescent="0.2">
      <c r="B7" s="159">
        <v>44244</v>
      </c>
      <c r="C7" s="148">
        <v>331</v>
      </c>
      <c r="D7" s="160"/>
      <c r="E7" s="241"/>
    </row>
    <row r="8" spans="2:5" x14ac:dyDescent="0.2">
      <c r="B8" s="159">
        <v>44245</v>
      </c>
      <c r="C8" s="148">
        <v>375</v>
      </c>
      <c r="D8" s="160"/>
      <c r="E8" s="241"/>
    </row>
    <row r="9" spans="2:5" x14ac:dyDescent="0.2">
      <c r="B9" s="159">
        <v>44246</v>
      </c>
      <c r="C9" s="148">
        <v>394</v>
      </c>
      <c r="D9" s="160"/>
      <c r="E9" s="241"/>
    </row>
    <row r="10" spans="2:5" x14ac:dyDescent="0.2">
      <c r="B10" s="159">
        <v>44247</v>
      </c>
      <c r="C10" s="148">
        <v>392</v>
      </c>
      <c r="D10" s="160"/>
      <c r="E10" s="241"/>
    </row>
    <row r="11" spans="2:5" x14ac:dyDescent="0.2">
      <c r="B11" s="159">
        <v>44248</v>
      </c>
      <c r="C11" s="148">
        <v>404</v>
      </c>
      <c r="D11" s="160"/>
      <c r="E11" s="241"/>
    </row>
    <row r="12" spans="2:5" x14ac:dyDescent="0.2">
      <c r="B12" s="159">
        <v>44249</v>
      </c>
      <c r="C12" s="148">
        <v>259</v>
      </c>
      <c r="D12" s="160"/>
      <c r="E12" s="241"/>
    </row>
    <row r="13" spans="2:5" x14ac:dyDescent="0.2">
      <c r="B13" s="159">
        <v>44250</v>
      </c>
      <c r="C13" s="148">
        <v>417</v>
      </c>
      <c r="D13" s="160"/>
      <c r="E13" s="241"/>
    </row>
    <row r="14" spans="2:5" x14ac:dyDescent="0.2">
      <c r="B14" s="159">
        <v>44251</v>
      </c>
      <c r="C14" s="148">
        <v>410</v>
      </c>
      <c r="D14" s="160"/>
      <c r="E14" s="241"/>
    </row>
    <row r="15" spans="2:5" x14ac:dyDescent="0.2">
      <c r="B15" s="159">
        <v>44252</v>
      </c>
      <c r="C15" s="148">
        <v>389</v>
      </c>
      <c r="D15" s="161"/>
      <c r="E15" s="161"/>
    </row>
    <row r="16" spans="2:5" x14ac:dyDescent="0.2">
      <c r="B16" s="159">
        <v>44253</v>
      </c>
      <c r="C16" s="148">
        <v>399</v>
      </c>
      <c r="D16" s="161">
        <v>22.073386816205506</v>
      </c>
      <c r="E16" s="161">
        <v>134.01440602747999</v>
      </c>
    </row>
    <row r="17" spans="2:5" x14ac:dyDescent="0.2">
      <c r="B17" s="159">
        <v>44254</v>
      </c>
      <c r="C17" s="148">
        <v>324</v>
      </c>
      <c r="D17" s="241"/>
      <c r="E17" s="241"/>
    </row>
    <row r="18" spans="2:5" x14ac:dyDescent="0.2">
      <c r="B18" s="159">
        <v>44255</v>
      </c>
      <c r="C18" s="148">
        <v>248</v>
      </c>
      <c r="D18" s="241"/>
      <c r="E18" s="241"/>
    </row>
    <row r="19" spans="2:5" x14ac:dyDescent="0.2">
      <c r="B19" s="159">
        <v>44256</v>
      </c>
      <c r="C19" s="148">
        <v>259</v>
      </c>
      <c r="D19" s="161">
        <v>25.446966052759468</v>
      </c>
      <c r="E19" s="161">
        <v>126.71498724750623</v>
      </c>
    </row>
    <row r="20" spans="2:5" x14ac:dyDescent="0.2">
      <c r="B20" s="159">
        <v>44257</v>
      </c>
      <c r="C20" s="148">
        <v>391</v>
      </c>
      <c r="D20" s="241"/>
      <c r="E20" s="241"/>
    </row>
    <row r="21" spans="2:5" x14ac:dyDescent="0.2">
      <c r="B21" s="159">
        <v>44258</v>
      </c>
      <c r="C21" s="148">
        <v>306</v>
      </c>
      <c r="D21" s="161">
        <v>39.792772684871878</v>
      </c>
      <c r="E21" s="161">
        <v>87.232271698595838</v>
      </c>
    </row>
    <row r="22" spans="2:5" x14ac:dyDescent="0.2">
      <c r="B22" s="159">
        <v>44259</v>
      </c>
      <c r="C22" s="148">
        <v>371</v>
      </c>
      <c r="D22" s="161">
        <v>74.461807091558327</v>
      </c>
      <c r="E22" s="161">
        <v>19.004684623124238</v>
      </c>
    </row>
    <row r="23" spans="2:5" x14ac:dyDescent="0.2">
      <c r="B23" s="159">
        <v>44260</v>
      </c>
      <c r="C23" s="148">
        <v>281</v>
      </c>
      <c r="D23" s="160"/>
      <c r="E23" s="162"/>
    </row>
    <row r="24" spans="2:5" x14ac:dyDescent="0.2">
      <c r="B24" s="159">
        <v>44261</v>
      </c>
      <c r="C24" s="148">
        <v>393</v>
      </c>
      <c r="D24" s="241"/>
      <c r="E24" s="241"/>
    </row>
    <row r="25" spans="2:5" x14ac:dyDescent="0.2">
      <c r="B25" s="159">
        <v>44262</v>
      </c>
      <c r="C25" s="148">
        <v>277</v>
      </c>
      <c r="D25" s="160"/>
      <c r="E25" s="241"/>
    </row>
    <row r="26" spans="2:5" x14ac:dyDescent="0.2">
      <c r="B26" s="159">
        <v>44263</v>
      </c>
      <c r="C26" s="148">
        <v>158</v>
      </c>
      <c r="D26" s="160"/>
      <c r="E26" s="241"/>
    </row>
  </sheetData>
  <mergeCells count="2">
    <mergeCell ref="D2:E2"/>
    <mergeCell ref="D3:E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Qc old data</vt:lpstr>
      <vt:lpstr>Mtl Data Daily Samples (McGill)</vt:lpstr>
      <vt:lpstr>Mtl_values</vt:lpstr>
      <vt:lpstr>STD_Curves (McGill)</vt:lpstr>
      <vt:lpstr>Graphs Montreal VSTL-III</vt:lpstr>
      <vt:lpstr>Graphs Montreal CDN05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Fernando Sánchez Quete</dc:creator>
  <cp:keywords/>
  <dc:description/>
  <cp:lastModifiedBy>Microsoft Office User</cp:lastModifiedBy>
  <cp:revision/>
  <dcterms:created xsi:type="dcterms:W3CDTF">2020-12-16T15:29:32Z</dcterms:created>
  <dcterms:modified xsi:type="dcterms:W3CDTF">2021-03-30T16:00:59Z</dcterms:modified>
  <cp:category/>
  <cp:contentStatus/>
</cp:coreProperties>
</file>