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davidt/dev/jeandavidt/ODM Import/Data/Lab/McGill/"/>
    </mc:Choice>
  </mc:AlternateContent>
  <xr:revisionPtr revIDLastSave="0" documentId="13_ncr:1_{288BE613-C3F8-1C4C-8648-61DF71BE66CB}" xr6:coauthVersionLast="46" xr6:coauthVersionMax="46" xr10:uidLastSave="{00000000-0000-0000-0000-000000000000}"/>
  <bookViews>
    <workbookView xWindow="0" yWindow="500" windowWidth="22700" windowHeight="14600" activeTab="1" xr2:uid="{00000000-000D-0000-FFFF-FFFF00000000}"/>
  </bookViews>
  <sheets>
    <sheet name="Qc old data" sheetId="1" state="hidden" r:id="rId1"/>
    <sheet name="Mtl Data Daily Samples (McGill)" sheetId="2" r:id="rId2"/>
    <sheet name="Mtl_values" sheetId="16" r:id="rId3"/>
    <sheet name="STD_Curves_McGill" sheetId="17" r:id="rId4"/>
    <sheet name="Graphs Montreal VSTL-III" sheetId="14" state="hidden" r:id="rId5"/>
    <sheet name="Graphs Montreal CDN05" sheetId="15" state="hidden" r:id="rId6"/>
  </sheets>
  <definedNames>
    <definedName name="_xlnm._FilterDatabase" localSheetId="1" hidden="1">'Mtl Data Daily Samples (McGill)'!$A$4:$BH$104</definedName>
    <definedName name="_xlnm._FilterDatabase" localSheetId="0" hidden="1">'Qc old data'!$B$18:$BB$18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14" i="2" l="1"/>
  <c r="BC14" i="2" s="1"/>
  <c r="AR14" i="2"/>
  <c r="AU14" i="2" s="1"/>
  <c r="AV14" i="2" s="1"/>
  <c r="AJ14" i="2"/>
  <c r="AM14" i="2" s="1"/>
  <c r="AZ13" i="2"/>
  <c r="BC13" i="2" s="1"/>
  <c r="AR13" i="2"/>
  <c r="AU13" i="2" s="1"/>
  <c r="AV13" i="2" s="1"/>
  <c r="AJ13" i="2"/>
  <c r="AM13" i="2" s="1"/>
  <c r="AZ12" i="2"/>
  <c r="BC12" i="2" s="1"/>
  <c r="AR12" i="2"/>
  <c r="AU12" i="2" s="1"/>
  <c r="AV12" i="2" s="1"/>
  <c r="AJ12" i="2"/>
  <c r="AM12" i="2" s="1"/>
  <c r="AN12" i="2" s="1"/>
  <c r="AZ11" i="2"/>
  <c r="BC11" i="2" s="1"/>
  <c r="AU11" i="2"/>
  <c r="AV11" i="2" s="1"/>
  <c r="AR11" i="2"/>
  <c r="AJ11" i="2"/>
  <c r="AM11" i="2" s="1"/>
  <c r="AN11" i="2" s="1"/>
  <c r="AZ10" i="2"/>
  <c r="BC10" i="2" s="1"/>
  <c r="AU10" i="2"/>
  <c r="AV10" i="2" s="1"/>
  <c r="AR10" i="2"/>
  <c r="AJ10" i="2"/>
  <c r="AM10" i="2" s="1"/>
  <c r="AN10" i="2" s="1"/>
  <c r="AZ9" i="2"/>
  <c r="BC9" i="2" s="1"/>
  <c r="AR9" i="2"/>
  <c r="AU9" i="2" s="1"/>
  <c r="AV9" i="2" s="1"/>
  <c r="AJ9" i="2"/>
  <c r="AM9" i="2" s="1"/>
  <c r="AN9" i="2" s="1"/>
  <c r="AZ8" i="2"/>
  <c r="BC8" i="2" s="1"/>
  <c r="AR8" i="2"/>
  <c r="AU8" i="2" s="1"/>
  <c r="AV8" i="2" s="1"/>
  <c r="AJ8" i="2"/>
  <c r="AM8" i="2" s="1"/>
  <c r="AN8" i="2" s="1"/>
  <c r="AZ7" i="2"/>
  <c r="BC7" i="2" s="1"/>
  <c r="AU7" i="2"/>
  <c r="AV7" i="2" s="1"/>
  <c r="AR7" i="2"/>
  <c r="AM7" i="2"/>
  <c r="AJ7" i="2"/>
  <c r="AZ6" i="2"/>
  <c r="BC6" i="2" s="1"/>
  <c r="AR6" i="2"/>
  <c r="AU6" i="2" s="1"/>
  <c r="AV6" i="2" s="1"/>
  <c r="AJ6" i="2"/>
  <c r="AM6" i="2" s="1"/>
  <c r="AN6" i="2" s="1"/>
  <c r="AZ5" i="2"/>
  <c r="BC5" i="2" s="1"/>
  <c r="AR5" i="2"/>
  <c r="AU5" i="2" s="1"/>
  <c r="AV5" i="2" s="1"/>
  <c r="AJ5" i="2"/>
  <c r="AM5" i="2" s="1"/>
  <c r="AN5" i="2" s="1"/>
  <c r="AN14" i="2" l="1"/>
  <c r="BE7" i="2"/>
  <c r="BD7" i="2"/>
  <c r="BE12" i="2"/>
  <c r="BD12" i="2"/>
  <c r="BD10" i="2"/>
  <c r="BE10" i="2"/>
  <c r="AN7" i="2"/>
  <c r="AN13" i="2"/>
  <c r="BE6" i="2"/>
  <c r="BD6" i="2"/>
  <c r="BE8" i="2"/>
  <c r="BD8" i="2"/>
  <c r="BD13" i="2"/>
  <c r="BE13" i="2"/>
  <c r="BE5" i="2"/>
  <c r="BD5" i="2"/>
  <c r="BE9" i="2"/>
  <c r="BD9" i="2"/>
  <c r="BE11" i="2"/>
  <c r="BD11" i="2"/>
  <c r="BD14" i="2"/>
  <c r="BE14" i="2"/>
  <c r="AO3" i="17" l="1"/>
  <c r="AR16" i="2"/>
  <c r="AU16" i="2" s="1"/>
  <c r="AV16" i="2" s="1"/>
  <c r="AJ16" i="2"/>
  <c r="AM16" i="2" s="1"/>
  <c r="AN16" i="2" s="1"/>
  <c r="AZ16" i="2"/>
  <c r="BC16" i="2" s="1"/>
  <c r="BD16" i="2" s="1"/>
  <c r="AJ17" i="2"/>
  <c r="AM17" i="2" s="1"/>
  <c r="AN17" i="2" s="1"/>
  <c r="AR17" i="2"/>
  <c r="AU17" i="2" s="1"/>
  <c r="AV17" i="2" s="1"/>
  <c r="AZ17" i="2"/>
  <c r="BC17" i="2" s="1"/>
  <c r="BD17" i="2" s="1"/>
  <c r="AJ18" i="2"/>
  <c r="AM18" i="2" s="1"/>
  <c r="AN18" i="2" s="1"/>
  <c r="AR18" i="2"/>
  <c r="AU18" i="2" s="1"/>
  <c r="AV18" i="2" s="1"/>
  <c r="AZ18" i="2"/>
  <c r="BC18" i="2" s="1"/>
  <c r="BD18" i="2" s="1"/>
  <c r="AJ19" i="2"/>
  <c r="AM19" i="2" s="1"/>
  <c r="AN19" i="2" s="1"/>
  <c r="AR19" i="2"/>
  <c r="AU19" i="2" s="1"/>
  <c r="AV19" i="2" s="1"/>
  <c r="AZ19" i="2"/>
  <c r="BC19" i="2" s="1"/>
  <c r="BD19" i="2" s="1"/>
  <c r="BE19" i="2"/>
  <c r="AJ20" i="2"/>
  <c r="AM20" i="2" s="1"/>
  <c r="AN20" i="2" s="1"/>
  <c r="AR20" i="2"/>
  <c r="AU20" i="2" s="1"/>
  <c r="AV20" i="2" s="1"/>
  <c r="AZ20" i="2"/>
  <c r="BC20" i="2" s="1"/>
  <c r="BD20" i="2" s="1"/>
  <c r="AJ21" i="2"/>
  <c r="AM21" i="2" s="1"/>
  <c r="AN21" i="2" s="1"/>
  <c r="AR21" i="2"/>
  <c r="AU21" i="2" s="1"/>
  <c r="AV21" i="2" s="1"/>
  <c r="AZ21" i="2"/>
  <c r="BC21" i="2" s="1"/>
  <c r="BD21" i="2" s="1"/>
  <c r="AJ22" i="2"/>
  <c r="AM22" i="2" s="1"/>
  <c r="AN22" i="2" s="1"/>
  <c r="AR22" i="2"/>
  <c r="AU22" i="2" s="1"/>
  <c r="AV22" i="2" s="1"/>
  <c r="AZ22" i="2"/>
  <c r="BC22" i="2" s="1"/>
  <c r="BD22" i="2" s="1"/>
  <c r="AJ23" i="2"/>
  <c r="AM23" i="2" s="1"/>
  <c r="AN23" i="2" s="1"/>
  <c r="AR23" i="2"/>
  <c r="AU23" i="2" s="1"/>
  <c r="AV23" i="2" s="1"/>
  <c r="AZ23" i="2"/>
  <c r="BC23" i="2" s="1"/>
  <c r="BD23" i="2" s="1"/>
  <c r="AJ24" i="2"/>
  <c r="AM24" i="2" s="1"/>
  <c r="AN24" i="2" s="1"/>
  <c r="AR24" i="2"/>
  <c r="AU24" i="2" s="1"/>
  <c r="AV24" i="2" s="1"/>
  <c r="AZ24" i="2"/>
  <c r="BC24" i="2" s="1"/>
  <c r="BD24" i="2" s="1"/>
  <c r="AJ25" i="2"/>
  <c r="AM25" i="2" s="1"/>
  <c r="AN25" i="2" s="1"/>
  <c r="AR25" i="2"/>
  <c r="AU25" i="2" s="1"/>
  <c r="AV25" i="2" s="1"/>
  <c r="AZ25" i="2"/>
  <c r="BC25" i="2" s="1"/>
  <c r="BD25" i="2" s="1"/>
  <c r="AJ26" i="2"/>
  <c r="AM26" i="2" s="1"/>
  <c r="AN26" i="2" s="1"/>
  <c r="AR26" i="2"/>
  <c r="AU26" i="2" s="1"/>
  <c r="AV26" i="2" s="1"/>
  <c r="AZ26" i="2"/>
  <c r="BC26" i="2" s="1"/>
  <c r="BD26" i="2" s="1"/>
  <c r="AJ27" i="2"/>
  <c r="AM27" i="2" s="1"/>
  <c r="AN27" i="2" s="1"/>
  <c r="AR27" i="2"/>
  <c r="AU27" i="2" s="1"/>
  <c r="AV27" i="2" s="1"/>
  <c r="AZ27" i="2"/>
  <c r="BC27" i="2" s="1"/>
  <c r="BD27" i="2" s="1"/>
  <c r="AG3" i="17"/>
  <c r="BU3" i="17" s="1"/>
  <c r="AH3" i="17"/>
  <c r="AI3" i="17"/>
  <c r="AJ3" i="17"/>
  <c r="AK3" i="17"/>
  <c r="AL3" i="17"/>
  <c r="AM3" i="17"/>
  <c r="AN3" i="17"/>
  <c r="BA3" i="17"/>
  <c r="BK3" i="17" s="1"/>
  <c r="BB3" i="17"/>
  <c r="BC3" i="17"/>
  <c r="BD3" i="17"/>
  <c r="BE3" i="17"/>
  <c r="BO3" i="17" s="1"/>
  <c r="BF3" i="17"/>
  <c r="BP3" i="17" s="1"/>
  <c r="BG3" i="17"/>
  <c r="BQ3" i="17" s="1"/>
  <c r="BH3" i="17"/>
  <c r="BR3" i="17" s="1"/>
  <c r="BI3" i="17"/>
  <c r="BS3" i="17" s="1"/>
  <c r="BL3" i="17"/>
  <c r="BM3" i="17"/>
  <c r="BN3" i="17"/>
  <c r="AG4" i="17"/>
  <c r="AH4" i="17"/>
  <c r="AI4" i="17"/>
  <c r="AJ4" i="17"/>
  <c r="AK4" i="17"/>
  <c r="AL4" i="17"/>
  <c r="AM4" i="17"/>
  <c r="AN4" i="17"/>
  <c r="AO4" i="17"/>
  <c r="AP4" i="17"/>
  <c r="BA4" i="17"/>
  <c r="BK4" i="17" s="1"/>
  <c r="BB4" i="17"/>
  <c r="BL4" i="17" s="1"/>
  <c r="BC4" i="17"/>
  <c r="BD4" i="17"/>
  <c r="BE4" i="17"/>
  <c r="BF4" i="17"/>
  <c r="BP4" i="17" s="1"/>
  <c r="BG4" i="17"/>
  <c r="BQ4" i="17" s="1"/>
  <c r="BH4" i="17"/>
  <c r="BR4" i="17" s="1"/>
  <c r="BI4" i="17"/>
  <c r="BS4" i="17" s="1"/>
  <c r="BJ4" i="17"/>
  <c r="BT4" i="17" s="1"/>
  <c r="BM4" i="17"/>
  <c r="BN4" i="17"/>
  <c r="BO4" i="17"/>
  <c r="AG5" i="17"/>
  <c r="BV5" i="17" s="1"/>
  <c r="BX5" i="17" s="1"/>
  <c r="AH5" i="17"/>
  <c r="AI5" i="17"/>
  <c r="AJ5" i="17"/>
  <c r="AK5" i="17"/>
  <c r="BA5" i="17"/>
  <c r="BK5" i="17" s="1"/>
  <c r="BB5" i="17"/>
  <c r="BL5" i="17" s="1"/>
  <c r="BC5" i="17"/>
  <c r="BM5" i="17" s="1"/>
  <c r="BD5" i="17"/>
  <c r="BN5" i="17" s="1"/>
  <c r="BE5" i="17"/>
  <c r="BO5" i="17" s="1"/>
  <c r="BP5" i="17"/>
  <c r="BQ5" i="17"/>
  <c r="AG6" i="17"/>
  <c r="AH6" i="17"/>
  <c r="AI6" i="17"/>
  <c r="AJ6" i="17"/>
  <c r="AK6" i="17"/>
  <c r="AL6" i="17"/>
  <c r="AM6" i="17"/>
  <c r="BA6" i="17"/>
  <c r="BK6" i="17" s="1"/>
  <c r="BB6" i="17"/>
  <c r="BL6" i="17" s="1"/>
  <c r="BC6" i="17"/>
  <c r="BM6" i="17" s="1"/>
  <c r="BD6" i="17"/>
  <c r="BN6" i="17" s="1"/>
  <c r="BE6" i="17"/>
  <c r="BO6" i="17" s="1"/>
  <c r="BF6" i="17"/>
  <c r="BP6" i="17" s="1"/>
  <c r="BG6" i="17"/>
  <c r="BQ6" i="17"/>
  <c r="BE23" i="2" l="1"/>
  <c r="BE21" i="2"/>
  <c r="BE18" i="2"/>
  <c r="BE22" i="2"/>
  <c r="BE26" i="2"/>
  <c r="BE27" i="2"/>
  <c r="BE25" i="2"/>
  <c r="BE17" i="2"/>
  <c r="BE24" i="2"/>
  <c r="BE20" i="2"/>
  <c r="BE16" i="2"/>
  <c r="BU5" i="17"/>
  <c r="BW6" i="17"/>
  <c r="BW4" i="17"/>
  <c r="BV4" i="17"/>
  <c r="BX4" i="17" s="1"/>
  <c r="BV3" i="17"/>
  <c r="BX3" i="17" s="1"/>
  <c r="BW3" i="17"/>
  <c r="BU4" i="17"/>
  <c r="BV6" i="17"/>
  <c r="BX6" i="17" s="1"/>
  <c r="BW5" i="17"/>
  <c r="BU6" i="17"/>
  <c r="AO20" i="1" l="1"/>
  <c r="AP20" i="1" s="1"/>
  <c r="AQ20" i="1" s="1"/>
  <c r="AR20" i="1" s="1"/>
  <c r="AO21" i="1"/>
  <c r="AP21" i="1" s="1"/>
  <c r="AQ21" i="1" s="1"/>
  <c r="AR21" i="1" s="1"/>
  <c r="AO22" i="1"/>
  <c r="AP22" i="1" s="1"/>
  <c r="AQ22" i="1" s="1"/>
  <c r="AR22" i="1" s="1"/>
  <c r="AO23" i="1"/>
  <c r="AP23" i="1" s="1"/>
  <c r="AQ23" i="1" s="1"/>
  <c r="AR23" i="1" s="1"/>
  <c r="AO24" i="1"/>
  <c r="AP24" i="1" s="1"/>
  <c r="AQ24" i="1" s="1"/>
  <c r="AR24" i="1" s="1"/>
  <c r="AO25" i="1"/>
  <c r="AP25" i="1"/>
  <c r="AQ25" i="1" s="1"/>
  <c r="AR25" i="1" s="1"/>
  <c r="AO26" i="1"/>
  <c r="AP26" i="1" s="1"/>
  <c r="AQ26" i="1" s="1"/>
  <c r="AR26" i="1" s="1"/>
  <c r="AS26" i="1" s="1"/>
  <c r="AO27" i="1"/>
  <c r="AP27" i="1" s="1"/>
  <c r="AQ27" i="1" s="1"/>
  <c r="AR27" i="1" s="1"/>
  <c r="AO19" i="1"/>
  <c r="AP19" i="1" s="1"/>
  <c r="AQ19" i="1" s="1"/>
  <c r="AR19" i="1" s="1"/>
  <c r="AI19" i="1"/>
  <c r="AJ19" i="1" s="1"/>
  <c r="AK19" i="1" s="1"/>
  <c r="AI20" i="1"/>
  <c r="AJ20" i="1" s="1"/>
  <c r="AK20" i="1" s="1"/>
  <c r="AI21" i="1"/>
  <c r="AJ21" i="1" s="1"/>
  <c r="AK21" i="1" s="1"/>
  <c r="AI22" i="1"/>
  <c r="AJ22" i="1" s="1"/>
  <c r="AK22" i="1" s="1"/>
  <c r="AI23" i="1"/>
  <c r="AJ23" i="1" s="1"/>
  <c r="AK23" i="1" s="1"/>
  <c r="AI24" i="1"/>
  <c r="AJ24" i="1" s="1"/>
  <c r="AK24" i="1" s="1"/>
  <c r="AI25" i="1"/>
  <c r="AJ25" i="1" s="1"/>
  <c r="AK25" i="1" s="1"/>
  <c r="AI26" i="1"/>
  <c r="AJ26" i="1" s="1"/>
  <c r="AK26" i="1" s="1"/>
  <c r="AI27" i="1"/>
  <c r="AJ27" i="1"/>
  <c r="AK27" i="1" s="1"/>
  <c r="AB28" i="1"/>
  <c r="AC28" i="1" s="1"/>
  <c r="AD28" i="1" s="1"/>
  <c r="AR40" i="1"/>
  <c r="AK40" i="1"/>
  <c r="AB40" i="1"/>
  <c r="AC40" i="1" s="1"/>
  <c r="AD40" i="1" s="1"/>
  <c r="U40" i="1"/>
  <c r="AO39" i="1"/>
  <c r="AP39" i="1" s="1"/>
  <c r="AQ39" i="1" s="1"/>
  <c r="AR39" i="1" s="1"/>
  <c r="AI39" i="1"/>
  <c r="AJ39" i="1" s="1"/>
  <c r="AK39" i="1" s="1"/>
  <c r="AB39" i="1"/>
  <c r="AC39" i="1" s="1"/>
  <c r="AD39" i="1" s="1"/>
  <c r="U39" i="1"/>
  <c r="AO38" i="1"/>
  <c r="AP38" i="1" s="1"/>
  <c r="AQ38" i="1" s="1"/>
  <c r="AR38" i="1" s="1"/>
  <c r="AI38" i="1"/>
  <c r="AJ38" i="1" s="1"/>
  <c r="AK38" i="1" s="1"/>
  <c r="AB38" i="1"/>
  <c r="AC38" i="1" s="1"/>
  <c r="AD38" i="1" s="1"/>
  <c r="U38" i="1"/>
  <c r="AO37" i="1"/>
  <c r="AP37" i="1" s="1"/>
  <c r="AQ37" i="1" s="1"/>
  <c r="AR37" i="1" s="1"/>
  <c r="AI37" i="1"/>
  <c r="AJ37" i="1" s="1"/>
  <c r="AK37" i="1" s="1"/>
  <c r="AB37" i="1"/>
  <c r="AC37" i="1" s="1"/>
  <c r="AD37" i="1" s="1"/>
  <c r="U37" i="1"/>
  <c r="AO36" i="1"/>
  <c r="AP36" i="1" s="1"/>
  <c r="AQ36" i="1" s="1"/>
  <c r="AR36" i="1" s="1"/>
  <c r="AI36" i="1"/>
  <c r="AJ36" i="1" s="1"/>
  <c r="AK36" i="1" s="1"/>
  <c r="AB36" i="1"/>
  <c r="AC36" i="1" s="1"/>
  <c r="AD36" i="1" s="1"/>
  <c r="U36" i="1"/>
  <c r="AO35" i="1"/>
  <c r="AP35" i="1" s="1"/>
  <c r="AQ35" i="1" s="1"/>
  <c r="AR35" i="1" s="1"/>
  <c r="AI35" i="1"/>
  <c r="AJ35" i="1" s="1"/>
  <c r="AK35" i="1" s="1"/>
  <c r="AB35" i="1"/>
  <c r="AC35" i="1" s="1"/>
  <c r="AD35" i="1" s="1"/>
  <c r="U35" i="1"/>
  <c r="AO34" i="1"/>
  <c r="AP34" i="1" s="1"/>
  <c r="AQ34" i="1" s="1"/>
  <c r="AR34" i="1" s="1"/>
  <c r="AI34" i="1"/>
  <c r="AJ34" i="1" s="1"/>
  <c r="AK34" i="1" s="1"/>
  <c r="AB34" i="1"/>
  <c r="AC34" i="1" s="1"/>
  <c r="AD34" i="1" s="1"/>
  <c r="U34" i="1"/>
  <c r="AO33" i="1"/>
  <c r="AP33" i="1" s="1"/>
  <c r="AQ33" i="1" s="1"/>
  <c r="AR33" i="1" s="1"/>
  <c r="AI33" i="1"/>
  <c r="AJ33" i="1" s="1"/>
  <c r="AK33" i="1" s="1"/>
  <c r="AB33" i="1"/>
  <c r="AC33" i="1" s="1"/>
  <c r="AD33" i="1" s="1"/>
  <c r="U33" i="1"/>
  <c r="AO32" i="1"/>
  <c r="AP32" i="1" s="1"/>
  <c r="AQ32" i="1" s="1"/>
  <c r="AR32" i="1" s="1"/>
  <c r="AI32" i="1"/>
  <c r="AJ32" i="1" s="1"/>
  <c r="AK32" i="1" s="1"/>
  <c r="AB32" i="1"/>
  <c r="AC32" i="1" s="1"/>
  <c r="AD32" i="1" s="1"/>
  <c r="U32" i="1"/>
  <c r="AO31" i="1"/>
  <c r="AP31" i="1" s="1"/>
  <c r="AQ31" i="1" s="1"/>
  <c r="AR31" i="1" s="1"/>
  <c r="AI31" i="1"/>
  <c r="AJ31" i="1" s="1"/>
  <c r="AK31" i="1" s="1"/>
  <c r="AB31" i="1"/>
  <c r="AC31" i="1" s="1"/>
  <c r="AD31" i="1" s="1"/>
  <c r="U31" i="1"/>
  <c r="AO30" i="1"/>
  <c r="AP30" i="1" s="1"/>
  <c r="AQ30" i="1" s="1"/>
  <c r="AR30" i="1" s="1"/>
  <c r="AI30" i="1"/>
  <c r="AJ30" i="1" s="1"/>
  <c r="AK30" i="1" s="1"/>
  <c r="AB30" i="1"/>
  <c r="AC30" i="1" s="1"/>
  <c r="AD30" i="1" s="1"/>
  <c r="U30" i="1"/>
  <c r="AR50" i="1"/>
  <c r="AR51" i="1"/>
  <c r="AR62" i="1"/>
  <c r="AR63" i="1"/>
  <c r="AR87" i="1"/>
  <c r="AR99" i="1"/>
  <c r="AR113" i="1"/>
  <c r="AR114" i="1"/>
  <c r="AR115" i="1"/>
  <c r="AR116" i="1"/>
  <c r="AR117" i="1"/>
  <c r="AR118" i="1"/>
  <c r="AR119" i="1"/>
  <c r="AR131" i="1"/>
  <c r="AR139" i="1"/>
  <c r="AR145" i="1"/>
  <c r="AR157" i="1"/>
  <c r="AK50" i="1"/>
  <c r="AK51" i="1"/>
  <c r="AK62" i="1"/>
  <c r="AK63" i="1"/>
  <c r="AK75" i="1"/>
  <c r="AK87" i="1"/>
  <c r="AK99" i="1"/>
  <c r="AK112" i="1"/>
  <c r="AK113" i="1"/>
  <c r="AK114" i="1"/>
  <c r="AK115" i="1"/>
  <c r="AK116" i="1"/>
  <c r="AK117" i="1"/>
  <c r="AK118" i="1"/>
  <c r="AK119" i="1"/>
  <c r="AK131" i="1"/>
  <c r="AK139" i="1"/>
  <c r="AK145" i="1"/>
  <c r="AB50" i="1"/>
  <c r="AC50" i="1" s="1"/>
  <c r="AD50" i="1" s="1"/>
  <c r="AE50" i="1" s="1"/>
  <c r="AO49" i="1"/>
  <c r="AP49" i="1" s="1"/>
  <c r="AQ49" i="1" s="1"/>
  <c r="AR49" i="1" s="1"/>
  <c r="AI49" i="1"/>
  <c r="AJ49" i="1" s="1"/>
  <c r="AK49" i="1" s="1"/>
  <c r="AB49" i="1"/>
  <c r="AC49" i="1" s="1"/>
  <c r="AD49" i="1" s="1"/>
  <c r="U49" i="1"/>
  <c r="AO48" i="1"/>
  <c r="AP48" i="1" s="1"/>
  <c r="AQ48" i="1" s="1"/>
  <c r="AR48" i="1" s="1"/>
  <c r="AI48" i="1"/>
  <c r="AJ48" i="1" s="1"/>
  <c r="AK48" i="1" s="1"/>
  <c r="AB48" i="1"/>
  <c r="AC48" i="1" s="1"/>
  <c r="AD48" i="1" s="1"/>
  <c r="U48" i="1"/>
  <c r="AO47" i="1"/>
  <c r="AP47" i="1" s="1"/>
  <c r="AQ47" i="1" s="1"/>
  <c r="AR47" i="1" s="1"/>
  <c r="AI47" i="1"/>
  <c r="AJ47" i="1" s="1"/>
  <c r="AK47" i="1" s="1"/>
  <c r="AB47" i="1"/>
  <c r="AC47" i="1" s="1"/>
  <c r="AD47" i="1" s="1"/>
  <c r="U47" i="1"/>
  <c r="AO46" i="1"/>
  <c r="AP46" i="1" s="1"/>
  <c r="AQ46" i="1" s="1"/>
  <c r="AR46" i="1" s="1"/>
  <c r="AI46" i="1"/>
  <c r="AJ46" i="1" s="1"/>
  <c r="AK46" i="1" s="1"/>
  <c r="AB46" i="1"/>
  <c r="AC46" i="1" s="1"/>
  <c r="AD46" i="1" s="1"/>
  <c r="U46" i="1"/>
  <c r="AO45" i="1"/>
  <c r="AP45" i="1" s="1"/>
  <c r="AQ45" i="1" s="1"/>
  <c r="AR45" i="1" s="1"/>
  <c r="AI45" i="1"/>
  <c r="AJ45" i="1" s="1"/>
  <c r="AK45" i="1" s="1"/>
  <c r="AB45" i="1"/>
  <c r="AC45" i="1" s="1"/>
  <c r="AD45" i="1" s="1"/>
  <c r="U45" i="1"/>
  <c r="AO44" i="1"/>
  <c r="AP44" i="1" s="1"/>
  <c r="AQ44" i="1" s="1"/>
  <c r="AR44" i="1" s="1"/>
  <c r="AI44" i="1"/>
  <c r="AJ44" i="1" s="1"/>
  <c r="AK44" i="1" s="1"/>
  <c r="AB44" i="1"/>
  <c r="AC44" i="1" s="1"/>
  <c r="AD44" i="1" s="1"/>
  <c r="U44" i="1"/>
  <c r="AO43" i="1"/>
  <c r="AP43" i="1" s="1"/>
  <c r="AQ43" i="1" s="1"/>
  <c r="AR43" i="1" s="1"/>
  <c r="AI43" i="1"/>
  <c r="AJ43" i="1" s="1"/>
  <c r="AK43" i="1" s="1"/>
  <c r="AB43" i="1"/>
  <c r="AC43" i="1" s="1"/>
  <c r="AD43" i="1" s="1"/>
  <c r="U43" i="1"/>
  <c r="AO42" i="1"/>
  <c r="AP42" i="1" s="1"/>
  <c r="AQ42" i="1" s="1"/>
  <c r="AR42" i="1" s="1"/>
  <c r="AI42" i="1"/>
  <c r="AJ42" i="1" s="1"/>
  <c r="AK42" i="1" s="1"/>
  <c r="AB42" i="1"/>
  <c r="AC42" i="1" s="1"/>
  <c r="AD42" i="1" s="1"/>
  <c r="U42" i="1"/>
  <c r="AO53" i="1"/>
  <c r="AP53" i="1" s="1"/>
  <c r="AQ53" i="1" s="1"/>
  <c r="AR53" i="1" s="1"/>
  <c r="AO54" i="1"/>
  <c r="AP54" i="1" s="1"/>
  <c r="AQ54" i="1" s="1"/>
  <c r="AR54" i="1" s="1"/>
  <c r="AO55" i="1"/>
  <c r="AP55" i="1" s="1"/>
  <c r="AQ55" i="1" s="1"/>
  <c r="AR55" i="1" s="1"/>
  <c r="AO56" i="1"/>
  <c r="AP56" i="1" s="1"/>
  <c r="AQ56" i="1" s="1"/>
  <c r="AR56" i="1" s="1"/>
  <c r="AO57" i="1"/>
  <c r="AP57" i="1" s="1"/>
  <c r="AQ57" i="1" s="1"/>
  <c r="AR57" i="1" s="1"/>
  <c r="AO58" i="1"/>
  <c r="AP58" i="1" s="1"/>
  <c r="AQ58" i="1" s="1"/>
  <c r="AR58" i="1" s="1"/>
  <c r="AO59" i="1"/>
  <c r="AP59" i="1" s="1"/>
  <c r="AQ59" i="1" s="1"/>
  <c r="AR59" i="1" s="1"/>
  <c r="AO60" i="1"/>
  <c r="AP60" i="1" s="1"/>
  <c r="AQ60" i="1" s="1"/>
  <c r="AR60" i="1" s="1"/>
  <c r="AO61" i="1"/>
  <c r="AP61" i="1" s="1"/>
  <c r="AQ61" i="1" s="1"/>
  <c r="AR61" i="1" s="1"/>
  <c r="U52" i="1"/>
  <c r="AO52" i="1"/>
  <c r="AP52" i="1" s="1"/>
  <c r="AQ52" i="1" s="1"/>
  <c r="AR52" i="1" s="1"/>
  <c r="AI53" i="1"/>
  <c r="AJ53" i="1" s="1"/>
  <c r="AK53" i="1" s="1"/>
  <c r="AI54" i="1"/>
  <c r="AJ54" i="1" s="1"/>
  <c r="AK54" i="1" s="1"/>
  <c r="AI55" i="1"/>
  <c r="AJ55" i="1" s="1"/>
  <c r="AK55" i="1" s="1"/>
  <c r="AI56" i="1"/>
  <c r="AJ56" i="1" s="1"/>
  <c r="AK56" i="1" s="1"/>
  <c r="AI57" i="1"/>
  <c r="AJ57" i="1" s="1"/>
  <c r="AK57" i="1" s="1"/>
  <c r="AI58" i="1"/>
  <c r="AJ58" i="1" s="1"/>
  <c r="AK58" i="1" s="1"/>
  <c r="AI59" i="1"/>
  <c r="AJ59" i="1" s="1"/>
  <c r="AK59" i="1" s="1"/>
  <c r="AI60" i="1"/>
  <c r="AJ60" i="1" s="1"/>
  <c r="AK60" i="1" s="1"/>
  <c r="AI61" i="1"/>
  <c r="AJ61" i="1" s="1"/>
  <c r="AK61" i="1" s="1"/>
  <c r="AI52" i="1"/>
  <c r="AJ52" i="1" s="1"/>
  <c r="AK52" i="1" s="1"/>
  <c r="AB62" i="1"/>
  <c r="AC62" i="1" s="1"/>
  <c r="AD62" i="1" s="1"/>
  <c r="AB61" i="1"/>
  <c r="AC61" i="1" s="1"/>
  <c r="AD61" i="1" s="1"/>
  <c r="U61" i="1"/>
  <c r="AB60" i="1"/>
  <c r="AC60" i="1" s="1"/>
  <c r="AD60" i="1" s="1"/>
  <c r="U60" i="1"/>
  <c r="U62" i="1"/>
  <c r="AB59" i="1"/>
  <c r="AC59" i="1" s="1"/>
  <c r="AD59" i="1" s="1"/>
  <c r="U59" i="1"/>
  <c r="AB58" i="1"/>
  <c r="AC58" i="1" s="1"/>
  <c r="AD58" i="1" s="1"/>
  <c r="AE58" i="1" s="1"/>
  <c r="U58" i="1"/>
  <c r="AB57" i="1"/>
  <c r="AC57" i="1" s="1"/>
  <c r="AD57" i="1" s="1"/>
  <c r="U57" i="1"/>
  <c r="AB56" i="1"/>
  <c r="AC56" i="1" s="1"/>
  <c r="AD56" i="1" s="1"/>
  <c r="U56" i="1"/>
  <c r="AB55" i="1"/>
  <c r="AC55" i="1" s="1"/>
  <c r="AD55" i="1" s="1"/>
  <c r="U55" i="1"/>
  <c r="AB54" i="1"/>
  <c r="AC54" i="1" s="1"/>
  <c r="AD54" i="1" s="1"/>
  <c r="U54" i="1"/>
  <c r="AB53" i="1"/>
  <c r="AC53" i="1" s="1"/>
  <c r="AD53" i="1" s="1"/>
  <c r="U53" i="1"/>
  <c r="AB52" i="1"/>
  <c r="AC52" i="1" s="1"/>
  <c r="AD52" i="1" s="1"/>
  <c r="AO155" i="1"/>
  <c r="AP155" i="1" s="1"/>
  <c r="AQ155" i="1" s="1"/>
  <c r="AR155" i="1" s="1"/>
  <c r="AO156" i="1"/>
  <c r="AP156" i="1" s="1"/>
  <c r="AQ156" i="1" s="1"/>
  <c r="AR156" i="1" s="1"/>
  <c r="AI155" i="1"/>
  <c r="AJ155" i="1" s="1"/>
  <c r="AK155" i="1" s="1"/>
  <c r="AI156" i="1"/>
  <c r="AJ156" i="1" s="1"/>
  <c r="AK156" i="1" s="1"/>
  <c r="AB156" i="1"/>
  <c r="AC156" i="1" s="1"/>
  <c r="AD156" i="1" s="1"/>
  <c r="AB155" i="1"/>
  <c r="AC155" i="1" s="1"/>
  <c r="AD155" i="1" s="1"/>
  <c r="AO153" i="1"/>
  <c r="AP153" i="1" s="1"/>
  <c r="AQ153" i="1" s="1"/>
  <c r="AR153" i="1" s="1"/>
  <c r="AO154" i="1"/>
  <c r="AP154" i="1" s="1"/>
  <c r="AQ154" i="1" s="1"/>
  <c r="AR154" i="1" s="1"/>
  <c r="AI153" i="1"/>
  <c r="AJ153" i="1" s="1"/>
  <c r="AK153" i="1" s="1"/>
  <c r="AI154" i="1"/>
  <c r="AJ154" i="1" s="1"/>
  <c r="AK154" i="1" s="1"/>
  <c r="AB153" i="1"/>
  <c r="AC153" i="1" s="1"/>
  <c r="AD153" i="1" s="1"/>
  <c r="AB154" i="1"/>
  <c r="AC154" i="1" s="1"/>
  <c r="AD154" i="1" s="1"/>
  <c r="AO147" i="1"/>
  <c r="AP147" i="1" s="1"/>
  <c r="AQ147" i="1" s="1"/>
  <c r="AR147" i="1" s="1"/>
  <c r="AO148" i="1"/>
  <c r="AP148" i="1" s="1"/>
  <c r="AQ148" i="1" s="1"/>
  <c r="AR148" i="1" s="1"/>
  <c r="AO149" i="1"/>
  <c r="AP149" i="1" s="1"/>
  <c r="AQ149" i="1" s="1"/>
  <c r="AR149" i="1" s="1"/>
  <c r="AO150" i="1"/>
  <c r="AP150" i="1" s="1"/>
  <c r="AQ150" i="1" s="1"/>
  <c r="AR150" i="1" s="1"/>
  <c r="AO151" i="1"/>
  <c r="AP151" i="1" s="1"/>
  <c r="AQ151" i="1" s="1"/>
  <c r="AR151" i="1" s="1"/>
  <c r="AO152" i="1"/>
  <c r="AP152" i="1" s="1"/>
  <c r="AQ152" i="1" s="1"/>
  <c r="AR152" i="1" s="1"/>
  <c r="AO146" i="1"/>
  <c r="AP146" i="1" s="1"/>
  <c r="AQ146" i="1" s="1"/>
  <c r="AR146" i="1" s="1"/>
  <c r="AO144" i="1"/>
  <c r="AP144" i="1" s="1"/>
  <c r="AQ144" i="1" s="1"/>
  <c r="AR144" i="1" s="1"/>
  <c r="AI151" i="1"/>
  <c r="AJ151" i="1" s="1"/>
  <c r="AK151" i="1" s="1"/>
  <c r="AI152" i="1"/>
  <c r="AJ152" i="1" s="1"/>
  <c r="AK152" i="1" s="1"/>
  <c r="AB152" i="1"/>
  <c r="AC152" i="1" s="1"/>
  <c r="AD152" i="1" s="1"/>
  <c r="AB151" i="1"/>
  <c r="AC151" i="1" s="1"/>
  <c r="AD151" i="1" s="1"/>
  <c r="AI147" i="1"/>
  <c r="AJ147" i="1" s="1"/>
  <c r="AK147" i="1" s="1"/>
  <c r="AI148" i="1"/>
  <c r="AJ148" i="1" s="1"/>
  <c r="AK148" i="1" s="1"/>
  <c r="AI149" i="1"/>
  <c r="AJ149" i="1" s="1"/>
  <c r="AK149" i="1" s="1"/>
  <c r="AI150" i="1"/>
  <c r="AJ150" i="1" s="1"/>
  <c r="AK150" i="1" s="1"/>
  <c r="AI146" i="1"/>
  <c r="AJ146" i="1" s="1"/>
  <c r="AK146" i="1" s="1"/>
  <c r="AB147" i="1"/>
  <c r="AC147" i="1" s="1"/>
  <c r="AD147" i="1" s="1"/>
  <c r="AB148" i="1"/>
  <c r="AC148" i="1" s="1"/>
  <c r="AD148" i="1" s="1"/>
  <c r="AB149" i="1"/>
  <c r="AC149" i="1" s="1"/>
  <c r="AD149" i="1" s="1"/>
  <c r="AB150" i="1"/>
  <c r="AC150" i="1" s="1"/>
  <c r="AD150" i="1" s="1"/>
  <c r="AE150" i="1" s="1"/>
  <c r="AB146" i="1"/>
  <c r="AC146" i="1" s="1"/>
  <c r="AD146" i="1" s="1"/>
  <c r="AO141" i="1"/>
  <c r="AP141" i="1" s="1"/>
  <c r="AQ141" i="1" s="1"/>
  <c r="AR141" i="1" s="1"/>
  <c r="AO142" i="1"/>
  <c r="AP142" i="1" s="1"/>
  <c r="AQ142" i="1" s="1"/>
  <c r="AR142" i="1" s="1"/>
  <c r="AO143" i="1"/>
  <c r="AP143" i="1" s="1"/>
  <c r="AQ143" i="1" s="1"/>
  <c r="AR143" i="1" s="1"/>
  <c r="AO140" i="1"/>
  <c r="AP140" i="1" s="1"/>
  <c r="AQ140" i="1" s="1"/>
  <c r="AR140" i="1" s="1"/>
  <c r="AI141" i="1"/>
  <c r="AJ141" i="1" s="1"/>
  <c r="AK141" i="1" s="1"/>
  <c r="AI142" i="1"/>
  <c r="AJ142" i="1" s="1"/>
  <c r="AK142" i="1" s="1"/>
  <c r="AI143" i="1"/>
  <c r="AJ143" i="1" s="1"/>
  <c r="AK143" i="1" s="1"/>
  <c r="AI144" i="1"/>
  <c r="AJ144" i="1" s="1"/>
  <c r="AK144" i="1" s="1"/>
  <c r="AI140" i="1"/>
  <c r="AJ140" i="1" s="1"/>
  <c r="AK140" i="1" s="1"/>
  <c r="AB141" i="1"/>
  <c r="AC141" i="1" s="1"/>
  <c r="AD141" i="1" s="1"/>
  <c r="AB142" i="1"/>
  <c r="AC142" i="1" s="1"/>
  <c r="AD142" i="1" s="1"/>
  <c r="AB143" i="1"/>
  <c r="AC143" i="1" s="1"/>
  <c r="AD143" i="1" s="1"/>
  <c r="AB144" i="1"/>
  <c r="AC144" i="1" s="1"/>
  <c r="AD144" i="1" s="1"/>
  <c r="AE144" i="1" s="1"/>
  <c r="AB140" i="1"/>
  <c r="AC140" i="1" s="1"/>
  <c r="AD140" i="1" s="1"/>
  <c r="AO133" i="1"/>
  <c r="AP133" i="1" s="1"/>
  <c r="AQ133" i="1" s="1"/>
  <c r="AR133" i="1" s="1"/>
  <c r="AO134" i="1"/>
  <c r="AP134" i="1" s="1"/>
  <c r="AQ134" i="1" s="1"/>
  <c r="AR134" i="1" s="1"/>
  <c r="AO135" i="1"/>
  <c r="AP135" i="1" s="1"/>
  <c r="AQ135" i="1" s="1"/>
  <c r="AR135" i="1" s="1"/>
  <c r="AO136" i="1"/>
  <c r="AP136" i="1" s="1"/>
  <c r="AQ136" i="1" s="1"/>
  <c r="AR136" i="1" s="1"/>
  <c r="AO137" i="1"/>
  <c r="AP137" i="1" s="1"/>
  <c r="AQ137" i="1" s="1"/>
  <c r="AR137" i="1" s="1"/>
  <c r="AO138" i="1"/>
  <c r="AP138" i="1" s="1"/>
  <c r="AQ138" i="1" s="1"/>
  <c r="AR138" i="1" s="1"/>
  <c r="AO132" i="1"/>
  <c r="AP132" i="1" s="1"/>
  <c r="AQ132" i="1" s="1"/>
  <c r="AR132" i="1" s="1"/>
  <c r="AB133" i="1"/>
  <c r="AC133" i="1" s="1"/>
  <c r="AD133" i="1" s="1"/>
  <c r="AB134" i="1"/>
  <c r="AC134" i="1" s="1"/>
  <c r="AD134" i="1" s="1"/>
  <c r="AB135" i="1"/>
  <c r="AC135" i="1" s="1"/>
  <c r="AD135" i="1" s="1"/>
  <c r="AB136" i="1"/>
  <c r="AC136" i="1" s="1"/>
  <c r="AD136" i="1" s="1"/>
  <c r="AB137" i="1"/>
  <c r="AC137" i="1" s="1"/>
  <c r="AD137" i="1" s="1"/>
  <c r="AB138" i="1"/>
  <c r="AC138" i="1" s="1"/>
  <c r="AD138" i="1" s="1"/>
  <c r="AE138" i="1" s="1"/>
  <c r="AB132" i="1"/>
  <c r="AC132" i="1" s="1"/>
  <c r="AD132" i="1" s="1"/>
  <c r="AI133" i="1"/>
  <c r="AJ133" i="1" s="1"/>
  <c r="AK133" i="1" s="1"/>
  <c r="AI134" i="1"/>
  <c r="AJ134" i="1" s="1"/>
  <c r="AK134" i="1" s="1"/>
  <c r="AI135" i="1"/>
  <c r="AJ135" i="1" s="1"/>
  <c r="AK135" i="1" s="1"/>
  <c r="AI136" i="1"/>
  <c r="AJ136" i="1" s="1"/>
  <c r="AK136" i="1" s="1"/>
  <c r="AI137" i="1"/>
  <c r="AJ137" i="1" s="1"/>
  <c r="AK137" i="1" s="1"/>
  <c r="AI138" i="1"/>
  <c r="AJ138" i="1" s="1"/>
  <c r="AK138" i="1" s="1"/>
  <c r="AI132" i="1"/>
  <c r="AJ132" i="1" s="1"/>
  <c r="AK132" i="1" s="1"/>
  <c r="AJ124" i="1"/>
  <c r="AK124" i="1" s="1"/>
  <c r="AO83" i="1"/>
  <c r="AP83" i="1" s="1"/>
  <c r="AQ83" i="1" s="1"/>
  <c r="AR83" i="1" s="1"/>
  <c r="AO84" i="1"/>
  <c r="AP84" i="1" s="1"/>
  <c r="AQ84" i="1" s="1"/>
  <c r="AR84" i="1" s="1"/>
  <c r="AO85" i="1"/>
  <c r="AP85" i="1" s="1"/>
  <c r="AQ85" i="1" s="1"/>
  <c r="AR85" i="1" s="1"/>
  <c r="AO86" i="1"/>
  <c r="AP86" i="1" s="1"/>
  <c r="AQ86" i="1" s="1"/>
  <c r="AR86" i="1" s="1"/>
  <c r="AO64" i="1"/>
  <c r="AP64" i="1" s="1"/>
  <c r="AQ64" i="1" s="1"/>
  <c r="AR64" i="1" s="1"/>
  <c r="U19" i="1"/>
  <c r="U20" i="1"/>
  <c r="U21" i="1"/>
  <c r="U22" i="1"/>
  <c r="U23" i="1"/>
  <c r="U24" i="1"/>
  <c r="U25" i="1"/>
  <c r="U26" i="1"/>
  <c r="U27" i="1"/>
  <c r="U29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20" i="1"/>
  <c r="U121" i="1"/>
  <c r="U122" i="1"/>
  <c r="U123" i="1"/>
  <c r="U124" i="1"/>
  <c r="U125" i="1"/>
  <c r="U126" i="1"/>
  <c r="U127" i="1"/>
  <c r="U128" i="1"/>
  <c r="U129" i="1"/>
  <c r="AO72" i="1"/>
  <c r="AP72" i="1" s="1"/>
  <c r="AQ72" i="1" s="1"/>
  <c r="AR72" i="1" s="1"/>
  <c r="AO73" i="1"/>
  <c r="AP73" i="1" s="1"/>
  <c r="AQ73" i="1" s="1"/>
  <c r="AR73" i="1" s="1"/>
  <c r="AO74" i="1"/>
  <c r="AP74" i="1" s="1"/>
  <c r="AQ74" i="1" s="1"/>
  <c r="AR74" i="1" s="1"/>
  <c r="AO67" i="1"/>
  <c r="AP67" i="1" s="1"/>
  <c r="AQ67" i="1" s="1"/>
  <c r="AR67" i="1" s="1"/>
  <c r="AO68" i="1"/>
  <c r="AP68" i="1" s="1"/>
  <c r="AQ68" i="1" s="1"/>
  <c r="AR68" i="1" s="1"/>
  <c r="AI65" i="1"/>
  <c r="AJ65" i="1" s="1"/>
  <c r="AK65" i="1" s="1"/>
  <c r="AI66" i="1"/>
  <c r="AJ66" i="1" s="1"/>
  <c r="AK66" i="1" s="1"/>
  <c r="AI67" i="1"/>
  <c r="AJ67" i="1" s="1"/>
  <c r="AK67" i="1" s="1"/>
  <c r="AI68" i="1"/>
  <c r="AJ68" i="1" s="1"/>
  <c r="AK68" i="1" s="1"/>
  <c r="AI69" i="1"/>
  <c r="AJ69" i="1" s="1"/>
  <c r="AK69" i="1" s="1"/>
  <c r="AI70" i="1"/>
  <c r="AJ70" i="1" s="1"/>
  <c r="AK70" i="1" s="1"/>
  <c r="AI71" i="1"/>
  <c r="AJ71" i="1" s="1"/>
  <c r="AK71" i="1" s="1"/>
  <c r="AI72" i="1"/>
  <c r="AJ72" i="1" s="1"/>
  <c r="AK72" i="1" s="1"/>
  <c r="AI73" i="1"/>
  <c r="AJ73" i="1" s="1"/>
  <c r="AK73" i="1" s="1"/>
  <c r="AI74" i="1"/>
  <c r="AJ74" i="1" s="1"/>
  <c r="AK74" i="1" s="1"/>
  <c r="AI64" i="1"/>
  <c r="AJ64" i="1" s="1"/>
  <c r="AK64" i="1" s="1"/>
  <c r="AB74" i="1"/>
  <c r="AC74" i="1" s="1"/>
  <c r="AD74" i="1" s="1"/>
  <c r="AE74" i="1" s="1"/>
  <c r="AB64" i="1"/>
  <c r="AC64" i="1" s="1"/>
  <c r="AD64" i="1" s="1"/>
  <c r="AB130" i="1"/>
  <c r="AC130" i="1" s="1"/>
  <c r="AD130" i="1" s="1"/>
  <c r="AE130" i="1" s="1"/>
  <c r="AB129" i="1"/>
  <c r="AC129" i="1" s="1"/>
  <c r="AD129" i="1" s="1"/>
  <c r="AB128" i="1"/>
  <c r="AC128" i="1" s="1"/>
  <c r="AD128" i="1" s="1"/>
  <c r="AB127" i="1"/>
  <c r="AC127" i="1" s="1"/>
  <c r="AD127" i="1" s="1"/>
  <c r="AB126" i="1"/>
  <c r="AC126" i="1" s="1"/>
  <c r="AD126" i="1" s="1"/>
  <c r="AB125" i="1"/>
  <c r="AC125" i="1" s="1"/>
  <c r="AD125" i="1" s="1"/>
  <c r="AB124" i="1"/>
  <c r="AC124" i="1" s="1"/>
  <c r="AD124" i="1" s="1"/>
  <c r="AB123" i="1"/>
  <c r="AC123" i="1" s="1"/>
  <c r="AD123" i="1" s="1"/>
  <c r="AB122" i="1"/>
  <c r="AC122" i="1" s="1"/>
  <c r="AD122" i="1" s="1"/>
  <c r="AB121" i="1"/>
  <c r="AC121" i="1" s="1"/>
  <c r="AD121" i="1" s="1"/>
  <c r="AB120" i="1"/>
  <c r="AC120" i="1" s="1"/>
  <c r="AD120" i="1" s="1"/>
  <c r="AI130" i="1"/>
  <c r="AJ130" i="1" s="1"/>
  <c r="AK130" i="1" s="1"/>
  <c r="AI129" i="1"/>
  <c r="AJ129" i="1" s="1"/>
  <c r="AK129" i="1" s="1"/>
  <c r="AI128" i="1"/>
  <c r="AJ128" i="1" s="1"/>
  <c r="AK128" i="1" s="1"/>
  <c r="AI127" i="1"/>
  <c r="AJ127" i="1" s="1"/>
  <c r="AK127" i="1" s="1"/>
  <c r="AI126" i="1"/>
  <c r="AJ126" i="1" s="1"/>
  <c r="AK126" i="1" s="1"/>
  <c r="AI125" i="1"/>
  <c r="AJ125" i="1" s="1"/>
  <c r="AK125" i="1" s="1"/>
  <c r="AI123" i="1"/>
  <c r="AJ123" i="1" s="1"/>
  <c r="AK123" i="1" s="1"/>
  <c r="AI122" i="1"/>
  <c r="AJ122" i="1" s="1"/>
  <c r="AK122" i="1" s="1"/>
  <c r="AI121" i="1"/>
  <c r="AJ121" i="1" s="1"/>
  <c r="AK121" i="1" s="1"/>
  <c r="AI120" i="1"/>
  <c r="AJ120" i="1" s="1"/>
  <c r="AK120" i="1" s="1"/>
  <c r="AO130" i="1"/>
  <c r="AP130" i="1" s="1"/>
  <c r="AQ130" i="1" s="1"/>
  <c r="AR130" i="1" s="1"/>
  <c r="AO129" i="1"/>
  <c r="AP129" i="1" s="1"/>
  <c r="AQ129" i="1" s="1"/>
  <c r="AR129" i="1" s="1"/>
  <c r="AO128" i="1"/>
  <c r="AP128" i="1" s="1"/>
  <c r="AQ128" i="1" s="1"/>
  <c r="AR128" i="1" s="1"/>
  <c r="AO127" i="1"/>
  <c r="AP127" i="1" s="1"/>
  <c r="AQ127" i="1" s="1"/>
  <c r="AR127" i="1" s="1"/>
  <c r="AO126" i="1"/>
  <c r="AP126" i="1" s="1"/>
  <c r="AQ126" i="1" s="1"/>
  <c r="AR126" i="1" s="1"/>
  <c r="AO125" i="1"/>
  <c r="AP125" i="1" s="1"/>
  <c r="AQ125" i="1" s="1"/>
  <c r="AR125" i="1" s="1"/>
  <c r="AO124" i="1"/>
  <c r="AP124" i="1" s="1"/>
  <c r="AQ124" i="1" s="1"/>
  <c r="AR124" i="1" s="1"/>
  <c r="AO123" i="1"/>
  <c r="AP123" i="1" s="1"/>
  <c r="AQ123" i="1" s="1"/>
  <c r="AR123" i="1" s="1"/>
  <c r="AO122" i="1"/>
  <c r="AP122" i="1" s="1"/>
  <c r="AQ122" i="1" s="1"/>
  <c r="AR122" i="1" s="1"/>
  <c r="AO121" i="1"/>
  <c r="AP121" i="1" s="1"/>
  <c r="AQ121" i="1" s="1"/>
  <c r="AR121" i="1" s="1"/>
  <c r="AO120" i="1"/>
  <c r="AP120" i="1" s="1"/>
  <c r="AQ120" i="1" s="1"/>
  <c r="AR120" i="1" s="1"/>
  <c r="AO70" i="1"/>
  <c r="AP70" i="1" s="1"/>
  <c r="AQ70" i="1" s="1"/>
  <c r="AR70" i="1" s="1"/>
  <c r="AO112" i="1"/>
  <c r="AP112" i="1" s="1"/>
  <c r="AQ112" i="1" s="1"/>
  <c r="AR112" i="1" s="1"/>
  <c r="AO111" i="1"/>
  <c r="AP111" i="1" s="1"/>
  <c r="AQ111" i="1" s="1"/>
  <c r="AR111" i="1" s="1"/>
  <c r="AO110" i="1"/>
  <c r="AP110" i="1" s="1"/>
  <c r="AQ110" i="1" s="1"/>
  <c r="AR110" i="1" s="1"/>
  <c r="AO109" i="1"/>
  <c r="AP109" i="1" s="1"/>
  <c r="AQ109" i="1" s="1"/>
  <c r="AR109" i="1" s="1"/>
  <c r="AO108" i="1"/>
  <c r="AP108" i="1" s="1"/>
  <c r="AQ108" i="1" s="1"/>
  <c r="AR108" i="1" s="1"/>
  <c r="AO107" i="1"/>
  <c r="AP107" i="1" s="1"/>
  <c r="AQ107" i="1" s="1"/>
  <c r="AR107" i="1" s="1"/>
  <c r="AO106" i="1"/>
  <c r="AP106" i="1" s="1"/>
  <c r="AQ106" i="1" s="1"/>
  <c r="AR106" i="1" s="1"/>
  <c r="AO105" i="1"/>
  <c r="AP105" i="1" s="1"/>
  <c r="AQ105" i="1" s="1"/>
  <c r="AR105" i="1" s="1"/>
  <c r="AO104" i="1"/>
  <c r="AP104" i="1" s="1"/>
  <c r="AQ104" i="1" s="1"/>
  <c r="AR104" i="1" s="1"/>
  <c r="AO103" i="1"/>
  <c r="AP103" i="1" s="1"/>
  <c r="AQ103" i="1" s="1"/>
  <c r="AR103" i="1" s="1"/>
  <c r="AO102" i="1"/>
  <c r="AP102" i="1" s="1"/>
  <c r="AQ102" i="1" s="1"/>
  <c r="AR102" i="1" s="1"/>
  <c r="AO101" i="1"/>
  <c r="AP101" i="1" s="1"/>
  <c r="AQ101" i="1" s="1"/>
  <c r="AR101" i="1" s="1"/>
  <c r="AO100" i="1"/>
  <c r="AP100" i="1" s="1"/>
  <c r="AQ100" i="1" s="1"/>
  <c r="AR100" i="1" s="1"/>
  <c r="AI111" i="1"/>
  <c r="AJ111" i="1" s="1"/>
  <c r="AK111" i="1" s="1"/>
  <c r="AI110" i="1"/>
  <c r="AJ110" i="1" s="1"/>
  <c r="AK110" i="1" s="1"/>
  <c r="AI109" i="1"/>
  <c r="AJ109" i="1" s="1"/>
  <c r="AK109" i="1" s="1"/>
  <c r="AI108" i="1"/>
  <c r="AJ108" i="1" s="1"/>
  <c r="AK108" i="1" s="1"/>
  <c r="AI107" i="1"/>
  <c r="AJ107" i="1" s="1"/>
  <c r="AK107" i="1" s="1"/>
  <c r="AI106" i="1"/>
  <c r="AJ106" i="1" s="1"/>
  <c r="AK106" i="1" s="1"/>
  <c r="AI105" i="1"/>
  <c r="AJ105" i="1" s="1"/>
  <c r="AK105" i="1" s="1"/>
  <c r="AI104" i="1"/>
  <c r="AJ104" i="1" s="1"/>
  <c r="AK104" i="1" s="1"/>
  <c r="AI103" i="1"/>
  <c r="AJ103" i="1" s="1"/>
  <c r="AK103" i="1" s="1"/>
  <c r="AI102" i="1"/>
  <c r="AJ102" i="1" s="1"/>
  <c r="AK102" i="1" s="1"/>
  <c r="AI101" i="1"/>
  <c r="AJ101" i="1" s="1"/>
  <c r="AK101" i="1" s="1"/>
  <c r="AI100" i="1"/>
  <c r="AJ100" i="1" s="1"/>
  <c r="AK100" i="1" s="1"/>
  <c r="AB112" i="1"/>
  <c r="AC112" i="1" s="1"/>
  <c r="AD112" i="1" s="1"/>
  <c r="AE112" i="1" s="1"/>
  <c r="AB111" i="1"/>
  <c r="AC111" i="1" s="1"/>
  <c r="AD111" i="1" s="1"/>
  <c r="AB110" i="1"/>
  <c r="AC110" i="1" s="1"/>
  <c r="AD110" i="1" s="1"/>
  <c r="AB109" i="1"/>
  <c r="AC109" i="1" s="1"/>
  <c r="AD109" i="1" s="1"/>
  <c r="AB108" i="1"/>
  <c r="AC108" i="1" s="1"/>
  <c r="AD108" i="1" s="1"/>
  <c r="AB107" i="1"/>
  <c r="AC107" i="1" s="1"/>
  <c r="AD107" i="1" s="1"/>
  <c r="AB106" i="1"/>
  <c r="AC106" i="1" s="1"/>
  <c r="AD106" i="1" s="1"/>
  <c r="AB105" i="1"/>
  <c r="AC105" i="1" s="1"/>
  <c r="AD105" i="1" s="1"/>
  <c r="AB104" i="1"/>
  <c r="AC104" i="1" s="1"/>
  <c r="AD104" i="1" s="1"/>
  <c r="AE104" i="1" s="1"/>
  <c r="AB103" i="1"/>
  <c r="AC103" i="1" s="1"/>
  <c r="AD103" i="1" s="1"/>
  <c r="AB102" i="1"/>
  <c r="AC102" i="1" s="1"/>
  <c r="AD102" i="1" s="1"/>
  <c r="AB101" i="1"/>
  <c r="AC101" i="1" s="1"/>
  <c r="AD101" i="1" s="1"/>
  <c r="AB100" i="1"/>
  <c r="AC100" i="1" s="1"/>
  <c r="AD100" i="1" s="1"/>
  <c r="AO98" i="1"/>
  <c r="AP98" i="1" s="1"/>
  <c r="AQ98" i="1" s="1"/>
  <c r="AR98" i="1" s="1"/>
  <c r="AO97" i="1"/>
  <c r="AP97" i="1" s="1"/>
  <c r="AQ97" i="1" s="1"/>
  <c r="AR97" i="1" s="1"/>
  <c r="AO96" i="1"/>
  <c r="AP96" i="1" s="1"/>
  <c r="AQ96" i="1" s="1"/>
  <c r="AR96" i="1" s="1"/>
  <c r="AO95" i="1"/>
  <c r="AP95" i="1" s="1"/>
  <c r="AQ95" i="1" s="1"/>
  <c r="AR95" i="1" s="1"/>
  <c r="AO94" i="1"/>
  <c r="AP94" i="1" s="1"/>
  <c r="AQ94" i="1" s="1"/>
  <c r="AR94" i="1" s="1"/>
  <c r="AO93" i="1"/>
  <c r="AP93" i="1" s="1"/>
  <c r="AQ93" i="1" s="1"/>
  <c r="AR93" i="1" s="1"/>
  <c r="AO92" i="1"/>
  <c r="AP92" i="1" s="1"/>
  <c r="AQ92" i="1" s="1"/>
  <c r="AR92" i="1" s="1"/>
  <c r="AO91" i="1"/>
  <c r="AP91" i="1" s="1"/>
  <c r="AQ91" i="1" s="1"/>
  <c r="AR91" i="1" s="1"/>
  <c r="AO90" i="1"/>
  <c r="AP90" i="1" s="1"/>
  <c r="AQ90" i="1" s="1"/>
  <c r="AR90" i="1" s="1"/>
  <c r="AO89" i="1"/>
  <c r="AP89" i="1" s="1"/>
  <c r="AQ89" i="1" s="1"/>
  <c r="AR89" i="1" s="1"/>
  <c r="AO88" i="1"/>
  <c r="AP88" i="1" s="1"/>
  <c r="AQ88" i="1" s="1"/>
  <c r="AR88" i="1" s="1"/>
  <c r="AI98" i="1"/>
  <c r="AJ98" i="1" s="1"/>
  <c r="AK98" i="1" s="1"/>
  <c r="AI97" i="1"/>
  <c r="AJ97" i="1" s="1"/>
  <c r="AK97" i="1" s="1"/>
  <c r="AI96" i="1"/>
  <c r="AJ96" i="1" s="1"/>
  <c r="AK96" i="1" s="1"/>
  <c r="AI95" i="1"/>
  <c r="AJ95" i="1" s="1"/>
  <c r="AK95" i="1" s="1"/>
  <c r="AI94" i="1"/>
  <c r="AJ94" i="1" s="1"/>
  <c r="AK94" i="1" s="1"/>
  <c r="AI93" i="1"/>
  <c r="AJ93" i="1" s="1"/>
  <c r="AK93" i="1" s="1"/>
  <c r="AI92" i="1"/>
  <c r="AJ92" i="1" s="1"/>
  <c r="AK92" i="1" s="1"/>
  <c r="AI91" i="1"/>
  <c r="AJ91" i="1" s="1"/>
  <c r="AK91" i="1" s="1"/>
  <c r="AI90" i="1"/>
  <c r="AJ90" i="1" s="1"/>
  <c r="AK90" i="1" s="1"/>
  <c r="AI89" i="1"/>
  <c r="AJ89" i="1" s="1"/>
  <c r="AK89" i="1" s="1"/>
  <c r="AI88" i="1"/>
  <c r="AJ88" i="1" s="1"/>
  <c r="AK88" i="1" s="1"/>
  <c r="AB98" i="1"/>
  <c r="AC98" i="1" s="1"/>
  <c r="AD98" i="1" s="1"/>
  <c r="AE98" i="1" s="1"/>
  <c r="AB97" i="1"/>
  <c r="AC97" i="1" s="1"/>
  <c r="AD97" i="1" s="1"/>
  <c r="AB96" i="1"/>
  <c r="AC96" i="1" s="1"/>
  <c r="AD96" i="1" s="1"/>
  <c r="AB95" i="1"/>
  <c r="AC95" i="1" s="1"/>
  <c r="AD95" i="1" s="1"/>
  <c r="AB94" i="1"/>
  <c r="AC94" i="1" s="1"/>
  <c r="AD94" i="1" s="1"/>
  <c r="AB93" i="1"/>
  <c r="AC93" i="1" s="1"/>
  <c r="AD93" i="1" s="1"/>
  <c r="AB92" i="1"/>
  <c r="AC92" i="1" s="1"/>
  <c r="AD92" i="1" s="1"/>
  <c r="AB91" i="1"/>
  <c r="AC91" i="1" s="1"/>
  <c r="AD91" i="1" s="1"/>
  <c r="AB90" i="1"/>
  <c r="AC90" i="1" s="1"/>
  <c r="AD90" i="1" s="1"/>
  <c r="AB89" i="1"/>
  <c r="AC89" i="1" s="1"/>
  <c r="AD89" i="1" s="1"/>
  <c r="AB88" i="1"/>
  <c r="AC88" i="1" s="1"/>
  <c r="AD88" i="1" s="1"/>
  <c r="AO71" i="1"/>
  <c r="AP71" i="1" s="1"/>
  <c r="AQ71" i="1" s="1"/>
  <c r="AR71" i="1" s="1"/>
  <c r="AO69" i="1"/>
  <c r="AP69" i="1" s="1"/>
  <c r="AQ69" i="1" s="1"/>
  <c r="AR69" i="1" s="1"/>
  <c r="AO66" i="1"/>
  <c r="AP66" i="1" s="1"/>
  <c r="AQ66" i="1" s="1"/>
  <c r="AR66" i="1" s="1"/>
  <c r="AP65" i="1"/>
  <c r="AQ65" i="1" s="1"/>
  <c r="AR65" i="1" s="1"/>
  <c r="AB73" i="1"/>
  <c r="AC73" i="1" s="1"/>
  <c r="AD73" i="1" s="1"/>
  <c r="AB72" i="1"/>
  <c r="AC72" i="1" s="1"/>
  <c r="AD72" i="1" s="1"/>
  <c r="AB71" i="1"/>
  <c r="AC71" i="1" s="1"/>
  <c r="AD71" i="1" s="1"/>
  <c r="AB70" i="1"/>
  <c r="AC70" i="1" s="1"/>
  <c r="AD70" i="1" s="1"/>
  <c r="AB69" i="1"/>
  <c r="AC69" i="1" s="1"/>
  <c r="AD69" i="1" s="1"/>
  <c r="AB68" i="1"/>
  <c r="AC68" i="1" s="1"/>
  <c r="AD68" i="1" s="1"/>
  <c r="AB67" i="1"/>
  <c r="AC67" i="1" s="1"/>
  <c r="AD67" i="1" s="1"/>
  <c r="AB66" i="1"/>
  <c r="AC66" i="1" s="1"/>
  <c r="AD66" i="1" s="1"/>
  <c r="AB65" i="1"/>
  <c r="AC65" i="1" s="1"/>
  <c r="AD65" i="1" s="1"/>
  <c r="AI76" i="1"/>
  <c r="AJ76" i="1" s="1"/>
  <c r="AK76" i="1" s="1"/>
  <c r="AB6" i="1"/>
  <c r="AA6" i="1"/>
  <c r="Z6" i="1"/>
  <c r="Y6" i="1"/>
  <c r="X6" i="1"/>
  <c r="K12" i="1"/>
  <c r="J12" i="1"/>
  <c r="I12" i="1"/>
  <c r="H12" i="1"/>
  <c r="G12" i="1"/>
  <c r="H13" i="1"/>
  <c r="I13" i="1"/>
  <c r="J13" i="1"/>
  <c r="K13" i="1"/>
  <c r="L13" i="1"/>
  <c r="M13" i="1"/>
  <c r="N13" i="1"/>
  <c r="O13" i="1"/>
  <c r="K9" i="1"/>
  <c r="J9" i="1"/>
  <c r="I9" i="1"/>
  <c r="H9" i="1"/>
  <c r="G9" i="1"/>
  <c r="AO82" i="1"/>
  <c r="AP82" i="1" s="1"/>
  <c r="AQ82" i="1" s="1"/>
  <c r="AR82" i="1" s="1"/>
  <c r="AO77" i="1"/>
  <c r="AP77" i="1" s="1"/>
  <c r="AQ77" i="1" s="1"/>
  <c r="AR77" i="1" s="1"/>
  <c r="AO78" i="1"/>
  <c r="AP78" i="1" s="1"/>
  <c r="AQ78" i="1" s="1"/>
  <c r="AR78" i="1" s="1"/>
  <c r="AO79" i="1"/>
  <c r="AP79" i="1" s="1"/>
  <c r="AQ79" i="1" s="1"/>
  <c r="AR79" i="1" s="1"/>
  <c r="AO80" i="1"/>
  <c r="AP80" i="1" s="1"/>
  <c r="AQ80" i="1" s="1"/>
  <c r="AR80" i="1" s="1"/>
  <c r="AO81" i="1"/>
  <c r="AP81" i="1" s="1"/>
  <c r="AQ81" i="1" s="1"/>
  <c r="AR81" i="1" s="1"/>
  <c r="AO76" i="1"/>
  <c r="AP76" i="1" s="1"/>
  <c r="AQ76" i="1" s="1"/>
  <c r="AR76" i="1" s="1"/>
  <c r="G6" i="1"/>
  <c r="AI77" i="1"/>
  <c r="AJ77" i="1" s="1"/>
  <c r="AK77" i="1" s="1"/>
  <c r="AI78" i="1"/>
  <c r="AJ78" i="1" s="1"/>
  <c r="AK78" i="1" s="1"/>
  <c r="AI79" i="1"/>
  <c r="AJ79" i="1" s="1"/>
  <c r="AK79" i="1" s="1"/>
  <c r="AI80" i="1"/>
  <c r="AJ80" i="1" s="1"/>
  <c r="AK80" i="1" s="1"/>
  <c r="AI81" i="1"/>
  <c r="AJ81" i="1" s="1"/>
  <c r="AK81" i="1" s="1"/>
  <c r="AI82" i="1"/>
  <c r="AJ82" i="1" s="1"/>
  <c r="AK82" i="1" s="1"/>
  <c r="AI83" i="1"/>
  <c r="AJ83" i="1" s="1"/>
  <c r="AK83" i="1" s="1"/>
  <c r="AI84" i="1"/>
  <c r="AJ84" i="1" s="1"/>
  <c r="AK84" i="1" s="1"/>
  <c r="AI85" i="1"/>
  <c r="AJ85" i="1" s="1"/>
  <c r="AK85" i="1" s="1"/>
  <c r="AI86" i="1"/>
  <c r="AJ86" i="1" s="1"/>
  <c r="AK86" i="1" s="1"/>
  <c r="M6" i="1"/>
  <c r="L6" i="1"/>
  <c r="K6" i="1"/>
  <c r="J6" i="1"/>
  <c r="I6" i="1"/>
  <c r="H6" i="1"/>
  <c r="AB77" i="1"/>
  <c r="AC77" i="1" s="1"/>
  <c r="AD77" i="1" s="1"/>
  <c r="AB78" i="1"/>
  <c r="AC78" i="1" s="1"/>
  <c r="AD78" i="1" s="1"/>
  <c r="AB79" i="1"/>
  <c r="AC79" i="1" s="1"/>
  <c r="AD79" i="1" s="1"/>
  <c r="AB80" i="1"/>
  <c r="AC80" i="1" s="1"/>
  <c r="AD80" i="1" s="1"/>
  <c r="AB81" i="1"/>
  <c r="AC81" i="1" s="1"/>
  <c r="AD81" i="1" s="1"/>
  <c r="AB82" i="1"/>
  <c r="AC82" i="1" s="1"/>
  <c r="AD82" i="1" s="1"/>
  <c r="AB83" i="1"/>
  <c r="AC83" i="1" s="1"/>
  <c r="AD83" i="1" s="1"/>
  <c r="AB84" i="1"/>
  <c r="AC84" i="1" s="1"/>
  <c r="AD84" i="1" s="1"/>
  <c r="AB85" i="1"/>
  <c r="AC85" i="1" s="1"/>
  <c r="AD85" i="1" s="1"/>
  <c r="AB86" i="1"/>
  <c r="AC86" i="1" s="1"/>
  <c r="AD86" i="1" s="1"/>
  <c r="AE86" i="1" s="1"/>
  <c r="AB76" i="1"/>
  <c r="AC76" i="1" s="1"/>
  <c r="AD76" i="1" s="1"/>
  <c r="AB20" i="1"/>
  <c r="AC20" i="1" s="1"/>
  <c r="AD20" i="1" s="1"/>
  <c r="AB21" i="1"/>
  <c r="AC21" i="1" s="1"/>
  <c r="AD21" i="1" s="1"/>
  <c r="AB22" i="1"/>
  <c r="AC22" i="1" s="1"/>
  <c r="AD22" i="1" s="1"/>
  <c r="AB23" i="1"/>
  <c r="AC23" i="1" s="1"/>
  <c r="AD23" i="1" s="1"/>
  <c r="AB24" i="1"/>
  <c r="AC24" i="1" s="1"/>
  <c r="AD24" i="1" s="1"/>
  <c r="AB25" i="1"/>
  <c r="AC25" i="1" s="1"/>
  <c r="AD25" i="1" s="1"/>
  <c r="AB26" i="1"/>
  <c r="AC26" i="1" s="1"/>
  <c r="AD26" i="1" s="1"/>
  <c r="AB27" i="1"/>
  <c r="AC27" i="1" s="1"/>
  <c r="AD27" i="1" s="1"/>
  <c r="AB19" i="1"/>
  <c r="AC19" i="1" s="1"/>
  <c r="AD19" i="1" s="1"/>
  <c r="AE90" i="1" l="1"/>
  <c r="AS24" i="1"/>
  <c r="AT24" i="1" s="1"/>
  <c r="AS21" i="1"/>
  <c r="AT21" i="1" s="1"/>
  <c r="AT26" i="1"/>
  <c r="AS20" i="1"/>
  <c r="AT20" i="1" s="1"/>
  <c r="AS27" i="1"/>
  <c r="AT27" i="1" s="1"/>
  <c r="AS25" i="1"/>
  <c r="AT25" i="1" s="1"/>
  <c r="AS22" i="1"/>
  <c r="AT22" i="1" s="1"/>
  <c r="AS19" i="1"/>
  <c r="AT19" i="1" s="1"/>
  <c r="AS23" i="1"/>
  <c r="AT23" i="1" s="1"/>
  <c r="AE21" i="1"/>
  <c r="AE19" i="1"/>
  <c r="AE27" i="1"/>
  <c r="AE20" i="1"/>
  <c r="AE22" i="1"/>
  <c r="AE23" i="1"/>
  <c r="AE24" i="1"/>
  <c r="AE25" i="1"/>
  <c r="AE26" i="1"/>
  <c r="AE28" i="1"/>
  <c r="AE45" i="1"/>
  <c r="AE46" i="1"/>
  <c r="AE48" i="1"/>
  <c r="AE33" i="1"/>
  <c r="AE38" i="1"/>
  <c r="AE40" i="1"/>
  <c r="AE35" i="1"/>
  <c r="AE30" i="1"/>
  <c r="AE32" i="1"/>
  <c r="AE37" i="1"/>
  <c r="AE39" i="1"/>
  <c r="AE34" i="1"/>
  <c r="AE36" i="1"/>
  <c r="AS39" i="1"/>
  <c r="AT39" i="1" s="1"/>
  <c r="AE31" i="1"/>
  <c r="AS33" i="1"/>
  <c r="AT33" i="1" s="1"/>
  <c r="AS35" i="1"/>
  <c r="AT35" i="1" s="1"/>
  <c r="AS36" i="1"/>
  <c r="AT36" i="1" s="1"/>
  <c r="AS34" i="1"/>
  <c r="AT34" i="1" s="1"/>
  <c r="AS30" i="1"/>
  <c r="AT30" i="1" s="1"/>
  <c r="AS32" i="1"/>
  <c r="AT32" i="1" s="1"/>
  <c r="AS31" i="1"/>
  <c r="AT31" i="1" s="1"/>
  <c r="AS38" i="1"/>
  <c r="AT38" i="1" s="1"/>
  <c r="AS37" i="1"/>
  <c r="AT37" i="1" s="1"/>
  <c r="AE122" i="1"/>
  <c r="AE54" i="1"/>
  <c r="AE61" i="1"/>
  <c r="AE42" i="1"/>
  <c r="AE44" i="1"/>
  <c r="AE43" i="1"/>
  <c r="AE152" i="1"/>
  <c r="AE47" i="1"/>
  <c r="AE49" i="1"/>
  <c r="AE64" i="1"/>
  <c r="AE120" i="1"/>
  <c r="AE128" i="1"/>
  <c r="AS68" i="1"/>
  <c r="AT68" i="1" s="1"/>
  <c r="AS77" i="1"/>
  <c r="AT77" i="1" s="1"/>
  <c r="AS130" i="1"/>
  <c r="AS138" i="1"/>
  <c r="AS106" i="1"/>
  <c r="AT106" i="1" s="1"/>
  <c r="AS73" i="1"/>
  <c r="AT73" i="1" s="1"/>
  <c r="AS48" i="1"/>
  <c r="AT48" i="1" s="1"/>
  <c r="AS44" i="1"/>
  <c r="AT44" i="1" s="1"/>
  <c r="AS47" i="1"/>
  <c r="AT47" i="1" s="1"/>
  <c r="AS43" i="1"/>
  <c r="AT43" i="1" s="1"/>
  <c r="AS42" i="1"/>
  <c r="AT42" i="1" s="1"/>
  <c r="AS45" i="1"/>
  <c r="AT45" i="1" s="1"/>
  <c r="AS46" i="1"/>
  <c r="AT46" i="1" s="1"/>
  <c r="AS49" i="1"/>
  <c r="AT49" i="1" s="1"/>
  <c r="AS148" i="1"/>
  <c r="AE56" i="1"/>
  <c r="AE60" i="1"/>
  <c r="AS57" i="1"/>
  <c r="AT57" i="1" s="1"/>
  <c r="AS82" i="1"/>
  <c r="AT82" i="1" s="1"/>
  <c r="AS121" i="1"/>
  <c r="AE55" i="1"/>
  <c r="AE59" i="1"/>
  <c r="AE52" i="1"/>
  <c r="AS150" i="1"/>
  <c r="AE62" i="1"/>
  <c r="AS58" i="1"/>
  <c r="AT58" i="1" s="1"/>
  <c r="AE132" i="1"/>
  <c r="AS55" i="1"/>
  <c r="AT55" i="1" s="1"/>
  <c r="AE53" i="1"/>
  <c r="AS72" i="1"/>
  <c r="AT72" i="1" s="1"/>
  <c r="AS146" i="1"/>
  <c r="AE57" i="1"/>
  <c r="AS92" i="1"/>
  <c r="AT92" i="1" s="1"/>
  <c r="AS100" i="1"/>
  <c r="AT100" i="1" s="1"/>
  <c r="AS108" i="1"/>
  <c r="AT108" i="1" s="1"/>
  <c r="AS122" i="1"/>
  <c r="AT122" i="1" s="1"/>
  <c r="AE125" i="1"/>
  <c r="AS53" i="1"/>
  <c r="AT53" i="1" s="1"/>
  <c r="AS52" i="1"/>
  <c r="AT52" i="1" s="1"/>
  <c r="AS61" i="1"/>
  <c r="AT61" i="1" s="1"/>
  <c r="AS101" i="1"/>
  <c r="AT101" i="1" s="1"/>
  <c r="AS109" i="1"/>
  <c r="AT109" i="1" s="1"/>
  <c r="AE126" i="1"/>
  <c r="AS81" i="1"/>
  <c r="AT81" i="1" s="1"/>
  <c r="AS85" i="1"/>
  <c r="AT85" i="1" s="1"/>
  <c r="AS133" i="1"/>
  <c r="AS151" i="1"/>
  <c r="AS84" i="1"/>
  <c r="AT84" i="1" s="1"/>
  <c r="AE151" i="1"/>
  <c r="AS56" i="1"/>
  <c r="AT56" i="1" s="1"/>
  <c r="AS79" i="1"/>
  <c r="AT79" i="1" s="1"/>
  <c r="AS88" i="1"/>
  <c r="AT88" i="1" s="1"/>
  <c r="AS96" i="1"/>
  <c r="AT96" i="1" s="1"/>
  <c r="AE121" i="1"/>
  <c r="AE129" i="1"/>
  <c r="AS83" i="1"/>
  <c r="AT83" i="1" s="1"/>
  <c r="AS149" i="1"/>
  <c r="AS60" i="1"/>
  <c r="AT60" i="1" s="1"/>
  <c r="AS54" i="1"/>
  <c r="AT54" i="1" s="1"/>
  <c r="AS98" i="1"/>
  <c r="AT98" i="1" s="1"/>
  <c r="AE123" i="1"/>
  <c r="AS74" i="1"/>
  <c r="AT74" i="1" s="1"/>
  <c r="AS59" i="1"/>
  <c r="AT59" i="1" s="1"/>
  <c r="AS67" i="1"/>
  <c r="AT67" i="1" s="1"/>
  <c r="AS90" i="1"/>
  <c r="AT90" i="1" s="1"/>
  <c r="AE89" i="1"/>
  <c r="AE97" i="1"/>
  <c r="AS91" i="1"/>
  <c r="AT91" i="1" s="1"/>
  <c r="AE100" i="1"/>
  <c r="AE108" i="1"/>
  <c r="AS107" i="1"/>
  <c r="AT107" i="1" s="1"/>
  <c r="AE124" i="1"/>
  <c r="AS155" i="1"/>
  <c r="AS154" i="1"/>
  <c r="AS104" i="1"/>
  <c r="AT104" i="1" s="1"/>
  <c r="AS135" i="1"/>
  <c r="AS78" i="1"/>
  <c r="AT78" i="1" s="1"/>
  <c r="AS89" i="1"/>
  <c r="AT89" i="1" s="1"/>
  <c r="AS97" i="1"/>
  <c r="AT97" i="1" s="1"/>
  <c r="AS105" i="1"/>
  <c r="AT105" i="1" s="1"/>
  <c r="AS134" i="1"/>
  <c r="AE140" i="1"/>
  <c r="AS156" i="1"/>
  <c r="AS140" i="1"/>
  <c r="AS94" i="1"/>
  <c r="AT94" i="1" s="1"/>
  <c r="AS102" i="1"/>
  <c r="AT102" i="1" s="1"/>
  <c r="AS110" i="1"/>
  <c r="AT110" i="1" s="1"/>
  <c r="AS86" i="1"/>
  <c r="AT86" i="1" s="1"/>
  <c r="AS137" i="1"/>
  <c r="AS153" i="1"/>
  <c r="AE91" i="1"/>
  <c r="AS93" i="1"/>
  <c r="AT93" i="1" s="1"/>
  <c r="AS80" i="1"/>
  <c r="AT80" i="1" s="1"/>
  <c r="AS66" i="1"/>
  <c r="AT66" i="1" s="1"/>
  <c r="AE93" i="1"/>
  <c r="AS95" i="1"/>
  <c r="AT95" i="1" s="1"/>
  <c r="AS103" i="1"/>
  <c r="AT103" i="1" s="1"/>
  <c r="AS111" i="1"/>
  <c r="AT111" i="1" s="1"/>
  <c r="AS136" i="1"/>
  <c r="AS141" i="1"/>
  <c r="AE153" i="1"/>
  <c r="AE146" i="1"/>
  <c r="AS152" i="1"/>
  <c r="AE149" i="1"/>
  <c r="AE148" i="1"/>
  <c r="AE142" i="1"/>
  <c r="AS143" i="1"/>
  <c r="AE155" i="1"/>
  <c r="AE156" i="1"/>
  <c r="AS147" i="1"/>
  <c r="AE143" i="1"/>
  <c r="AE147" i="1"/>
  <c r="AE141" i="1"/>
  <c r="AS142" i="1"/>
  <c r="AS144" i="1"/>
  <c r="AE154" i="1"/>
  <c r="AE102" i="1"/>
  <c r="AE110" i="1"/>
  <c r="AE92" i="1"/>
  <c r="AE103" i="1"/>
  <c r="AE111" i="1"/>
  <c r="AE127" i="1"/>
  <c r="AS76" i="1"/>
  <c r="AT76" i="1" s="1"/>
  <c r="AS124" i="1"/>
  <c r="AT124" i="1" s="1"/>
  <c r="AS123" i="1"/>
  <c r="AT123" i="1" s="1"/>
  <c r="AE94" i="1"/>
  <c r="AE105" i="1"/>
  <c r="AE76" i="1"/>
  <c r="AE95" i="1"/>
  <c r="AE106" i="1"/>
  <c r="AS129" i="1"/>
  <c r="AT129" i="1" s="1"/>
  <c r="AT121" i="1"/>
  <c r="AE88" i="1"/>
  <c r="AE96" i="1"/>
  <c r="AE107" i="1"/>
  <c r="AS120" i="1"/>
  <c r="AT120" i="1" s="1"/>
  <c r="AS71" i="1"/>
  <c r="AT71" i="1" s="1"/>
  <c r="AS128" i="1"/>
  <c r="AT128" i="1" s="1"/>
  <c r="AS70" i="1"/>
  <c r="AT70" i="1" s="1"/>
  <c r="AS127" i="1"/>
  <c r="AT127" i="1" s="1"/>
  <c r="AS65" i="1"/>
  <c r="AT65" i="1" s="1"/>
  <c r="AE101" i="1"/>
  <c r="AE109" i="1"/>
  <c r="AS112" i="1"/>
  <c r="AT112" i="1" s="1"/>
  <c r="AS69" i="1"/>
  <c r="AT69" i="1" s="1"/>
  <c r="AS126" i="1"/>
  <c r="AT126" i="1" s="1"/>
  <c r="AS125" i="1"/>
  <c r="AT125" i="1" s="1"/>
  <c r="AE85" i="1"/>
  <c r="AE84" i="1"/>
  <c r="AE83" i="1"/>
  <c r="AE82" i="1"/>
  <c r="AE81" i="1"/>
  <c r="AE80" i="1"/>
  <c r="AE79" i="1"/>
  <c r="AE78" i="1"/>
  <c r="AE77" i="1"/>
  <c r="AS64" i="1"/>
  <c r="AT64" i="1" s="1"/>
  <c r="AE137" i="1"/>
  <c r="AE136" i="1"/>
  <c r="AE135" i="1"/>
  <c r="AE134" i="1"/>
  <c r="AE133" i="1"/>
  <c r="AS132" i="1"/>
  <c r="AE65" i="1"/>
  <c r="AE66" i="1"/>
  <c r="AE67" i="1"/>
  <c r="AE68" i="1"/>
  <c r="AE69" i="1"/>
  <c r="AE70" i="1"/>
  <c r="AE71" i="1"/>
  <c r="AE72" i="1"/>
  <c r="AE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tc={7EBC2AB5-19AA-4021-BC18-B8355319B66D}</author>
    <author>tc={5900B887-FA18-4823-832E-B940EC37A829}</author>
    <author>tc={821AF568-5D37-465E-8115-CB3C74D428D1}</author>
    <author>tc={D6846407-A013-4429-B954-239E87FDBD3C}</author>
    <author>tc={16C3B1B4-3805-4E69-965D-0970A72E8812}</author>
    <author>tc={E9B93A0C-DB3B-4B86-AC2C-7EBC59BC5DDC}</author>
    <author>tc={8E7B6113-F78B-49F8-9E02-93CF9616B9FE}</author>
    <author>tc={1695338B-BAEA-487A-AAA6-648C8CDC65B8}</author>
    <author>tc={E05F4FB2-AE2C-4D7A-BC66-4863EBF89C72}</author>
    <author>tc={9E0EC5F3-3EE8-4345-9E63-AFFCD1E6C162}</author>
    <author>tc={B5BB6754-A247-4C39-8123-71ACC8ED0956}</author>
    <author>tc={6564652E-8245-4B67-8B6F-E95868B8BB42}</author>
  </authors>
  <commentList>
    <comment ref="Y6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Ct value too high</t>
      </text>
    </comment>
    <comment ref="AF65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had no Ct value</t>
      </text>
    </comment>
    <comment ref="AM67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Ct lacking</t>
      </text>
    </comment>
    <comment ref="AM68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Ct lacking</t>
      </text>
    </comment>
    <comment ref="AM72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no Ct value</t>
      </text>
    </comment>
    <comment ref="AL73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No Ct value</t>
      </text>
    </comment>
    <comment ref="Z74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Ct too high</t>
      </text>
    </comment>
    <comment ref="AG74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Ct lacking</t>
      </text>
    </comment>
    <comment ref="L88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Qpcr done by Fernando</t>
      </text>
    </comment>
    <comment ref="L100" authorId="9" shapeId="0" xr:uid="{00000000-0006-0000-00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RNA extraction done by Fernando</t>
      </text>
    </comment>
    <comment ref="C110" authorId="10" shapeId="0" xr:uid="{00000000-0006-0000-00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100 ml of sample 1</t>
      </text>
    </comment>
    <comment ref="C111" authorId="11" shapeId="0" xr:uid="{00000000-0006-0000-00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100 ml of sample 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Dominic Frigon</author>
    <author>atsit</author>
  </authors>
  <commentList>
    <comment ref="AA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Dominic Frigon:</t>
        </r>
        <r>
          <rPr>
            <sz val="9"/>
            <color indexed="81"/>
            <rFont val="Tahoma"/>
            <family val="2"/>
          </rPr>
          <t xml:space="preserve">
Was there any problem with RNA extraction?
If not leave blank</t>
        </r>
      </text>
    </comment>
    <comment ref="AB2" authorId="1" shapeId="0" xr:uid="{CE0E0A53-6538-4179-8614-5745ACBC8D43}">
      <text>
        <r>
          <rPr>
            <b/>
            <sz val="9"/>
            <color indexed="81"/>
            <rFont val="Tahoma"/>
            <family val="2"/>
          </rPr>
          <t>atsit:</t>
        </r>
        <r>
          <rPr>
            <sz val="9"/>
            <color indexed="81"/>
            <rFont val="Tahoma"/>
            <family val="2"/>
          </rPr>
          <t xml:space="preserve">
List Qianken Kits_MOD</t>
        </r>
      </text>
    </comment>
    <comment ref="B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Dominic Frigon:</t>
        </r>
        <r>
          <rPr>
            <sz val="9"/>
            <color indexed="81"/>
            <rFont val="Tahoma"/>
            <family val="2"/>
          </rPr>
          <t xml:space="preserve">
Grab Sampling: Enter  date in </t>
        </r>
        <r>
          <rPr>
            <b/>
            <sz val="9"/>
            <color indexed="81"/>
            <rFont val="Tahoma"/>
            <family val="2"/>
          </rPr>
          <t xml:space="preserve">dateTimeEnd
</t>
        </r>
        <r>
          <rPr>
            <sz val="9"/>
            <color indexed="81"/>
            <rFont val="Tahoma"/>
            <family val="2"/>
          </rPr>
          <t xml:space="preserve">and leave </t>
        </r>
        <r>
          <rPr>
            <b/>
            <sz val="9"/>
            <color indexed="81"/>
            <rFont val="Tahoma"/>
            <family val="2"/>
          </rPr>
          <t>empty dateTimeStart</t>
        </r>
      </text>
    </comment>
    <comment ref="G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Dominic Frigon:</t>
        </r>
        <r>
          <rPr>
            <sz val="9"/>
            <color indexed="81"/>
            <rFont val="Tahoma"/>
            <family val="2"/>
          </rPr>
          <t xml:space="preserve">
Amount of sample received.
</t>
        </r>
      </text>
    </comment>
    <comment ref="H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Dominic Frigon:</t>
        </r>
        <r>
          <rPr>
            <sz val="9"/>
            <color indexed="81"/>
            <rFont val="Tahoma"/>
            <family val="2"/>
          </rPr>
          <t xml:space="preserve">
If not available, leave blank
</t>
        </r>
      </text>
    </comment>
    <comment ref="U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Dominic Frigon:</t>
        </r>
        <r>
          <rPr>
            <sz val="9"/>
            <color indexed="81"/>
            <rFont val="Tahoma"/>
            <family val="2"/>
          </rPr>
          <t xml:space="preserve">
Was there any problem with concentration?
Leave blank if not problem.</t>
        </r>
      </text>
    </comment>
    <comment ref="V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Dominic Frigon:</t>
        </r>
        <r>
          <rPr>
            <sz val="9"/>
            <color indexed="81"/>
            <rFont val="Tahoma"/>
            <family val="2"/>
          </rPr>
          <t xml:space="preserve">
Record any departure from typical analyses and observations.</t>
        </r>
      </text>
    </comment>
    <comment ref="W3" authorId="1" shapeId="0" xr:uid="{0C81E374-6F91-4E78-A959-9B2BAD8CC39D}">
      <text>
        <r>
          <rPr>
            <b/>
            <sz val="9"/>
            <color indexed="81"/>
            <rFont val="Tahoma"/>
            <family val="2"/>
          </rPr>
          <t>atsit:</t>
        </r>
        <r>
          <rPr>
            <sz val="9"/>
            <color indexed="81"/>
            <rFont val="Tahoma"/>
            <family val="2"/>
          </rPr>
          <t xml:space="preserve">
Identify batches analyzed with the same spike</t>
        </r>
      </text>
    </comment>
    <comment ref="AN3" authorId="1" shapeId="0" xr:uid="{7D40289B-C69D-45A2-99D8-EB1D6E1DA034}">
      <text>
        <r>
          <rPr>
            <b/>
            <sz val="9"/>
            <color indexed="81"/>
            <rFont val="Tahoma"/>
            <family val="2"/>
          </rPr>
          <t>atsit:</t>
        </r>
        <r>
          <rPr>
            <sz val="9"/>
            <color indexed="81"/>
            <rFont val="Tahoma"/>
            <family val="2"/>
          </rPr>
          <t xml:space="preserve">
Recovery calculated from the reference. </t>
        </r>
      </text>
    </comment>
    <comment ref="BF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Dominic Frigon:</t>
        </r>
        <r>
          <rPr>
            <sz val="9"/>
            <color indexed="81"/>
            <rFont val="Tahoma"/>
            <family val="2"/>
          </rPr>
          <t xml:space="preserve">
Was there any problem with the RT-qPCR?
</t>
        </r>
      </text>
    </comment>
    <comment ref="BG3" authorId="1" shapeId="0" xr:uid="{6864A976-A9C5-4BEF-9C6E-A5CC124FAA4F}">
      <text>
        <r>
          <rPr>
            <b/>
            <sz val="9"/>
            <color indexed="81"/>
            <rFont val="Tahoma"/>
            <family val="2"/>
          </rPr>
          <t>atsit:</t>
        </r>
        <r>
          <rPr>
            <sz val="9"/>
            <color indexed="81"/>
            <rFont val="Tahoma"/>
            <family val="2"/>
          </rPr>
          <t xml:space="preserve">
To note targetting variants in the future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Dominic Frigon</author>
  </authors>
  <commentList>
    <comment ref="AA2" authorId="0" shapeId="0" xr:uid="{821FFAF5-91A7-42BB-9FF5-96E39E2BBC86}">
      <text>
        <r>
          <rPr>
            <b/>
            <sz val="9"/>
            <color indexed="81"/>
            <rFont val="Tahoma"/>
            <family val="2"/>
          </rPr>
          <t>Dominic Frigon:</t>
        </r>
        <r>
          <rPr>
            <sz val="9"/>
            <color indexed="81"/>
            <rFont val="Tahoma"/>
            <family val="2"/>
          </rPr>
          <t xml:space="preserve">
Was there any problem with RNA extraction?
</t>
        </r>
      </text>
    </comment>
    <comment ref="B3" authorId="0" shapeId="0" xr:uid="{15E75B40-2720-41FE-9490-9E29CD6012EE}">
      <text>
        <r>
          <rPr>
            <b/>
            <sz val="9"/>
            <color indexed="81"/>
            <rFont val="Tahoma"/>
            <family val="2"/>
          </rPr>
          <t>Dominic Frigon:</t>
        </r>
        <r>
          <rPr>
            <sz val="9"/>
            <color indexed="81"/>
            <rFont val="Tahoma"/>
            <family val="2"/>
          </rPr>
          <t xml:space="preserve">
Grab Sampling: Enter  date in </t>
        </r>
        <r>
          <rPr>
            <b/>
            <sz val="9"/>
            <color indexed="81"/>
            <rFont val="Tahoma"/>
            <family val="2"/>
          </rPr>
          <t xml:space="preserve">dateTimeEnd
</t>
        </r>
        <r>
          <rPr>
            <sz val="9"/>
            <color indexed="81"/>
            <rFont val="Tahoma"/>
            <family val="2"/>
          </rPr>
          <t xml:space="preserve">and leave </t>
        </r>
        <r>
          <rPr>
            <b/>
            <sz val="9"/>
            <color indexed="81"/>
            <rFont val="Tahoma"/>
            <family val="2"/>
          </rPr>
          <t>empty dateTimeStart</t>
        </r>
      </text>
    </comment>
    <comment ref="G3" authorId="0" shapeId="0" xr:uid="{F917BF22-3D6C-482F-B880-A8CD3771334F}">
      <text>
        <r>
          <rPr>
            <b/>
            <sz val="9"/>
            <color indexed="81"/>
            <rFont val="Tahoma"/>
            <family val="2"/>
          </rPr>
          <t>Dominic Frigon:</t>
        </r>
        <r>
          <rPr>
            <sz val="9"/>
            <color indexed="81"/>
            <rFont val="Tahoma"/>
            <family val="2"/>
          </rPr>
          <t xml:space="preserve">
Amount of sample received.
</t>
        </r>
      </text>
    </comment>
    <comment ref="H3" authorId="0" shapeId="0" xr:uid="{E971D6E9-A3A7-4BED-9CCC-C6CCEED3FEF5}">
      <text>
        <r>
          <rPr>
            <b/>
            <sz val="9"/>
            <color indexed="81"/>
            <rFont val="Tahoma"/>
            <family val="2"/>
          </rPr>
          <t>Dominic Frigon:</t>
        </r>
        <r>
          <rPr>
            <sz val="9"/>
            <color indexed="81"/>
            <rFont val="Tahoma"/>
            <family val="2"/>
          </rPr>
          <t xml:space="preserve">
If not available, leave blank
</t>
        </r>
      </text>
    </comment>
    <comment ref="U3" authorId="0" shapeId="0" xr:uid="{C9863721-EE4E-4778-8042-7F577F57FEA1}">
      <text>
        <r>
          <rPr>
            <b/>
            <sz val="9"/>
            <color indexed="81"/>
            <rFont val="Tahoma"/>
            <family val="2"/>
          </rPr>
          <t>Dominic Frigon:</t>
        </r>
        <r>
          <rPr>
            <sz val="9"/>
            <color indexed="81"/>
            <rFont val="Tahoma"/>
            <family val="2"/>
          </rPr>
          <t xml:space="preserve">
Was there any problem with concentration?
Leave blank if not problem.</t>
        </r>
      </text>
    </comment>
    <comment ref="V3" authorId="0" shapeId="0" xr:uid="{97FB9EFC-DA2A-4D25-ADFD-62EFE150D155}">
      <text>
        <r>
          <rPr>
            <b/>
            <sz val="9"/>
            <color indexed="81"/>
            <rFont val="Tahoma"/>
            <family val="2"/>
          </rPr>
          <t>Dominic Frigon:</t>
        </r>
        <r>
          <rPr>
            <sz val="9"/>
            <color indexed="81"/>
            <rFont val="Tahoma"/>
            <family val="2"/>
          </rPr>
          <t xml:space="preserve">
Record any departure from typical analyses and observations.</t>
        </r>
      </text>
    </comment>
    <comment ref="AZ3" authorId="0" shapeId="0" xr:uid="{D46D149D-4484-4652-B6A1-F8CE184E43BC}">
      <text>
        <r>
          <rPr>
            <b/>
            <sz val="9"/>
            <color indexed="81"/>
            <rFont val="Tahoma"/>
            <family val="2"/>
          </rPr>
          <t>Dominic Frigon:</t>
        </r>
        <r>
          <rPr>
            <sz val="9"/>
            <color indexed="81"/>
            <rFont val="Tahoma"/>
            <family val="2"/>
          </rPr>
          <t xml:space="preserve">
Was there any problem with the RT-qPCR?
</t>
        </r>
      </text>
    </comment>
  </commentList>
</comments>
</file>

<file path=xl/sharedStrings.xml><?xml version="1.0" encoding="utf-8"?>
<sst xmlns="http://schemas.openxmlformats.org/spreadsheetml/2006/main" count="2578" uniqueCount="365">
  <si>
    <t>PCR system: CFX96 Deep Well - Bio Rad</t>
  </si>
  <si>
    <t>PCR system: ABI 7500/7500 fast real - ABI</t>
  </si>
  <si>
    <t>Cocentration</t>
  </si>
  <si>
    <t>Slope</t>
  </si>
  <si>
    <t>Intercept</t>
  </si>
  <si>
    <t>STANDARD CURVES: Virus / template</t>
  </si>
  <si>
    <t>ng</t>
  </si>
  <si>
    <t>BRSV / 15 123 pb / Zoetis Vaccine</t>
  </si>
  <si>
    <t>Ct</t>
  </si>
  <si>
    <t>PMMV / Pool of RNA samples from WW</t>
  </si>
  <si>
    <t>gc</t>
  </si>
  <si>
    <t>SARS-CoV-2 / 29 903 pb / RNA whole viral genome</t>
  </si>
  <si>
    <t>SAMPLING</t>
  </si>
  <si>
    <t>CONCENTRATION</t>
  </si>
  <si>
    <t>MOLECULAR DETECTION</t>
  </si>
  <si>
    <t>OTHERS</t>
  </si>
  <si>
    <t>General</t>
  </si>
  <si>
    <t>Key parametres</t>
  </si>
  <si>
    <t>Date of RNA extraction (d/m/y)</t>
  </si>
  <si>
    <t>RNA kit used</t>
  </si>
  <si>
    <t>Date of PCR (d/m/y)</t>
  </si>
  <si>
    <t>External control (BRSV)</t>
  </si>
  <si>
    <t>PMMV</t>
  </si>
  <si>
    <t>SARS-CoV-2</t>
  </si>
  <si>
    <t>Comments</t>
  </si>
  <si>
    <t>City</t>
  </si>
  <si>
    <t>WWPT</t>
  </si>
  <si>
    <t>Date (d/m/y)</t>
  </si>
  <si>
    <t>Type sample</t>
  </si>
  <si>
    <t>Time / frequency</t>
  </si>
  <si>
    <t>Volume</t>
  </si>
  <si>
    <t>Stored temperature</t>
  </si>
  <si>
    <t>Date of sample reception (d/m/y)</t>
  </si>
  <si>
    <t>PI Laboratory</t>
  </si>
  <si>
    <t>Institution</t>
  </si>
  <si>
    <t>Manipulator</t>
  </si>
  <si>
    <t>Date of concentration (d/m/y)</t>
  </si>
  <si>
    <t>Concentrated Volume (ml)</t>
  </si>
  <si>
    <t>Sample details</t>
  </si>
  <si>
    <t>Concentration Method</t>
  </si>
  <si>
    <t>pH</t>
  </si>
  <si>
    <t>TSS (mg/l)</t>
  </si>
  <si>
    <t>Flow</t>
  </si>
  <si>
    <t>% recovery</t>
  </si>
  <si>
    <t>gc/rx</t>
  </si>
  <si>
    <t>gc/ml</t>
  </si>
  <si>
    <t>gc/normalized to PMMV</t>
  </si>
  <si>
    <t>gc/d normalized</t>
  </si>
  <si>
    <t>Initial</t>
  </si>
  <si>
    <t>Final</t>
  </si>
  <si>
    <t>m3/d</t>
  </si>
  <si>
    <t>ml/d</t>
  </si>
  <si>
    <t>Mean</t>
  </si>
  <si>
    <t>mean</t>
  </si>
  <si>
    <t>Quebec</t>
  </si>
  <si>
    <t>East</t>
  </si>
  <si>
    <t>19-08-2020</t>
  </si>
  <si>
    <t>Composite</t>
  </si>
  <si>
    <t>24 h / each 10 min</t>
  </si>
  <si>
    <t>500 ml</t>
  </si>
  <si>
    <t>ND</t>
  </si>
  <si>
    <t>Dominic Frigon</t>
  </si>
  <si>
    <t>McGill University</t>
  </si>
  <si>
    <t>Fernando</t>
  </si>
  <si>
    <t>Supernatant after settling</t>
  </si>
  <si>
    <t>Adsorption</t>
  </si>
  <si>
    <t>Allprep Powerviral RNA/DNA</t>
  </si>
  <si>
    <t>Data no plotted because different vol and subsample (setting after mixing)</t>
  </si>
  <si>
    <t>21-08-2020</t>
  </si>
  <si>
    <t>22-08-2020</t>
  </si>
  <si>
    <t>24-08-2020</t>
  </si>
  <si>
    <t>25-08-2020</t>
  </si>
  <si>
    <t>27-08-2020</t>
  </si>
  <si>
    <t>29-08-2020</t>
  </si>
  <si>
    <t>31-08-2020</t>
  </si>
  <si>
    <t>Reference</t>
  </si>
  <si>
    <t>7,45</t>
  </si>
  <si>
    <t>8,31</t>
  </si>
  <si>
    <t>8,48</t>
  </si>
  <si>
    <t>8,27</t>
  </si>
  <si>
    <t>8,88</t>
  </si>
  <si>
    <t>7,81</t>
  </si>
  <si>
    <t>West</t>
  </si>
  <si>
    <t>7,62</t>
  </si>
  <si>
    <t>No Cq</t>
  </si>
  <si>
    <t>7,92</t>
  </si>
  <si>
    <t>7,99</t>
  </si>
  <si>
    <t>NO BRSV</t>
  </si>
  <si>
    <t>17-09-2020</t>
  </si>
  <si>
    <t>Betty</t>
  </si>
  <si>
    <t>07-12-2020</t>
  </si>
  <si>
    <t>50 ml</t>
  </si>
  <si>
    <t>Completely mixed</t>
  </si>
  <si>
    <t>08/12/2020</t>
  </si>
  <si>
    <t>09/12/2020</t>
  </si>
  <si>
    <t>No Ct</t>
  </si>
  <si>
    <t>28-09-2020</t>
  </si>
  <si>
    <t>PMMV no recovery</t>
  </si>
  <si>
    <t>05-10-2020</t>
  </si>
  <si>
    <t>19-10-2020</t>
  </si>
  <si>
    <t xml:space="preserve">No Ct </t>
  </si>
  <si>
    <t>Forte pluie dosage de chimique au primaire pour 6,1 heures</t>
  </si>
  <si>
    <t>29-09-2020</t>
  </si>
  <si>
    <t>Training samples</t>
  </si>
  <si>
    <t>30-09-2020</t>
  </si>
  <si>
    <t>Spike reference</t>
  </si>
  <si>
    <t>15 ml</t>
  </si>
  <si>
    <t>200 µl</t>
  </si>
  <si>
    <t>NA</t>
  </si>
  <si>
    <t xml:space="preserve"> </t>
  </si>
  <si>
    <t>25-10-2020</t>
  </si>
  <si>
    <t>11-12-2020</t>
  </si>
  <si>
    <t>14-12-2020</t>
  </si>
  <si>
    <t>15/12/2020</t>
  </si>
  <si>
    <t>16/12/2020</t>
  </si>
  <si>
    <t>02-11-2020</t>
  </si>
  <si>
    <t>09-11-2020</t>
  </si>
  <si>
    <t>15-11-2020</t>
  </si>
  <si>
    <t>22-11-2020</t>
  </si>
  <si>
    <t>NO BRSV recovery</t>
  </si>
  <si>
    <t>16/12/2021</t>
  </si>
  <si>
    <t>12-11-2020</t>
  </si>
  <si>
    <t>18-12-2020</t>
  </si>
  <si>
    <t>Betty/Fernando</t>
  </si>
  <si>
    <t>21-12-2020</t>
  </si>
  <si>
    <t>50ml</t>
  </si>
  <si>
    <t>completely mixed</t>
  </si>
  <si>
    <t>22-12-2020</t>
  </si>
  <si>
    <t>18-11-2020</t>
  </si>
  <si>
    <t>25-11-2020</t>
  </si>
  <si>
    <t>29-11-2020</t>
  </si>
  <si>
    <t>03-12-2020</t>
  </si>
  <si>
    <t>fermeture dessableurs pour forcer le transfert de solides tournant en bouble dans le pré-traitement vers les décanteurs primaires.</t>
  </si>
  <si>
    <t>entretien d'un dessableur + Forte pluie dosage de chimique au primaire pour 8,9 heures</t>
  </si>
  <si>
    <t>15ml</t>
  </si>
  <si>
    <t>31-12-2020</t>
  </si>
  <si>
    <t xml:space="preserve">homogenized </t>
  </si>
  <si>
    <t>12-12-2020</t>
  </si>
  <si>
    <t>13-12-2020</t>
  </si>
  <si>
    <t>15-12-2020</t>
  </si>
  <si>
    <t xml:space="preserve">West </t>
  </si>
  <si>
    <t>100 ml</t>
  </si>
  <si>
    <t>Differente vol (100 ml)</t>
  </si>
  <si>
    <t>Montreal</t>
  </si>
  <si>
    <t>North</t>
  </si>
  <si>
    <t>Grab sample ?</t>
  </si>
  <si>
    <t>400 ml</t>
  </si>
  <si>
    <t>06-01-2021</t>
  </si>
  <si>
    <t>07-01-2021</t>
  </si>
  <si>
    <t>adsorption</t>
  </si>
  <si>
    <t>12-01-2021</t>
  </si>
  <si>
    <t>Sample from Mtl</t>
  </si>
  <si>
    <t xml:space="preserve">South </t>
  </si>
  <si>
    <t>04-01-2021</t>
  </si>
  <si>
    <t>spike reference</t>
  </si>
  <si>
    <t>dominic Frigon</t>
  </si>
  <si>
    <t>mcGill University</t>
  </si>
  <si>
    <t>betty/Fernando</t>
  </si>
  <si>
    <t>06-12-2020</t>
  </si>
  <si>
    <t>composite</t>
  </si>
  <si>
    <t>13-01-2021</t>
  </si>
  <si>
    <t>18-01-2021</t>
  </si>
  <si>
    <t>08-12-2020</t>
  </si>
  <si>
    <t>entretien d'un dessableur</t>
  </si>
  <si>
    <t>09-12-2020</t>
  </si>
  <si>
    <t>10-12-2020</t>
  </si>
  <si>
    <t>Forte pluie dosage de chimique au primaire pour 1,6 heures</t>
  </si>
  <si>
    <t>500ml</t>
  </si>
  <si>
    <t>15-01-2021</t>
  </si>
  <si>
    <t>19-01-2021</t>
  </si>
  <si>
    <t>20-01-2021</t>
  </si>
  <si>
    <t>16-01-2021</t>
  </si>
  <si>
    <t>17-01-2021</t>
  </si>
  <si>
    <t xml:space="preserve">Spike reference </t>
  </si>
  <si>
    <t>21-01-2021</t>
  </si>
  <si>
    <t>25-01-2021</t>
  </si>
  <si>
    <t>22-01-2021</t>
  </si>
  <si>
    <t>degradation</t>
  </si>
  <si>
    <t>450 ml</t>
  </si>
  <si>
    <t>Spike reference 1</t>
  </si>
  <si>
    <t>Spike reference 2</t>
  </si>
  <si>
    <t>25-01-2022</t>
  </si>
  <si>
    <t>Conclusion</t>
  </si>
  <si>
    <r>
      <t>Final elution in the extraction (</t>
    </r>
    <r>
      <rPr>
        <sz val="10"/>
        <color theme="1"/>
        <rFont val="Calibri"/>
        <family val="2"/>
      </rPr>
      <t>µ</t>
    </r>
    <r>
      <rPr>
        <sz val="7"/>
        <color theme="1"/>
        <rFont val="Arial"/>
        <family val="2"/>
      </rPr>
      <t>l)</t>
    </r>
  </si>
  <si>
    <r>
      <t>Final volume in the PCR (</t>
    </r>
    <r>
      <rPr>
        <sz val="10"/>
        <color theme="1"/>
        <rFont val="Calibri"/>
        <family val="2"/>
      </rPr>
      <t>µ</t>
    </r>
    <r>
      <rPr>
        <sz val="7"/>
        <color theme="1"/>
        <rFont val="Arial"/>
        <family val="2"/>
      </rPr>
      <t>l)</t>
    </r>
  </si>
  <si>
    <t>Sampling point</t>
  </si>
  <si>
    <t>Turbidity (NTU)</t>
  </si>
  <si>
    <t>gc/rxn</t>
  </si>
  <si>
    <t>VSTL-III</t>
  </si>
  <si>
    <t>Grab</t>
  </si>
  <si>
    <t>CDN-05</t>
  </si>
  <si>
    <t>REFERENCE</t>
  </si>
  <si>
    <t>NEGATIVE</t>
  </si>
  <si>
    <t>ng/rxn</t>
  </si>
  <si>
    <t>Log(gc)</t>
  </si>
  <si>
    <t>Date</t>
  </si>
  <si>
    <t>Ct1</t>
  </si>
  <si>
    <t>Ct2</t>
  </si>
  <si>
    <t>Ct3</t>
  </si>
  <si>
    <t>BRSV</t>
  </si>
  <si>
    <t>COVID19 new cases (by lab)</t>
  </si>
  <si>
    <t>SARS-CoV-2 (gc/ml)</t>
  </si>
  <si>
    <t>Weekend</t>
  </si>
  <si>
    <t>COVID19 new cases</t>
  </si>
  <si>
    <t>Sample Type</t>
  </si>
  <si>
    <t>Sample Size (L)</t>
  </si>
  <si>
    <t>Access</t>
  </si>
  <si>
    <t>accessToPublic</t>
  </si>
  <si>
    <t>accessToAllOrg</t>
  </si>
  <si>
    <t>accessToPHAC</t>
  </si>
  <si>
    <t>accessToLocalHA</t>
  </si>
  <si>
    <t>accessToProvHA</t>
  </si>
  <si>
    <t>AccessToOtherProv</t>
  </si>
  <si>
    <t>AcessToDetails</t>
  </si>
  <si>
    <t>assayMethodID</t>
  </si>
  <si>
    <t>Collection Type</t>
  </si>
  <si>
    <t>Date (YYYY-MM-DD)</t>
  </si>
  <si>
    <t>Conductivity (μS/cm)</t>
  </si>
  <si>
    <t>Average Cq</t>
  </si>
  <si>
    <t>Cq</t>
  </si>
  <si>
    <t>Cq/Log(gc)</t>
  </si>
  <si>
    <t>R2</t>
  </si>
  <si>
    <t>Efficiency</t>
  </si>
  <si>
    <t>Avg_Cq-1</t>
  </si>
  <si>
    <t>Avg_Cq-2</t>
  </si>
  <si>
    <t>Avg_Cq-3</t>
  </si>
  <si>
    <t>Avg_Cq-4</t>
  </si>
  <si>
    <t>Avg_Cq-5</t>
  </si>
  <si>
    <t>Avg_Cq-6</t>
  </si>
  <si>
    <t>Avg_Cq-7</t>
  </si>
  <si>
    <t>Avg_Cq-8</t>
  </si>
  <si>
    <t>Avg_Cq-9</t>
  </si>
  <si>
    <t>Avg_Cq-10</t>
  </si>
  <si>
    <t>Conc_M-1</t>
  </si>
  <si>
    <t>Conc_M-2</t>
  </si>
  <si>
    <t>Conc_M-3</t>
  </si>
  <si>
    <t>Conc_M-4</t>
  </si>
  <si>
    <t>Conc_M-5</t>
  </si>
  <si>
    <t>Conc_M-6</t>
  </si>
  <si>
    <t>Conc_M-7</t>
  </si>
  <si>
    <t>Conc_M-8</t>
  </si>
  <si>
    <t>Conc_M-9</t>
  </si>
  <si>
    <t>Conc_M-10</t>
  </si>
  <si>
    <t>Conc_GC-1</t>
  </si>
  <si>
    <t>Conc_GC-2</t>
  </si>
  <si>
    <t>Conc_GC-3</t>
  </si>
  <si>
    <t>Conc_GC-4</t>
  </si>
  <si>
    <t>Conc_GC-5</t>
  </si>
  <si>
    <t>Conc_GC-6</t>
  </si>
  <si>
    <t>Conc_GC-7</t>
  </si>
  <si>
    <t>Conc_GC-8</t>
  </si>
  <si>
    <t>Conc_GC-9</t>
  </si>
  <si>
    <t>Conc_GC-10</t>
  </si>
  <si>
    <t>Log_GC-1</t>
  </si>
  <si>
    <t>Log_GC-2</t>
  </si>
  <si>
    <t>Log_GC-3</t>
  </si>
  <si>
    <t>Log_GC-4</t>
  </si>
  <si>
    <t>Log_GC-5</t>
  </si>
  <si>
    <t>Log_GC-6</t>
  </si>
  <si>
    <t>Log_GC-7</t>
  </si>
  <si>
    <t>Log_GC-8</t>
  </si>
  <si>
    <t>Log_GC-9</t>
  </si>
  <si>
    <t>Log_GC-10</t>
  </si>
  <si>
    <t>Virus</t>
  </si>
  <si>
    <t>cpTP24h </t>
  </si>
  <si>
    <t>grb3 </t>
  </si>
  <si>
    <t>PS </t>
  </si>
  <si>
    <t>11-VSTL-ind</t>
  </si>
  <si>
    <t>MTL_11_cpTP24h_Raw</t>
  </si>
  <si>
    <t>RAW </t>
  </si>
  <si>
    <t>Qtips </t>
  </si>
  <si>
    <t>Filter </t>
  </si>
  <si>
    <t>05-CoteDNeige</t>
  </si>
  <si>
    <t>16-Bordeau</t>
  </si>
  <si>
    <t>8.1-MtlNord-Est</t>
  </si>
  <si>
    <t>8.2-MtlNord-Est</t>
  </si>
  <si>
    <t>MTL_11_PS_Qtips</t>
  </si>
  <si>
    <t>MTL_11_PS_Filter</t>
  </si>
  <si>
    <t>MTL_11_grb3_Raw</t>
  </si>
  <si>
    <t>01-IntNord</t>
  </si>
  <si>
    <t>02-IntSud</t>
  </si>
  <si>
    <t>MTL_11_PS_Gauze</t>
  </si>
  <si>
    <t>Gauze</t>
  </si>
  <si>
    <t>MTL_05_cpTP24h_Raw</t>
  </si>
  <si>
    <t>MTL_05_grb3_Raw</t>
  </si>
  <si>
    <t>MTL_05_PS_Qtips</t>
  </si>
  <si>
    <t>MTL_05_PS_Filter</t>
  </si>
  <si>
    <t>MTL_05_PS_Gauze</t>
  </si>
  <si>
    <t>MTL_16_cpTP24h_Raw</t>
  </si>
  <si>
    <t>MTL_16_grb3_Raw</t>
  </si>
  <si>
    <t>MTL_16_PS_Qtips</t>
  </si>
  <si>
    <t>MTL_16_PS_Filter</t>
  </si>
  <si>
    <t>MTL_16_PS_Gauze</t>
  </si>
  <si>
    <t>MTL_12_cpTP24h_Raw</t>
  </si>
  <si>
    <t>MTL_12_grb3_Raw</t>
  </si>
  <si>
    <t>MTL_12_PS_Qtips</t>
  </si>
  <si>
    <t>MTL_12_PS_Filter</t>
  </si>
  <si>
    <t>MTL_12_PS_Gauze</t>
  </si>
  <si>
    <t>MTL_8.1_cpTP24h_Raw</t>
  </si>
  <si>
    <t>MTL_8.1_grb3_Raw</t>
  </si>
  <si>
    <t>MTL_8.1_PS_Qtips</t>
  </si>
  <si>
    <t>MTL_8.1_PS_Filter</t>
  </si>
  <si>
    <t>MTL_8.1_PS_Gauze</t>
  </si>
  <si>
    <t>MTL_8.2_cpTP24h_Raw</t>
  </si>
  <si>
    <t>MTL_8.2_grb3_Raw</t>
  </si>
  <si>
    <t>MTL_8.2_PS_Qtips</t>
  </si>
  <si>
    <t>MTL_8.2_PS_Filter</t>
  </si>
  <si>
    <t>MTL_8.2_PS_Gauze</t>
  </si>
  <si>
    <t>MTL_01_cpTP24h_Raw</t>
  </si>
  <si>
    <t>MTL_01_grb3_Raw</t>
  </si>
  <si>
    <t>MTL_01_PS_Qtips</t>
  </si>
  <si>
    <t>MTL_01_PS_Filter</t>
  </si>
  <si>
    <t>MTL_01_PS_Gauze</t>
  </si>
  <si>
    <t>MTL_02_cpTP24h_Raw</t>
  </si>
  <si>
    <t>MTL_02_grb3_Raw</t>
  </si>
  <si>
    <t>MTL_02_PS_Qtips</t>
  </si>
  <si>
    <t>MTL_02_PS_Filter</t>
  </si>
  <si>
    <t>MTL_02_PS_Gauze</t>
  </si>
  <si>
    <t>Yes</t>
  </si>
  <si>
    <t>No</t>
  </si>
  <si>
    <t>12-Anjou-ind</t>
  </si>
  <si>
    <t>Label_ID</t>
  </si>
  <si>
    <t>dateTimeStart (YYYY-MM-DD HH:MM - 24h)</t>
  </si>
  <si>
    <t>dateTimeEnd (YYYY-MM-DD HH:MM - 24h)</t>
  </si>
  <si>
    <t>SpikeBatch_ID</t>
  </si>
  <si>
    <t>SpB_1</t>
  </si>
  <si>
    <t>SpB_2</t>
  </si>
  <si>
    <t>Centrifuge_0.45um</t>
  </si>
  <si>
    <t>Centrifuge_alone</t>
  </si>
  <si>
    <t>0.45um_alone</t>
  </si>
  <si>
    <t>Mixed</t>
  </si>
  <si>
    <t>Solids</t>
  </si>
  <si>
    <t>Liquid</t>
  </si>
  <si>
    <t>5um_0.45um</t>
  </si>
  <si>
    <t>Sampler/Worker</t>
  </si>
  <si>
    <t>City_MTL</t>
  </si>
  <si>
    <t>Concentration</t>
  </si>
  <si>
    <t>PossibleProblem</t>
  </si>
  <si>
    <t>Extracter/Worker</t>
  </si>
  <si>
    <t>PCR/Worker</t>
  </si>
  <si>
    <t>assayMethod Extraction</t>
  </si>
  <si>
    <t>qualityFlag Extraction</t>
  </si>
  <si>
    <t>qualityFlag PCR</t>
  </si>
  <si>
    <r>
      <t xml:space="preserve"> </t>
    </r>
    <r>
      <rPr>
        <sz val="10"/>
        <color rgb="FFFF0000"/>
        <rFont val="Arial"/>
        <family val="2"/>
      </rPr>
      <t>(DoF: ADD REG DATA)</t>
    </r>
  </si>
  <si>
    <t>RNA Extraction</t>
  </si>
  <si>
    <t>PCR</t>
  </si>
  <si>
    <t>Concentrator/Worker</t>
  </si>
  <si>
    <t>Fraction Analyzed</t>
  </si>
  <si>
    <t>Concnetration Method</t>
  </si>
  <si>
    <t>Field Sample Temp</t>
  </si>
  <si>
    <t>Shipped On Ice</t>
  </si>
  <si>
    <t>Date of RNA extraction (YYYY-MM-DD)</t>
  </si>
  <si>
    <t>qualityFlag Concentration</t>
  </si>
  <si>
    <t>Notes Concentration</t>
  </si>
  <si>
    <t>Notes Extraction</t>
  </si>
  <si>
    <t>Date of PCR (YYYY-MM-DD)</t>
  </si>
  <si>
    <t>PCR Notes</t>
  </si>
  <si>
    <t>SpB_#</t>
  </si>
  <si>
    <t>Concentration Date (YYYY-MM-DD)</t>
  </si>
  <si>
    <t>Std Curve Slope</t>
  </si>
  <si>
    <t>Std Curve Intercept</t>
  </si>
  <si>
    <t>Qiagen Kit</t>
  </si>
  <si>
    <t>10% Beta Methanol</t>
  </si>
  <si>
    <t>List Worker Names</t>
  </si>
  <si>
    <t>Allie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</si>
</sst>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mm/dd/yy;@"/>
    <numFmt numFmtId="165" formatCode="dd/mm/yyyy;@"/>
    <numFmt numFmtId="166" formatCode="0.000"/>
    <numFmt numFmtId="167" formatCode="0.0"/>
    <numFmt numFmtId="168" formatCode="0.000E+00"/>
    <numFmt numFmtId="169" formatCode="0.0E+00"/>
    <numFmt numFmtId="170" formatCode="###0.00;\-###0.00"/>
    <numFmt numFmtId="171" formatCode="[$-F800]dddd\,\ mmmm\ dd\,\ yyyy"/>
    <numFmt numFmtId="172" formatCode="yyyy\-mm\-dd;@"/>
    <numFmt numFmtId="173" formatCode="yyyy\-mm\-dd\ hh:mm"/>
    <numFmt numFmtId="174" formatCode="#,##0.000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7"/>
      <color theme="1"/>
      <name val="Arial"/>
      <family val="2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rgb="FF000000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3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/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2" fontId="5" fillId="0" borderId="11" xfId="0" applyNumberFormat="1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1" fontId="1" fillId="0" borderId="11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0" xfId="0" applyFont="1" applyBorder="1"/>
    <xf numFmtId="164" fontId="1" fillId="0" borderId="10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1" fillId="0" borderId="0" xfId="0" applyFont="1" applyAlignment="1">
      <alignment horizontal="right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1" fillId="8" borderId="52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6" fillId="0" borderId="11" xfId="0" applyFont="1" applyFill="1" applyBorder="1" applyAlignment="1">
      <alignment wrapText="1"/>
    </xf>
    <xf numFmtId="0" fontId="6" fillId="0" borderId="10" xfId="0" applyFont="1" applyFill="1" applyBorder="1" applyAlignment="1">
      <alignment wrapText="1"/>
    </xf>
    <xf numFmtId="0" fontId="1" fillId="9" borderId="11" xfId="0" applyFont="1" applyFill="1" applyBorder="1" applyAlignment="1">
      <alignment horizontal="center" vertical="center"/>
    </xf>
    <xf numFmtId="0" fontId="1" fillId="9" borderId="11" xfId="0" applyFont="1" applyFill="1" applyBorder="1"/>
    <xf numFmtId="0" fontId="1" fillId="9" borderId="53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2" fontId="1" fillId="9" borderId="11" xfId="0" applyNumberFormat="1" applyFont="1" applyFill="1" applyBorder="1" applyAlignment="1">
      <alignment horizontal="center" vertical="center"/>
    </xf>
    <xf numFmtId="11" fontId="1" fillId="9" borderId="11" xfId="0" applyNumberFormat="1" applyFont="1" applyFill="1" applyBorder="1" applyAlignment="1">
      <alignment horizontal="center" vertical="center"/>
    </xf>
    <xf numFmtId="0" fontId="1" fillId="9" borderId="0" xfId="0" applyFont="1" applyFill="1"/>
    <xf numFmtId="165" fontId="1" fillId="9" borderId="11" xfId="0" applyNumberFormat="1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 wrapText="1"/>
    </xf>
    <xf numFmtId="2" fontId="1" fillId="9" borderId="11" xfId="0" applyNumberFormat="1" applyFont="1" applyFill="1" applyBorder="1" applyAlignment="1">
      <alignment horizontal="center" vertical="center" wrapText="1"/>
    </xf>
    <xf numFmtId="0" fontId="1" fillId="9" borderId="0" xfId="0" applyFont="1" applyFill="1" applyBorder="1"/>
    <xf numFmtId="0" fontId="1" fillId="10" borderId="11" xfId="0" applyFont="1" applyFill="1" applyBorder="1" applyAlignment="1">
      <alignment horizontal="center" vertical="center"/>
    </xf>
    <xf numFmtId="165" fontId="1" fillId="10" borderId="11" xfId="0" applyNumberFormat="1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 wrapText="1"/>
    </xf>
    <xf numFmtId="2" fontId="1" fillId="10" borderId="11" xfId="0" applyNumberFormat="1" applyFont="1" applyFill="1" applyBorder="1" applyAlignment="1">
      <alignment horizontal="center" vertical="center" wrapText="1"/>
    </xf>
    <xf numFmtId="2" fontId="1" fillId="10" borderId="11" xfId="0" applyNumberFormat="1" applyFont="1" applyFill="1" applyBorder="1" applyAlignment="1">
      <alignment horizontal="center" vertical="center"/>
    </xf>
    <xf numFmtId="11" fontId="1" fillId="10" borderId="11" xfId="0" applyNumberFormat="1" applyFont="1" applyFill="1" applyBorder="1" applyAlignment="1">
      <alignment horizontal="center" vertical="center"/>
    </xf>
    <xf numFmtId="0" fontId="1" fillId="10" borderId="0" xfId="0" applyFont="1" applyFill="1" applyBorder="1"/>
    <xf numFmtId="164" fontId="1" fillId="9" borderId="11" xfId="0" applyNumberFormat="1" applyFont="1" applyFill="1" applyBorder="1" applyAlignment="1">
      <alignment horizontal="center" vertical="center"/>
    </xf>
    <xf numFmtId="0" fontId="6" fillId="9" borderId="0" xfId="0" applyFont="1" applyFill="1" applyBorder="1" applyAlignment="1">
      <alignment wrapText="1"/>
    </xf>
    <xf numFmtId="14" fontId="1" fillId="9" borderId="10" xfId="0" applyNumberFormat="1" applyFont="1" applyFill="1" applyBorder="1" applyAlignment="1">
      <alignment horizontal="center" vertical="center"/>
    </xf>
    <xf numFmtId="14" fontId="1" fillId="9" borderId="11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wrapText="1"/>
    </xf>
    <xf numFmtId="0" fontId="1" fillId="9" borderId="14" xfId="0" applyFont="1" applyFill="1" applyBorder="1" applyAlignment="1">
      <alignment horizontal="center" vertical="center"/>
    </xf>
    <xf numFmtId="2" fontId="1" fillId="9" borderId="13" xfId="0" applyNumberFormat="1" applyFont="1" applyFill="1" applyBorder="1" applyAlignment="1">
      <alignment horizontal="center" vertical="center"/>
    </xf>
    <xf numFmtId="2" fontId="3" fillId="9" borderId="11" xfId="0" applyNumberFormat="1" applyFont="1" applyFill="1" applyBorder="1" applyAlignment="1">
      <alignment horizontal="center" vertical="center" wrapText="1"/>
    </xf>
    <xf numFmtId="2" fontId="2" fillId="9" borderId="11" xfId="0" applyNumberFormat="1" applyFont="1" applyFill="1" applyBorder="1" applyAlignment="1">
      <alignment horizontal="center" vertical="center"/>
    </xf>
    <xf numFmtId="2" fontId="5" fillId="0" borderId="55" xfId="0" applyNumberFormat="1" applyFont="1" applyBorder="1" applyAlignment="1">
      <alignment horizontal="center" vertical="center"/>
    </xf>
    <xf numFmtId="2" fontId="5" fillId="0" borderId="56" xfId="0" applyNumberFormat="1" applyFont="1" applyBorder="1" applyAlignment="1">
      <alignment horizontal="center" vertical="center"/>
    </xf>
    <xf numFmtId="0" fontId="1" fillId="9" borderId="11" xfId="0" applyNumberFormat="1" applyFont="1" applyFill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center" vertical="center"/>
    </xf>
    <xf numFmtId="0" fontId="1" fillId="11" borderId="0" xfId="0" applyFont="1" applyFill="1"/>
    <xf numFmtId="0" fontId="1" fillId="11" borderId="11" xfId="0" applyFont="1" applyFill="1" applyBorder="1" applyAlignment="1">
      <alignment horizontal="center" vertical="center"/>
    </xf>
    <xf numFmtId="0" fontId="1" fillId="11" borderId="11" xfId="0" applyFont="1" applyFill="1" applyBorder="1"/>
    <xf numFmtId="0" fontId="1" fillId="11" borderId="53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2" fontId="1" fillId="11" borderId="11" xfId="0" applyNumberFormat="1" applyFont="1" applyFill="1" applyBorder="1" applyAlignment="1">
      <alignment horizontal="center" vertical="center"/>
    </xf>
    <xf numFmtId="11" fontId="1" fillId="11" borderId="11" xfId="0" applyNumberFormat="1" applyFont="1" applyFill="1" applyBorder="1" applyAlignment="1">
      <alignment horizontal="center" vertical="center"/>
    </xf>
    <xf numFmtId="0" fontId="1" fillId="12" borderId="0" xfId="0" applyFont="1" applyFill="1" applyBorder="1"/>
    <xf numFmtId="0" fontId="1" fillId="12" borderId="10" xfId="0" applyFont="1" applyFill="1" applyBorder="1" applyAlignment="1">
      <alignment horizontal="center" vertical="center"/>
    </xf>
    <xf numFmtId="165" fontId="1" fillId="12" borderId="10" xfId="0" applyNumberFormat="1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2" fontId="1" fillId="12" borderId="10" xfId="0" applyNumberFormat="1" applyFont="1" applyFill="1" applyBorder="1" applyAlignment="1">
      <alignment horizontal="center" vertical="center"/>
    </xf>
    <xf numFmtId="11" fontId="1" fillId="12" borderId="10" xfId="0" applyNumberFormat="1" applyFont="1" applyFill="1" applyBorder="1" applyAlignment="1">
      <alignment horizontal="center" vertical="center"/>
    </xf>
    <xf numFmtId="2" fontId="1" fillId="12" borderId="11" xfId="0" applyNumberFormat="1" applyFont="1" applyFill="1" applyBorder="1" applyAlignment="1">
      <alignment horizontal="center" vertical="center"/>
    </xf>
    <xf numFmtId="11" fontId="1" fillId="12" borderId="11" xfId="0" applyNumberFormat="1" applyFont="1" applyFill="1" applyBorder="1" applyAlignment="1">
      <alignment horizontal="center" vertical="center"/>
    </xf>
    <xf numFmtId="165" fontId="1" fillId="12" borderId="11" xfId="0" applyNumberFormat="1" applyFont="1" applyFill="1" applyBorder="1" applyAlignment="1">
      <alignment horizontal="center" vertical="center"/>
    </xf>
    <xf numFmtId="2" fontId="3" fillId="12" borderId="11" xfId="0" applyNumberFormat="1" applyFont="1" applyFill="1" applyBorder="1" applyAlignment="1">
      <alignment horizontal="center" vertical="center" wrapText="1"/>
    </xf>
    <xf numFmtId="2" fontId="2" fillId="12" borderId="11" xfId="0" applyNumberFormat="1" applyFont="1" applyFill="1" applyBorder="1" applyAlignment="1">
      <alignment horizontal="center" vertical="center"/>
    </xf>
    <xf numFmtId="2" fontId="1" fillId="12" borderId="11" xfId="0" applyNumberFormat="1" applyFont="1" applyFill="1" applyBorder="1" applyAlignment="1">
      <alignment horizontal="center" vertical="center" wrapText="1"/>
    </xf>
    <xf numFmtId="0" fontId="1" fillId="12" borderId="11" xfId="0" applyNumberFormat="1" applyFont="1" applyFill="1" applyBorder="1" applyAlignment="1">
      <alignment horizontal="center" vertical="center"/>
    </xf>
    <xf numFmtId="0" fontId="1" fillId="10" borderId="11" xfId="0" applyNumberFormat="1" applyFont="1" applyFill="1" applyBorder="1" applyAlignment="1">
      <alignment horizontal="center" vertical="center"/>
    </xf>
    <xf numFmtId="0" fontId="1" fillId="13" borderId="0" xfId="0" applyFont="1" applyFill="1"/>
    <xf numFmtId="0" fontId="1" fillId="13" borderId="11" xfId="0" applyFont="1" applyFill="1" applyBorder="1" applyAlignment="1">
      <alignment horizontal="center" vertical="center"/>
    </xf>
    <xf numFmtId="164" fontId="1" fillId="13" borderId="11" xfId="0" applyNumberFormat="1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 wrapText="1"/>
    </xf>
    <xf numFmtId="165" fontId="1" fillId="13" borderId="11" xfId="0" applyNumberFormat="1" applyFont="1" applyFill="1" applyBorder="1" applyAlignment="1">
      <alignment horizontal="center" vertical="center"/>
    </xf>
    <xf numFmtId="2" fontId="1" fillId="13" borderId="11" xfId="0" applyNumberFormat="1" applyFont="1" applyFill="1" applyBorder="1" applyAlignment="1">
      <alignment horizontal="center" vertical="center"/>
    </xf>
    <xf numFmtId="11" fontId="1" fillId="13" borderId="11" xfId="0" applyNumberFormat="1" applyFont="1" applyFill="1" applyBorder="1" applyAlignment="1">
      <alignment horizontal="center" vertical="center"/>
    </xf>
    <xf numFmtId="0" fontId="1" fillId="13" borderId="11" xfId="0" applyFont="1" applyFill="1" applyBorder="1"/>
    <xf numFmtId="0" fontId="1" fillId="13" borderId="10" xfId="0" applyFont="1" applyFill="1" applyBorder="1"/>
    <xf numFmtId="0" fontId="1" fillId="13" borderId="10" xfId="0" applyFont="1" applyFill="1" applyBorder="1" applyAlignment="1">
      <alignment horizontal="center" vertical="center"/>
    </xf>
    <xf numFmtId="164" fontId="1" fillId="13" borderId="10" xfId="0" applyNumberFormat="1" applyFont="1" applyFill="1" applyBorder="1" applyAlignment="1">
      <alignment horizontal="center" vertical="center"/>
    </xf>
    <xf numFmtId="2" fontId="1" fillId="13" borderId="10" xfId="0" applyNumberFormat="1" applyFont="1" applyFill="1" applyBorder="1" applyAlignment="1">
      <alignment horizontal="center" vertical="center"/>
    </xf>
    <xf numFmtId="14" fontId="1" fillId="13" borderId="10" xfId="0" applyNumberFormat="1" applyFont="1" applyFill="1" applyBorder="1" applyAlignment="1">
      <alignment horizontal="center" vertical="center"/>
    </xf>
    <xf numFmtId="14" fontId="1" fillId="13" borderId="11" xfId="0" applyNumberFormat="1" applyFont="1" applyFill="1" applyBorder="1" applyAlignment="1">
      <alignment horizontal="center" vertical="center"/>
    </xf>
    <xf numFmtId="0" fontId="1" fillId="12" borderId="0" xfId="0" applyFont="1" applyFill="1"/>
    <xf numFmtId="14" fontId="1" fillId="12" borderId="10" xfId="0" applyNumberFormat="1" applyFont="1" applyFill="1" applyBorder="1" applyAlignment="1">
      <alignment horizontal="center" vertical="center"/>
    </xf>
    <xf numFmtId="14" fontId="1" fillId="12" borderId="11" xfId="0" applyNumberFormat="1" applyFont="1" applyFill="1" applyBorder="1" applyAlignment="1">
      <alignment horizontal="center" vertical="center"/>
    </xf>
    <xf numFmtId="0" fontId="6" fillId="13" borderId="10" xfId="0" applyFont="1" applyFill="1" applyBorder="1" applyAlignment="1">
      <alignment wrapText="1"/>
    </xf>
    <xf numFmtId="0" fontId="0" fillId="13" borderId="0" xfId="0" applyFill="1" applyAlignment="1">
      <alignment wrapText="1"/>
    </xf>
    <xf numFmtId="0" fontId="6" fillId="13" borderId="11" xfId="0" applyFont="1" applyFill="1" applyBorder="1" applyAlignment="1">
      <alignment wrapText="1"/>
    </xf>
    <xf numFmtId="0" fontId="6" fillId="13" borderId="0" xfId="0" applyFont="1" applyFill="1" applyBorder="1" applyAlignment="1">
      <alignment wrapText="1"/>
    </xf>
    <xf numFmtId="16" fontId="1" fillId="13" borderId="11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166" fontId="1" fillId="13" borderId="11" xfId="0" applyNumberFormat="1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53" xfId="0" applyFont="1" applyFill="1" applyBorder="1" applyAlignment="1">
      <alignment horizontal="center" vertical="center"/>
    </xf>
    <xf numFmtId="166" fontId="1" fillId="9" borderId="11" xfId="0" applyNumberFormat="1" applyFont="1" applyFill="1" applyBorder="1" applyAlignment="1">
      <alignment horizontal="center" vertical="center"/>
    </xf>
    <xf numFmtId="0" fontId="1" fillId="9" borderId="54" xfId="0" applyFont="1" applyFill="1" applyBorder="1"/>
    <xf numFmtId="0" fontId="1" fillId="12" borderId="13" xfId="0" applyFont="1" applyFill="1" applyBorder="1" applyAlignment="1">
      <alignment horizontal="center" vertical="center"/>
    </xf>
    <xf numFmtId="164" fontId="1" fillId="12" borderId="13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164" fontId="1" fillId="12" borderId="11" xfId="0" applyNumberFormat="1" applyFont="1" applyFill="1" applyBorder="1" applyAlignment="1">
      <alignment horizontal="center" vertical="center"/>
    </xf>
    <xf numFmtId="0" fontId="1" fillId="12" borderId="11" xfId="0" applyFont="1" applyFill="1" applyBorder="1"/>
    <xf numFmtId="0" fontId="6" fillId="12" borderId="0" xfId="0" applyFont="1" applyFill="1" applyBorder="1" applyAlignment="1">
      <alignment wrapText="1"/>
    </xf>
    <xf numFmtId="2" fontId="1" fillId="13" borderId="11" xfId="0" applyNumberFormat="1" applyFont="1" applyFill="1" applyBorder="1" applyAlignment="1">
      <alignment horizontal="center" vertical="center" wrapText="1"/>
    </xf>
    <xf numFmtId="1" fontId="7" fillId="13" borderId="0" xfId="0" applyNumberFormat="1" applyFont="1" applyFill="1" applyAlignment="1">
      <alignment horizontal="center" wrapText="1"/>
    </xf>
    <xf numFmtId="0" fontId="1" fillId="13" borderId="0" xfId="0" applyFont="1" applyFill="1" applyBorder="1"/>
    <xf numFmtId="2" fontId="2" fillId="14" borderId="11" xfId="0" applyNumberFormat="1" applyFont="1" applyFill="1" applyBorder="1" applyAlignment="1">
      <alignment horizontal="center" vertical="center"/>
    </xf>
    <xf numFmtId="0" fontId="0" fillId="0" borderId="1" xfId="0" applyBorder="1"/>
    <xf numFmtId="2" fontId="0" fillId="0" borderId="0" xfId="0" applyNumberFormat="1" applyAlignment="1">
      <alignment horizontal="center" vertical="center"/>
    </xf>
    <xf numFmtId="165" fontId="1" fillId="14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14" borderId="1" xfId="0" applyFont="1" applyFill="1" applyBorder="1"/>
    <xf numFmtId="0" fontId="1" fillId="0" borderId="1" xfId="0" applyFont="1" applyBorder="1"/>
    <xf numFmtId="14" fontId="0" fillId="0" borderId="1" xfId="0" applyNumberFormat="1" applyBorder="1"/>
    <xf numFmtId="169" fontId="0" fillId="0" borderId="1" xfId="0" applyNumberFormat="1" applyBorder="1" applyAlignment="1">
      <alignment horizontal="center" vertical="center"/>
    </xf>
    <xf numFmtId="1" fontId="1" fillId="14" borderId="1" xfId="0" applyNumberFormat="1" applyFont="1" applyFill="1" applyBorder="1" applyAlignment="1">
      <alignment horizontal="right" vertical="center"/>
    </xf>
    <xf numFmtId="11" fontId="0" fillId="0" borderId="1" xfId="0" applyNumberForma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70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2" fillId="0" borderId="11" xfId="0" applyFont="1" applyFill="1" applyBorder="1" applyAlignment="1">
      <alignment wrapText="1"/>
    </xf>
    <xf numFmtId="0" fontId="3" fillId="12" borderId="0" xfId="0" applyFont="1" applyFill="1" applyBorder="1" applyAlignment="1">
      <alignment wrapText="1"/>
    </xf>
    <xf numFmtId="0" fontId="6" fillId="9" borderId="0" xfId="0" applyFont="1" applyFill="1" applyAlignment="1">
      <alignment wrapText="1"/>
    </xf>
    <xf numFmtId="2" fontId="1" fillId="0" borderId="10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wrapText="1"/>
    </xf>
    <xf numFmtId="2" fontId="0" fillId="0" borderId="0" xfId="0" applyNumberFormat="1"/>
    <xf numFmtId="0" fontId="1" fillId="2" borderId="66" xfId="0" applyFont="1" applyFill="1" applyBorder="1" applyAlignment="1">
      <alignment vertical="center"/>
    </xf>
    <xf numFmtId="0" fontId="1" fillId="0" borderId="59" xfId="0" applyFont="1" applyBorder="1"/>
    <xf numFmtId="0" fontId="12" fillId="0" borderId="1" xfId="0" applyFont="1" applyFill="1" applyBorder="1"/>
    <xf numFmtId="0" fontId="1" fillId="6" borderId="58" xfId="0" applyFont="1" applyFill="1" applyBorder="1" applyAlignment="1">
      <alignment vertical="center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1" fillId="0" borderId="67" xfId="0" applyFont="1" applyFill="1" applyBorder="1"/>
    <xf numFmtId="0" fontId="0" fillId="0" borderId="0" xfId="0" applyAlignment="1">
      <alignment horizontal="center"/>
    </xf>
    <xf numFmtId="0" fontId="0" fillId="13" borderId="69" xfId="0" applyFill="1" applyBorder="1" applyAlignment="1">
      <alignment horizontal="center" vertical="center"/>
    </xf>
    <xf numFmtId="0" fontId="0" fillId="13" borderId="68" xfId="0" applyFill="1" applyBorder="1" applyAlignment="1">
      <alignment horizontal="center" vertical="center"/>
    </xf>
    <xf numFmtId="2" fontId="0" fillId="0" borderId="6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67" xfId="0" applyNumberFormat="1" applyBorder="1"/>
    <xf numFmtId="0" fontId="0" fillId="13" borderId="61" xfId="0" applyFill="1" applyBorder="1" applyAlignment="1">
      <alignment horizontal="center" vertical="center"/>
    </xf>
    <xf numFmtId="0" fontId="0" fillId="13" borderId="64" xfId="0" applyFill="1" applyBorder="1" applyAlignment="1">
      <alignment horizontal="center" vertical="center"/>
    </xf>
    <xf numFmtId="0" fontId="0" fillId="13" borderId="62" xfId="0" applyFill="1" applyBorder="1" applyAlignment="1">
      <alignment horizontal="center" vertical="center"/>
    </xf>
    <xf numFmtId="172" fontId="0" fillId="0" borderId="77" xfId="0" applyNumberFormat="1" applyBorder="1" applyAlignment="1">
      <alignment horizontal="center"/>
    </xf>
    <xf numFmtId="0" fontId="0" fillId="0" borderId="77" xfId="0" applyBorder="1"/>
    <xf numFmtId="2" fontId="0" fillId="0" borderId="65" xfId="0" applyNumberFormat="1" applyBorder="1" applyAlignment="1">
      <alignment horizontal="center" vertical="center"/>
    </xf>
    <xf numFmtId="2" fontId="0" fillId="0" borderId="65" xfId="0" applyNumberFormat="1" applyBorder="1"/>
    <xf numFmtId="0" fontId="8" fillId="13" borderId="76" xfId="0" applyFont="1" applyFill="1" applyBorder="1"/>
    <xf numFmtId="0" fontId="8" fillId="13" borderId="6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8" fillId="13" borderId="77" xfId="0" applyFont="1" applyFill="1" applyBorder="1"/>
    <xf numFmtId="0" fontId="8" fillId="13" borderId="0" xfId="0" applyFont="1" applyFill="1" applyBorder="1" applyAlignment="1">
      <alignment horizontal="center"/>
    </xf>
    <xf numFmtId="0" fontId="0" fillId="13" borderId="62" xfId="0" applyFill="1" applyBorder="1" applyAlignment="1">
      <alignment vertical="center"/>
    </xf>
    <xf numFmtId="0" fontId="0" fillId="13" borderId="80" xfId="0" applyFill="1" applyBorder="1" applyAlignment="1">
      <alignment horizontal="center" vertical="center"/>
    </xf>
    <xf numFmtId="0" fontId="0" fillId="13" borderId="64" xfId="0" applyFill="1" applyBorder="1" applyAlignment="1">
      <alignment vertical="center"/>
    </xf>
    <xf numFmtId="2" fontId="0" fillId="0" borderId="0" xfId="0" applyNumberFormat="1" applyBorder="1"/>
    <xf numFmtId="2" fontId="0" fillId="0" borderId="0" xfId="0" applyNumberFormat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8" fillId="13" borderId="79" xfId="0" applyFont="1" applyFill="1" applyBorder="1"/>
    <xf numFmtId="2" fontId="0" fillId="0" borderId="81" xfId="0" applyNumberFormat="1" applyBorder="1" applyAlignment="1">
      <alignment horizontal="center" vertical="center"/>
    </xf>
    <xf numFmtId="2" fontId="0" fillId="0" borderId="81" xfId="0" applyNumberFormat="1" applyBorder="1"/>
    <xf numFmtId="2" fontId="0" fillId="0" borderId="81" xfId="0" applyNumberFormat="1" applyBorder="1" applyAlignment="1">
      <alignment horizontal="center"/>
    </xf>
    <xf numFmtId="0" fontId="0" fillId="0" borderId="81" xfId="0" applyBorder="1"/>
    <xf numFmtId="4" fontId="0" fillId="0" borderId="8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8" fillId="13" borderId="81" xfId="0" applyFont="1" applyFill="1" applyBorder="1" applyAlignment="1">
      <alignment horizontal="center"/>
    </xf>
    <xf numFmtId="0" fontId="0" fillId="0" borderId="81" xfId="0" applyBorder="1" applyAlignment="1">
      <alignment horizontal="center" vertical="center"/>
    </xf>
    <xf numFmtId="0" fontId="0" fillId="0" borderId="81" xfId="0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left" vertical="center"/>
    </xf>
    <xf numFmtId="165" fontId="2" fillId="0" borderId="10" xfId="0" applyNumberFormat="1" applyFont="1" applyFill="1" applyBorder="1" applyAlignment="1">
      <alignment horizontal="left" vertical="center"/>
    </xf>
    <xf numFmtId="165" fontId="2" fillId="0" borderId="1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5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58" xfId="0" applyFont="1" applyBorder="1"/>
    <xf numFmtId="0" fontId="1" fillId="0" borderId="61" xfId="0" applyFont="1" applyBorder="1"/>
    <xf numFmtId="0" fontId="1" fillId="0" borderId="58" xfId="0" applyFont="1" applyBorder="1" applyAlignme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/>
    <xf numFmtId="0" fontId="1" fillId="15" borderId="1" xfId="0" applyFont="1" applyFill="1" applyBorder="1" applyAlignment="1">
      <alignment horizontal="center" vertical="center"/>
    </xf>
    <xf numFmtId="0" fontId="1" fillId="0" borderId="67" xfId="0" applyFont="1" applyBorder="1"/>
    <xf numFmtId="0" fontId="1" fillId="0" borderId="67" xfId="0" applyFont="1" applyBorder="1" applyAlignment="1">
      <alignment horizontal="center" vertical="center" wrapText="1"/>
    </xf>
    <xf numFmtId="172" fontId="12" fillId="0" borderId="1" xfId="0" applyNumberFormat="1" applyFont="1" applyBorder="1" applyAlignment="1">
      <alignment horizontal="center" vertical="center"/>
    </xf>
    <xf numFmtId="22" fontId="1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65" fontId="12" fillId="0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11" fontId="12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right" vertical="center"/>
    </xf>
    <xf numFmtId="1" fontId="12" fillId="0" borderId="1" xfId="0" applyNumberFormat="1" applyFont="1" applyFill="1" applyBorder="1" applyAlignment="1">
      <alignment horizontal="right" vertical="center"/>
    </xf>
    <xf numFmtId="2" fontId="12" fillId="0" borderId="1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right" vertical="center"/>
    </xf>
    <xf numFmtId="0" fontId="1" fillId="14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vertical="center" wrapText="1"/>
    </xf>
    <xf numFmtId="0" fontId="1" fillId="0" borderId="59" xfId="0" applyFont="1" applyBorder="1" applyAlignment="1">
      <alignment vertical="center"/>
    </xf>
    <xf numFmtId="2" fontId="2" fillId="0" borderId="1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72" fontId="2" fillId="0" borderId="11" xfId="0" applyNumberFormat="1" applyFont="1" applyBorder="1" applyAlignment="1">
      <alignment horizontal="center" vertical="center"/>
    </xf>
    <xf numFmtId="172" fontId="2" fillId="16" borderId="11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172" fontId="1" fillId="0" borderId="0" xfId="0" applyNumberFormat="1" applyFont="1" applyAlignment="1">
      <alignment horizontal="center" vertical="center"/>
    </xf>
    <xf numFmtId="172" fontId="2" fillId="0" borderId="11" xfId="0" applyNumberFormat="1" applyFont="1" applyFill="1" applyBorder="1" applyAlignment="1">
      <alignment horizontal="center" vertical="center"/>
    </xf>
    <xf numFmtId="172" fontId="2" fillId="14" borderId="11" xfId="0" applyNumberFormat="1" applyFont="1" applyFill="1" applyBorder="1" applyAlignment="1">
      <alignment horizontal="center" vertical="center"/>
    </xf>
    <xf numFmtId="172" fontId="2" fillId="14" borderId="13" xfId="0" applyNumberFormat="1" applyFont="1" applyFill="1" applyBorder="1" applyAlignment="1">
      <alignment horizontal="center" vertical="center"/>
    </xf>
    <xf numFmtId="172" fontId="2" fillId="16" borderId="63" xfId="0" applyNumberFormat="1" applyFont="1" applyFill="1" applyBorder="1" applyAlignment="1">
      <alignment vertical="center"/>
    </xf>
    <xf numFmtId="172" fontId="2" fillId="14" borderId="1" xfId="0" applyNumberFormat="1" applyFont="1" applyFill="1" applyBorder="1" applyAlignment="1">
      <alignment horizontal="center" vertical="center"/>
    </xf>
    <xf numFmtId="172" fontId="2" fillId="14" borderId="10" xfId="0" applyNumberFormat="1" applyFont="1" applyFill="1" applyBorder="1" applyAlignment="1">
      <alignment horizontal="center" vertical="center"/>
    </xf>
    <xf numFmtId="172" fontId="2" fillId="16" borderId="10" xfId="0" applyNumberFormat="1" applyFont="1" applyFill="1" applyBorder="1" applyAlignment="1">
      <alignment horizontal="center" vertical="center"/>
    </xf>
    <xf numFmtId="172" fontId="2" fillId="0" borderId="0" xfId="0" applyNumberFormat="1" applyFont="1" applyAlignment="1">
      <alignment horizontal="center" vertical="center"/>
    </xf>
    <xf numFmtId="0" fontId="2" fillId="0" borderId="10" xfId="0" applyFont="1" applyFill="1" applyBorder="1" applyAlignment="1">
      <alignment horizontal="left" vertical="center"/>
    </xf>
    <xf numFmtId="1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right" vertical="center"/>
    </xf>
    <xf numFmtId="2" fontId="2" fillId="0" borderId="52" xfId="0" applyNumberFormat="1" applyFont="1" applyFill="1" applyBorder="1" applyAlignment="1">
      <alignment horizontal="right" vertical="center"/>
    </xf>
    <xf numFmtId="0" fontId="2" fillId="0" borderId="5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59" xfId="0" applyFont="1" applyFill="1" applyBorder="1" applyAlignment="1">
      <alignment vertical="center"/>
    </xf>
    <xf numFmtId="0" fontId="2" fillId="0" borderId="11" xfId="0" applyFont="1" applyFill="1" applyBorder="1" applyAlignment="1">
      <alignment horizontal="center" vertical="center"/>
    </xf>
    <xf numFmtId="2" fontId="2" fillId="0" borderId="11" xfId="0" applyNumberFormat="1" applyFont="1" applyFill="1" applyBorder="1" applyAlignment="1">
      <alignment horizontal="center" vertical="center" wrapText="1"/>
    </xf>
    <xf numFmtId="2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/>
    </xf>
    <xf numFmtId="165" fontId="2" fillId="0" borderId="11" xfId="0" applyNumberFormat="1" applyFont="1" applyBorder="1" applyAlignment="1">
      <alignment horizontal="left" vertical="center"/>
    </xf>
    <xf numFmtId="165" fontId="2" fillId="16" borderId="11" xfId="0" applyNumberFormat="1" applyFont="1" applyFill="1" applyBorder="1" applyAlignment="1">
      <alignment horizontal="center" vertical="center"/>
    </xf>
    <xf numFmtId="165" fontId="2" fillId="16" borderId="11" xfId="0" applyNumberFormat="1" applyFont="1" applyFill="1" applyBorder="1" applyAlignment="1">
      <alignment horizontal="left" vertical="center"/>
    </xf>
    <xf numFmtId="0" fontId="2" fillId="16" borderId="10" xfId="0" applyFont="1" applyFill="1" applyBorder="1" applyAlignment="1">
      <alignment horizontal="left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2" fontId="2" fillId="16" borderId="11" xfId="0" applyNumberFormat="1" applyFont="1" applyFill="1" applyBorder="1" applyAlignment="1">
      <alignment horizontal="center" vertical="center" wrapText="1"/>
    </xf>
    <xf numFmtId="1" fontId="2" fillId="16" borderId="10" xfId="0" applyNumberFormat="1" applyFont="1" applyFill="1" applyBorder="1" applyAlignment="1">
      <alignment horizontal="center" vertical="center"/>
    </xf>
    <xf numFmtId="2" fontId="2" fillId="16" borderId="11" xfId="0" applyNumberFormat="1" applyFont="1" applyFill="1" applyBorder="1" applyAlignment="1">
      <alignment horizontal="center" vertical="center"/>
    </xf>
    <xf numFmtId="2" fontId="2" fillId="16" borderId="10" xfId="0" applyNumberFormat="1" applyFont="1" applyFill="1" applyBorder="1" applyAlignment="1">
      <alignment horizontal="center" vertical="center"/>
    </xf>
    <xf numFmtId="11" fontId="2" fillId="16" borderId="10" xfId="0" applyNumberFormat="1" applyFont="1" applyFill="1" applyBorder="1" applyAlignment="1">
      <alignment horizontal="center" vertical="center"/>
    </xf>
    <xf numFmtId="2" fontId="2" fillId="16" borderId="10" xfId="0" applyNumberFormat="1" applyFont="1" applyFill="1" applyBorder="1" applyAlignment="1">
      <alignment horizontal="right" vertical="center"/>
    </xf>
    <xf numFmtId="1" fontId="2" fillId="16" borderId="10" xfId="0" applyNumberFormat="1" applyFont="1" applyFill="1" applyBorder="1" applyAlignment="1">
      <alignment horizontal="right" vertical="center"/>
    </xf>
    <xf numFmtId="2" fontId="2" fillId="16" borderId="52" xfId="0" applyNumberFormat="1" applyFont="1" applyFill="1" applyBorder="1" applyAlignment="1">
      <alignment horizontal="right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59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2" fillId="16" borderId="11" xfId="0" applyNumberFormat="1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left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2" fontId="2" fillId="14" borderId="11" xfId="0" applyNumberFormat="1" applyFont="1" applyFill="1" applyBorder="1" applyAlignment="1">
      <alignment horizontal="center" vertical="center" wrapText="1"/>
    </xf>
    <xf numFmtId="165" fontId="2" fillId="14" borderId="11" xfId="0" applyNumberFormat="1" applyFont="1" applyFill="1" applyBorder="1" applyAlignment="1">
      <alignment horizontal="center" vertical="center"/>
    </xf>
    <xf numFmtId="1" fontId="2" fillId="14" borderId="10" xfId="0" applyNumberFormat="1" applyFont="1" applyFill="1" applyBorder="1" applyAlignment="1">
      <alignment horizontal="center" vertical="center"/>
    </xf>
    <xf numFmtId="2" fontId="2" fillId="14" borderId="10" xfId="0" applyNumberFormat="1" applyFont="1" applyFill="1" applyBorder="1" applyAlignment="1">
      <alignment horizontal="center" vertical="center"/>
    </xf>
    <xf numFmtId="11" fontId="2" fillId="14" borderId="10" xfId="0" applyNumberFormat="1" applyFont="1" applyFill="1" applyBorder="1" applyAlignment="1">
      <alignment horizontal="center" vertical="center"/>
    </xf>
    <xf numFmtId="167" fontId="2" fillId="14" borderId="11" xfId="0" applyNumberFormat="1" applyFont="1" applyFill="1" applyBorder="1" applyAlignment="1">
      <alignment horizontal="center" vertical="center"/>
    </xf>
    <xf numFmtId="2" fontId="2" fillId="14" borderId="10" xfId="0" applyNumberFormat="1" applyFont="1" applyFill="1" applyBorder="1" applyAlignment="1">
      <alignment horizontal="right" vertical="center"/>
    </xf>
    <xf numFmtId="1" fontId="2" fillId="14" borderId="10" xfId="0" applyNumberFormat="1" applyFont="1" applyFill="1" applyBorder="1" applyAlignment="1">
      <alignment horizontal="right" vertical="center"/>
    </xf>
    <xf numFmtId="2" fontId="2" fillId="14" borderId="52" xfId="0" applyNumberFormat="1" applyFont="1" applyFill="1" applyBorder="1" applyAlignment="1">
      <alignment horizontal="right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59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165" fontId="2" fillId="14" borderId="11" xfId="0" applyNumberFormat="1" applyFont="1" applyFill="1" applyBorder="1" applyAlignment="1">
      <alignment horizontal="left" vertical="center"/>
    </xf>
    <xf numFmtId="168" fontId="2" fillId="14" borderId="10" xfId="0" applyNumberFormat="1" applyFont="1" applyFill="1" applyBorder="1" applyAlignment="1">
      <alignment horizontal="center" vertical="center"/>
    </xf>
    <xf numFmtId="171" fontId="2" fillId="14" borderId="11" xfId="0" applyNumberFormat="1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2" fontId="2" fillId="16" borderId="13" xfId="0" applyNumberFormat="1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65" fontId="2" fillId="14" borderId="13" xfId="0" applyNumberFormat="1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2" fontId="2" fillId="14" borderId="70" xfId="0" applyNumberFormat="1" applyFont="1" applyFill="1" applyBorder="1" applyAlignment="1">
      <alignment horizontal="right" vertical="center"/>
    </xf>
    <xf numFmtId="0" fontId="2" fillId="14" borderId="14" xfId="0" applyFont="1" applyFill="1" applyBorder="1" applyAlignment="1">
      <alignment horizontal="center" vertical="center"/>
    </xf>
    <xf numFmtId="165" fontId="2" fillId="16" borderId="63" xfId="0" applyNumberFormat="1" applyFont="1" applyFill="1" applyBorder="1" applyAlignment="1">
      <alignment horizontal="left" vertical="center"/>
    </xf>
    <xf numFmtId="0" fontId="2" fillId="16" borderId="63" xfId="0" applyFont="1" applyFill="1" applyBorder="1" applyAlignment="1">
      <alignment horizontal="left" vertical="center"/>
    </xf>
    <xf numFmtId="0" fontId="2" fillId="16" borderId="63" xfId="0" applyFont="1" applyFill="1" applyBorder="1" applyAlignment="1">
      <alignment vertical="center"/>
    </xf>
    <xf numFmtId="2" fontId="2" fillId="16" borderId="63" xfId="0" applyNumberFormat="1" applyFont="1" applyFill="1" applyBorder="1" applyAlignment="1">
      <alignment horizontal="right" vertical="center"/>
    </xf>
    <xf numFmtId="1" fontId="2" fillId="16" borderId="63" xfId="0" applyNumberFormat="1" applyFont="1" applyFill="1" applyBorder="1" applyAlignment="1">
      <alignment horizontal="right" vertical="center"/>
    </xf>
    <xf numFmtId="2" fontId="2" fillId="16" borderId="54" xfId="0" applyNumberFormat="1" applyFont="1" applyFill="1" applyBorder="1" applyAlignment="1">
      <alignment horizontal="right" vertical="center"/>
    </xf>
    <xf numFmtId="0" fontId="2" fillId="14" borderId="1" xfId="0" applyFont="1" applyFill="1" applyBorder="1" applyAlignment="1">
      <alignment horizontal="left" vertical="center"/>
    </xf>
    <xf numFmtId="2" fontId="2" fillId="14" borderId="1" xfId="0" applyNumberFormat="1" applyFont="1" applyFill="1" applyBorder="1" applyAlignment="1">
      <alignment horizontal="center" vertical="center"/>
    </xf>
    <xf numFmtId="2" fontId="2" fillId="14" borderId="0" xfId="0" applyNumberFormat="1" applyFont="1" applyFill="1" applyBorder="1" applyAlignment="1">
      <alignment horizontal="right" vertical="center"/>
    </xf>
    <xf numFmtId="0" fontId="2" fillId="14" borderId="59" xfId="0" applyFont="1" applyFill="1" applyBorder="1" applyAlignment="1">
      <alignment horizontal="center" vertical="center"/>
    </xf>
    <xf numFmtId="0" fontId="2" fillId="14" borderId="52" xfId="0" applyFont="1" applyFill="1" applyBorder="1" applyAlignment="1">
      <alignment horizontal="center" vertical="center"/>
    </xf>
    <xf numFmtId="2" fontId="2" fillId="16" borderId="11" xfId="0" applyNumberFormat="1" applyFont="1" applyFill="1" applyBorder="1" applyAlignment="1">
      <alignment horizontal="right" vertical="center"/>
    </xf>
    <xf numFmtId="1" fontId="2" fillId="16" borderId="11" xfId="0" applyNumberFormat="1" applyFont="1" applyFill="1" applyBorder="1" applyAlignment="1">
      <alignment horizontal="right" vertical="center"/>
    </xf>
    <xf numFmtId="2" fontId="2" fillId="16" borderId="0" xfId="0" applyNumberFormat="1" applyFont="1" applyFill="1" applyBorder="1" applyAlignment="1">
      <alignment horizontal="right" vertical="center"/>
    </xf>
    <xf numFmtId="0" fontId="16" fillId="16" borderId="0" xfId="0" applyFont="1" applyFill="1" applyBorder="1" applyAlignment="1">
      <alignment vertical="center" wrapText="1"/>
    </xf>
    <xf numFmtId="165" fontId="2" fillId="14" borderId="10" xfId="0" applyNumberFormat="1" applyFont="1" applyFill="1" applyBorder="1" applyAlignment="1">
      <alignment horizontal="left" vertical="center"/>
    </xf>
    <xf numFmtId="0" fontId="2" fillId="14" borderId="11" xfId="0" applyFont="1" applyFill="1" applyBorder="1" applyAlignment="1">
      <alignment horizontal="left" vertical="center"/>
    </xf>
    <xf numFmtId="11" fontId="2" fillId="14" borderId="11" xfId="0" applyNumberFormat="1" applyFont="1" applyFill="1" applyBorder="1" applyAlignment="1">
      <alignment horizontal="center" vertical="center"/>
    </xf>
    <xf numFmtId="166" fontId="2" fillId="14" borderId="11" xfId="0" applyNumberFormat="1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right" vertical="center"/>
    </xf>
    <xf numFmtId="11" fontId="2" fillId="14" borderId="11" xfId="0" applyNumberFormat="1" applyFont="1" applyFill="1" applyBorder="1" applyAlignment="1">
      <alignment horizontal="right" vertical="center"/>
    </xf>
    <xf numFmtId="11" fontId="2" fillId="14" borderId="11" xfId="0" applyNumberFormat="1" applyFont="1" applyFill="1" applyBorder="1" applyAlignment="1">
      <alignment vertical="center"/>
    </xf>
    <xf numFmtId="11" fontId="2" fillId="14" borderId="12" xfId="0" applyNumberFormat="1" applyFont="1" applyFill="1" applyBorder="1" applyAlignment="1">
      <alignment vertical="center"/>
    </xf>
    <xf numFmtId="0" fontId="16" fillId="14" borderId="12" xfId="0" applyFont="1" applyFill="1" applyBorder="1" applyAlignment="1">
      <alignment vertical="center" wrapText="1"/>
    </xf>
    <xf numFmtId="0" fontId="2" fillId="14" borderId="0" xfId="0" applyFont="1" applyFill="1" applyBorder="1" applyAlignment="1">
      <alignment horizontal="left" vertical="center"/>
    </xf>
    <xf numFmtId="0" fontId="2" fillId="14" borderId="11" xfId="0" applyFont="1" applyFill="1" applyBorder="1" applyAlignment="1">
      <alignment vertical="center"/>
    </xf>
    <xf numFmtId="0" fontId="2" fillId="14" borderId="52" xfId="0" applyFont="1" applyFill="1" applyBorder="1" applyAlignment="1">
      <alignment vertical="center"/>
    </xf>
    <xf numFmtId="0" fontId="16" fillId="14" borderId="52" xfId="0" applyFont="1" applyFill="1" applyBorder="1" applyAlignment="1">
      <alignment vertical="center" wrapText="1"/>
    </xf>
    <xf numFmtId="165" fontId="2" fillId="14" borderId="12" xfId="0" applyNumberFormat="1" applyFont="1" applyFill="1" applyBorder="1" applyAlignment="1">
      <alignment horizontal="left" vertical="center"/>
    </xf>
    <xf numFmtId="11" fontId="2" fillId="14" borderId="52" xfId="0" applyNumberFormat="1" applyFont="1" applyFill="1" applyBorder="1" applyAlignment="1">
      <alignment vertical="center"/>
    </xf>
    <xf numFmtId="166" fontId="2" fillId="14" borderId="1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14" borderId="54" xfId="0" applyFont="1" applyFill="1" applyBorder="1" applyAlignment="1">
      <alignment vertical="center"/>
    </xf>
    <xf numFmtId="0" fontId="2" fillId="14" borderId="0" xfId="0" applyFont="1" applyFill="1" applyAlignment="1">
      <alignment vertical="center"/>
    </xf>
    <xf numFmtId="0" fontId="2" fillId="14" borderId="12" xfId="0" applyFont="1" applyFill="1" applyBorder="1" applyAlignment="1">
      <alignment vertical="center"/>
    </xf>
    <xf numFmtId="172" fontId="2" fillId="14" borderId="12" xfId="0" applyNumberFormat="1" applyFont="1" applyFill="1" applyBorder="1" applyAlignment="1">
      <alignment horizontal="center" vertical="center"/>
    </xf>
    <xf numFmtId="173" fontId="2" fillId="0" borderId="10" xfId="0" applyNumberFormat="1" applyFont="1" applyFill="1" applyBorder="1" applyAlignment="1">
      <alignment horizontal="center" vertical="center"/>
    </xf>
    <xf numFmtId="173" fontId="2" fillId="0" borderId="11" xfId="0" applyNumberFormat="1" applyFont="1" applyBorder="1" applyAlignment="1">
      <alignment horizontal="center" vertical="center"/>
    </xf>
    <xf numFmtId="173" fontId="2" fillId="0" borderId="11" xfId="0" applyNumberFormat="1" applyFont="1" applyFill="1" applyBorder="1" applyAlignment="1">
      <alignment horizontal="center" vertical="center"/>
    </xf>
    <xf numFmtId="173" fontId="2" fillId="16" borderId="11" xfId="0" applyNumberFormat="1" applyFont="1" applyFill="1" applyBorder="1" applyAlignment="1">
      <alignment horizontal="center" vertical="center"/>
    </xf>
    <xf numFmtId="173" fontId="2" fillId="14" borderId="10" xfId="0" applyNumberFormat="1" applyFont="1" applyFill="1" applyBorder="1" applyAlignment="1">
      <alignment horizontal="center" vertical="center"/>
    </xf>
    <xf numFmtId="173" fontId="2" fillId="14" borderId="11" xfId="0" applyNumberFormat="1" applyFont="1" applyFill="1" applyBorder="1" applyAlignment="1">
      <alignment horizontal="center" vertical="center"/>
    </xf>
    <xf numFmtId="173" fontId="2" fillId="14" borderId="71" xfId="0" applyNumberFormat="1" applyFont="1" applyFill="1" applyBorder="1" applyAlignment="1">
      <alignment horizontal="center" vertical="center"/>
    </xf>
    <xf numFmtId="173" fontId="2" fillId="16" borderId="63" xfId="0" applyNumberFormat="1" applyFont="1" applyFill="1" applyBorder="1" applyAlignment="1">
      <alignment vertical="center"/>
    </xf>
    <xf numFmtId="173" fontId="2" fillId="14" borderId="74" xfId="0" applyNumberFormat="1" applyFont="1" applyFill="1" applyBorder="1" applyAlignment="1">
      <alignment horizontal="center" vertical="center"/>
    </xf>
    <xf numFmtId="173" fontId="2" fillId="14" borderId="1" xfId="0" applyNumberFormat="1" applyFont="1" applyFill="1" applyBorder="1" applyAlignment="1">
      <alignment horizontal="center" vertical="center"/>
    </xf>
    <xf numFmtId="173" fontId="2" fillId="14" borderId="75" xfId="0" applyNumberFormat="1" applyFont="1" applyFill="1" applyBorder="1" applyAlignment="1">
      <alignment horizontal="center" vertical="center"/>
    </xf>
    <xf numFmtId="173" fontId="2" fillId="14" borderId="12" xfId="0" applyNumberFormat="1" applyFont="1" applyFill="1" applyBorder="1" applyAlignment="1">
      <alignment horizontal="center" vertical="center"/>
    </xf>
    <xf numFmtId="173" fontId="1" fillId="0" borderId="0" xfId="0" applyNumberFormat="1" applyFont="1" applyAlignment="1">
      <alignment horizontal="center" vertical="center"/>
    </xf>
    <xf numFmtId="0" fontId="2" fillId="0" borderId="11" xfId="0" applyFont="1" applyFill="1" applyBorder="1" applyAlignment="1">
      <alignment vertical="center"/>
    </xf>
    <xf numFmtId="173" fontId="2" fillId="16" borderId="13" xfId="0" applyNumberFormat="1" applyFont="1" applyFill="1" applyBorder="1" applyAlignment="1">
      <alignment horizontal="center" vertical="center"/>
    </xf>
    <xf numFmtId="165" fontId="2" fillId="16" borderId="13" xfId="0" applyNumberFormat="1" applyFont="1" applyFill="1" applyBorder="1" applyAlignment="1">
      <alignment horizontal="left" vertical="center"/>
    </xf>
    <xf numFmtId="0" fontId="2" fillId="16" borderId="71" xfId="0" applyFont="1" applyFill="1" applyBorder="1" applyAlignment="1">
      <alignment horizontal="left" vertical="center"/>
    </xf>
    <xf numFmtId="0" fontId="2" fillId="16" borderId="71" xfId="0" applyFont="1" applyFill="1" applyBorder="1" applyAlignment="1">
      <alignment horizontal="center" vertical="center"/>
    </xf>
    <xf numFmtId="172" fontId="2" fillId="16" borderId="13" xfId="0" applyNumberFormat="1" applyFont="1" applyFill="1" applyBorder="1" applyAlignment="1">
      <alignment horizontal="center" vertical="center"/>
    </xf>
    <xf numFmtId="2" fontId="2" fillId="16" borderId="13" xfId="0" applyNumberFormat="1" applyFont="1" applyFill="1" applyBorder="1" applyAlignment="1">
      <alignment horizontal="center" vertical="center" wrapText="1"/>
    </xf>
    <xf numFmtId="1" fontId="2" fillId="16" borderId="71" xfId="0" applyNumberFormat="1" applyFont="1" applyFill="1" applyBorder="1" applyAlignment="1">
      <alignment horizontal="center" vertical="center"/>
    </xf>
    <xf numFmtId="2" fontId="2" fillId="16" borderId="71" xfId="0" applyNumberFormat="1" applyFont="1" applyFill="1" applyBorder="1" applyAlignment="1">
      <alignment horizontal="center" vertical="center"/>
    </xf>
    <xf numFmtId="11" fontId="2" fillId="16" borderId="71" xfId="0" applyNumberFormat="1" applyFont="1" applyFill="1" applyBorder="1" applyAlignment="1">
      <alignment horizontal="center" vertical="center"/>
    </xf>
    <xf numFmtId="2" fontId="2" fillId="16" borderId="71" xfId="0" applyNumberFormat="1" applyFont="1" applyFill="1" applyBorder="1" applyAlignment="1">
      <alignment horizontal="right" vertical="center"/>
    </xf>
    <xf numFmtId="1" fontId="2" fillId="16" borderId="71" xfId="0" applyNumberFormat="1" applyFont="1" applyFill="1" applyBorder="1" applyAlignment="1">
      <alignment horizontal="right" vertical="center"/>
    </xf>
    <xf numFmtId="2" fontId="2" fillId="16" borderId="70" xfId="0" applyNumberFormat="1" applyFont="1" applyFill="1" applyBorder="1" applyAlignment="1">
      <alignment horizontal="right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66" xfId="0" applyFont="1" applyFill="1" applyBorder="1" applyAlignment="1">
      <alignment vertical="center"/>
    </xf>
    <xf numFmtId="0" fontId="2" fillId="16" borderId="2" xfId="0" applyFont="1" applyFill="1" applyBorder="1" applyAlignment="1">
      <alignment vertical="center"/>
    </xf>
    <xf numFmtId="167" fontId="2" fillId="16" borderId="13" xfId="0" applyNumberFormat="1" applyFont="1" applyFill="1" applyBorder="1" applyAlignment="1">
      <alignment horizontal="center" vertical="center"/>
    </xf>
    <xf numFmtId="2" fontId="2" fillId="14" borderId="10" xfId="0" applyNumberFormat="1" applyFont="1" applyFill="1" applyBorder="1" applyAlignment="1">
      <alignment horizontal="center" vertical="center" wrapText="1"/>
    </xf>
    <xf numFmtId="167" fontId="2" fillId="14" borderId="10" xfId="0" applyNumberFormat="1" applyFont="1" applyFill="1" applyBorder="1" applyAlignment="1">
      <alignment horizontal="center" vertical="center"/>
    </xf>
    <xf numFmtId="0" fontId="2" fillId="14" borderId="61" xfId="0" applyFont="1" applyFill="1" applyBorder="1" applyAlignment="1">
      <alignment vertical="center"/>
    </xf>
    <xf numFmtId="0" fontId="2" fillId="14" borderId="58" xfId="0" applyFont="1" applyFill="1" applyBorder="1" applyAlignment="1">
      <alignment vertical="center"/>
    </xf>
    <xf numFmtId="1" fontId="2" fillId="14" borderId="11" xfId="0" applyNumberFormat="1" applyFont="1" applyFill="1" applyBorder="1" applyAlignment="1">
      <alignment horizontal="center" vertical="center"/>
    </xf>
    <xf numFmtId="2" fontId="5" fillId="14" borderId="11" xfId="0" applyNumberFormat="1" applyFont="1" applyFill="1" applyBorder="1" applyAlignment="1">
      <alignment horizontal="center" vertical="center"/>
    </xf>
    <xf numFmtId="2" fontId="2" fillId="14" borderId="11" xfId="0" applyNumberFormat="1" applyFont="1" applyFill="1" applyBorder="1" applyAlignment="1">
      <alignment horizontal="right" vertical="center"/>
    </xf>
    <xf numFmtId="1" fontId="2" fillId="14" borderId="11" xfId="0" applyNumberFormat="1" applyFont="1" applyFill="1" applyBorder="1" applyAlignment="1">
      <alignment horizontal="right" vertical="center"/>
    </xf>
    <xf numFmtId="1" fontId="5" fillId="14" borderId="11" xfId="0" applyNumberFormat="1" applyFont="1" applyFill="1" applyBorder="1" applyAlignment="1">
      <alignment horizontal="center" vertical="center" wrapText="1"/>
    </xf>
    <xf numFmtId="173" fontId="2" fillId="14" borderId="13" xfId="0" applyNumberFormat="1" applyFont="1" applyFill="1" applyBorder="1" applyAlignment="1">
      <alignment horizontal="center" vertical="center"/>
    </xf>
    <xf numFmtId="165" fontId="2" fillId="14" borderId="13" xfId="0" applyNumberFormat="1" applyFont="1" applyFill="1" applyBorder="1" applyAlignment="1">
      <alignment horizontal="left" vertical="center"/>
    </xf>
    <xf numFmtId="0" fontId="2" fillId="14" borderId="13" xfId="0" applyFont="1" applyFill="1" applyBorder="1" applyAlignment="1">
      <alignment horizontal="left" vertical="center"/>
    </xf>
    <xf numFmtId="172" fontId="2" fillId="14" borderId="14" xfId="0" applyNumberFormat="1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right" vertical="center"/>
    </xf>
    <xf numFmtId="0" fontId="2" fillId="14" borderId="13" xfId="0" applyFont="1" applyFill="1" applyBorder="1" applyAlignment="1">
      <alignment vertical="center"/>
    </xf>
    <xf numFmtId="0" fontId="2" fillId="14" borderId="14" xfId="0" applyFont="1" applyFill="1" applyBorder="1" applyAlignment="1">
      <alignment vertical="center"/>
    </xf>
    <xf numFmtId="0" fontId="2" fillId="14" borderId="66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/>
    </xf>
    <xf numFmtId="0" fontId="1" fillId="0" borderId="61" xfId="0" applyFont="1" applyBorder="1" applyAlignment="1">
      <alignment vertical="center"/>
    </xf>
    <xf numFmtId="0" fontId="2" fillId="0" borderId="11" xfId="0" applyFont="1" applyBorder="1" applyAlignment="1">
      <alignment horizontal="left" vertical="center"/>
    </xf>
    <xf numFmtId="0" fontId="8" fillId="13" borderId="67" xfId="0" applyFont="1" applyFill="1" applyBorder="1"/>
    <xf numFmtId="0" fontId="8" fillId="13" borderId="83" xfId="0" applyFont="1" applyFill="1" applyBorder="1"/>
    <xf numFmtId="173" fontId="2" fillId="0" borderId="10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left" vertical="center"/>
    </xf>
    <xf numFmtId="0" fontId="1" fillId="14" borderId="10" xfId="0" applyFont="1" applyFill="1" applyBorder="1" applyAlignment="1">
      <alignment horizontal="left" vertical="center"/>
    </xf>
    <xf numFmtId="172" fontId="2" fillId="0" borderId="10" xfId="0" applyNumberFormat="1" applyFont="1" applyBorder="1" applyAlignment="1">
      <alignment horizontal="center" vertical="center"/>
    </xf>
    <xf numFmtId="0" fontId="2" fillId="17" borderId="11" xfId="0" applyFont="1" applyFill="1" applyBorder="1" applyAlignment="1">
      <alignment horizontal="center" wrapText="1"/>
    </xf>
    <xf numFmtId="0" fontId="2" fillId="0" borderId="52" xfId="0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2" fontId="1" fillId="14" borderId="11" xfId="0" applyNumberFormat="1" applyFont="1" applyFill="1" applyBorder="1" applyAlignment="1">
      <alignment horizontal="center" vertical="center"/>
    </xf>
    <xf numFmtId="2" fontId="1" fillId="14" borderId="10" xfId="0" applyNumberFormat="1" applyFont="1" applyFill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174" fontId="0" fillId="0" borderId="82" xfId="0" applyNumberFormat="1" applyBorder="1" applyAlignment="1">
      <alignment horizontal="center" vertical="center"/>
    </xf>
    <xf numFmtId="2" fontId="2" fillId="0" borderId="10" xfId="0" applyNumberFormat="1" applyFont="1" applyBorder="1" applyAlignment="1">
      <alignment horizontal="right" vertical="center"/>
    </xf>
    <xf numFmtId="1" fontId="2" fillId="0" borderId="10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4" fontId="0" fillId="0" borderId="11" xfId="0" applyNumberFormat="1" applyBorder="1" applyAlignment="1">
      <alignment horizontal="center" vertical="center"/>
    </xf>
    <xf numFmtId="165" fontId="1" fillId="14" borderId="11" xfId="0" applyNumberFormat="1" applyFont="1" applyFill="1" applyBorder="1" applyAlignment="1">
      <alignment horizontal="left" vertical="center"/>
    </xf>
    <xf numFmtId="2" fontId="2" fillId="0" borderId="11" xfId="0" applyNumberFormat="1" applyFont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 wrapText="1"/>
    </xf>
    <xf numFmtId="0" fontId="1" fillId="6" borderId="4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6" borderId="45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0" fontId="1" fillId="6" borderId="39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43" xfId="0" applyFont="1" applyFill="1" applyBorder="1" applyAlignment="1">
      <alignment horizontal="center" vertical="center" wrapText="1"/>
    </xf>
    <xf numFmtId="0" fontId="1" fillId="5" borderId="50" xfId="0" applyFont="1" applyFill="1" applyBorder="1" applyAlignment="1">
      <alignment horizontal="center" vertical="center"/>
    </xf>
    <xf numFmtId="0" fontId="1" fillId="5" borderId="51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49" xfId="0" applyFont="1" applyFill="1" applyBorder="1" applyAlignment="1">
      <alignment horizontal="center" vertical="center" wrapText="1"/>
    </xf>
    <xf numFmtId="0" fontId="1" fillId="6" borderId="48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 wrapText="1"/>
    </xf>
    <xf numFmtId="0" fontId="1" fillId="6" borderId="34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165" fontId="1" fillId="6" borderId="1" xfId="0" applyNumberFormat="1" applyFont="1" applyFill="1" applyBorder="1" applyAlignment="1">
      <alignment horizontal="center" vertical="center" wrapText="1"/>
    </xf>
    <xf numFmtId="0" fontId="1" fillId="6" borderId="58" xfId="0" applyFont="1" applyFill="1" applyBorder="1" applyAlignment="1">
      <alignment horizontal="center" vertical="center" wrapText="1"/>
    </xf>
    <xf numFmtId="0" fontId="0" fillId="6" borderId="58" xfId="0" applyFill="1" applyBorder="1" applyAlignment="1">
      <alignment horizontal="center" vertical="center" wrapText="1"/>
    </xf>
    <xf numFmtId="0" fontId="1" fillId="6" borderId="59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13" borderId="66" xfId="0" applyFont="1" applyFill="1" applyBorder="1" applyAlignment="1">
      <alignment horizontal="center" vertical="center"/>
    </xf>
    <xf numFmtId="0" fontId="0" fillId="13" borderId="73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61" xfId="0" applyFill="1" applyBorder="1" applyAlignment="1">
      <alignment horizontal="center" vertical="center"/>
    </xf>
    <xf numFmtId="0" fontId="0" fillId="13" borderId="64" xfId="0" applyFill="1" applyBorder="1" applyAlignment="1">
      <alignment horizontal="center" vertical="center"/>
    </xf>
    <xf numFmtId="0" fontId="0" fillId="13" borderId="62" xfId="0" applyFill="1" applyBorder="1" applyAlignment="1">
      <alignment horizontal="center" vertical="center"/>
    </xf>
    <xf numFmtId="0" fontId="1" fillId="6" borderId="66" xfId="0" applyFont="1" applyFill="1" applyBorder="1" applyAlignment="1">
      <alignment horizontal="center" vertical="center" wrapText="1"/>
    </xf>
    <xf numFmtId="0" fontId="0" fillId="6" borderId="61" xfId="0" applyFill="1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2" fillId="0" borderId="5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57" xfId="0" applyFont="1" applyFill="1" applyBorder="1" applyAlignment="1">
      <alignment horizontal="center" vertical="center" wrapText="1"/>
    </xf>
    <xf numFmtId="0" fontId="2" fillId="0" borderId="58" xfId="0" applyFont="1" applyFill="1" applyBorder="1" applyAlignment="1">
      <alignment horizontal="center" vertical="center" wrapText="1"/>
    </xf>
    <xf numFmtId="0" fontId="1" fillId="4" borderId="72" xfId="0" applyFont="1" applyFill="1" applyBorder="1" applyAlignment="1">
      <alignment horizontal="left" vertical="center"/>
    </xf>
    <xf numFmtId="0" fontId="1" fillId="4" borderId="6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 wrapText="1"/>
    </xf>
    <xf numFmtId="0" fontId="1" fillId="6" borderId="57" xfId="0" applyFont="1" applyFill="1" applyBorder="1" applyAlignment="1">
      <alignment horizontal="center" vertical="center" wrapText="1"/>
    </xf>
    <xf numFmtId="165" fontId="1" fillId="6" borderId="2" xfId="0" applyNumberFormat="1" applyFont="1" applyFill="1" applyBorder="1" applyAlignment="1">
      <alignment horizontal="center" vertical="center" wrapText="1"/>
    </xf>
    <xf numFmtId="165" fontId="1" fillId="6" borderId="2" xfId="0" applyNumberFormat="1" applyFont="1" applyFill="1" applyBorder="1" applyAlignment="1">
      <alignment horizontal="left" vertical="center" wrapText="1"/>
    </xf>
    <xf numFmtId="0" fontId="0" fillId="0" borderId="58" xfId="0" applyBorder="1" applyAlignment="1">
      <alignment horizontal="left" vertical="center" wrapText="1"/>
    </xf>
    <xf numFmtId="0" fontId="0" fillId="0" borderId="57" xfId="0" applyBorder="1" applyAlignment="1">
      <alignment horizontal="center" vertical="center" wrapText="1"/>
    </xf>
    <xf numFmtId="0" fontId="1" fillId="15" borderId="59" xfId="0" applyFont="1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1" fillId="6" borderId="57" xfId="0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66" xfId="0" applyFont="1" applyFill="1" applyBorder="1" applyAlignment="1">
      <alignment horizontal="center" vertical="center"/>
    </xf>
    <xf numFmtId="0" fontId="0" fillId="0" borderId="7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6" borderId="57" xfId="0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72" xfId="0" applyFont="1" applyFill="1" applyBorder="1" applyAlignment="1">
      <alignment horizontal="left" vertical="center" wrapText="1"/>
    </xf>
    <xf numFmtId="0" fontId="1" fillId="6" borderId="6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" fillId="6" borderId="66" xfId="0" applyFont="1" applyFill="1" applyBorder="1" applyAlignment="1">
      <alignment horizontal="center" vertical="center"/>
    </xf>
    <xf numFmtId="0" fontId="1" fillId="6" borderId="65" xfId="0" applyFont="1" applyFill="1" applyBorder="1" applyAlignment="1">
      <alignment horizontal="center" vertical="center"/>
    </xf>
    <xf numFmtId="0" fontId="1" fillId="6" borderId="61" xfId="0" applyFont="1" applyFill="1" applyBorder="1" applyAlignment="1">
      <alignment horizontal="center" vertical="center"/>
    </xf>
    <xf numFmtId="0" fontId="8" fillId="13" borderId="78" xfId="0" applyFont="1" applyFill="1" applyBorder="1" applyAlignment="1">
      <alignment horizontal="center"/>
    </xf>
    <xf numFmtId="0" fontId="8" fillId="13" borderId="6" xfId="0" applyFont="1" applyFill="1" applyBorder="1" applyAlignment="1">
      <alignment horizontal="center"/>
    </xf>
    <xf numFmtId="0" fontId="8" fillId="13" borderId="7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DC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1960389353995"/>
          <c:y val="7.4920875524140298E-2"/>
          <c:w val="0.73187309689532853"/>
          <c:h val="0.79885258322668073"/>
        </c:manualLayout>
      </c:layout>
      <c:lineChart>
        <c:grouping val="stacked"/>
        <c:varyColors val="0"/>
        <c:ser>
          <c:idx val="0"/>
          <c:order val="0"/>
          <c:tx>
            <c:strRef>
              <c:f>'Graphs Montreal VSTL-III'!$C$2</c:f>
              <c:strCache>
                <c:ptCount val="1"/>
                <c:pt idx="0">
                  <c:v>COVID19 new cases (by lab)</c:v>
                </c:pt>
              </c:strCache>
            </c:strRef>
          </c:tx>
          <c:spPr>
            <a:ln w="6350" cap="rnd">
              <a:solidFill>
                <a:sysClr val="windowText" lastClr="0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20000"/>
                  <a:lumOff val="80000"/>
                </a:schemeClr>
              </a:solidFill>
              <a:ln w="6350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'Graphs Montreal VSTL-III'!$B$5:$B$26</c:f>
              <c:numCache>
                <c:formatCode>m/d/yy</c:formatCode>
                <c:ptCount val="22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</c:numCache>
            </c:numRef>
          </c:cat>
          <c:val>
            <c:numRef>
              <c:f>'Graphs Montreal VSTL-III'!$C$5:$C$26</c:f>
              <c:numCache>
                <c:formatCode>General</c:formatCode>
                <c:ptCount val="22"/>
                <c:pt idx="0">
                  <c:v>317</c:v>
                </c:pt>
                <c:pt idx="1">
                  <c:v>412</c:v>
                </c:pt>
                <c:pt idx="2">
                  <c:v>331</c:v>
                </c:pt>
                <c:pt idx="3">
                  <c:v>375</c:v>
                </c:pt>
                <c:pt idx="4">
                  <c:v>394</c:v>
                </c:pt>
                <c:pt idx="5">
                  <c:v>392</c:v>
                </c:pt>
                <c:pt idx="6">
                  <c:v>404</c:v>
                </c:pt>
                <c:pt idx="7">
                  <c:v>259</c:v>
                </c:pt>
                <c:pt idx="8">
                  <c:v>417</c:v>
                </c:pt>
                <c:pt idx="9">
                  <c:v>410</c:v>
                </c:pt>
                <c:pt idx="10">
                  <c:v>389</c:v>
                </c:pt>
                <c:pt idx="11">
                  <c:v>399</c:v>
                </c:pt>
                <c:pt idx="12">
                  <c:v>324</c:v>
                </c:pt>
                <c:pt idx="13">
                  <c:v>248</c:v>
                </c:pt>
                <c:pt idx="14">
                  <c:v>259</c:v>
                </c:pt>
                <c:pt idx="15">
                  <c:v>391</c:v>
                </c:pt>
                <c:pt idx="16">
                  <c:v>306</c:v>
                </c:pt>
                <c:pt idx="17">
                  <c:v>371</c:v>
                </c:pt>
                <c:pt idx="18">
                  <c:v>281</c:v>
                </c:pt>
                <c:pt idx="19">
                  <c:v>393</c:v>
                </c:pt>
                <c:pt idx="20">
                  <c:v>277</c:v>
                </c:pt>
                <c:pt idx="21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B-43A6-B421-F4D94F829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998848"/>
        <c:axId val="1283999680"/>
      </c:lineChart>
      <c:scatterChart>
        <c:scatterStyle val="lineMarker"/>
        <c:varyColors val="0"/>
        <c:ser>
          <c:idx val="1"/>
          <c:order val="1"/>
          <c:tx>
            <c:strRef>
              <c:f>'Graphs Montreal VSTL-III'!$D$4</c:f>
              <c:strCache>
                <c:ptCount val="1"/>
                <c:pt idx="0">
                  <c:v>Grab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3175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'Graphs Montreal VSTL-III'!$B$5:$B$26</c:f>
              <c:numCache>
                <c:formatCode>m/d/yy</c:formatCode>
                <c:ptCount val="22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</c:numCache>
            </c:numRef>
          </c:xVal>
          <c:yVal>
            <c:numRef>
              <c:f>'Graphs Montreal VSTL-III'!$D$5:$D$26</c:f>
              <c:numCache>
                <c:formatCode>0.0E+00</c:formatCode>
                <c:ptCount val="22"/>
                <c:pt idx="11" formatCode="0">
                  <c:v>3.0892588037332804</c:v>
                </c:pt>
                <c:pt idx="14" formatCode="0">
                  <c:v>8.93229218911892</c:v>
                </c:pt>
                <c:pt idx="16" formatCode="0">
                  <c:v>8.89439958459241</c:v>
                </c:pt>
                <c:pt idx="17" formatCode="0">
                  <c:v>3.7857172553192249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5B-43A6-B421-F4D94F829A12}"/>
            </c:ext>
          </c:extLst>
        </c:ser>
        <c:ser>
          <c:idx val="2"/>
          <c:order val="2"/>
          <c:tx>
            <c:strRef>
              <c:f>'Graphs Montreal VSTL-III'!$E$4</c:f>
              <c:strCache>
                <c:ptCount val="1"/>
                <c:pt idx="0">
                  <c:v>Composite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'Graphs Montreal VSTL-III'!$B$5:$B$26</c:f>
              <c:numCache>
                <c:formatCode>m/d/yy</c:formatCode>
                <c:ptCount val="22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</c:numCache>
            </c:numRef>
          </c:xVal>
          <c:yVal>
            <c:numRef>
              <c:f>'Graphs Montreal VSTL-III'!$E$5:$E$26</c:f>
              <c:numCache>
                <c:formatCode>General</c:formatCode>
                <c:ptCount val="22"/>
                <c:pt idx="11" formatCode="0">
                  <c:v>5.5517519075425774</c:v>
                </c:pt>
                <c:pt idx="14" formatCode="0">
                  <c:v>9.8646937649361526</c:v>
                </c:pt>
                <c:pt idx="16" formatCode="0">
                  <c:v>12.23296718573455</c:v>
                </c:pt>
                <c:pt idx="17" formatCode="0">
                  <c:v>19.229459984012177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5B-43A6-B421-F4D94F829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830863"/>
        <c:axId val="1135832111"/>
      </c:scatterChart>
      <c:dateAx>
        <c:axId val="128399884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3999680"/>
        <c:crossesAt val="0"/>
        <c:auto val="1"/>
        <c:lblOffset val="100"/>
        <c:baseTimeUnit val="days"/>
      </c:dateAx>
      <c:valAx>
        <c:axId val="12839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COVID-19 new</a:t>
                </a:r>
                <a:r>
                  <a:rPr lang="en-CA" baseline="0"/>
                  <a:t> cases IN MONTREAL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8.1797702682671419E-2"/>
              <c:y val="0.32668874737425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3998848"/>
        <c:crosses val="autoZero"/>
        <c:crossBetween val="between"/>
      </c:valAx>
      <c:valAx>
        <c:axId val="11358321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SARS-CoV-2</a:t>
                </a:r>
                <a:r>
                  <a:rPr lang="en-CA" baseline="0"/>
                  <a:t> GC/ml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89482700850035057"/>
              <c:y val="0.32672345540007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35830863"/>
        <c:crosses val="max"/>
        <c:crossBetween val="midCat"/>
      </c:valAx>
      <c:valAx>
        <c:axId val="1135830863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1358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197127741437947"/>
          <c:y val="8.2997488425749343E-4"/>
          <c:w val="0.21342095141074871"/>
          <c:h val="0.13264949063243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1960389353995"/>
          <c:y val="7.4920875524140298E-2"/>
          <c:w val="0.73187309689532853"/>
          <c:h val="0.79885258322668073"/>
        </c:manualLayout>
      </c:layout>
      <c:lineChart>
        <c:grouping val="stacked"/>
        <c:varyColors val="0"/>
        <c:ser>
          <c:idx val="0"/>
          <c:order val="0"/>
          <c:tx>
            <c:strRef>
              <c:f>'Graphs Montreal CDN05'!$C$4</c:f>
              <c:strCache>
                <c:ptCount val="1"/>
                <c:pt idx="0">
                  <c:v>COVID19 new cases</c:v>
                </c:pt>
              </c:strCache>
            </c:strRef>
          </c:tx>
          <c:spPr>
            <a:ln w="6350" cap="rnd">
              <a:solidFill>
                <a:sysClr val="windowText" lastClr="0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20000"/>
                  <a:lumOff val="80000"/>
                </a:schemeClr>
              </a:solidFill>
              <a:ln w="6350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'Graphs Montreal CDN05'!$B$5:$B$26</c:f>
              <c:numCache>
                <c:formatCode>m/d/yy</c:formatCode>
                <c:ptCount val="22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</c:numCache>
            </c:numRef>
          </c:cat>
          <c:val>
            <c:numRef>
              <c:f>'Graphs Montreal CDN05'!$C$5:$C$26</c:f>
              <c:numCache>
                <c:formatCode>General</c:formatCode>
                <c:ptCount val="22"/>
                <c:pt idx="0">
                  <c:v>317</c:v>
                </c:pt>
                <c:pt idx="1">
                  <c:v>412</c:v>
                </c:pt>
                <c:pt idx="2">
                  <c:v>331</c:v>
                </c:pt>
                <c:pt idx="3">
                  <c:v>375</c:v>
                </c:pt>
                <c:pt idx="4">
                  <c:v>394</c:v>
                </c:pt>
                <c:pt idx="5">
                  <c:v>392</c:v>
                </c:pt>
                <c:pt idx="6">
                  <c:v>404</c:v>
                </c:pt>
                <c:pt idx="7">
                  <c:v>259</c:v>
                </c:pt>
                <c:pt idx="8">
                  <c:v>417</c:v>
                </c:pt>
                <c:pt idx="9">
                  <c:v>410</c:v>
                </c:pt>
                <c:pt idx="10">
                  <c:v>389</c:v>
                </c:pt>
                <c:pt idx="11">
                  <c:v>399</c:v>
                </c:pt>
                <c:pt idx="12">
                  <c:v>324</c:v>
                </c:pt>
                <c:pt idx="13">
                  <c:v>248</c:v>
                </c:pt>
                <c:pt idx="14">
                  <c:v>259</c:v>
                </c:pt>
                <c:pt idx="15">
                  <c:v>391</c:v>
                </c:pt>
                <c:pt idx="16">
                  <c:v>306</c:v>
                </c:pt>
                <c:pt idx="17">
                  <c:v>371</c:v>
                </c:pt>
                <c:pt idx="18">
                  <c:v>281</c:v>
                </c:pt>
                <c:pt idx="19">
                  <c:v>393</c:v>
                </c:pt>
                <c:pt idx="20">
                  <c:v>277</c:v>
                </c:pt>
                <c:pt idx="21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9-4D34-8250-B7EBE2DE1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998848"/>
        <c:axId val="1283999680"/>
      </c:lineChart>
      <c:scatterChart>
        <c:scatterStyle val="lineMarker"/>
        <c:varyColors val="0"/>
        <c:ser>
          <c:idx val="1"/>
          <c:order val="1"/>
          <c:tx>
            <c:strRef>
              <c:f>'Graphs Montreal CDN05'!$D$4</c:f>
              <c:strCache>
                <c:ptCount val="1"/>
                <c:pt idx="0">
                  <c:v>Grab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3175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'Graphs Montreal CDN05'!$B$5:$B$26</c:f>
              <c:numCache>
                <c:formatCode>m/d/yy</c:formatCode>
                <c:ptCount val="22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</c:numCache>
            </c:numRef>
          </c:xVal>
          <c:yVal>
            <c:numRef>
              <c:f>'Graphs Montreal CDN05'!$D$5:$D$26</c:f>
              <c:numCache>
                <c:formatCode>0.0E+00</c:formatCode>
                <c:ptCount val="22"/>
                <c:pt idx="11" formatCode="0">
                  <c:v>22.073386816205506</c:v>
                </c:pt>
                <c:pt idx="14" formatCode="0">
                  <c:v>25.446966052759468</c:v>
                </c:pt>
                <c:pt idx="16" formatCode="0">
                  <c:v>39.792772684871878</c:v>
                </c:pt>
                <c:pt idx="17" formatCode="0">
                  <c:v>74.461807091558327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9-4D34-8250-B7EBE2DE1E9F}"/>
            </c:ext>
          </c:extLst>
        </c:ser>
        <c:ser>
          <c:idx val="2"/>
          <c:order val="2"/>
          <c:tx>
            <c:strRef>
              <c:f>'Graphs Montreal CDN05'!$E$4</c:f>
              <c:strCache>
                <c:ptCount val="1"/>
                <c:pt idx="0">
                  <c:v>Composite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'Graphs Montreal CDN05'!$B$5:$B$26</c:f>
              <c:numCache>
                <c:formatCode>m/d/yy</c:formatCode>
                <c:ptCount val="22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</c:numCache>
            </c:numRef>
          </c:xVal>
          <c:yVal>
            <c:numRef>
              <c:f>'Graphs Montreal CDN05'!$E$5:$E$26</c:f>
              <c:numCache>
                <c:formatCode>General</c:formatCode>
                <c:ptCount val="22"/>
                <c:pt idx="11" formatCode="0">
                  <c:v>134.01440602747999</c:v>
                </c:pt>
                <c:pt idx="14" formatCode="0">
                  <c:v>126.71498724750623</c:v>
                </c:pt>
                <c:pt idx="16" formatCode="0">
                  <c:v>87.232271698595838</c:v>
                </c:pt>
                <c:pt idx="17" formatCode="0">
                  <c:v>19.004684623124238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29-4D34-8250-B7EBE2DE1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830863"/>
        <c:axId val="1135832111"/>
      </c:scatterChart>
      <c:dateAx>
        <c:axId val="128399884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3999680"/>
        <c:crossesAt val="0"/>
        <c:auto val="1"/>
        <c:lblOffset val="100"/>
        <c:baseTimeUnit val="days"/>
      </c:dateAx>
      <c:valAx>
        <c:axId val="12839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COVID-19 new</a:t>
                </a:r>
                <a:r>
                  <a:rPr lang="en-CA" baseline="0"/>
                  <a:t> cases IN MONTREAL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8.1797702682671419E-2"/>
              <c:y val="0.32668874737425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3998848"/>
        <c:crosses val="autoZero"/>
        <c:crossBetween val="between"/>
      </c:valAx>
      <c:valAx>
        <c:axId val="11358321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SARS-CoV-2</a:t>
                </a:r>
                <a:r>
                  <a:rPr lang="en-CA" baseline="0"/>
                  <a:t> GC/ml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89482700850035057"/>
              <c:y val="0.32672345540007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35830863"/>
        <c:crosses val="max"/>
        <c:crossBetween val="midCat"/>
      </c:valAx>
      <c:valAx>
        <c:axId val="1135830863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1358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197127741437947"/>
          <c:y val="8.2997488425749343E-4"/>
          <c:w val="0.21342095141074871"/>
          <c:h val="0.13264949063243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680357</xdr:colOff>
      <xdr:row>2</xdr:row>
      <xdr:rowOff>8</xdr:rowOff>
    </xdr:from>
    <xdr:to>
      <xdr:col>26</xdr:col>
      <xdr:colOff>99782</xdr:colOff>
      <xdr:row>25</xdr:row>
      <xdr:rowOff>145151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61DAA-6B32-4935-AAE3-8CC75514E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27215</xdr:colOff>
      <xdr:row>17</xdr:row>
      <xdr:rowOff>127000</xdr:rowOff>
    </xdr:from>
    <xdr:ext cx="42421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A8F05EB-A4AC-41C7-A10A-CD223D39081E}"/>
            </a:ext>
          </a:extLst>
        </xdr:cNvPr>
        <xdr:cNvSpPr txBox="1"/>
      </xdr:nvSpPr>
      <xdr:spPr>
        <a:xfrm>
          <a:off x="8608786" y="3211286"/>
          <a:ext cx="4242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>
              <a:solidFill>
                <a:srgbClr val="FF0000"/>
              </a:solidFill>
            </a:rPr>
            <a:t>LOD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0.15691</cdr:x>
      <cdr:y>0.70798</cdr:y>
    </cdr:from>
    <cdr:to>
      <cdr:x>0.85313</cdr:x>
      <cdr:y>0.70798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2C812287-3082-4C3B-B477-FBF746942692}"/>
            </a:ext>
          </a:extLst>
        </cdr:cNvPr>
        <cdr:cNvCxnSpPr/>
      </cdr:nvCxnSpPr>
      <cdr:spPr>
        <a:xfrm xmlns:a="http://schemas.openxmlformats.org/drawingml/2006/main">
          <a:off x="1841913" y="3057064"/>
          <a:ext cx="8172533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501646</xdr:colOff>
      <xdr:row>2</xdr:row>
      <xdr:rowOff>27214</xdr:rowOff>
    </xdr:from>
    <xdr:to>
      <xdr:col>25</xdr:col>
      <xdr:colOff>417282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F9714-38A5-4ED7-A7A2-8B45B08E2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telhem Kassa, Mrs" id="{CB37E8BC-FEF0-48DD-91B3-EBB2F099B35B}" userId="S::betelhem.kassa@mcgill.ca::a329aa78-cbdc-41cd-bef0-20cf88cdf2c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64" dT="2020-12-21T14:38:22.18" personId="{CB37E8BC-FEF0-48DD-91B3-EBB2F099B35B}" id="{7EBC2AB5-19AA-4021-BC18-B8355319B66D}">
    <text>duplicate Ct value too high</text>
  </threadedComment>
  <threadedComment ref="AF65" dT="2020-12-21T15:13:54.48" personId="{CB37E8BC-FEF0-48DD-91B3-EBB2F099B35B}" id="{5900B887-FA18-4823-832E-B940EC37A829}">
    <text>duplicate had no Ct value</text>
  </threadedComment>
  <threadedComment ref="AM67" dT="2020-12-21T15:41:43.24" personId="{CB37E8BC-FEF0-48DD-91B3-EBB2F099B35B}" id="{821AF568-5D37-465E-8115-CB3C74D428D1}">
    <text>Duplicate Ct lacking</text>
  </threadedComment>
  <threadedComment ref="AM68" dT="2020-12-21T15:41:48.33" personId="{CB37E8BC-FEF0-48DD-91B3-EBB2F099B35B}" id="{D6846407-A013-4429-B954-239E87FDBD3C}">
    <text>Duplicate Ct lacking</text>
  </threadedComment>
  <threadedComment ref="AM72" dT="2020-12-21T15:45:31.99" personId="{CB37E8BC-FEF0-48DD-91B3-EBB2F099B35B}" id="{16C3B1B4-3805-4E69-965D-0970A72E8812}">
    <text>duplicate no Ct value</text>
  </threadedComment>
  <threadedComment ref="AL73" dT="2020-12-21T15:45:43.99" personId="{CB37E8BC-FEF0-48DD-91B3-EBB2F099B35B}" id="{E9B93A0C-DB3B-4B86-AC2C-7EBC59BC5DDC}">
    <text>Duplicate No Ct value</text>
  </threadedComment>
  <threadedComment ref="Z74" dT="2020-12-21T14:41:43.15" personId="{CB37E8BC-FEF0-48DD-91B3-EBB2F099B35B}" id="{8E7B6113-F78B-49F8-9E02-93CF9616B9FE}">
    <text>Duplicate Ct too high</text>
  </threadedComment>
  <threadedComment ref="AG74" dT="2020-12-21T15:37:04.08" personId="{CB37E8BC-FEF0-48DD-91B3-EBB2F099B35B}" id="{1695338B-BAEA-487A-AAA6-648C8CDC65B8}">
    <text>Duplicate Ct lacking</text>
  </threadedComment>
  <threadedComment ref="L88" dT="2021-01-07T14:50:13.20" personId="{CB37E8BC-FEF0-48DD-91B3-EBB2F099B35B}" id="{E05F4FB2-AE2C-4D7A-BC66-4863EBF89C72}">
    <text>Qpcr done by Fernando</text>
  </threadedComment>
  <threadedComment ref="L100" dT="2021-01-07T14:50:32.89" personId="{CB37E8BC-FEF0-48DD-91B3-EBB2F099B35B}" id="{9E0EC5F3-3EE8-4345-9E63-AFFCD1E6C162}">
    <text>RNA extraction done by Fernando</text>
  </threadedComment>
  <threadedComment ref="C110" dT="2021-01-07T14:24:25.39" personId="{CB37E8BC-FEF0-48DD-91B3-EBB2F099B35B}" id="{B5BB6754-A247-4C39-8123-71ACC8ED0956}">
    <text>100 ml of sample 1</text>
  </threadedComment>
  <threadedComment ref="C111" dT="2021-01-07T14:24:36.49" personId="{CB37E8BC-FEF0-48DD-91B3-EBB2F099B35B}" id="{6564652E-8245-4B67-8B6F-E95868B8BB42}">
    <text>100 ml of sample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X177"/>
  <sheetViews>
    <sheetView showGridLines="0" zoomScale="70" zoomScaleNormal="70" workbookViewId="0">
      <pane xSplit="8" ySplit="18" topLeftCell="AM50" activePane="bottomRight" state="frozen"/>
      <selection pane="topRight"/>
      <selection pane="bottomLeft"/>
      <selection pane="bottomRight" activeCell="E17" sqref="E17:E18"/>
    </sheetView>
  </sheetViews>
  <sheetFormatPr baseColWidth="10" defaultColWidth="8.6640625" defaultRowHeight="13" x14ac:dyDescent="0.15"/>
  <cols>
    <col min="1" max="1" width="2.33203125" style="2" customWidth="1"/>
    <col min="2" max="3" width="8.6640625" style="1"/>
    <col min="4" max="4" width="12.83203125" style="1" customWidth="1"/>
    <col min="5" max="5" width="19.33203125" style="1" customWidth="1"/>
    <col min="6" max="6" width="18.6640625" style="1" customWidth="1"/>
    <col min="7" max="8" width="11.33203125" style="1" customWidth="1"/>
    <col min="9" max="9" width="18.1640625" style="1" bestFit="1" customWidth="1"/>
    <col min="10" max="14" width="18.1640625" style="1" customWidth="1"/>
    <col min="15" max="15" width="22.33203125" style="1" bestFit="1" customWidth="1"/>
    <col min="16" max="16" width="19.6640625" style="1" bestFit="1" customWidth="1"/>
    <col min="17" max="17" width="8.83203125" style="1" bestFit="1" customWidth="1"/>
    <col min="18" max="20" width="8.6640625" style="1"/>
    <col min="21" max="21" width="10.33203125" style="1" customWidth="1"/>
    <col min="22" max="22" width="17.83203125" style="1" customWidth="1"/>
    <col min="23" max="23" width="25.83203125" style="1" customWidth="1"/>
    <col min="24" max="24" width="10.33203125" style="1" customWidth="1"/>
    <col min="25" max="26" width="8.83203125" style="1" bestFit="1" customWidth="1"/>
    <col min="27" max="27" width="8.6640625" style="1"/>
    <col min="28" max="28" width="8.83203125" style="1" bestFit="1" customWidth="1"/>
    <col min="29" max="29" width="10.83203125" style="1" bestFit="1" customWidth="1"/>
    <col min="30" max="30" width="11.83203125" style="1" bestFit="1" customWidth="1"/>
    <col min="31" max="31" width="9.83203125" style="1" bestFit="1" customWidth="1"/>
    <col min="32" max="36" width="8.6640625" style="1"/>
    <col min="37" max="37" width="9.1640625" style="1" bestFit="1" customWidth="1"/>
    <col min="38" max="41" width="8.6640625" style="1"/>
    <col min="42" max="42" width="10" style="1" customWidth="1"/>
    <col min="43" max="43" width="8.6640625" style="1"/>
    <col min="44" max="44" width="11.33203125" style="1" customWidth="1"/>
    <col min="45" max="45" width="21.1640625" style="1" bestFit="1" customWidth="1"/>
    <col min="46" max="46" width="14.33203125" style="1" bestFit="1" customWidth="1"/>
    <col min="47" max="47" width="11.1640625" style="1" bestFit="1" customWidth="1"/>
    <col min="48" max="48" width="114.83203125" style="1" customWidth="1"/>
    <col min="49" max="16360" width="8.6640625" style="2"/>
    <col min="16361" max="16383" width="8.6640625" style="2" bestFit="1" customWidth="1"/>
    <col min="16384" max="16384" width="8.6640625" style="2"/>
  </cols>
  <sheetData>
    <row r="2" spans="1:48" x14ac:dyDescent="0.15">
      <c r="G2" s="483" t="s">
        <v>0</v>
      </c>
      <c r="H2" s="483"/>
      <c r="I2" s="483"/>
      <c r="J2" s="483"/>
      <c r="K2" s="483"/>
      <c r="L2" s="483"/>
      <c r="M2" s="483"/>
      <c r="N2" s="483"/>
      <c r="O2" s="483"/>
      <c r="X2" s="482" t="s">
        <v>1</v>
      </c>
      <c r="Y2" s="482"/>
      <c r="Z2" s="482"/>
      <c r="AA2" s="482"/>
      <c r="AB2" s="482"/>
    </row>
    <row r="3" spans="1:48" s="1" customFormat="1" ht="15" customHeight="1" x14ac:dyDescent="0.2">
      <c r="G3" s="451" t="s">
        <v>2</v>
      </c>
      <c r="H3" s="451"/>
      <c r="I3" s="451"/>
      <c r="J3" s="451"/>
      <c r="K3" s="451"/>
      <c r="L3" s="451"/>
      <c r="M3" s="451"/>
      <c r="N3" s="451"/>
      <c r="O3" s="451"/>
      <c r="P3" s="434" t="s">
        <v>3</v>
      </c>
      <c r="Q3" s="434" t="s">
        <v>4</v>
      </c>
      <c r="X3" s="451" t="s">
        <v>2</v>
      </c>
      <c r="Y3" s="451"/>
      <c r="Z3" s="451"/>
      <c r="AA3" s="451"/>
      <c r="AB3" s="451"/>
      <c r="AC3" s="434" t="s">
        <v>3</v>
      </c>
      <c r="AD3" s="434" t="s">
        <v>4</v>
      </c>
    </row>
    <row r="4" spans="1:48" s="1" customFormat="1" x14ac:dyDescent="0.2">
      <c r="A4" s="13"/>
      <c r="B4" s="7" t="s">
        <v>5</v>
      </c>
      <c r="G4" s="156">
        <v>1</v>
      </c>
      <c r="H4" s="156">
        <v>2</v>
      </c>
      <c r="I4" s="156">
        <v>3</v>
      </c>
      <c r="J4" s="156">
        <v>4</v>
      </c>
      <c r="K4" s="156">
        <v>5</v>
      </c>
      <c r="L4" s="156">
        <v>6</v>
      </c>
      <c r="M4" s="156">
        <v>7</v>
      </c>
      <c r="N4" s="156">
        <v>8</v>
      </c>
      <c r="O4" s="156">
        <v>9</v>
      </c>
      <c r="P4" s="435"/>
      <c r="Q4" s="435"/>
      <c r="X4" s="157">
        <v>1</v>
      </c>
      <c r="Y4" s="157">
        <v>2</v>
      </c>
      <c r="Z4" s="157">
        <v>3</v>
      </c>
      <c r="AA4" s="157">
        <v>4</v>
      </c>
      <c r="AB4" s="157">
        <v>5</v>
      </c>
      <c r="AC4" s="435"/>
      <c r="AD4" s="435"/>
    </row>
    <row r="5" spans="1:48" s="1" customFormat="1" ht="14" x14ac:dyDescent="0.2">
      <c r="A5" s="13"/>
      <c r="B5" s="6"/>
      <c r="F5" s="35" t="s">
        <v>6</v>
      </c>
      <c r="G5" s="36">
        <v>50</v>
      </c>
      <c r="H5" s="36">
        <v>5</v>
      </c>
      <c r="I5" s="37">
        <v>0.5</v>
      </c>
      <c r="J5" s="37">
        <v>0.05</v>
      </c>
      <c r="K5" s="37">
        <v>5.0000000000000001E-3</v>
      </c>
      <c r="L5" s="37">
        <v>5.0000000000000001E-4</v>
      </c>
      <c r="M5" s="37">
        <v>5.0000000000000002E-5</v>
      </c>
      <c r="N5" s="37"/>
      <c r="O5" s="38"/>
      <c r="P5" s="39"/>
      <c r="Q5" s="156"/>
      <c r="W5" s="15" t="s">
        <v>6</v>
      </c>
      <c r="X5" s="156">
        <v>100</v>
      </c>
      <c r="Y5" s="156">
        <v>10</v>
      </c>
      <c r="Z5" s="39">
        <v>1</v>
      </c>
      <c r="AA5" s="39">
        <v>0.1</v>
      </c>
      <c r="AB5" s="39">
        <v>0.01</v>
      </c>
      <c r="AC5" s="156"/>
      <c r="AD5" s="156"/>
    </row>
    <row r="6" spans="1:48" s="1" customFormat="1" ht="14" x14ac:dyDescent="0.2">
      <c r="A6" s="13"/>
      <c r="B6" s="6" t="s">
        <v>7</v>
      </c>
      <c r="E6" s="29">
        <v>1</v>
      </c>
      <c r="F6" s="11" t="s">
        <v>8</v>
      </c>
      <c r="G6" s="14">
        <f>AVERAGE(15.15, 15.4)</f>
        <v>15.275</v>
      </c>
      <c r="H6" s="18">
        <f>AVERAGE(19.15, 18.75)</f>
        <v>18.95</v>
      </c>
      <c r="I6" s="18">
        <f>AVERAGE(22.43,22.01)</f>
        <v>22.22</v>
      </c>
      <c r="J6" s="18">
        <f>AVERAGE(25.74,25.91)</f>
        <v>25.824999999999999</v>
      </c>
      <c r="K6" s="18">
        <f>AVERAGE(29.37,28.64)</f>
        <v>29.005000000000003</v>
      </c>
      <c r="L6" s="18">
        <f>AVERAGE(32.35,30.96)</f>
        <v>31.655000000000001</v>
      </c>
      <c r="M6" s="18">
        <f>AVERAGE(36.85,36.47)</f>
        <v>36.659999999999997</v>
      </c>
      <c r="N6" s="8"/>
      <c r="O6" s="11"/>
      <c r="P6" s="41">
        <v>-1.494</v>
      </c>
      <c r="Q6" s="8">
        <v>21.178999999999998</v>
      </c>
      <c r="W6" s="11" t="s">
        <v>8</v>
      </c>
      <c r="X6" s="14">
        <f>AVERAGE(14.14,13.82,13.94)</f>
        <v>13.966666666666667</v>
      </c>
      <c r="Y6" s="18">
        <f>AVERAGE(17.4, 16.72,17.16)</f>
        <v>17.093333333333334</v>
      </c>
      <c r="Z6" s="18">
        <f>AVERAGE(20.91,20.74,20.58)</f>
        <v>20.743333333333332</v>
      </c>
      <c r="AA6" s="18">
        <f>AVERAGE(22.68,23.85,22.52)</f>
        <v>23.016666666666666</v>
      </c>
      <c r="AB6" s="18">
        <f>AVERAGE(26.22,25.93,27.28)</f>
        <v>26.47666666666667</v>
      </c>
      <c r="AC6" s="8"/>
      <c r="AD6" s="8"/>
    </row>
    <row r="7" spans="1:48" ht="14" x14ac:dyDescent="0.15">
      <c r="B7" s="6"/>
      <c r="E7" s="2"/>
      <c r="F7" s="4"/>
      <c r="G7" s="16"/>
      <c r="H7" s="4"/>
      <c r="I7" s="4"/>
      <c r="J7" s="4"/>
      <c r="K7" s="4"/>
      <c r="L7" s="4"/>
      <c r="M7" s="4"/>
      <c r="N7" s="4"/>
      <c r="O7" s="4"/>
      <c r="P7" s="4"/>
      <c r="Q7" s="159"/>
      <c r="R7" s="4"/>
      <c r="S7" s="4"/>
      <c r="T7" s="4"/>
      <c r="U7" s="4"/>
    </row>
    <row r="8" spans="1:48" ht="14" x14ac:dyDescent="0.15">
      <c r="B8" s="6" t="s">
        <v>9</v>
      </c>
      <c r="E8" s="2"/>
      <c r="F8" s="156" t="s">
        <v>10</v>
      </c>
      <c r="G8" s="156">
        <v>10000</v>
      </c>
      <c r="H8" s="156">
        <v>1000</v>
      </c>
      <c r="I8" s="156">
        <v>100</v>
      </c>
      <c r="J8" s="156">
        <v>10</v>
      </c>
      <c r="K8" s="39">
        <v>1</v>
      </c>
      <c r="L8" s="12"/>
      <c r="M8" s="8"/>
      <c r="N8" s="11"/>
      <c r="O8" s="8"/>
      <c r="P8" s="4"/>
      <c r="Q8" s="159"/>
    </row>
    <row r="9" spans="1:48" ht="14" x14ac:dyDescent="0.15">
      <c r="B9" s="6"/>
      <c r="E9" s="2">
        <v>1</v>
      </c>
      <c r="F9" s="8" t="s">
        <v>8</v>
      </c>
      <c r="G9" s="12">
        <f>AVERAGE(19.62,19.14)</f>
        <v>19.380000000000003</v>
      </c>
      <c r="H9" s="12">
        <f>AVERAGE(21.69, 22.13)</f>
        <v>21.91</v>
      </c>
      <c r="I9" s="12">
        <f>AVERAGE(25.32,25.86)</f>
        <v>25.59</v>
      </c>
      <c r="J9" s="12">
        <f>AVERAGE(27.99,28.77)</f>
        <v>28.38</v>
      </c>
      <c r="K9" s="12">
        <f>AVERAGE(31.99,32.01)</f>
        <v>32</v>
      </c>
      <c r="L9" s="8"/>
      <c r="M9" s="8"/>
      <c r="N9" s="11"/>
      <c r="O9" s="8"/>
      <c r="P9" s="34">
        <v>-1.377</v>
      </c>
      <c r="Q9" s="160">
        <v>31.794</v>
      </c>
    </row>
    <row r="10" spans="1:48" ht="14" x14ac:dyDescent="0.15">
      <c r="B10" s="6"/>
      <c r="E10" s="2"/>
      <c r="G10" s="16"/>
      <c r="Q10" s="159"/>
    </row>
    <row r="11" spans="1:48" ht="14" x14ac:dyDescent="0.15">
      <c r="B11" s="6" t="s">
        <v>11</v>
      </c>
      <c r="E11" s="2"/>
      <c r="F11" s="156" t="s">
        <v>6</v>
      </c>
      <c r="G11" s="39">
        <v>100</v>
      </c>
      <c r="H11" s="39">
        <v>10</v>
      </c>
      <c r="I11" s="156">
        <v>1</v>
      </c>
      <c r="J11" s="39">
        <v>0.1</v>
      </c>
      <c r="K11" s="156">
        <v>0.01</v>
      </c>
      <c r="L11" s="39">
        <v>1E-3</v>
      </c>
      <c r="M11" s="39">
        <v>1E-4</v>
      </c>
      <c r="N11" s="40">
        <v>1.0000000000000001E-5</v>
      </c>
      <c r="O11" s="156">
        <v>9.9999999999999995E-7</v>
      </c>
      <c r="P11" s="4"/>
      <c r="Q11" s="4"/>
    </row>
    <row r="12" spans="1:48" ht="14" x14ac:dyDescent="0.15">
      <c r="B12" s="6"/>
      <c r="E12" s="2">
        <v>1</v>
      </c>
      <c r="F12" s="8" t="s">
        <v>8</v>
      </c>
      <c r="G12" s="14">
        <f>AVERAGE(9.29, 8.63)</f>
        <v>8.9600000000000009</v>
      </c>
      <c r="H12" s="14">
        <f>AVERAGE(13, 12.9)</f>
        <v>12.95</v>
      </c>
      <c r="I12" s="14">
        <f>AVERAGE(16.31,16.15
)</f>
        <v>16.229999999999997</v>
      </c>
      <c r="J12" s="14">
        <f>AVERAGE(19.45,19.38)</f>
        <v>19.414999999999999</v>
      </c>
      <c r="K12" s="14">
        <f>AVERAGE(22.78,22.7)</f>
        <v>22.740000000000002</v>
      </c>
      <c r="L12" s="12"/>
      <c r="M12" s="8"/>
      <c r="N12" s="8"/>
      <c r="O12" s="31"/>
      <c r="P12" s="8">
        <v>-1.478</v>
      </c>
      <c r="Q12" s="8">
        <v>16.059000000000001</v>
      </c>
    </row>
    <row r="13" spans="1:48" ht="14" x14ac:dyDescent="0.15">
      <c r="B13" s="6"/>
      <c r="E13" s="2">
        <v>2</v>
      </c>
      <c r="F13" s="8" t="s">
        <v>8</v>
      </c>
      <c r="G13" s="14"/>
      <c r="H13" s="14">
        <f>AVERAGE(12.6, 12.59)</f>
        <v>12.594999999999999</v>
      </c>
      <c r="I13" s="14">
        <f>AVERAGE(15.86, 16.02)</f>
        <v>15.94</v>
      </c>
      <c r="J13" s="14">
        <f>AVERAGE(19.21,18.98)</f>
        <v>19.094999999999999</v>
      </c>
      <c r="K13" s="14">
        <f>AVERAGE(22.42,22.48)</f>
        <v>22.450000000000003</v>
      </c>
      <c r="L13" s="14">
        <f>AVERAGE(25.85,26.04)</f>
        <v>25.945</v>
      </c>
      <c r="M13" s="14">
        <f>AVERAGE(29.46,29.29)</f>
        <v>29.375</v>
      </c>
      <c r="N13" s="14">
        <f>AVERAGE(32.79,32.67)</f>
        <v>32.730000000000004</v>
      </c>
      <c r="O13" s="32">
        <f>AVERAGE(35.7,39.26)</f>
        <v>37.480000000000004</v>
      </c>
      <c r="P13" s="10">
        <v>-1.512</v>
      </c>
      <c r="Q13" s="10">
        <v>15.746</v>
      </c>
    </row>
    <row r="15" spans="1:48" ht="14.5" customHeight="1" thickBot="1" x14ac:dyDescent="0.2">
      <c r="B15" s="452" t="s">
        <v>12</v>
      </c>
      <c r="C15" s="453"/>
      <c r="D15" s="453"/>
      <c r="E15" s="453"/>
      <c r="F15" s="453"/>
      <c r="G15" s="453"/>
      <c r="H15" s="454"/>
      <c r="I15" s="444" t="s">
        <v>13</v>
      </c>
      <c r="J15" s="445"/>
      <c r="K15" s="445"/>
      <c r="L15" s="445"/>
      <c r="M15" s="445"/>
      <c r="N15" s="445"/>
      <c r="O15" s="445"/>
      <c r="P15" s="445"/>
      <c r="Q15" s="445"/>
      <c r="R15" s="445"/>
      <c r="S15" s="445"/>
      <c r="T15" s="445"/>
      <c r="U15" s="446"/>
      <c r="V15" s="475" t="s">
        <v>14</v>
      </c>
      <c r="W15" s="476"/>
      <c r="X15" s="476"/>
      <c r="Y15" s="476"/>
      <c r="Z15" s="476"/>
      <c r="AA15" s="476"/>
      <c r="AB15" s="476"/>
      <c r="AC15" s="476"/>
      <c r="AD15" s="476"/>
      <c r="AE15" s="476"/>
      <c r="AF15" s="476"/>
      <c r="AG15" s="476"/>
      <c r="AH15" s="476"/>
      <c r="AI15" s="476"/>
      <c r="AJ15" s="476"/>
      <c r="AK15" s="476"/>
      <c r="AL15" s="476"/>
      <c r="AM15" s="476"/>
      <c r="AN15" s="476"/>
      <c r="AO15" s="476"/>
      <c r="AP15" s="476"/>
      <c r="AQ15" s="476"/>
      <c r="AR15" s="476"/>
      <c r="AS15" s="476"/>
      <c r="AT15" s="477"/>
      <c r="AU15" s="470" t="s">
        <v>15</v>
      </c>
      <c r="AV15" s="471"/>
    </row>
    <row r="16" spans="1:48" s="3" customFormat="1" ht="14.5" customHeight="1" x14ac:dyDescent="0.2">
      <c r="B16" s="458" t="s">
        <v>16</v>
      </c>
      <c r="C16" s="437"/>
      <c r="D16" s="437"/>
      <c r="E16" s="437"/>
      <c r="F16" s="437"/>
      <c r="G16" s="437"/>
      <c r="H16" s="459"/>
      <c r="I16" s="460" t="s">
        <v>16</v>
      </c>
      <c r="J16" s="461"/>
      <c r="K16" s="461"/>
      <c r="L16" s="461"/>
      <c r="M16" s="461"/>
      <c r="N16" s="461"/>
      <c r="O16" s="461"/>
      <c r="P16" s="436"/>
      <c r="Q16" s="437" t="s">
        <v>17</v>
      </c>
      <c r="R16" s="437"/>
      <c r="S16" s="437"/>
      <c r="T16" s="437"/>
      <c r="U16" s="459"/>
      <c r="V16" s="485" t="s">
        <v>18</v>
      </c>
      <c r="W16" s="441" t="s">
        <v>19</v>
      </c>
      <c r="X16" s="441" t="s">
        <v>20</v>
      </c>
      <c r="Y16" s="436" t="s">
        <v>21</v>
      </c>
      <c r="Z16" s="437"/>
      <c r="AA16" s="437"/>
      <c r="AB16" s="437"/>
      <c r="AC16" s="437"/>
      <c r="AD16" s="437"/>
      <c r="AE16" s="438"/>
      <c r="AF16" s="436" t="s">
        <v>22</v>
      </c>
      <c r="AG16" s="437"/>
      <c r="AH16" s="437"/>
      <c r="AI16" s="437"/>
      <c r="AJ16" s="437"/>
      <c r="AK16" s="438"/>
      <c r="AL16" s="436" t="s">
        <v>23</v>
      </c>
      <c r="AM16" s="437"/>
      <c r="AN16" s="437"/>
      <c r="AO16" s="437"/>
      <c r="AP16" s="437"/>
      <c r="AQ16" s="437"/>
      <c r="AR16" s="437"/>
      <c r="AS16" s="437"/>
      <c r="AT16" s="459"/>
      <c r="AU16" s="478" t="s">
        <v>24</v>
      </c>
      <c r="AV16" s="441"/>
    </row>
    <row r="17" spans="2:48" s="3" customFormat="1" ht="15" customHeight="1" x14ac:dyDescent="0.2">
      <c r="B17" s="466" t="s">
        <v>25</v>
      </c>
      <c r="C17" s="484" t="s">
        <v>26</v>
      </c>
      <c r="D17" s="484" t="s">
        <v>27</v>
      </c>
      <c r="E17" s="484" t="s">
        <v>28</v>
      </c>
      <c r="F17" s="484" t="s">
        <v>29</v>
      </c>
      <c r="G17" s="442" t="s">
        <v>30</v>
      </c>
      <c r="H17" s="455" t="s">
        <v>31</v>
      </c>
      <c r="I17" s="468" t="s">
        <v>32</v>
      </c>
      <c r="J17" s="464" t="s">
        <v>33</v>
      </c>
      <c r="K17" s="464" t="s">
        <v>34</v>
      </c>
      <c r="L17" s="464" t="s">
        <v>35</v>
      </c>
      <c r="M17" s="462" t="s">
        <v>36</v>
      </c>
      <c r="N17" s="457" t="s">
        <v>37</v>
      </c>
      <c r="O17" s="472" t="s">
        <v>38</v>
      </c>
      <c r="P17" s="472" t="s">
        <v>39</v>
      </c>
      <c r="Q17" s="449" t="s">
        <v>40</v>
      </c>
      <c r="R17" s="474"/>
      <c r="S17" s="447" t="s">
        <v>41</v>
      </c>
      <c r="T17" s="449" t="s">
        <v>42</v>
      </c>
      <c r="U17" s="450"/>
      <c r="V17" s="486"/>
      <c r="W17" s="442"/>
      <c r="X17" s="442"/>
      <c r="Y17" s="449" t="s">
        <v>8</v>
      </c>
      <c r="Z17" s="474"/>
      <c r="AA17" s="474"/>
      <c r="AB17" s="474"/>
      <c r="AC17" s="439" t="s">
        <v>6</v>
      </c>
      <c r="AD17" s="439" t="s">
        <v>10</v>
      </c>
      <c r="AE17" s="447" t="s">
        <v>43</v>
      </c>
      <c r="AF17" s="449" t="s">
        <v>8</v>
      </c>
      <c r="AG17" s="474"/>
      <c r="AH17" s="474"/>
      <c r="AI17" s="474"/>
      <c r="AJ17" s="439" t="s">
        <v>44</v>
      </c>
      <c r="AK17" s="447" t="s">
        <v>45</v>
      </c>
      <c r="AL17" s="449" t="s">
        <v>8</v>
      </c>
      <c r="AM17" s="474"/>
      <c r="AN17" s="474"/>
      <c r="AO17" s="474"/>
      <c r="AP17" s="447" t="s">
        <v>6</v>
      </c>
      <c r="AQ17" s="472" t="s">
        <v>44</v>
      </c>
      <c r="AR17" s="472" t="s">
        <v>45</v>
      </c>
      <c r="AS17" s="472" t="s">
        <v>46</v>
      </c>
      <c r="AT17" s="472" t="s">
        <v>47</v>
      </c>
      <c r="AU17" s="479"/>
      <c r="AV17" s="442"/>
    </row>
    <row r="18" spans="2:48" s="23" customFormat="1" ht="28.5" customHeight="1" thickBot="1" x14ac:dyDescent="0.25">
      <c r="B18" s="467"/>
      <c r="C18" s="473"/>
      <c r="D18" s="473"/>
      <c r="E18" s="473"/>
      <c r="F18" s="473"/>
      <c r="G18" s="443"/>
      <c r="H18" s="456"/>
      <c r="I18" s="469"/>
      <c r="J18" s="465"/>
      <c r="K18" s="465"/>
      <c r="L18" s="465"/>
      <c r="M18" s="463"/>
      <c r="N18" s="443"/>
      <c r="O18" s="473"/>
      <c r="P18" s="473"/>
      <c r="Q18" s="26" t="s">
        <v>48</v>
      </c>
      <c r="R18" s="24" t="s">
        <v>49</v>
      </c>
      <c r="S18" s="448"/>
      <c r="T18" s="26" t="s">
        <v>50</v>
      </c>
      <c r="U18" s="25" t="s">
        <v>51</v>
      </c>
      <c r="V18" s="463"/>
      <c r="W18" s="443"/>
      <c r="X18" s="443"/>
      <c r="Y18" s="26">
        <v>1</v>
      </c>
      <c r="Z18" s="24">
        <v>2</v>
      </c>
      <c r="AA18" s="24">
        <v>3</v>
      </c>
      <c r="AB18" s="24" t="s">
        <v>52</v>
      </c>
      <c r="AC18" s="440"/>
      <c r="AD18" s="440"/>
      <c r="AE18" s="448"/>
      <c r="AF18" s="26">
        <v>1</v>
      </c>
      <c r="AG18" s="24">
        <v>2</v>
      </c>
      <c r="AH18" s="24">
        <v>3</v>
      </c>
      <c r="AI18" s="24" t="s">
        <v>53</v>
      </c>
      <c r="AJ18" s="440"/>
      <c r="AK18" s="481"/>
      <c r="AL18" s="27">
        <v>1</v>
      </c>
      <c r="AM18" s="24">
        <v>2</v>
      </c>
      <c r="AN18" s="24">
        <v>3</v>
      </c>
      <c r="AO18" s="24" t="s">
        <v>53</v>
      </c>
      <c r="AP18" s="448"/>
      <c r="AQ18" s="473"/>
      <c r="AR18" s="473"/>
      <c r="AS18" s="473"/>
      <c r="AT18" s="473"/>
      <c r="AU18" s="480"/>
      <c r="AV18" s="443"/>
    </row>
    <row r="19" spans="2:48" s="86" customFormat="1" ht="14" x14ac:dyDescent="0.15">
      <c r="B19" s="87" t="s">
        <v>54</v>
      </c>
      <c r="C19" s="87" t="s">
        <v>55</v>
      </c>
      <c r="D19" s="88" t="s">
        <v>56</v>
      </c>
      <c r="E19" s="87" t="s">
        <v>57</v>
      </c>
      <c r="F19" s="89" t="s">
        <v>58</v>
      </c>
      <c r="G19" s="87" t="s">
        <v>59</v>
      </c>
      <c r="H19" s="90">
        <v>-20</v>
      </c>
      <c r="I19" s="87" t="s">
        <v>60</v>
      </c>
      <c r="J19" s="87" t="s">
        <v>61</v>
      </c>
      <c r="K19" s="87" t="s">
        <v>62</v>
      </c>
      <c r="L19" s="87" t="s">
        <v>63</v>
      </c>
      <c r="M19" s="87" t="s">
        <v>60</v>
      </c>
      <c r="N19" s="87">
        <v>200</v>
      </c>
      <c r="O19" s="87" t="s">
        <v>64</v>
      </c>
      <c r="P19" s="87" t="s">
        <v>65</v>
      </c>
      <c r="Q19" s="87">
        <v>7.65</v>
      </c>
      <c r="R19" s="87">
        <v>4</v>
      </c>
      <c r="S19" s="87">
        <v>700</v>
      </c>
      <c r="T19" s="87">
        <v>204600</v>
      </c>
      <c r="U19" s="87">
        <f t="shared" ref="U19:U84" si="0">T19*1000000</f>
        <v>204600000000</v>
      </c>
      <c r="V19" s="87" t="s">
        <v>60</v>
      </c>
      <c r="W19" s="90" t="s">
        <v>66</v>
      </c>
      <c r="X19" s="87" t="s">
        <v>60</v>
      </c>
      <c r="Y19" s="91">
        <v>18.03</v>
      </c>
      <c r="Z19" s="91">
        <v>18.350000000000001</v>
      </c>
      <c r="AA19" s="87"/>
      <c r="AB19" s="92">
        <f>AVERAGE(Y19:AA19)</f>
        <v>18.190000000000001</v>
      </c>
      <c r="AC19" s="92">
        <f>EXP((AB19-21.179)/-1.494)</f>
        <v>7.3940035752098252</v>
      </c>
      <c r="AD19" s="93">
        <f>(AC19*(6.0221*10^23))/(15123*340*10^9)</f>
        <v>865985758.54991186</v>
      </c>
      <c r="AE19" s="94">
        <f>AD19*100/AD$28</f>
        <v>92.281981046037515</v>
      </c>
      <c r="AF19" s="87">
        <v>20.47</v>
      </c>
      <c r="AG19" s="87">
        <v>20.239999999999998</v>
      </c>
      <c r="AH19" s="87"/>
      <c r="AI19" s="94">
        <f>AVERAGE(AF19:AH19)</f>
        <v>20.354999999999997</v>
      </c>
      <c r="AJ19" s="90">
        <f>EXP((AI19-31.794)/-1.377)</f>
        <v>4052.9064410416186</v>
      </c>
      <c r="AK19" s="95">
        <f>(AJ19/5)*(50/200)</f>
        <v>202.64532205208093</v>
      </c>
      <c r="AL19" s="87">
        <v>35.03</v>
      </c>
      <c r="AM19" s="87">
        <v>35.450000000000003</v>
      </c>
      <c r="AN19" s="87"/>
      <c r="AO19" s="94">
        <f>AVERAGE(AL19:AN19)</f>
        <v>35.24</v>
      </c>
      <c r="AP19" s="90">
        <f>EXP((AO19-15.746)/-1.512)</f>
        <v>2.5159574202529523E-6</v>
      </c>
      <c r="AQ19" s="90">
        <f>(AP19*(6.0221*10^23))/(29903*340*10^9)</f>
        <v>149.02446518749156</v>
      </c>
      <c r="AR19" s="95">
        <f>(AQ19/5)*(50/200)</f>
        <v>7.4512232593745775</v>
      </c>
      <c r="AS19" s="95">
        <f>AR19/AK19</f>
        <v>3.6769776789910669E-2</v>
      </c>
      <c r="AT19" s="95">
        <f>AS19*U19</f>
        <v>7523096331.215723</v>
      </c>
      <c r="AU19" s="87"/>
      <c r="AV19" s="87" t="s">
        <v>67</v>
      </c>
    </row>
    <row r="20" spans="2:48" s="86" customFormat="1" ht="14" x14ac:dyDescent="0.15">
      <c r="B20" s="90" t="s">
        <v>54</v>
      </c>
      <c r="C20" s="90" t="s">
        <v>55</v>
      </c>
      <c r="D20" s="96" t="s">
        <v>68</v>
      </c>
      <c r="E20" s="87" t="s">
        <v>57</v>
      </c>
      <c r="F20" s="89" t="s">
        <v>58</v>
      </c>
      <c r="G20" s="90" t="s">
        <v>59</v>
      </c>
      <c r="H20" s="90">
        <v>-20</v>
      </c>
      <c r="I20" s="90" t="s">
        <v>60</v>
      </c>
      <c r="J20" s="90" t="s">
        <v>61</v>
      </c>
      <c r="K20" s="90" t="s">
        <v>62</v>
      </c>
      <c r="L20" s="90" t="s">
        <v>63</v>
      </c>
      <c r="M20" s="90" t="s">
        <v>60</v>
      </c>
      <c r="N20" s="90">
        <v>200</v>
      </c>
      <c r="O20" s="90" t="s">
        <v>64</v>
      </c>
      <c r="P20" s="90" t="s">
        <v>65</v>
      </c>
      <c r="Q20" s="97">
        <v>7.74</v>
      </c>
      <c r="R20" s="90">
        <v>4</v>
      </c>
      <c r="S20" s="90">
        <v>380</v>
      </c>
      <c r="T20" s="90">
        <v>211656</v>
      </c>
      <c r="U20" s="87">
        <f t="shared" si="0"/>
        <v>211656000000</v>
      </c>
      <c r="V20" s="90" t="s">
        <v>60</v>
      </c>
      <c r="W20" s="90" t="s">
        <v>66</v>
      </c>
      <c r="X20" s="90" t="s">
        <v>60</v>
      </c>
      <c r="Y20" s="98">
        <v>19.100000000000001</v>
      </c>
      <c r="Z20" s="98">
        <v>19.22</v>
      </c>
      <c r="AA20" s="90"/>
      <c r="AB20" s="94">
        <f t="shared" ref="AB20:AB27" si="1">AVERAGE(Y20:AA20)</f>
        <v>19.16</v>
      </c>
      <c r="AC20" s="94">
        <f t="shared" ref="AC20:AC27" si="2">EXP((AB20-21.179)/-1.494)</f>
        <v>3.862851427264022</v>
      </c>
      <c r="AD20" s="95">
        <f t="shared" ref="AD20:AD27" si="3">(AC20*(6.0221*10^23))/(15123*340*10^9)</f>
        <v>452417190.41364074</v>
      </c>
      <c r="AE20" s="94">
        <f t="shared" ref="AE20:AE28" si="4">AD20*100/AD$28</f>
        <v>48.210902059825102</v>
      </c>
      <c r="AF20" s="90">
        <v>19.23</v>
      </c>
      <c r="AG20" s="90">
        <v>19.25</v>
      </c>
      <c r="AH20" s="90"/>
      <c r="AI20" s="94">
        <f t="shared" ref="AI20:AI27" si="5">AVERAGE(AF20:AH20)</f>
        <v>19.240000000000002</v>
      </c>
      <c r="AJ20" s="90">
        <f t="shared" ref="AJ20:AJ27" si="6">EXP((AI20-31.794)/-1.377)</f>
        <v>9108.1130785931709</v>
      </c>
      <c r="AK20" s="95">
        <f t="shared" ref="AK20:AK27" si="7">(AJ20/5)*(50/200)</f>
        <v>455.40565392965857</v>
      </c>
      <c r="AL20" s="90"/>
      <c r="AM20" s="90">
        <v>34.99</v>
      </c>
      <c r="AN20" s="90"/>
      <c r="AO20" s="94">
        <f t="shared" ref="AO20:AO27" si="8">AVERAGE(AL20:AN20)</f>
        <v>34.99</v>
      </c>
      <c r="AP20" s="90">
        <f t="shared" ref="AP20:AP27" si="9">EXP((AO20-15.746)/-1.512)</f>
        <v>2.968323544906777E-6</v>
      </c>
      <c r="AQ20" s="90">
        <f t="shared" ref="AQ20:AQ27" si="10">(AP20*(6.0221*10^23))/(29903*340*10^9)</f>
        <v>175.81888517759481</v>
      </c>
      <c r="AR20" s="95">
        <f t="shared" ref="AR20:AR27" si="11">(AQ20/5)*(50/200)</f>
        <v>8.7909442588797404</v>
      </c>
      <c r="AS20" s="95">
        <f t="shared" ref="AS20:AS27" si="12">AR20/AK20</f>
        <v>1.9303546591974415E-2</v>
      </c>
      <c r="AT20" s="95">
        <f t="shared" ref="AT20:AT27" si="13">AS20*U20</f>
        <v>4085711457.4709368</v>
      </c>
      <c r="AU20" s="90"/>
      <c r="AV20" s="90" t="s">
        <v>67</v>
      </c>
    </row>
    <row r="21" spans="2:48" s="86" customFormat="1" ht="14" x14ac:dyDescent="0.15">
      <c r="B21" s="90" t="s">
        <v>54</v>
      </c>
      <c r="C21" s="90" t="s">
        <v>55</v>
      </c>
      <c r="D21" s="96" t="s">
        <v>69</v>
      </c>
      <c r="E21" s="87" t="s">
        <v>57</v>
      </c>
      <c r="F21" s="89" t="s">
        <v>58</v>
      </c>
      <c r="G21" s="90" t="s">
        <v>59</v>
      </c>
      <c r="H21" s="90">
        <v>-20</v>
      </c>
      <c r="I21" s="90" t="s">
        <v>60</v>
      </c>
      <c r="J21" s="90" t="s">
        <v>61</v>
      </c>
      <c r="K21" s="90" t="s">
        <v>62</v>
      </c>
      <c r="L21" s="90" t="s">
        <v>63</v>
      </c>
      <c r="M21" s="90" t="s">
        <v>60</v>
      </c>
      <c r="N21" s="90">
        <v>200</v>
      </c>
      <c r="O21" s="90" t="s">
        <v>64</v>
      </c>
      <c r="P21" s="90" t="s">
        <v>65</v>
      </c>
      <c r="Q21" s="97">
        <v>7.77</v>
      </c>
      <c r="R21" s="90">
        <v>4</v>
      </c>
      <c r="S21" s="90">
        <v>260</v>
      </c>
      <c r="T21" s="161">
        <v>192432</v>
      </c>
      <c r="U21" s="87">
        <f t="shared" si="0"/>
        <v>192432000000</v>
      </c>
      <c r="V21" s="90" t="s">
        <v>60</v>
      </c>
      <c r="W21" s="90" t="s">
        <v>66</v>
      </c>
      <c r="X21" s="90" t="s">
        <v>60</v>
      </c>
      <c r="Y21" s="98">
        <v>18.95</v>
      </c>
      <c r="Z21" s="98">
        <v>18.63</v>
      </c>
      <c r="AA21" s="90"/>
      <c r="AB21" s="94">
        <f t="shared" si="1"/>
        <v>18.79</v>
      </c>
      <c r="AC21" s="94">
        <f t="shared" si="2"/>
        <v>4.9483932025532953</v>
      </c>
      <c r="AD21" s="95">
        <f t="shared" si="3"/>
        <v>579555851.91811848</v>
      </c>
      <c r="AE21" s="94">
        <f t="shared" si="4"/>
        <v>61.759170533455631</v>
      </c>
      <c r="AF21" s="90">
        <v>19.440000000000001</v>
      </c>
      <c r="AG21" s="90">
        <v>19.760000000000002</v>
      </c>
      <c r="AH21" s="90"/>
      <c r="AI21" s="94">
        <f t="shared" si="5"/>
        <v>19.600000000000001</v>
      </c>
      <c r="AJ21" s="90">
        <f t="shared" si="6"/>
        <v>7012.7341097922717</v>
      </c>
      <c r="AK21" s="95">
        <f t="shared" si="7"/>
        <v>350.63670548961358</v>
      </c>
      <c r="AL21" s="90">
        <v>34.01</v>
      </c>
      <c r="AM21" s="90">
        <v>34.65</v>
      </c>
      <c r="AN21" s="90"/>
      <c r="AO21" s="94">
        <f t="shared" si="8"/>
        <v>34.33</v>
      </c>
      <c r="AP21" s="90">
        <f t="shared" si="9"/>
        <v>4.5928707622174911E-6</v>
      </c>
      <c r="AQ21" s="90">
        <f t="shared" si="10"/>
        <v>272.04359799774124</v>
      </c>
      <c r="AR21" s="95">
        <f t="shared" si="11"/>
        <v>13.602179899887062</v>
      </c>
      <c r="AS21" s="95">
        <f t="shared" si="12"/>
        <v>3.8792800887441546E-2</v>
      </c>
      <c r="AT21" s="95">
        <f t="shared" si="13"/>
        <v>7464976260.3721514</v>
      </c>
      <c r="AU21" s="90"/>
      <c r="AV21" s="90" t="s">
        <v>67</v>
      </c>
    </row>
    <row r="22" spans="2:48" s="86" customFormat="1" ht="14" x14ac:dyDescent="0.15">
      <c r="B22" s="90" t="s">
        <v>54</v>
      </c>
      <c r="C22" s="90" t="s">
        <v>55</v>
      </c>
      <c r="D22" s="96" t="s">
        <v>70</v>
      </c>
      <c r="E22" s="87" t="s">
        <v>57</v>
      </c>
      <c r="F22" s="89" t="s">
        <v>58</v>
      </c>
      <c r="G22" s="90" t="s">
        <v>59</v>
      </c>
      <c r="H22" s="90">
        <v>-20</v>
      </c>
      <c r="I22" s="90" t="s">
        <v>60</v>
      </c>
      <c r="J22" s="90" t="s">
        <v>61</v>
      </c>
      <c r="K22" s="90" t="s">
        <v>62</v>
      </c>
      <c r="L22" s="90" t="s">
        <v>63</v>
      </c>
      <c r="M22" s="90" t="s">
        <v>60</v>
      </c>
      <c r="N22" s="90">
        <v>200</v>
      </c>
      <c r="O22" s="90" t="s">
        <v>64</v>
      </c>
      <c r="P22" s="90" t="s">
        <v>65</v>
      </c>
      <c r="Q22" s="97">
        <v>7.68</v>
      </c>
      <c r="R22" s="90">
        <v>4</v>
      </c>
      <c r="S22" s="90">
        <v>340</v>
      </c>
      <c r="T22" s="90">
        <v>215280</v>
      </c>
      <c r="U22" s="87">
        <f t="shared" si="0"/>
        <v>215280000000</v>
      </c>
      <c r="V22" s="90" t="s">
        <v>60</v>
      </c>
      <c r="W22" s="90" t="s">
        <v>66</v>
      </c>
      <c r="X22" s="90" t="s">
        <v>60</v>
      </c>
      <c r="Y22" s="98">
        <v>19.25</v>
      </c>
      <c r="Z22" s="98">
        <v>19.100000000000001</v>
      </c>
      <c r="AA22" s="90"/>
      <c r="AB22" s="94">
        <f t="shared" si="1"/>
        <v>19.175000000000001</v>
      </c>
      <c r="AC22" s="94">
        <f t="shared" si="2"/>
        <v>3.8242618254641387</v>
      </c>
      <c r="AD22" s="95">
        <f t="shared" si="3"/>
        <v>447897575.93862849</v>
      </c>
      <c r="AE22" s="94">
        <f t="shared" si="4"/>
        <v>47.729278692234303</v>
      </c>
      <c r="AF22" s="90">
        <v>21.52</v>
      </c>
      <c r="AG22" s="90">
        <v>21.46</v>
      </c>
      <c r="AH22" s="90"/>
      <c r="AI22" s="94">
        <f t="shared" si="5"/>
        <v>21.490000000000002</v>
      </c>
      <c r="AJ22" s="90">
        <f t="shared" si="6"/>
        <v>1777.4480135584031</v>
      </c>
      <c r="AK22" s="95">
        <f t="shared" si="7"/>
        <v>88.872400677920155</v>
      </c>
      <c r="AL22" s="90">
        <v>35.33</v>
      </c>
      <c r="AM22" s="90">
        <v>34.590000000000003</v>
      </c>
      <c r="AN22" s="90"/>
      <c r="AO22" s="94">
        <f t="shared" si="8"/>
        <v>34.96</v>
      </c>
      <c r="AP22" s="90">
        <f t="shared" si="9"/>
        <v>3.0278070157134421E-6</v>
      </c>
      <c r="AQ22" s="90">
        <f t="shared" si="10"/>
        <v>179.34219298602656</v>
      </c>
      <c r="AR22" s="95">
        <f t="shared" si="11"/>
        <v>8.967109649301328</v>
      </c>
      <c r="AS22" s="95">
        <f t="shared" si="12"/>
        <v>0.10089869949388186</v>
      </c>
      <c r="AT22" s="95">
        <f t="shared" si="13"/>
        <v>21721472027.042889</v>
      </c>
      <c r="AU22" s="90"/>
      <c r="AV22" s="90" t="s">
        <v>67</v>
      </c>
    </row>
    <row r="23" spans="2:48" s="86" customFormat="1" ht="14" x14ac:dyDescent="0.15">
      <c r="B23" s="90" t="s">
        <v>54</v>
      </c>
      <c r="C23" s="90" t="s">
        <v>55</v>
      </c>
      <c r="D23" s="96" t="s">
        <v>71</v>
      </c>
      <c r="E23" s="87" t="s">
        <v>57</v>
      </c>
      <c r="F23" s="89" t="s">
        <v>58</v>
      </c>
      <c r="G23" s="90" t="s">
        <v>59</v>
      </c>
      <c r="H23" s="90">
        <v>-20</v>
      </c>
      <c r="I23" s="90" t="s">
        <v>60</v>
      </c>
      <c r="J23" s="90" t="s">
        <v>61</v>
      </c>
      <c r="K23" s="90" t="s">
        <v>62</v>
      </c>
      <c r="L23" s="90" t="s">
        <v>63</v>
      </c>
      <c r="M23" s="90" t="s">
        <v>60</v>
      </c>
      <c r="N23" s="90">
        <v>200</v>
      </c>
      <c r="O23" s="90" t="s">
        <v>64</v>
      </c>
      <c r="P23" s="90" t="s">
        <v>65</v>
      </c>
      <c r="Q23" s="97">
        <v>7.61</v>
      </c>
      <c r="R23" s="90">
        <v>4</v>
      </c>
      <c r="S23" s="90">
        <v>270</v>
      </c>
      <c r="T23" s="90">
        <v>269808</v>
      </c>
      <c r="U23" s="87">
        <f t="shared" si="0"/>
        <v>269808000000</v>
      </c>
      <c r="V23" s="90" t="s">
        <v>60</v>
      </c>
      <c r="W23" s="90" t="s">
        <v>66</v>
      </c>
      <c r="X23" s="90" t="s">
        <v>60</v>
      </c>
      <c r="Y23" s="98">
        <v>17.98</v>
      </c>
      <c r="Z23" s="98">
        <v>17.87</v>
      </c>
      <c r="AA23" s="90"/>
      <c r="AB23" s="94">
        <f t="shared" si="1"/>
        <v>17.925000000000001</v>
      </c>
      <c r="AC23" s="94">
        <f t="shared" si="2"/>
        <v>8.8290331748132189</v>
      </c>
      <c r="AD23" s="95">
        <f t="shared" si="3"/>
        <v>1034056436.8655978</v>
      </c>
      <c r="AE23" s="94">
        <f t="shared" si="4"/>
        <v>110.19208522222402</v>
      </c>
      <c r="AF23" s="90">
        <v>21.85</v>
      </c>
      <c r="AG23" s="90">
        <v>21.94</v>
      </c>
      <c r="AH23" s="90"/>
      <c r="AI23" s="94">
        <f t="shared" si="5"/>
        <v>21.895000000000003</v>
      </c>
      <c r="AJ23" s="90">
        <f t="shared" si="6"/>
        <v>1324.5343825265452</v>
      </c>
      <c r="AK23" s="95">
        <f t="shared" si="7"/>
        <v>66.226719126327254</v>
      </c>
      <c r="AL23" s="90">
        <v>35.61</v>
      </c>
      <c r="AM23" s="90">
        <v>34.28</v>
      </c>
      <c r="AN23" s="90"/>
      <c r="AO23" s="94">
        <f t="shared" si="8"/>
        <v>34.945</v>
      </c>
      <c r="AP23" s="90">
        <f t="shared" si="9"/>
        <v>3.0579942745305602E-6</v>
      </c>
      <c r="AQ23" s="90">
        <f t="shared" si="10"/>
        <v>181.13023600475347</v>
      </c>
      <c r="AR23" s="95">
        <f t="shared" si="11"/>
        <v>9.0565118002376739</v>
      </c>
      <c r="AS23" s="95">
        <f t="shared" si="12"/>
        <v>0.13675012018883809</v>
      </c>
      <c r="AT23" s="95">
        <f t="shared" si="13"/>
        <v>36896276427.910027</v>
      </c>
      <c r="AU23" s="90"/>
      <c r="AV23" s="90" t="s">
        <v>67</v>
      </c>
    </row>
    <row r="24" spans="2:48" s="86" customFormat="1" ht="14" x14ac:dyDescent="0.15">
      <c r="B24" s="90" t="s">
        <v>54</v>
      </c>
      <c r="C24" s="90" t="s">
        <v>55</v>
      </c>
      <c r="D24" s="96" t="s">
        <v>72</v>
      </c>
      <c r="E24" s="87" t="s">
        <v>57</v>
      </c>
      <c r="F24" s="89" t="s">
        <v>58</v>
      </c>
      <c r="G24" s="90" t="s">
        <v>59</v>
      </c>
      <c r="H24" s="90">
        <v>-20</v>
      </c>
      <c r="I24" s="90" t="s">
        <v>60</v>
      </c>
      <c r="J24" s="90" t="s">
        <v>61</v>
      </c>
      <c r="K24" s="90" t="s">
        <v>62</v>
      </c>
      <c r="L24" s="90" t="s">
        <v>63</v>
      </c>
      <c r="M24" s="90" t="s">
        <v>60</v>
      </c>
      <c r="N24" s="90">
        <v>200</v>
      </c>
      <c r="O24" s="90" t="s">
        <v>64</v>
      </c>
      <c r="P24" s="90" t="s">
        <v>65</v>
      </c>
      <c r="Q24" s="97">
        <v>7.68</v>
      </c>
      <c r="R24" s="90">
        <v>4</v>
      </c>
      <c r="S24" s="90">
        <v>290</v>
      </c>
      <c r="T24" s="90">
        <v>184512</v>
      </c>
      <c r="U24" s="87">
        <f t="shared" si="0"/>
        <v>184512000000</v>
      </c>
      <c r="V24" s="90" t="s">
        <v>60</v>
      </c>
      <c r="W24" s="90" t="s">
        <v>66</v>
      </c>
      <c r="X24" s="90" t="s">
        <v>60</v>
      </c>
      <c r="Y24" s="94">
        <v>19.57</v>
      </c>
      <c r="Z24" s="94">
        <v>18.05</v>
      </c>
      <c r="AA24" s="90"/>
      <c r="AB24" s="94">
        <f t="shared" si="1"/>
        <v>18.810000000000002</v>
      </c>
      <c r="AC24" s="94">
        <f t="shared" si="2"/>
        <v>4.8825910776108383</v>
      </c>
      <c r="AD24" s="95">
        <f t="shared" si="3"/>
        <v>571849106.51248443</v>
      </c>
      <c r="AE24" s="94">
        <f t="shared" si="4"/>
        <v>60.937917150905498</v>
      </c>
      <c r="AF24" s="90">
        <v>20.239999999999998</v>
      </c>
      <c r="AG24" s="90">
        <v>19.66</v>
      </c>
      <c r="AH24" s="90"/>
      <c r="AI24" s="94">
        <f t="shared" si="5"/>
        <v>19.95</v>
      </c>
      <c r="AJ24" s="90">
        <f t="shared" si="6"/>
        <v>5438.7644426611096</v>
      </c>
      <c r="AK24" s="95">
        <f t="shared" si="7"/>
        <v>271.93822213305549</v>
      </c>
      <c r="AL24" s="90">
        <v>34.270000000000003</v>
      </c>
      <c r="AM24" s="90">
        <v>35.159999999999997</v>
      </c>
      <c r="AN24" s="90"/>
      <c r="AO24" s="94">
        <f t="shared" si="8"/>
        <v>34.715000000000003</v>
      </c>
      <c r="AP24" s="90">
        <f t="shared" si="9"/>
        <v>3.5604097527561493E-6</v>
      </c>
      <c r="AQ24" s="90">
        <f t="shared" si="10"/>
        <v>210.88916488875603</v>
      </c>
      <c r="AR24" s="95">
        <f t="shared" si="11"/>
        <v>10.544458244437802</v>
      </c>
      <c r="AS24" s="95">
        <f t="shared" si="12"/>
        <v>3.8775197402292898E-2</v>
      </c>
      <c r="AT24" s="95">
        <f t="shared" si="13"/>
        <v>7154489223.0918674</v>
      </c>
      <c r="AU24" s="90"/>
      <c r="AV24" s="90" t="s">
        <v>67</v>
      </c>
    </row>
    <row r="25" spans="2:48" s="86" customFormat="1" ht="14" x14ac:dyDescent="0.15">
      <c r="B25" s="90" t="s">
        <v>54</v>
      </c>
      <c r="C25" s="90" t="s">
        <v>55</v>
      </c>
      <c r="D25" s="96" t="s">
        <v>73</v>
      </c>
      <c r="E25" s="87" t="s">
        <v>57</v>
      </c>
      <c r="F25" s="89" t="s">
        <v>58</v>
      </c>
      <c r="G25" s="90" t="s">
        <v>59</v>
      </c>
      <c r="H25" s="90">
        <v>-20</v>
      </c>
      <c r="I25" s="90" t="s">
        <v>60</v>
      </c>
      <c r="J25" s="90" t="s">
        <v>61</v>
      </c>
      <c r="K25" s="90" t="s">
        <v>62</v>
      </c>
      <c r="L25" s="90" t="s">
        <v>63</v>
      </c>
      <c r="M25" s="90" t="s">
        <v>60</v>
      </c>
      <c r="N25" s="90">
        <v>200</v>
      </c>
      <c r="O25" s="90" t="s">
        <v>64</v>
      </c>
      <c r="P25" s="90" t="s">
        <v>65</v>
      </c>
      <c r="Q25" s="99">
        <v>7.28</v>
      </c>
      <c r="R25" s="90">
        <v>4</v>
      </c>
      <c r="S25" s="90">
        <v>290</v>
      </c>
      <c r="T25" s="90">
        <v>315744</v>
      </c>
      <c r="U25" s="87">
        <f t="shared" si="0"/>
        <v>315744000000</v>
      </c>
      <c r="V25" s="90" t="s">
        <v>60</v>
      </c>
      <c r="W25" s="90" t="s">
        <v>66</v>
      </c>
      <c r="X25" s="90" t="s">
        <v>60</v>
      </c>
      <c r="Y25" s="94">
        <v>18.920000000000002</v>
      </c>
      <c r="Z25" s="94">
        <v>19.149999999999999</v>
      </c>
      <c r="AA25" s="90"/>
      <c r="AB25" s="94">
        <f t="shared" si="1"/>
        <v>19.035</v>
      </c>
      <c r="AC25" s="94">
        <f t="shared" si="2"/>
        <v>4.1999542309820148</v>
      </c>
      <c r="AD25" s="95">
        <f t="shared" si="3"/>
        <v>491898673.51242924</v>
      </c>
      <c r="AE25" s="94">
        <f t="shared" si="4"/>
        <v>52.418164637783363</v>
      </c>
      <c r="AF25" s="90">
        <v>20.97</v>
      </c>
      <c r="AG25" s="90">
        <v>21.42</v>
      </c>
      <c r="AH25" s="90"/>
      <c r="AI25" s="94">
        <f t="shared" si="5"/>
        <v>21.195</v>
      </c>
      <c r="AJ25" s="90">
        <f t="shared" si="6"/>
        <v>2202.102260410873</v>
      </c>
      <c r="AK25" s="95">
        <f t="shared" si="7"/>
        <v>110.10511302054366</v>
      </c>
      <c r="AL25" s="90">
        <v>37.796133247864802</v>
      </c>
      <c r="AM25" s="90">
        <v>38.001542997309897</v>
      </c>
      <c r="AN25" s="90"/>
      <c r="AO25" s="94">
        <f t="shared" si="8"/>
        <v>37.89883812258735</v>
      </c>
      <c r="AP25" s="90">
        <f t="shared" si="9"/>
        <v>4.3351130411577017E-7</v>
      </c>
      <c r="AQ25" s="90">
        <f t="shared" si="10"/>
        <v>25.677616691179708</v>
      </c>
      <c r="AR25" s="95">
        <f t="shared" si="11"/>
        <v>1.2838808345589854</v>
      </c>
      <c r="AS25" s="95">
        <f t="shared" si="12"/>
        <v>1.1660501491147246E-2</v>
      </c>
      <c r="AT25" s="95">
        <f t="shared" si="13"/>
        <v>3681733382.820796</v>
      </c>
      <c r="AU25" s="90"/>
      <c r="AV25" s="90" t="s">
        <v>67</v>
      </c>
    </row>
    <row r="26" spans="2:48" s="86" customFormat="1" ht="14" x14ac:dyDescent="0.15">
      <c r="B26" s="90" t="s">
        <v>54</v>
      </c>
      <c r="C26" s="90" t="s">
        <v>55</v>
      </c>
      <c r="D26" s="96" t="s">
        <v>74</v>
      </c>
      <c r="E26" s="87" t="s">
        <v>57</v>
      </c>
      <c r="F26" s="89" t="s">
        <v>58</v>
      </c>
      <c r="G26" s="90" t="s">
        <v>59</v>
      </c>
      <c r="H26" s="90">
        <v>-20</v>
      </c>
      <c r="I26" s="90" t="s">
        <v>60</v>
      </c>
      <c r="J26" s="90" t="s">
        <v>61</v>
      </c>
      <c r="K26" s="90" t="s">
        <v>62</v>
      </c>
      <c r="L26" s="90" t="s">
        <v>63</v>
      </c>
      <c r="M26" s="90" t="s">
        <v>60</v>
      </c>
      <c r="N26" s="90">
        <v>200</v>
      </c>
      <c r="O26" s="90" t="s">
        <v>64</v>
      </c>
      <c r="P26" s="90" t="s">
        <v>65</v>
      </c>
      <c r="Q26" s="99">
        <v>7.89</v>
      </c>
      <c r="R26" s="90">
        <v>4</v>
      </c>
      <c r="S26" s="90">
        <v>160</v>
      </c>
      <c r="T26" s="90">
        <v>251688</v>
      </c>
      <c r="U26" s="87">
        <f t="shared" si="0"/>
        <v>251688000000</v>
      </c>
      <c r="V26" s="90" t="s">
        <v>60</v>
      </c>
      <c r="W26" s="90" t="s">
        <v>66</v>
      </c>
      <c r="X26" s="90" t="s">
        <v>60</v>
      </c>
      <c r="Y26" s="94">
        <v>19.190000000000001</v>
      </c>
      <c r="Z26" s="94">
        <v>19.059999999999999</v>
      </c>
      <c r="AA26" s="90"/>
      <c r="AB26" s="94">
        <f t="shared" si="1"/>
        <v>19.125</v>
      </c>
      <c r="AC26" s="94">
        <f t="shared" si="2"/>
        <v>3.9544149515303455</v>
      </c>
      <c r="AD26" s="95">
        <f t="shared" si="3"/>
        <v>463141111.11650914</v>
      </c>
      <c r="AE26" s="94">
        <f t="shared" si="4"/>
        <v>49.353674486820239</v>
      </c>
      <c r="AF26" s="90">
        <v>21.48</v>
      </c>
      <c r="AG26" s="90">
        <v>21.59</v>
      </c>
      <c r="AH26" s="90"/>
      <c r="AI26" s="94">
        <f t="shared" si="5"/>
        <v>21.535</v>
      </c>
      <c r="AJ26" s="90">
        <f t="shared" si="6"/>
        <v>1720.3003484319688</v>
      </c>
      <c r="AK26" s="95">
        <f t="shared" si="7"/>
        <v>86.015017421598444</v>
      </c>
      <c r="AL26" s="90">
        <v>38.214794656121398</v>
      </c>
      <c r="AM26" s="90">
        <v>35.951272566562402</v>
      </c>
      <c r="AN26" s="90"/>
      <c r="AO26" s="94">
        <f t="shared" si="8"/>
        <v>37.083033611341904</v>
      </c>
      <c r="AP26" s="90">
        <f t="shared" si="9"/>
        <v>7.4357610450285444E-7</v>
      </c>
      <c r="AQ26" s="90">
        <f t="shared" si="10"/>
        <v>44.043285632630202</v>
      </c>
      <c r="AR26" s="95">
        <f t="shared" si="11"/>
        <v>2.2021642816315099</v>
      </c>
      <c r="AS26" s="95">
        <f t="shared" si="12"/>
        <v>2.5602090746987917E-2</v>
      </c>
      <c r="AT26" s="95">
        <f t="shared" si="13"/>
        <v>6443739015.9278946</v>
      </c>
      <c r="AU26" s="90"/>
      <c r="AV26" s="90" t="s">
        <v>67</v>
      </c>
    </row>
    <row r="27" spans="2:48" s="86" customFormat="1" ht="14" x14ac:dyDescent="0.15">
      <c r="B27" s="90" t="s">
        <v>54</v>
      </c>
      <c r="C27" s="90" t="s">
        <v>55</v>
      </c>
      <c r="D27" s="96">
        <v>43839</v>
      </c>
      <c r="E27" s="87" t="s">
        <v>57</v>
      </c>
      <c r="F27" s="89" t="s">
        <v>58</v>
      </c>
      <c r="G27" s="90" t="s">
        <v>59</v>
      </c>
      <c r="H27" s="90">
        <v>-20</v>
      </c>
      <c r="I27" s="90" t="s">
        <v>60</v>
      </c>
      <c r="J27" s="90" t="s">
        <v>61</v>
      </c>
      <c r="K27" s="90" t="s">
        <v>62</v>
      </c>
      <c r="L27" s="90" t="s">
        <v>63</v>
      </c>
      <c r="M27" s="90" t="s">
        <v>60</v>
      </c>
      <c r="N27" s="90">
        <v>200</v>
      </c>
      <c r="O27" s="90" t="s">
        <v>64</v>
      </c>
      <c r="P27" s="90" t="s">
        <v>65</v>
      </c>
      <c r="Q27" s="99">
        <v>7.93</v>
      </c>
      <c r="R27" s="90">
        <v>4</v>
      </c>
      <c r="S27" s="90">
        <v>230</v>
      </c>
      <c r="T27" s="90">
        <v>201024</v>
      </c>
      <c r="U27" s="87">
        <f t="shared" si="0"/>
        <v>201024000000</v>
      </c>
      <c r="V27" s="90" t="s">
        <v>60</v>
      </c>
      <c r="W27" s="90" t="s">
        <v>66</v>
      </c>
      <c r="X27" s="90" t="s">
        <v>60</v>
      </c>
      <c r="Y27" s="94">
        <v>19.100000000000001</v>
      </c>
      <c r="Z27" s="94">
        <v>19.07</v>
      </c>
      <c r="AA27" s="90"/>
      <c r="AB27" s="94">
        <f t="shared" si="1"/>
        <v>19.085000000000001</v>
      </c>
      <c r="AC27" s="94">
        <f t="shared" si="2"/>
        <v>4.0617195795361019</v>
      </c>
      <c r="AD27" s="95">
        <f t="shared" si="3"/>
        <v>475708630.01669359</v>
      </c>
      <c r="AE27" s="94">
        <f t="shared" si="4"/>
        <v>50.692906142182032</v>
      </c>
      <c r="AF27" s="90">
        <v>21.85</v>
      </c>
      <c r="AG27" s="90">
        <v>21.6</v>
      </c>
      <c r="AH27" s="90"/>
      <c r="AI27" s="94">
        <f t="shared" si="5"/>
        <v>21.725000000000001</v>
      </c>
      <c r="AJ27" s="90">
        <f t="shared" si="6"/>
        <v>1498.5796782838979</v>
      </c>
      <c r="AK27" s="95">
        <f t="shared" si="7"/>
        <v>74.928983914194902</v>
      </c>
      <c r="AL27" s="90">
        <v>35.397427833068001</v>
      </c>
      <c r="AM27" s="90">
        <v>35.9061916827593</v>
      </c>
      <c r="AN27" s="90"/>
      <c r="AO27" s="94">
        <f t="shared" si="8"/>
        <v>35.651809757913654</v>
      </c>
      <c r="AP27" s="90">
        <f t="shared" si="9"/>
        <v>1.9161011378811582E-6</v>
      </c>
      <c r="AQ27" s="90">
        <f t="shared" si="10"/>
        <v>113.49395066041103</v>
      </c>
      <c r="AR27" s="95">
        <f t="shared" si="11"/>
        <v>5.6746975330205514</v>
      </c>
      <c r="AS27" s="95">
        <f t="shared" si="12"/>
        <v>7.573434519703276E-2</v>
      </c>
      <c r="AT27" s="95">
        <f t="shared" si="13"/>
        <v>15224421008.888313</v>
      </c>
      <c r="AU27" s="90"/>
      <c r="AV27" s="90" t="s">
        <v>67</v>
      </c>
    </row>
    <row r="28" spans="2:48" s="5" customFormat="1" x14ac:dyDescent="0.15">
      <c r="B28" s="8"/>
      <c r="C28" s="8"/>
      <c r="D28" s="33"/>
      <c r="E28" s="10" t="s">
        <v>75</v>
      </c>
      <c r="F28" s="30"/>
      <c r="G28" s="8"/>
      <c r="H28" s="8"/>
      <c r="I28" s="8"/>
      <c r="J28" s="8"/>
      <c r="K28" s="8"/>
      <c r="L28" s="8"/>
      <c r="M28" s="8"/>
      <c r="N28" s="8"/>
      <c r="O28" s="8"/>
      <c r="P28" s="8"/>
      <c r="Q28" s="20"/>
      <c r="R28" s="8"/>
      <c r="S28" s="8"/>
      <c r="T28" s="8"/>
      <c r="U28" s="10"/>
      <c r="V28" s="8"/>
      <c r="W28" s="8"/>
      <c r="X28" s="8"/>
      <c r="Y28" s="18">
        <v>17.96</v>
      </c>
      <c r="Z28" s="18">
        <v>18.18</v>
      </c>
      <c r="AA28" s="8"/>
      <c r="AB28" s="18">
        <f t="shared" ref="AB28" si="14">AVERAGE(Y28:AA28)</f>
        <v>18.07</v>
      </c>
      <c r="AC28" s="18">
        <f t="shared" ref="AC28" si="15">EXP((AB28-21.179)/-1.494)</f>
        <v>8.0124023036752021</v>
      </c>
      <c r="AD28" s="19">
        <f>(AC28*(6.0221*10^23))/(15123*340*10^9)</f>
        <v>938412622.63094449</v>
      </c>
      <c r="AE28" s="78">
        <f t="shared" si="4"/>
        <v>100</v>
      </c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2:48" s="5" customFormat="1" x14ac:dyDescent="0.15">
      <c r="B29" s="8"/>
      <c r="C29" s="8"/>
      <c r="D29" s="17"/>
      <c r="E29" s="10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20"/>
      <c r="R29" s="8"/>
      <c r="S29" s="8"/>
      <c r="T29" s="8"/>
      <c r="U29" s="10">
        <f t="shared" si="0"/>
        <v>0</v>
      </c>
      <c r="V29" s="8"/>
      <c r="W29" s="8"/>
      <c r="X29" s="8"/>
      <c r="Y29" s="18"/>
      <c r="Z29" s="18"/>
      <c r="AA29" s="8"/>
      <c r="AB29" s="18"/>
      <c r="AC29" s="18"/>
      <c r="AD29" s="19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2:48" s="86" customFormat="1" ht="14" x14ac:dyDescent="0.15">
      <c r="B30" s="90" t="s">
        <v>54</v>
      </c>
      <c r="C30" s="90" t="s">
        <v>55</v>
      </c>
      <c r="D30" s="96">
        <v>44053</v>
      </c>
      <c r="E30" s="87" t="s">
        <v>57</v>
      </c>
      <c r="F30" s="89" t="s">
        <v>58</v>
      </c>
      <c r="G30" s="90" t="s">
        <v>59</v>
      </c>
      <c r="H30" s="90">
        <v>-20</v>
      </c>
      <c r="I30" s="90" t="s">
        <v>60</v>
      </c>
      <c r="J30" s="90" t="s">
        <v>61</v>
      </c>
      <c r="K30" s="90" t="s">
        <v>62</v>
      </c>
      <c r="L30" s="90" t="s">
        <v>63</v>
      </c>
      <c r="M30" s="90" t="s">
        <v>60</v>
      </c>
      <c r="N30" s="90">
        <v>200</v>
      </c>
      <c r="O30" s="90" t="s">
        <v>64</v>
      </c>
      <c r="P30" s="90" t="s">
        <v>65</v>
      </c>
      <c r="Q30" s="97" t="s">
        <v>76</v>
      </c>
      <c r="R30" s="90">
        <v>4</v>
      </c>
      <c r="S30" s="90" t="s">
        <v>60</v>
      </c>
      <c r="T30" s="90">
        <v>192744</v>
      </c>
      <c r="U30" s="87">
        <f>T30*1000000</f>
        <v>192744000000</v>
      </c>
      <c r="V30" s="90" t="s">
        <v>60</v>
      </c>
      <c r="W30" s="90" t="s">
        <v>66</v>
      </c>
      <c r="X30" s="90" t="s">
        <v>60</v>
      </c>
      <c r="Y30" s="98">
        <v>22.256965639885699</v>
      </c>
      <c r="Z30" s="98">
        <v>22.251730791014499</v>
      </c>
      <c r="AA30" s="90"/>
      <c r="AB30" s="94">
        <f t="shared" ref="AB30:AB40" si="16">AVERAGE(Y30:AA30)</f>
        <v>22.254348215450101</v>
      </c>
      <c r="AC30" s="94">
        <f t="shared" ref="AC30:AC40" si="17">EXP((AB30-21.179)/-1.494)</f>
        <v>0.486860364937171</v>
      </c>
      <c r="AD30" s="95">
        <f t="shared" ref="AD30:AD40" si="18">(AC30*(6.0221*10^23))/(15123*340*10^9)</f>
        <v>57021089.880395211</v>
      </c>
      <c r="AE30" s="100">
        <f t="shared" ref="AE30:AE40" si="19">AD30*100/AD$62</f>
        <v>8.7326055539243548</v>
      </c>
      <c r="AF30" s="90">
        <v>25.253650203929901</v>
      </c>
      <c r="AG30" s="90">
        <v>25.241444816144799</v>
      </c>
      <c r="AH30" s="90"/>
      <c r="AI30" s="94">
        <f t="shared" ref="AI30:AI39" si="20">AVERAGE(AF30:AH30)</f>
        <v>25.24754751003735</v>
      </c>
      <c r="AJ30" s="90">
        <f>EXP((AI30-31.794)/-1.377)</f>
        <v>116.06393949613692</v>
      </c>
      <c r="AK30" s="95">
        <f>(AJ30/5)*(50/200)</f>
        <v>5.8031969748068466</v>
      </c>
      <c r="AL30" s="90">
        <v>37.238504373887501</v>
      </c>
      <c r="AM30" s="90">
        <v>37.832624948582797</v>
      </c>
      <c r="AN30" s="90"/>
      <c r="AO30" s="94">
        <f>AVERAGE(AL30:AN30)</f>
        <v>37.535564661235149</v>
      </c>
      <c r="AP30" s="90">
        <f>EXP((AO30-15.746)/-1.512)</f>
        <v>5.5124430631876794E-7</v>
      </c>
      <c r="AQ30" s="90">
        <f>(AP30*(6.0221*10^23))/(29903*340*10^9)</f>
        <v>32.651143964330281</v>
      </c>
      <c r="AR30" s="95">
        <f>(AQ30/5)*(50/200)</f>
        <v>1.6325571982165141</v>
      </c>
      <c r="AS30" s="95">
        <f>AR30/AK30</f>
        <v>0.28132031452729589</v>
      </c>
      <c r="AT30" s="95">
        <f>AS30*U30</f>
        <v>54222802703.249123</v>
      </c>
      <c r="AU30" s="90"/>
      <c r="AV30" s="90" t="s">
        <v>67</v>
      </c>
    </row>
    <row r="31" spans="2:48" s="86" customFormat="1" ht="14" x14ac:dyDescent="0.15">
      <c r="B31" s="90" t="s">
        <v>54</v>
      </c>
      <c r="C31" s="90" t="s">
        <v>55</v>
      </c>
      <c r="D31" s="96">
        <v>44081</v>
      </c>
      <c r="E31" s="87" t="s">
        <v>57</v>
      </c>
      <c r="F31" s="89" t="s">
        <v>58</v>
      </c>
      <c r="G31" s="90" t="s">
        <v>59</v>
      </c>
      <c r="H31" s="90">
        <v>-20</v>
      </c>
      <c r="I31" s="90" t="s">
        <v>60</v>
      </c>
      <c r="J31" s="90" t="s">
        <v>61</v>
      </c>
      <c r="K31" s="90" t="s">
        <v>62</v>
      </c>
      <c r="L31" s="90" t="s">
        <v>63</v>
      </c>
      <c r="M31" s="90" t="s">
        <v>60</v>
      </c>
      <c r="N31" s="90">
        <v>200</v>
      </c>
      <c r="O31" s="90" t="s">
        <v>64</v>
      </c>
      <c r="P31" s="90" t="s">
        <v>65</v>
      </c>
      <c r="Q31" s="97" t="s">
        <v>77</v>
      </c>
      <c r="R31" s="90">
        <v>4</v>
      </c>
      <c r="S31" s="90" t="s">
        <v>60</v>
      </c>
      <c r="T31" s="90">
        <v>196440</v>
      </c>
      <c r="U31" s="87">
        <f t="shared" si="0"/>
        <v>196440000000</v>
      </c>
      <c r="V31" s="90" t="s">
        <v>60</v>
      </c>
      <c r="W31" s="90" t="s">
        <v>66</v>
      </c>
      <c r="X31" s="90" t="s">
        <v>60</v>
      </c>
      <c r="Y31" s="98">
        <v>21.152493297365201</v>
      </c>
      <c r="Z31" s="98">
        <v>21.381691363377499</v>
      </c>
      <c r="AA31" s="90"/>
      <c r="AB31" s="94">
        <f t="shared" si="16"/>
        <v>21.267092330371348</v>
      </c>
      <c r="AC31" s="94">
        <f t="shared" si="17"/>
        <v>0.94274063504130745</v>
      </c>
      <c r="AD31" s="95">
        <f t="shared" si="18"/>
        <v>110413790.80330032</v>
      </c>
      <c r="AE31" s="100">
        <f t="shared" si="19"/>
        <v>16.909534434034907</v>
      </c>
      <c r="AF31" s="90">
        <v>23.049266014950199</v>
      </c>
      <c r="AG31" s="90">
        <v>23.501225303326301</v>
      </c>
      <c r="AH31" s="90"/>
      <c r="AI31" s="94">
        <f t="shared" si="20"/>
        <v>23.27524565913825</v>
      </c>
      <c r="AJ31" s="90">
        <f t="shared" ref="AJ31:AJ39" si="21">EXP((AI31-31.794)/-1.377)</f>
        <v>486.12180317287471</v>
      </c>
      <c r="AK31" s="95">
        <f t="shared" ref="AK31:AK39" si="22">(AJ31/5)*(50/200)</f>
        <v>24.306090158643734</v>
      </c>
      <c r="AL31" s="90">
        <v>32.386545612621397</v>
      </c>
      <c r="AM31" s="90">
        <v>32.835001406367702</v>
      </c>
      <c r="AN31" s="90"/>
      <c r="AO31" s="94">
        <f t="shared" ref="AO31:AO39" si="23">AVERAGE(AL31:AN31)</f>
        <v>32.61077350949455</v>
      </c>
      <c r="AP31" s="90">
        <f t="shared" ref="AP31:AP39" si="24">EXP((AO31-15.746)/-1.512)</f>
        <v>1.4318606196827343E-5</v>
      </c>
      <c r="AQ31" s="90">
        <f t="shared" ref="AQ31:AQ39" si="25">(AP31*(6.0221*10^23))/(29903*340*10^9)</f>
        <v>848.11555773386829</v>
      </c>
      <c r="AR31" s="95">
        <f t="shared" ref="AR31:AR39" si="26">(AQ31/5)*(50/200)</f>
        <v>42.405777886693414</v>
      </c>
      <c r="AS31" s="95">
        <f t="shared" ref="AS31:AS39" si="27">AR31/AK31</f>
        <v>1.7446564877326873</v>
      </c>
      <c r="AT31" s="95">
        <f t="shared" ref="AT31:AT39" si="28">AS31*U31</f>
        <v>342720320450.20911</v>
      </c>
      <c r="AU31" s="90"/>
      <c r="AV31" s="90" t="s">
        <v>67</v>
      </c>
    </row>
    <row r="32" spans="2:48" s="86" customFormat="1" ht="14" x14ac:dyDescent="0.15">
      <c r="B32" s="90" t="s">
        <v>54</v>
      </c>
      <c r="C32" s="90" t="s">
        <v>55</v>
      </c>
      <c r="D32" s="96">
        <v>44084</v>
      </c>
      <c r="E32" s="87" t="s">
        <v>57</v>
      </c>
      <c r="F32" s="89" t="s">
        <v>58</v>
      </c>
      <c r="G32" s="90" t="s">
        <v>59</v>
      </c>
      <c r="H32" s="90">
        <v>-20</v>
      </c>
      <c r="I32" s="90" t="s">
        <v>60</v>
      </c>
      <c r="J32" s="90" t="s">
        <v>61</v>
      </c>
      <c r="K32" s="90" t="s">
        <v>62</v>
      </c>
      <c r="L32" s="90" t="s">
        <v>63</v>
      </c>
      <c r="M32" s="90" t="s">
        <v>60</v>
      </c>
      <c r="N32" s="90">
        <v>200</v>
      </c>
      <c r="O32" s="90" t="s">
        <v>64</v>
      </c>
      <c r="P32" s="90" t="s">
        <v>65</v>
      </c>
      <c r="Q32" s="97" t="s">
        <v>78</v>
      </c>
      <c r="R32" s="90">
        <v>4</v>
      </c>
      <c r="S32" s="90" t="s">
        <v>60</v>
      </c>
      <c r="T32" s="90">
        <v>352152</v>
      </c>
      <c r="U32" s="87">
        <f t="shared" si="0"/>
        <v>352152000000</v>
      </c>
      <c r="V32" s="90" t="s">
        <v>60</v>
      </c>
      <c r="W32" s="90" t="s">
        <v>66</v>
      </c>
      <c r="X32" s="90" t="s">
        <v>60</v>
      </c>
      <c r="Y32" s="98">
        <v>28.583557554657201</v>
      </c>
      <c r="Z32" s="98">
        <v>28.4929627797911</v>
      </c>
      <c r="AA32" s="90"/>
      <c r="AB32" s="94">
        <f t="shared" si="16"/>
        <v>28.538260167224152</v>
      </c>
      <c r="AC32" s="94">
        <f t="shared" si="17"/>
        <v>7.2563600047962648E-3</v>
      </c>
      <c r="AD32" s="95">
        <f t="shared" si="18"/>
        <v>849864.94246946764</v>
      </c>
      <c r="AE32" s="100">
        <f t="shared" si="19"/>
        <v>0.13015421718984227</v>
      </c>
      <c r="AF32" s="90">
        <v>31.084241792171099</v>
      </c>
      <c r="AG32" s="90">
        <v>31.139026854673201</v>
      </c>
      <c r="AH32" s="90"/>
      <c r="AI32" s="94">
        <f t="shared" si="20"/>
        <v>31.111634323422152</v>
      </c>
      <c r="AJ32" s="90">
        <f t="shared" si="21"/>
        <v>1.6413928064782206</v>
      </c>
      <c r="AK32" s="95">
        <f t="shared" si="22"/>
        <v>8.2069640323911036E-2</v>
      </c>
      <c r="AL32" s="90">
        <v>37.1826824413248</v>
      </c>
      <c r="AM32" s="90">
        <v>38.489713129602798</v>
      </c>
      <c r="AN32" s="90"/>
      <c r="AO32" s="94">
        <f t="shared" si="23"/>
        <v>37.836197785463796</v>
      </c>
      <c r="AP32" s="90">
        <f t="shared" si="24"/>
        <v>4.5184837348668765E-7</v>
      </c>
      <c r="AQ32" s="90">
        <f t="shared" si="25"/>
        <v>26.763752702111155</v>
      </c>
      <c r="AR32" s="95">
        <f t="shared" si="26"/>
        <v>1.3381876351055577</v>
      </c>
      <c r="AS32" s="95">
        <f t="shared" si="27"/>
        <v>16.305513583634848</v>
      </c>
      <c r="AT32" s="95">
        <f t="shared" si="28"/>
        <v>5742019219504.1787</v>
      </c>
      <c r="AU32" s="90"/>
      <c r="AV32" s="90" t="s">
        <v>67</v>
      </c>
    </row>
    <row r="33" spans="2:48" s="86" customFormat="1" ht="14" x14ac:dyDescent="0.15">
      <c r="B33" s="90" t="s">
        <v>54</v>
      </c>
      <c r="C33" s="90" t="s">
        <v>55</v>
      </c>
      <c r="D33" s="96">
        <v>44091</v>
      </c>
      <c r="E33" s="87" t="s">
        <v>57</v>
      </c>
      <c r="F33" s="89" t="s">
        <v>58</v>
      </c>
      <c r="G33" s="90" t="s">
        <v>59</v>
      </c>
      <c r="H33" s="90">
        <v>-20</v>
      </c>
      <c r="I33" s="90" t="s">
        <v>60</v>
      </c>
      <c r="J33" s="90" t="s">
        <v>61</v>
      </c>
      <c r="K33" s="90" t="s">
        <v>62</v>
      </c>
      <c r="L33" s="90" t="s">
        <v>63</v>
      </c>
      <c r="M33" s="90" t="s">
        <v>60</v>
      </c>
      <c r="N33" s="90">
        <v>200</v>
      </c>
      <c r="O33" s="90" t="s">
        <v>64</v>
      </c>
      <c r="P33" s="90" t="s">
        <v>65</v>
      </c>
      <c r="Q33" s="97" t="s">
        <v>79</v>
      </c>
      <c r="R33" s="90">
        <v>4</v>
      </c>
      <c r="S33" s="90" t="s">
        <v>60</v>
      </c>
      <c r="T33" s="90">
        <v>202920</v>
      </c>
      <c r="U33" s="87">
        <f t="shared" si="0"/>
        <v>202920000000</v>
      </c>
      <c r="V33" s="90" t="s">
        <v>60</v>
      </c>
      <c r="W33" s="90" t="s">
        <v>66</v>
      </c>
      <c r="X33" s="90" t="s">
        <v>60</v>
      </c>
      <c r="Y33" s="98">
        <v>19.797647944433798</v>
      </c>
      <c r="Z33" s="98">
        <v>23.879007464660901</v>
      </c>
      <c r="AA33" s="90"/>
      <c r="AB33" s="94">
        <f t="shared" si="16"/>
        <v>21.83832770454735</v>
      </c>
      <c r="AC33" s="94">
        <f t="shared" si="17"/>
        <v>0.64318873753831518</v>
      </c>
      <c r="AD33" s="95">
        <f t="shared" si="18"/>
        <v>75330270.144219115</v>
      </c>
      <c r="AE33" s="100">
        <f t="shared" si="19"/>
        <v>11.536600524820948</v>
      </c>
      <c r="AF33" s="90">
        <v>21.555558467025602</v>
      </c>
      <c r="AG33" s="90">
        <v>19.619996524754502</v>
      </c>
      <c r="AH33" s="90"/>
      <c r="AI33" s="94">
        <f t="shared" si="20"/>
        <v>20.587777495890052</v>
      </c>
      <c r="AJ33" s="90">
        <f t="shared" si="21"/>
        <v>3422.5552647418513</v>
      </c>
      <c r="AK33" s="95">
        <f t="shared" si="22"/>
        <v>171.12776323709255</v>
      </c>
      <c r="AL33" s="90">
        <v>33.223136115075597</v>
      </c>
      <c r="AM33" s="90">
        <v>33.018477120039002</v>
      </c>
      <c r="AN33" s="90"/>
      <c r="AO33" s="94">
        <f t="shared" si="23"/>
        <v>33.120806617557299</v>
      </c>
      <c r="AP33" s="90">
        <f t="shared" si="24"/>
        <v>1.0218873360529663E-5</v>
      </c>
      <c r="AQ33" s="90">
        <f t="shared" si="25"/>
        <v>605.28136331437997</v>
      </c>
      <c r="AR33" s="95">
        <f t="shared" si="26"/>
        <v>30.264068165718999</v>
      </c>
      <c r="AS33" s="95">
        <f t="shared" si="27"/>
        <v>0.17685072014754855</v>
      </c>
      <c r="AT33" s="95">
        <f t="shared" si="28"/>
        <v>35886548132.340553</v>
      </c>
      <c r="AU33" s="90"/>
      <c r="AV33" s="90" t="s">
        <v>67</v>
      </c>
    </row>
    <row r="34" spans="2:48" s="86" customFormat="1" ht="14" x14ac:dyDescent="0.15">
      <c r="B34" s="90" t="s">
        <v>54</v>
      </c>
      <c r="C34" s="90" t="s">
        <v>55</v>
      </c>
      <c r="D34" s="96">
        <v>44095</v>
      </c>
      <c r="E34" s="87" t="s">
        <v>57</v>
      </c>
      <c r="F34" s="89" t="s">
        <v>58</v>
      </c>
      <c r="G34" s="90" t="s">
        <v>59</v>
      </c>
      <c r="H34" s="90">
        <v>-20</v>
      </c>
      <c r="I34" s="90" t="s">
        <v>60</v>
      </c>
      <c r="J34" s="90" t="s">
        <v>61</v>
      </c>
      <c r="K34" s="90" t="s">
        <v>62</v>
      </c>
      <c r="L34" s="90" t="s">
        <v>63</v>
      </c>
      <c r="M34" s="90" t="s">
        <v>60</v>
      </c>
      <c r="N34" s="90">
        <v>200</v>
      </c>
      <c r="O34" s="90" t="s">
        <v>64</v>
      </c>
      <c r="P34" s="90" t="s">
        <v>65</v>
      </c>
      <c r="Q34" s="97" t="s">
        <v>80</v>
      </c>
      <c r="R34" s="90">
        <v>4</v>
      </c>
      <c r="S34" s="90" t="s">
        <v>60</v>
      </c>
      <c r="T34" s="90">
        <v>184560</v>
      </c>
      <c r="U34" s="87">
        <f t="shared" si="0"/>
        <v>184560000000</v>
      </c>
      <c r="V34" s="90" t="s">
        <v>60</v>
      </c>
      <c r="W34" s="90" t="s">
        <v>66</v>
      </c>
      <c r="X34" s="90" t="s">
        <v>60</v>
      </c>
      <c r="Y34" s="94">
        <v>31.621395944206199</v>
      </c>
      <c r="Z34" s="94">
        <v>31.713536923192201</v>
      </c>
      <c r="AA34" s="90"/>
      <c r="AB34" s="94">
        <f t="shared" si="16"/>
        <v>31.6674664336992</v>
      </c>
      <c r="AC34" s="94">
        <f t="shared" si="17"/>
        <v>8.9347471203989721E-4</v>
      </c>
      <c r="AD34" s="95">
        <f t="shared" si="18"/>
        <v>104643.7655027882</v>
      </c>
      <c r="AE34" s="100">
        <f t="shared" si="19"/>
        <v>1.6025872703064378E-2</v>
      </c>
      <c r="AF34" s="90">
        <v>32.847940077451902</v>
      </c>
      <c r="AG34" s="90">
        <v>32.818997153326897</v>
      </c>
      <c r="AH34" s="90"/>
      <c r="AI34" s="94">
        <f t="shared" si="20"/>
        <v>32.8334686153894</v>
      </c>
      <c r="AJ34" s="90">
        <f t="shared" si="21"/>
        <v>0.47006741012484066</v>
      </c>
      <c r="AK34" s="95">
        <f t="shared" si="22"/>
        <v>2.3503370506242034E-2</v>
      </c>
      <c r="AL34" s="90">
        <v>37.7306419168819</v>
      </c>
      <c r="AM34" s="90"/>
      <c r="AN34" s="90"/>
      <c r="AO34" s="94">
        <f t="shared" si="23"/>
        <v>37.7306419168819</v>
      </c>
      <c r="AP34" s="90">
        <f t="shared" si="24"/>
        <v>4.8452001885410574E-7</v>
      </c>
      <c r="AQ34" s="90">
        <f t="shared" si="25"/>
        <v>28.698950189350569</v>
      </c>
      <c r="AR34" s="95">
        <f t="shared" si="26"/>
        <v>1.4349475094675284</v>
      </c>
      <c r="AS34" s="95">
        <f t="shared" si="27"/>
        <v>61.052839595343762</v>
      </c>
      <c r="AT34" s="95">
        <f t="shared" si="28"/>
        <v>11267912075716.645</v>
      </c>
      <c r="AU34" s="90"/>
      <c r="AV34" s="90" t="s">
        <v>67</v>
      </c>
    </row>
    <row r="35" spans="2:48" s="86" customFormat="1" ht="14" x14ac:dyDescent="0.15">
      <c r="B35" s="90" t="s">
        <v>54</v>
      </c>
      <c r="C35" s="90" t="s">
        <v>55</v>
      </c>
      <c r="D35" s="96">
        <v>44095</v>
      </c>
      <c r="E35" s="87" t="s">
        <v>57</v>
      </c>
      <c r="F35" s="89" t="s">
        <v>58</v>
      </c>
      <c r="G35" s="90" t="s">
        <v>59</v>
      </c>
      <c r="H35" s="90">
        <v>-20</v>
      </c>
      <c r="I35" s="90" t="s">
        <v>60</v>
      </c>
      <c r="J35" s="90" t="s">
        <v>61</v>
      </c>
      <c r="K35" s="90" t="s">
        <v>62</v>
      </c>
      <c r="L35" s="90" t="s">
        <v>63</v>
      </c>
      <c r="M35" s="90" t="s">
        <v>60</v>
      </c>
      <c r="N35" s="90">
        <v>200</v>
      </c>
      <c r="O35" s="90" t="s">
        <v>64</v>
      </c>
      <c r="P35" s="90" t="s">
        <v>65</v>
      </c>
      <c r="Q35" s="99" t="s">
        <v>79</v>
      </c>
      <c r="R35" s="90">
        <v>4</v>
      </c>
      <c r="S35" s="90" t="s">
        <v>60</v>
      </c>
      <c r="T35" s="90">
        <v>184560</v>
      </c>
      <c r="U35" s="87">
        <f t="shared" si="0"/>
        <v>184560000000</v>
      </c>
      <c r="V35" s="90" t="s">
        <v>60</v>
      </c>
      <c r="W35" s="90" t="s">
        <v>66</v>
      </c>
      <c r="X35" s="90" t="s">
        <v>60</v>
      </c>
      <c r="Y35" s="94">
        <v>20.2348708712234</v>
      </c>
      <c r="Z35" s="94">
        <v>20.235866024488001</v>
      </c>
      <c r="AA35" s="90"/>
      <c r="AB35" s="94">
        <f t="shared" si="16"/>
        <v>20.235368447855699</v>
      </c>
      <c r="AC35" s="94">
        <f t="shared" si="17"/>
        <v>1.8806437868974373</v>
      </c>
      <c r="AD35" s="95">
        <f t="shared" si="18"/>
        <v>220261015.5368149</v>
      </c>
      <c r="AE35" s="100">
        <f t="shared" si="19"/>
        <v>33.732301006949413</v>
      </c>
      <c r="AF35" s="90">
        <v>21.6271245702602</v>
      </c>
      <c r="AG35" s="90">
        <v>21.697014618844801</v>
      </c>
      <c r="AH35" s="90"/>
      <c r="AI35" s="94">
        <f t="shared" si="20"/>
        <v>21.662069594552499</v>
      </c>
      <c r="AJ35" s="90">
        <f t="shared" si="21"/>
        <v>1568.6554821643167</v>
      </c>
      <c r="AK35" s="95">
        <f t="shared" si="22"/>
        <v>78.432774108215838</v>
      </c>
      <c r="AL35" s="90">
        <v>33.266644688322003</v>
      </c>
      <c r="AM35" s="90">
        <v>33.610874788475599</v>
      </c>
      <c r="AN35" s="90"/>
      <c r="AO35" s="94">
        <f t="shared" si="23"/>
        <v>33.438759738398801</v>
      </c>
      <c r="AP35" s="90">
        <f t="shared" si="24"/>
        <v>8.2808853119960069E-6</v>
      </c>
      <c r="AQ35" s="90">
        <f t="shared" si="25"/>
        <v>490.49101346678913</v>
      </c>
      <c r="AR35" s="95">
        <f t="shared" si="26"/>
        <v>24.524550673339455</v>
      </c>
      <c r="AS35" s="95">
        <f t="shared" si="27"/>
        <v>0.31268243348759106</v>
      </c>
      <c r="AT35" s="95">
        <f t="shared" si="28"/>
        <v>57708669924.469803</v>
      </c>
      <c r="AU35" s="90"/>
      <c r="AV35" s="90" t="s">
        <v>67</v>
      </c>
    </row>
    <row r="36" spans="2:48" s="86" customFormat="1" ht="14" x14ac:dyDescent="0.15">
      <c r="B36" s="90" t="s">
        <v>54</v>
      </c>
      <c r="C36" s="90" t="s">
        <v>55</v>
      </c>
      <c r="D36" s="96">
        <v>44102</v>
      </c>
      <c r="E36" s="87" t="s">
        <v>57</v>
      </c>
      <c r="F36" s="89" t="s">
        <v>58</v>
      </c>
      <c r="G36" s="90" t="s">
        <v>59</v>
      </c>
      <c r="H36" s="90">
        <v>-20</v>
      </c>
      <c r="I36" s="90" t="s">
        <v>60</v>
      </c>
      <c r="J36" s="90" t="s">
        <v>61</v>
      </c>
      <c r="K36" s="90" t="s">
        <v>62</v>
      </c>
      <c r="L36" s="90" t="s">
        <v>63</v>
      </c>
      <c r="M36" s="90" t="s">
        <v>60</v>
      </c>
      <c r="N36" s="90">
        <v>200</v>
      </c>
      <c r="O36" s="90" t="s">
        <v>64</v>
      </c>
      <c r="P36" s="90" t="s">
        <v>65</v>
      </c>
      <c r="Q36" s="99" t="s">
        <v>81</v>
      </c>
      <c r="R36" s="90">
        <v>4</v>
      </c>
      <c r="S36" s="90" t="s">
        <v>60</v>
      </c>
      <c r="T36" s="90">
        <v>179496</v>
      </c>
      <c r="U36" s="87">
        <f t="shared" si="0"/>
        <v>179496000000</v>
      </c>
      <c r="V36" s="90" t="s">
        <v>60</v>
      </c>
      <c r="W36" s="90" t="s">
        <v>66</v>
      </c>
      <c r="X36" s="90" t="s">
        <v>60</v>
      </c>
      <c r="Y36" s="94">
        <v>20.2227484610852</v>
      </c>
      <c r="Z36" s="94">
        <v>20.222341193848099</v>
      </c>
      <c r="AA36" s="90"/>
      <c r="AB36" s="94">
        <f t="shared" si="16"/>
        <v>20.222544827466649</v>
      </c>
      <c r="AC36" s="94">
        <f t="shared" si="17"/>
        <v>1.8968556077979577</v>
      </c>
      <c r="AD36" s="95">
        <f t="shared" si="18"/>
        <v>222159744.13184592</v>
      </c>
      <c r="AE36" s="100">
        <f t="shared" si="19"/>
        <v>34.023085485273874</v>
      </c>
      <c r="AF36" s="90">
        <v>21.652128109185998</v>
      </c>
      <c r="AG36" s="90">
        <v>21.8353666667747</v>
      </c>
      <c r="AH36" s="90"/>
      <c r="AI36" s="94">
        <f t="shared" si="20"/>
        <v>21.743747387980349</v>
      </c>
      <c r="AJ36" s="90">
        <f t="shared" si="21"/>
        <v>1478.3152836630034</v>
      </c>
      <c r="AK36" s="95">
        <f t="shared" si="22"/>
        <v>73.915764183150173</v>
      </c>
      <c r="AL36" s="90">
        <v>32.3111938232448</v>
      </c>
      <c r="AM36" s="90">
        <v>32.248771369762501</v>
      </c>
      <c r="AN36" s="90"/>
      <c r="AO36" s="94">
        <f t="shared" si="23"/>
        <v>32.27998259650365</v>
      </c>
      <c r="AP36" s="90">
        <f t="shared" si="24"/>
        <v>1.7820275516888566E-5</v>
      </c>
      <c r="AQ36" s="90">
        <f t="shared" si="25"/>
        <v>1055.5254262335927</v>
      </c>
      <c r="AR36" s="95">
        <f t="shared" si="26"/>
        <v>52.776271311679636</v>
      </c>
      <c r="AS36" s="95">
        <f t="shared" si="27"/>
        <v>0.71400562376530918</v>
      </c>
      <c r="AT36" s="95">
        <f t="shared" si="28"/>
        <v>128161153443.37793</v>
      </c>
      <c r="AU36" s="90"/>
      <c r="AV36" s="90" t="s">
        <v>67</v>
      </c>
    </row>
    <row r="37" spans="2:48" s="86" customFormat="1" ht="14" x14ac:dyDescent="0.15">
      <c r="B37" s="90" t="s">
        <v>54</v>
      </c>
      <c r="C37" s="90" t="s">
        <v>82</v>
      </c>
      <c r="D37" s="96">
        <v>44053</v>
      </c>
      <c r="E37" s="87" t="s">
        <v>57</v>
      </c>
      <c r="F37" s="89" t="s">
        <v>58</v>
      </c>
      <c r="G37" s="90" t="s">
        <v>59</v>
      </c>
      <c r="H37" s="90">
        <v>-20</v>
      </c>
      <c r="I37" s="90" t="s">
        <v>60</v>
      </c>
      <c r="J37" s="90" t="s">
        <v>61</v>
      </c>
      <c r="K37" s="90" t="s">
        <v>62</v>
      </c>
      <c r="L37" s="90" t="s">
        <v>63</v>
      </c>
      <c r="M37" s="90" t="s">
        <v>60</v>
      </c>
      <c r="N37" s="90">
        <v>200</v>
      </c>
      <c r="O37" s="90" t="s">
        <v>64</v>
      </c>
      <c r="P37" s="90" t="s">
        <v>65</v>
      </c>
      <c r="Q37" s="99" t="s">
        <v>83</v>
      </c>
      <c r="R37" s="90">
        <v>4</v>
      </c>
      <c r="S37" s="90" t="s">
        <v>60</v>
      </c>
      <c r="T37" s="90">
        <v>201024</v>
      </c>
      <c r="U37" s="87">
        <f t="shared" si="0"/>
        <v>201024000000</v>
      </c>
      <c r="V37" s="90" t="s">
        <v>60</v>
      </c>
      <c r="W37" s="90" t="s">
        <v>66</v>
      </c>
      <c r="X37" s="90" t="s">
        <v>60</v>
      </c>
      <c r="Y37" s="94" t="s">
        <v>84</v>
      </c>
      <c r="Z37" s="94" t="s">
        <v>84</v>
      </c>
      <c r="AA37" s="90"/>
      <c r="AB37" s="94" t="e">
        <f t="shared" si="16"/>
        <v>#DIV/0!</v>
      </c>
      <c r="AC37" s="94" t="e">
        <f t="shared" si="17"/>
        <v>#DIV/0!</v>
      </c>
      <c r="AD37" s="95" t="e">
        <f t="shared" si="18"/>
        <v>#DIV/0!</v>
      </c>
      <c r="AE37" s="100" t="e">
        <f t="shared" si="19"/>
        <v>#DIV/0!</v>
      </c>
      <c r="AF37" s="90">
        <v>28.206717069425899</v>
      </c>
      <c r="AG37" s="90">
        <v>26.7651027474671</v>
      </c>
      <c r="AH37" s="90"/>
      <c r="AI37" s="94">
        <f t="shared" si="20"/>
        <v>27.485909908446502</v>
      </c>
      <c r="AJ37" s="90">
        <f t="shared" si="21"/>
        <v>22.842109284321442</v>
      </c>
      <c r="AK37" s="95">
        <f t="shared" si="22"/>
        <v>1.1421054642160722</v>
      </c>
      <c r="AL37" s="90">
        <v>37.301401279044001</v>
      </c>
      <c r="AM37" s="90">
        <v>38.313264051044499</v>
      </c>
      <c r="AN37" s="90"/>
      <c r="AO37" s="94">
        <f t="shared" si="23"/>
        <v>37.80733266504425</v>
      </c>
      <c r="AP37" s="90">
        <f t="shared" si="24"/>
        <v>4.6055733539487449E-7</v>
      </c>
      <c r="AQ37" s="90">
        <f t="shared" si="25"/>
        <v>27.279599425214794</v>
      </c>
      <c r="AR37" s="95">
        <f t="shared" si="26"/>
        <v>1.3639799712607397</v>
      </c>
      <c r="AS37" s="95">
        <f t="shared" si="27"/>
        <v>1.1942679673605796</v>
      </c>
      <c r="AT37" s="95">
        <f t="shared" si="28"/>
        <v>240076523870.69315</v>
      </c>
      <c r="AU37" s="90"/>
      <c r="AV37" s="90" t="s">
        <v>67</v>
      </c>
    </row>
    <row r="38" spans="2:48" s="86" customFormat="1" ht="14" x14ac:dyDescent="0.15">
      <c r="B38" s="90" t="s">
        <v>54</v>
      </c>
      <c r="C38" s="90" t="s">
        <v>82</v>
      </c>
      <c r="D38" s="96">
        <v>44084</v>
      </c>
      <c r="E38" s="87" t="s">
        <v>57</v>
      </c>
      <c r="F38" s="89" t="s">
        <v>58</v>
      </c>
      <c r="G38" s="90" t="s">
        <v>59</v>
      </c>
      <c r="H38" s="90">
        <v>-20</v>
      </c>
      <c r="I38" s="90" t="s">
        <v>60</v>
      </c>
      <c r="J38" s="90" t="s">
        <v>61</v>
      </c>
      <c r="K38" s="90" t="s">
        <v>62</v>
      </c>
      <c r="L38" s="90" t="s">
        <v>63</v>
      </c>
      <c r="M38" s="90" t="s">
        <v>60</v>
      </c>
      <c r="N38" s="90">
        <v>200</v>
      </c>
      <c r="O38" s="90" t="s">
        <v>64</v>
      </c>
      <c r="P38" s="90" t="s">
        <v>65</v>
      </c>
      <c r="Q38" s="99" t="s">
        <v>85</v>
      </c>
      <c r="R38" s="90">
        <v>4</v>
      </c>
      <c r="S38" s="90" t="s">
        <v>60</v>
      </c>
      <c r="T38" s="90">
        <v>251688</v>
      </c>
      <c r="U38" s="87">
        <f t="shared" si="0"/>
        <v>251688000000</v>
      </c>
      <c r="V38" s="90" t="s">
        <v>60</v>
      </c>
      <c r="W38" s="90" t="s">
        <v>66</v>
      </c>
      <c r="X38" s="90" t="s">
        <v>60</v>
      </c>
      <c r="Y38" s="94">
        <v>19.081700979230199</v>
      </c>
      <c r="Z38" s="94">
        <v>19.433835441249901</v>
      </c>
      <c r="AA38" s="90"/>
      <c r="AB38" s="94">
        <f t="shared" si="16"/>
        <v>19.257768210240052</v>
      </c>
      <c r="AC38" s="94">
        <f t="shared" si="17"/>
        <v>3.61815798853429</v>
      </c>
      <c r="AD38" s="95">
        <f t="shared" si="18"/>
        <v>423758692.88991731</v>
      </c>
      <c r="AE38" s="100">
        <f t="shared" si="19"/>
        <v>64.897348030636564</v>
      </c>
      <c r="AF38" s="90">
        <v>21.512334050183899</v>
      </c>
      <c r="AG38" s="90">
        <v>21.5634080879023</v>
      </c>
      <c r="AH38" s="90"/>
      <c r="AI38" s="94">
        <f t="shared" si="20"/>
        <v>21.537871069043099</v>
      </c>
      <c r="AJ38" s="90">
        <f t="shared" si="21"/>
        <v>1716.7172288996628</v>
      </c>
      <c r="AK38" s="95">
        <f t="shared" si="22"/>
        <v>85.835861444983138</v>
      </c>
      <c r="AL38" s="90">
        <v>35.176435616932601</v>
      </c>
      <c r="AM38" s="90">
        <v>34.490389976610302</v>
      </c>
      <c r="AN38" s="90"/>
      <c r="AO38" s="94">
        <f t="shared" si="23"/>
        <v>34.833412796771455</v>
      </c>
      <c r="AP38" s="90">
        <f t="shared" si="24"/>
        <v>3.2922140288791E-6</v>
      </c>
      <c r="AQ38" s="90">
        <f t="shared" si="25"/>
        <v>195.00347302663738</v>
      </c>
      <c r="AR38" s="95">
        <f t="shared" si="26"/>
        <v>9.7501736513318686</v>
      </c>
      <c r="AS38" s="95">
        <f t="shared" si="27"/>
        <v>0.11359091045624659</v>
      </c>
      <c r="AT38" s="95">
        <f t="shared" si="28"/>
        <v>28589469070.911789</v>
      </c>
      <c r="AU38" s="90"/>
      <c r="AV38" s="90" t="s">
        <v>67</v>
      </c>
    </row>
    <row r="39" spans="2:48" s="86" customFormat="1" ht="15" thickBot="1" x14ac:dyDescent="0.2">
      <c r="B39" s="90" t="s">
        <v>54</v>
      </c>
      <c r="C39" s="90" t="s">
        <v>82</v>
      </c>
      <c r="D39" s="96">
        <v>44095</v>
      </c>
      <c r="E39" s="87" t="s">
        <v>57</v>
      </c>
      <c r="F39" s="89" t="s">
        <v>58</v>
      </c>
      <c r="G39" s="90" t="s">
        <v>59</v>
      </c>
      <c r="H39" s="90">
        <v>-20</v>
      </c>
      <c r="I39" s="90" t="s">
        <v>60</v>
      </c>
      <c r="J39" s="90" t="s">
        <v>61</v>
      </c>
      <c r="K39" s="90" t="s">
        <v>62</v>
      </c>
      <c r="L39" s="90" t="s">
        <v>63</v>
      </c>
      <c r="M39" s="90" t="s">
        <v>60</v>
      </c>
      <c r="N39" s="90">
        <v>200</v>
      </c>
      <c r="O39" s="90" t="s">
        <v>64</v>
      </c>
      <c r="P39" s="90" t="s">
        <v>65</v>
      </c>
      <c r="Q39" s="99" t="s">
        <v>86</v>
      </c>
      <c r="R39" s="90">
        <v>4</v>
      </c>
      <c r="S39" s="90" t="s">
        <v>60</v>
      </c>
      <c r="T39" s="90">
        <v>201024</v>
      </c>
      <c r="U39" s="87">
        <f t="shared" si="0"/>
        <v>201024000000</v>
      </c>
      <c r="V39" s="90" t="s">
        <v>60</v>
      </c>
      <c r="W39" s="90" t="s">
        <v>66</v>
      </c>
      <c r="X39" s="90" t="s">
        <v>60</v>
      </c>
      <c r="Y39" s="94">
        <v>30.166667760503501</v>
      </c>
      <c r="Z39" s="94">
        <v>30.4768235254815</v>
      </c>
      <c r="AA39" s="90"/>
      <c r="AB39" s="94">
        <f t="shared" si="16"/>
        <v>30.3217456429925</v>
      </c>
      <c r="AC39" s="94">
        <f t="shared" si="17"/>
        <v>2.1992424225218284E-3</v>
      </c>
      <c r="AD39" s="95">
        <f t="shared" si="18"/>
        <v>257575.29031877237</v>
      </c>
      <c r="AE39" s="100">
        <f t="shared" si="19"/>
        <v>3.9446868088797042E-2</v>
      </c>
      <c r="AF39" s="90">
        <v>33.061341562899202</v>
      </c>
      <c r="AG39" s="90">
        <v>32.678566665668797</v>
      </c>
      <c r="AH39" s="90"/>
      <c r="AI39" s="94">
        <f t="shared" si="20"/>
        <v>32.869954114283999</v>
      </c>
      <c r="AJ39" s="90">
        <f t="shared" si="21"/>
        <v>0.45777589040720157</v>
      </c>
      <c r="AK39" s="95">
        <f t="shared" si="22"/>
        <v>2.2888794520360078E-2</v>
      </c>
      <c r="AL39" s="90" t="s">
        <v>84</v>
      </c>
      <c r="AM39" s="90" t="s">
        <v>84</v>
      </c>
      <c r="AN39" s="90"/>
      <c r="AO39" s="94" t="e">
        <f t="shared" si="23"/>
        <v>#DIV/0!</v>
      </c>
      <c r="AP39" s="90" t="e">
        <f t="shared" si="24"/>
        <v>#DIV/0!</v>
      </c>
      <c r="AQ39" s="90" t="e">
        <f t="shared" si="25"/>
        <v>#DIV/0!</v>
      </c>
      <c r="AR39" s="95" t="e">
        <f t="shared" si="26"/>
        <v>#DIV/0!</v>
      </c>
      <c r="AS39" s="95" t="e">
        <f t="shared" si="27"/>
        <v>#DIV/0!</v>
      </c>
      <c r="AT39" s="95" t="e">
        <f t="shared" si="28"/>
        <v>#DIV/0!</v>
      </c>
      <c r="AU39" s="90"/>
      <c r="AV39" s="90" t="s">
        <v>67</v>
      </c>
    </row>
    <row r="40" spans="2:48" s="5" customFormat="1" ht="15" thickBot="1" x14ac:dyDescent="0.2">
      <c r="B40" s="8"/>
      <c r="C40" s="8"/>
      <c r="D40" s="17"/>
      <c r="E40" s="10" t="s">
        <v>75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20"/>
      <c r="R40" s="8"/>
      <c r="S40" s="8"/>
      <c r="T40" s="8"/>
      <c r="U40" s="10">
        <f t="shared" si="0"/>
        <v>0</v>
      </c>
      <c r="V40" s="8"/>
      <c r="W40" s="8"/>
      <c r="X40" s="8"/>
      <c r="Y40" s="75">
        <v>18.420000000000002</v>
      </c>
      <c r="Z40" s="76">
        <v>18.18</v>
      </c>
      <c r="AA40" s="8"/>
      <c r="AB40" s="18">
        <f t="shared" si="16"/>
        <v>18.3</v>
      </c>
      <c r="AC40" s="18">
        <f t="shared" si="17"/>
        <v>6.8691577422066086</v>
      </c>
      <c r="AD40" s="19">
        <f t="shared" si="18"/>
        <v>804515810.34229922</v>
      </c>
      <c r="AE40" s="77">
        <f t="shared" si="19"/>
        <v>123.20913627486809</v>
      </c>
      <c r="AF40" s="8"/>
      <c r="AG40" s="8"/>
      <c r="AH40" s="8"/>
      <c r="AI40" s="8"/>
      <c r="AJ40" s="8"/>
      <c r="AK40" s="50">
        <f t="shared" ref="AK40" si="29">(AJ40/5)*(50/50)</f>
        <v>0</v>
      </c>
      <c r="AL40" s="8"/>
      <c r="AM40" s="8"/>
      <c r="AN40" s="8"/>
      <c r="AO40" s="8"/>
      <c r="AP40" s="8"/>
      <c r="AQ40" s="8"/>
      <c r="AR40" s="50">
        <f t="shared" ref="AR40" si="30">(AQ40/5)*(50/50)</f>
        <v>0</v>
      </c>
      <c r="AS40" s="8"/>
      <c r="AT40" s="8"/>
      <c r="AU40" s="8"/>
      <c r="AV40" s="8"/>
    </row>
    <row r="41" spans="2:48" s="5" customFormat="1" x14ac:dyDescent="0.15">
      <c r="B41" s="8"/>
      <c r="C41" s="8"/>
      <c r="D41" s="17"/>
      <c r="E41" s="10"/>
      <c r="F41" s="10"/>
      <c r="G41" s="8"/>
      <c r="H41" s="8"/>
      <c r="I41" s="8"/>
      <c r="J41" s="8"/>
      <c r="K41" s="8"/>
      <c r="L41" s="8"/>
      <c r="M41" s="8"/>
      <c r="N41" s="8"/>
      <c r="O41" s="8"/>
      <c r="P41" s="8"/>
      <c r="Q41" s="20"/>
      <c r="R41" s="8"/>
      <c r="S41" s="8"/>
      <c r="T41" s="8"/>
      <c r="U41" s="10"/>
      <c r="V41" s="8"/>
      <c r="W41" s="8"/>
      <c r="X41" s="8"/>
      <c r="Y41" s="18"/>
      <c r="Z41" s="18"/>
      <c r="AA41" s="8"/>
      <c r="AB41" s="18"/>
      <c r="AC41" s="18"/>
      <c r="AD41" s="19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 spans="2:48" s="56" customFormat="1" ht="14" x14ac:dyDescent="0.15">
      <c r="B42" s="45" t="s">
        <v>54</v>
      </c>
      <c r="C42" s="45" t="s">
        <v>55</v>
      </c>
      <c r="D42" s="52">
        <v>44077</v>
      </c>
      <c r="E42" s="53" t="s">
        <v>57</v>
      </c>
      <c r="F42" s="54" t="s">
        <v>58</v>
      </c>
      <c r="G42" s="45" t="s">
        <v>59</v>
      </c>
      <c r="H42" s="45">
        <v>-20</v>
      </c>
      <c r="I42" s="45" t="s">
        <v>60</v>
      </c>
      <c r="J42" s="45" t="s">
        <v>61</v>
      </c>
      <c r="K42" s="45" t="s">
        <v>62</v>
      </c>
      <c r="L42" s="45" t="s">
        <v>63</v>
      </c>
      <c r="M42" s="45" t="s">
        <v>60</v>
      </c>
      <c r="N42" s="45">
        <v>50</v>
      </c>
      <c r="O42" s="45" t="s">
        <v>64</v>
      </c>
      <c r="P42" s="45" t="s">
        <v>65</v>
      </c>
      <c r="Q42" s="73" t="s">
        <v>76</v>
      </c>
      <c r="R42" s="45">
        <v>4</v>
      </c>
      <c r="S42" s="45">
        <v>190</v>
      </c>
      <c r="T42" s="45">
        <v>239568</v>
      </c>
      <c r="U42" s="53">
        <f>T42*1000000</f>
        <v>239568000000</v>
      </c>
      <c r="V42" s="45" t="s">
        <v>60</v>
      </c>
      <c r="W42" s="45" t="s">
        <v>66</v>
      </c>
      <c r="X42" s="45" t="s">
        <v>60</v>
      </c>
      <c r="Y42" s="74">
        <v>16.61</v>
      </c>
      <c r="Z42" s="74">
        <v>16.43</v>
      </c>
      <c r="AA42" s="45"/>
      <c r="AB42" s="49">
        <f t="shared" ref="AB42:AB49" si="31">AVERAGE(Y42:AA42)</f>
        <v>16.52</v>
      </c>
      <c r="AC42" s="49">
        <f t="shared" ref="AC42:AC49" si="32">EXP((AB42-21.179)/-1.494)</f>
        <v>22.61184526139651</v>
      </c>
      <c r="AD42" s="50">
        <f t="shared" ref="AD42:AD49" si="33">(AC42*(6.0221*10^23))/(15123*340*10^9)</f>
        <v>2648299499.956356</v>
      </c>
      <c r="AE42" s="49">
        <f>AD42*100/AD$50</f>
        <v>28.602577206490182</v>
      </c>
      <c r="AF42" s="45">
        <v>20.239999999999998</v>
      </c>
      <c r="AG42" s="45">
        <v>20.399999999999999</v>
      </c>
      <c r="AH42" s="45"/>
      <c r="AI42" s="49">
        <f t="shared" ref="AI42:AI49" si="34">AVERAGE(AF42:AH42)</f>
        <v>20.32</v>
      </c>
      <c r="AJ42" s="45">
        <f>EXP((AI42-31.794)/-1.377)</f>
        <v>4157.2418516018406</v>
      </c>
      <c r="AK42" s="50">
        <f>(AJ42/5)*(50/50)</f>
        <v>831.4483703203681</v>
      </c>
      <c r="AL42" s="45">
        <v>33.46</v>
      </c>
      <c r="AM42" s="45">
        <v>33.33</v>
      </c>
      <c r="AN42" s="45"/>
      <c r="AO42" s="49">
        <f>AVERAGE(AL42:AN42)</f>
        <v>33.394999999999996</v>
      </c>
      <c r="AP42" s="45">
        <f>EXP((AO42-15.746)/-1.512)</f>
        <v>8.5240494061750994E-6</v>
      </c>
      <c r="AQ42" s="45">
        <f>(AP42*(6.0221*10^23))/(29903*340*10^9)</f>
        <v>504.89403904907294</v>
      </c>
      <c r="AR42" s="50">
        <f>(AQ42/5)*(50/50)</f>
        <v>100.97880780981458</v>
      </c>
      <c r="AS42" s="50">
        <f>AR42/AK42</f>
        <v>0.12144928225778602</v>
      </c>
      <c r="AT42" s="50">
        <f>AS42*U42</f>
        <v>29095361651.933281</v>
      </c>
      <c r="AU42" s="45"/>
      <c r="AV42" s="45"/>
    </row>
    <row r="43" spans="2:48" s="56" customFormat="1" ht="14" x14ac:dyDescent="0.15">
      <c r="B43" s="45" t="s">
        <v>54</v>
      </c>
      <c r="C43" s="45" t="s">
        <v>55</v>
      </c>
      <c r="D43" s="52">
        <v>44080</v>
      </c>
      <c r="E43" s="53" t="s">
        <v>57</v>
      </c>
      <c r="F43" s="54" t="s">
        <v>58</v>
      </c>
      <c r="G43" s="45" t="s">
        <v>59</v>
      </c>
      <c r="H43" s="45">
        <v>-20</v>
      </c>
      <c r="I43" s="45" t="s">
        <v>60</v>
      </c>
      <c r="J43" s="45" t="s">
        <v>61</v>
      </c>
      <c r="K43" s="45" t="s">
        <v>62</v>
      </c>
      <c r="L43" s="45" t="s">
        <v>63</v>
      </c>
      <c r="M43" s="45" t="s">
        <v>60</v>
      </c>
      <c r="N43" s="45">
        <v>50</v>
      </c>
      <c r="O43" s="45" t="s">
        <v>64</v>
      </c>
      <c r="P43" s="45" t="s">
        <v>65</v>
      </c>
      <c r="Q43" s="73" t="s">
        <v>77</v>
      </c>
      <c r="R43" s="45">
        <v>4</v>
      </c>
      <c r="S43" s="45">
        <v>260</v>
      </c>
      <c r="T43" s="45">
        <v>188880</v>
      </c>
      <c r="U43" s="53">
        <f t="shared" si="0"/>
        <v>188880000000</v>
      </c>
      <c r="V43" s="45" t="s">
        <v>60</v>
      </c>
      <c r="W43" s="45" t="s">
        <v>66</v>
      </c>
      <c r="X43" s="45" t="s">
        <v>60</v>
      </c>
      <c r="Y43" s="74">
        <v>16.66</v>
      </c>
      <c r="Z43" s="74">
        <v>16.649999999999999</v>
      </c>
      <c r="AA43" s="45"/>
      <c r="AB43" s="49">
        <f t="shared" si="31"/>
        <v>16.655000000000001</v>
      </c>
      <c r="AC43" s="49">
        <f t="shared" si="32"/>
        <v>20.658202371195607</v>
      </c>
      <c r="AD43" s="50">
        <f t="shared" si="33"/>
        <v>2419488828.8500385</v>
      </c>
      <c r="AE43" s="49">
        <f t="shared" ref="AE43:AE50" si="35">AD43*100/AD$50</f>
        <v>26.131340518156726</v>
      </c>
      <c r="AF43" s="45">
        <v>18.559999999999999</v>
      </c>
      <c r="AG43" s="45">
        <v>18.940000000000001</v>
      </c>
      <c r="AH43" s="45"/>
      <c r="AI43" s="49">
        <f t="shared" si="34"/>
        <v>18.75</v>
      </c>
      <c r="AJ43" s="45">
        <f t="shared" ref="AJ43:AJ49" si="36">EXP((AI43-31.794)/-1.377)</f>
        <v>13000.809250329807</v>
      </c>
      <c r="AK43" s="50">
        <f t="shared" ref="AK43:AK106" si="37">(AJ43/5)*(50/50)</f>
        <v>2600.1618500659615</v>
      </c>
      <c r="AL43" s="45">
        <v>31.12</v>
      </c>
      <c r="AM43" s="45">
        <v>31.21</v>
      </c>
      <c r="AN43" s="45"/>
      <c r="AO43" s="49">
        <f t="shared" ref="AO43:AO49" si="38">AVERAGE(AL43:AN43)</f>
        <v>31.164999999999999</v>
      </c>
      <c r="AP43" s="45">
        <f t="shared" ref="AP43:AP49" si="39">EXP((AO43-15.746)/-1.512)</f>
        <v>3.725399678133435E-5</v>
      </c>
      <c r="AQ43" s="45">
        <f t="shared" ref="AQ43:AQ49" si="40">(AP43*(6.0221*10^23))/(29903*340*10^9)</f>
        <v>2206.6180062287035</v>
      </c>
      <c r="AR43" s="50">
        <f t="shared" ref="AR43:AR106" si="41">(AQ43/5)*(50/50)</f>
        <v>441.32360124574069</v>
      </c>
      <c r="AS43" s="50">
        <f t="shared" ref="AS43:AS49" si="42">AR43/AK43</f>
        <v>0.16972928098093013</v>
      </c>
      <c r="AT43" s="50">
        <f>AS43*U43</f>
        <v>32058466591.678082</v>
      </c>
      <c r="AU43" s="45"/>
      <c r="AV43" s="45"/>
    </row>
    <row r="44" spans="2:48" s="56" customFormat="1" ht="14" x14ac:dyDescent="0.15">
      <c r="B44" s="45" t="s">
        <v>54</v>
      </c>
      <c r="C44" s="45" t="s">
        <v>55</v>
      </c>
      <c r="D44" s="52">
        <v>44087</v>
      </c>
      <c r="E44" s="53" t="s">
        <v>57</v>
      </c>
      <c r="F44" s="54" t="s">
        <v>58</v>
      </c>
      <c r="G44" s="45" t="s">
        <v>59</v>
      </c>
      <c r="H44" s="45">
        <v>-20</v>
      </c>
      <c r="I44" s="45" t="s">
        <v>60</v>
      </c>
      <c r="J44" s="45" t="s">
        <v>61</v>
      </c>
      <c r="K44" s="45" t="s">
        <v>62</v>
      </c>
      <c r="L44" s="45" t="s">
        <v>63</v>
      </c>
      <c r="M44" s="45" t="s">
        <v>60</v>
      </c>
      <c r="N44" s="45">
        <v>50</v>
      </c>
      <c r="O44" s="45" t="s">
        <v>64</v>
      </c>
      <c r="P44" s="45" t="s">
        <v>65</v>
      </c>
      <c r="Q44" s="73" t="s">
        <v>78</v>
      </c>
      <c r="R44" s="45">
        <v>4</v>
      </c>
      <c r="S44" s="45">
        <v>330</v>
      </c>
      <c r="T44" s="45">
        <v>303552</v>
      </c>
      <c r="U44" s="53">
        <f t="shared" si="0"/>
        <v>303552000000</v>
      </c>
      <c r="V44" s="45" t="s">
        <v>60</v>
      </c>
      <c r="W44" s="45" t="s">
        <v>66</v>
      </c>
      <c r="X44" s="45" t="s">
        <v>60</v>
      </c>
      <c r="Y44" s="74">
        <v>17.600000000000001</v>
      </c>
      <c r="Z44" s="74">
        <v>17.829999999999998</v>
      </c>
      <c r="AA44" s="45"/>
      <c r="AB44" s="49">
        <f t="shared" si="31"/>
        <v>17.715</v>
      </c>
      <c r="AC44" s="49">
        <f t="shared" si="32"/>
        <v>10.161517227239157</v>
      </c>
      <c r="AD44" s="50">
        <f t="shared" si="33"/>
        <v>1190116979.8662131</v>
      </c>
      <c r="AE44" s="49">
        <f t="shared" si="35"/>
        <v>12.853686979867369</v>
      </c>
      <c r="AF44" s="45">
        <v>20.149999999999999</v>
      </c>
      <c r="AG44" s="45">
        <v>20.170000000000002</v>
      </c>
      <c r="AH44" s="45"/>
      <c r="AI44" s="49">
        <f t="shared" si="34"/>
        <v>20.16</v>
      </c>
      <c r="AJ44" s="45">
        <f t="shared" si="36"/>
        <v>4669.4741514454709</v>
      </c>
      <c r="AK44" s="50">
        <f t="shared" si="37"/>
        <v>933.89483028909422</v>
      </c>
      <c r="AL44" s="45">
        <v>32.21</v>
      </c>
      <c r="AM44" s="45">
        <v>33.08</v>
      </c>
      <c r="AN44" s="45"/>
      <c r="AO44" s="49">
        <f t="shared" si="38"/>
        <v>32.644999999999996</v>
      </c>
      <c r="AP44" s="45">
        <f t="shared" si="39"/>
        <v>1.3998123100487869E-5</v>
      </c>
      <c r="AQ44" s="45">
        <f t="shared" si="40"/>
        <v>829.13279528758653</v>
      </c>
      <c r="AR44" s="50">
        <f t="shared" si="41"/>
        <v>165.8265590575173</v>
      </c>
      <c r="AS44" s="50">
        <f t="shared" si="42"/>
        <v>0.17756448978969552</v>
      </c>
      <c r="AT44" s="50">
        <f t="shared" ref="AT44:AT49" si="43">AS44*U44</f>
        <v>53900056004.641655</v>
      </c>
      <c r="AU44" s="45"/>
      <c r="AV44" s="45"/>
    </row>
    <row r="45" spans="2:48" s="56" customFormat="1" ht="14" x14ac:dyDescent="0.15">
      <c r="B45" s="45" t="s">
        <v>54</v>
      </c>
      <c r="C45" s="45" t="s">
        <v>55</v>
      </c>
      <c r="D45" s="52">
        <v>44090</v>
      </c>
      <c r="E45" s="53" t="s">
        <v>57</v>
      </c>
      <c r="F45" s="54" t="s">
        <v>58</v>
      </c>
      <c r="G45" s="45" t="s">
        <v>59</v>
      </c>
      <c r="H45" s="45">
        <v>-20</v>
      </c>
      <c r="I45" s="45" t="s">
        <v>60</v>
      </c>
      <c r="J45" s="45" t="s">
        <v>61</v>
      </c>
      <c r="K45" s="45" t="s">
        <v>62</v>
      </c>
      <c r="L45" s="45" t="s">
        <v>63</v>
      </c>
      <c r="M45" s="45" t="s">
        <v>60</v>
      </c>
      <c r="N45" s="45">
        <v>50</v>
      </c>
      <c r="O45" s="45" t="s">
        <v>64</v>
      </c>
      <c r="P45" s="45" t="s">
        <v>65</v>
      </c>
      <c r="Q45" s="73" t="s">
        <v>79</v>
      </c>
      <c r="R45" s="45">
        <v>4</v>
      </c>
      <c r="S45" s="45">
        <v>250</v>
      </c>
      <c r="T45" s="45">
        <v>188736</v>
      </c>
      <c r="U45" s="53">
        <f t="shared" si="0"/>
        <v>188736000000</v>
      </c>
      <c r="V45" s="45" t="s">
        <v>60</v>
      </c>
      <c r="W45" s="45" t="s">
        <v>66</v>
      </c>
      <c r="X45" s="45" t="s">
        <v>60</v>
      </c>
      <c r="Y45" s="74">
        <v>17.190000000000001</v>
      </c>
      <c r="Z45" s="74">
        <v>17.45</v>
      </c>
      <c r="AA45" s="45"/>
      <c r="AB45" s="49">
        <f t="shared" si="31"/>
        <v>17.32</v>
      </c>
      <c r="AC45" s="49">
        <f t="shared" si="32"/>
        <v>13.23677130077083</v>
      </c>
      <c r="AD45" s="50">
        <f t="shared" si="33"/>
        <v>1550290761.8386486</v>
      </c>
      <c r="AE45" s="49">
        <f t="shared" si="35"/>
        <v>16.743692021513876</v>
      </c>
      <c r="AF45" s="45">
        <v>19.95</v>
      </c>
      <c r="AG45" s="45">
        <v>20.079999999999998</v>
      </c>
      <c r="AH45" s="45"/>
      <c r="AI45" s="49">
        <f t="shared" si="34"/>
        <v>20.015000000000001</v>
      </c>
      <c r="AJ45" s="45">
        <f t="shared" si="36"/>
        <v>5187.9978070029765</v>
      </c>
      <c r="AK45" s="50">
        <f t="shared" si="37"/>
        <v>1037.5995614005953</v>
      </c>
      <c r="AL45" s="45">
        <v>32.14</v>
      </c>
      <c r="AM45" s="45">
        <v>32.04</v>
      </c>
      <c r="AN45" s="45"/>
      <c r="AO45" s="49">
        <f t="shared" si="38"/>
        <v>32.090000000000003</v>
      </c>
      <c r="AP45" s="45">
        <f t="shared" si="39"/>
        <v>2.0206144643853772E-5</v>
      </c>
      <c r="AQ45" s="45">
        <f t="shared" si="40"/>
        <v>1196.8445391053799</v>
      </c>
      <c r="AR45" s="50">
        <f t="shared" si="41"/>
        <v>239.36890782107599</v>
      </c>
      <c r="AS45" s="50">
        <f t="shared" si="42"/>
        <v>0.23069488146078804</v>
      </c>
      <c r="AT45" s="50">
        <f t="shared" si="43"/>
        <v>43540429147.383293</v>
      </c>
      <c r="AU45" s="45"/>
      <c r="AV45" s="45"/>
    </row>
    <row r="46" spans="2:48" s="56" customFormat="1" ht="14" x14ac:dyDescent="0.15">
      <c r="B46" s="45" t="s">
        <v>54</v>
      </c>
      <c r="C46" s="45" t="s">
        <v>55</v>
      </c>
      <c r="D46" s="52">
        <v>44098</v>
      </c>
      <c r="E46" s="53" t="s">
        <v>57</v>
      </c>
      <c r="F46" s="54" t="s">
        <v>58</v>
      </c>
      <c r="G46" s="45" t="s">
        <v>59</v>
      </c>
      <c r="H46" s="45">
        <v>-20</v>
      </c>
      <c r="I46" s="45" t="s">
        <v>60</v>
      </c>
      <c r="J46" s="45" t="s">
        <v>61</v>
      </c>
      <c r="K46" s="45" t="s">
        <v>62</v>
      </c>
      <c r="L46" s="45" t="s">
        <v>63</v>
      </c>
      <c r="M46" s="45" t="s">
        <v>60</v>
      </c>
      <c r="N46" s="45">
        <v>50</v>
      </c>
      <c r="O46" s="45" t="s">
        <v>64</v>
      </c>
      <c r="P46" s="45" t="s">
        <v>65</v>
      </c>
      <c r="Q46" s="73" t="s">
        <v>80</v>
      </c>
      <c r="R46" s="45">
        <v>4</v>
      </c>
      <c r="S46" s="45">
        <v>260</v>
      </c>
      <c r="T46" s="45">
        <v>185736</v>
      </c>
      <c r="U46" s="53">
        <f t="shared" si="0"/>
        <v>185736000000</v>
      </c>
      <c r="V46" s="45" t="s">
        <v>60</v>
      </c>
      <c r="W46" s="45" t="s">
        <v>66</v>
      </c>
      <c r="X46" s="45" t="s">
        <v>60</v>
      </c>
      <c r="Y46" s="49">
        <v>17.53</v>
      </c>
      <c r="Z46" s="49">
        <v>17.399999999999999</v>
      </c>
      <c r="AA46" s="45"/>
      <c r="AB46" s="49">
        <f t="shared" si="31"/>
        <v>17.465</v>
      </c>
      <c r="AC46" s="49">
        <f t="shared" si="32"/>
        <v>12.012451959753987</v>
      </c>
      <c r="AD46" s="50">
        <f t="shared" si="33"/>
        <v>1406898470.7133753</v>
      </c>
      <c r="AE46" s="49">
        <f t="shared" si="35"/>
        <v>15.195004239866165</v>
      </c>
      <c r="AF46" s="45">
        <v>19.68</v>
      </c>
      <c r="AG46" s="45">
        <v>19.690000000000001</v>
      </c>
      <c r="AH46" s="45"/>
      <c r="AI46" s="49">
        <f t="shared" si="34"/>
        <v>19.685000000000002</v>
      </c>
      <c r="AJ46" s="45">
        <f t="shared" si="36"/>
        <v>6592.9392111012985</v>
      </c>
      <c r="AK46" s="50">
        <f t="shared" si="37"/>
        <v>1318.5878422202597</v>
      </c>
      <c r="AL46" s="45">
        <v>31.89</v>
      </c>
      <c r="AM46" s="45">
        <v>32.24</v>
      </c>
      <c r="AN46" s="45"/>
      <c r="AO46" s="49">
        <f t="shared" si="38"/>
        <v>32.064999999999998</v>
      </c>
      <c r="AP46" s="45">
        <f t="shared" si="39"/>
        <v>2.0543018276385664E-5</v>
      </c>
      <c r="AQ46" s="45">
        <f t="shared" si="40"/>
        <v>1216.7981410700688</v>
      </c>
      <c r="AR46" s="50">
        <f t="shared" si="41"/>
        <v>243.35962821401375</v>
      </c>
      <c r="AS46" s="50">
        <f t="shared" si="42"/>
        <v>0.18456080089760332</v>
      </c>
      <c r="AT46" s="50">
        <f t="shared" si="43"/>
        <v>34279584915.51725</v>
      </c>
      <c r="AU46" s="45"/>
      <c r="AV46" s="45"/>
    </row>
    <row r="47" spans="2:48" s="64" customFormat="1" ht="14" x14ac:dyDescent="0.15">
      <c r="B47" s="57" t="s">
        <v>54</v>
      </c>
      <c r="C47" s="57" t="s">
        <v>82</v>
      </c>
      <c r="D47" s="58">
        <v>44077</v>
      </c>
      <c r="E47" s="59" t="s">
        <v>57</v>
      </c>
      <c r="F47" s="60" t="s">
        <v>58</v>
      </c>
      <c r="G47" s="57" t="s">
        <v>59</v>
      </c>
      <c r="H47" s="57">
        <v>-20</v>
      </c>
      <c r="I47" s="57" t="s">
        <v>60</v>
      </c>
      <c r="J47" s="57" t="s">
        <v>61</v>
      </c>
      <c r="K47" s="57" t="s">
        <v>62</v>
      </c>
      <c r="L47" s="57" t="s">
        <v>63</v>
      </c>
      <c r="M47" s="57" t="s">
        <v>60</v>
      </c>
      <c r="N47" s="57">
        <v>50</v>
      </c>
      <c r="O47" s="57" t="s">
        <v>64</v>
      </c>
      <c r="P47" s="57" t="s">
        <v>65</v>
      </c>
      <c r="Q47" s="61" t="s">
        <v>79</v>
      </c>
      <c r="R47" s="57">
        <v>4</v>
      </c>
      <c r="S47" s="57" t="s">
        <v>60</v>
      </c>
      <c r="T47" s="57">
        <v>185304</v>
      </c>
      <c r="U47" s="59">
        <f t="shared" si="0"/>
        <v>185304000000</v>
      </c>
      <c r="V47" s="57" t="s">
        <v>60</v>
      </c>
      <c r="W47" s="57" t="s">
        <v>66</v>
      </c>
      <c r="X47" s="57" t="s">
        <v>60</v>
      </c>
      <c r="Y47" s="62">
        <v>17.72</v>
      </c>
      <c r="Z47" s="62">
        <v>17.690000000000001</v>
      </c>
      <c r="AA47" s="57"/>
      <c r="AB47" s="62">
        <f t="shared" si="31"/>
        <v>17.704999999999998</v>
      </c>
      <c r="AC47" s="62">
        <f t="shared" si="32"/>
        <v>10.229760875069042</v>
      </c>
      <c r="AD47" s="63">
        <f t="shared" si="33"/>
        <v>1198109676.4521759</v>
      </c>
      <c r="AE47" s="62">
        <f t="shared" si="35"/>
        <v>12.940010947829384</v>
      </c>
      <c r="AF47" s="57">
        <v>20.52</v>
      </c>
      <c r="AG47" s="57">
        <v>20.66</v>
      </c>
      <c r="AH47" s="57"/>
      <c r="AI47" s="62">
        <f t="shared" si="34"/>
        <v>20.59</v>
      </c>
      <c r="AJ47" s="57">
        <f t="shared" si="36"/>
        <v>3417.0356512265503</v>
      </c>
      <c r="AK47" s="63">
        <f t="shared" si="37"/>
        <v>683.4071302453101</v>
      </c>
      <c r="AL47" s="57">
        <v>34.020000000000003</v>
      </c>
      <c r="AM47" s="57">
        <v>34.090000000000003</v>
      </c>
      <c r="AN47" s="57"/>
      <c r="AO47" s="62">
        <f t="shared" si="38"/>
        <v>34.055000000000007</v>
      </c>
      <c r="AP47" s="57">
        <f t="shared" si="39"/>
        <v>5.509002508505579E-6</v>
      </c>
      <c r="AQ47" s="57">
        <f t="shared" si="40"/>
        <v>326.30764969943448</v>
      </c>
      <c r="AR47" s="63">
        <f t="shared" si="41"/>
        <v>65.261529939886898</v>
      </c>
      <c r="AS47" s="63">
        <f t="shared" si="42"/>
        <v>9.5494365000934611E-2</v>
      </c>
      <c r="AT47" s="63">
        <f t="shared" si="43"/>
        <v>17695487812.133186</v>
      </c>
      <c r="AU47" s="57"/>
      <c r="AV47" s="57"/>
    </row>
    <row r="48" spans="2:48" s="64" customFormat="1" ht="14" x14ac:dyDescent="0.15">
      <c r="B48" s="57" t="s">
        <v>54</v>
      </c>
      <c r="C48" s="57" t="s">
        <v>82</v>
      </c>
      <c r="D48" s="58">
        <v>44087</v>
      </c>
      <c r="E48" s="59" t="s">
        <v>57</v>
      </c>
      <c r="F48" s="60" t="s">
        <v>58</v>
      </c>
      <c r="G48" s="57" t="s">
        <v>59</v>
      </c>
      <c r="H48" s="57">
        <v>-20</v>
      </c>
      <c r="I48" s="57" t="s">
        <v>60</v>
      </c>
      <c r="J48" s="57" t="s">
        <v>61</v>
      </c>
      <c r="K48" s="57" t="s">
        <v>62</v>
      </c>
      <c r="L48" s="57" t="s">
        <v>63</v>
      </c>
      <c r="M48" s="57" t="s">
        <v>60</v>
      </c>
      <c r="N48" s="57">
        <v>50</v>
      </c>
      <c r="O48" s="57" t="s">
        <v>64</v>
      </c>
      <c r="P48" s="57" t="s">
        <v>65</v>
      </c>
      <c r="Q48" s="61" t="s">
        <v>81</v>
      </c>
      <c r="R48" s="57">
        <v>4</v>
      </c>
      <c r="S48" s="57">
        <v>230</v>
      </c>
      <c r="T48" s="57">
        <v>220776</v>
      </c>
      <c r="U48" s="59">
        <f t="shared" si="0"/>
        <v>220776000000</v>
      </c>
      <c r="V48" s="57" t="s">
        <v>60</v>
      </c>
      <c r="W48" s="57" t="s">
        <v>66</v>
      </c>
      <c r="X48" s="57" t="s">
        <v>60</v>
      </c>
      <c r="Y48" s="62">
        <v>18.190000000000001</v>
      </c>
      <c r="Z48" s="62">
        <v>18.079999999999998</v>
      </c>
      <c r="AA48" s="57"/>
      <c r="AB48" s="62">
        <f t="shared" si="31"/>
        <v>18.134999999999998</v>
      </c>
      <c r="AC48" s="62">
        <f t="shared" si="32"/>
        <v>7.671278319835289</v>
      </c>
      <c r="AD48" s="63">
        <f t="shared" si="33"/>
        <v>898460178.88374329</v>
      </c>
      <c r="AE48" s="62">
        <f t="shared" si="35"/>
        <v>9.7036897201025614</v>
      </c>
      <c r="AF48" s="57">
        <v>20.45</v>
      </c>
      <c r="AG48" s="57">
        <v>20.25</v>
      </c>
      <c r="AH48" s="57"/>
      <c r="AI48" s="62">
        <f t="shared" si="34"/>
        <v>20.350000000000001</v>
      </c>
      <c r="AJ48" s="57">
        <f t="shared" si="36"/>
        <v>4067.649627581799</v>
      </c>
      <c r="AK48" s="63">
        <f t="shared" si="37"/>
        <v>813.52992551635975</v>
      </c>
      <c r="AL48" s="57">
        <v>33.74</v>
      </c>
      <c r="AM48" s="57">
        <v>34.61</v>
      </c>
      <c r="AN48" s="57"/>
      <c r="AO48" s="62">
        <f t="shared" si="38"/>
        <v>34.174999999999997</v>
      </c>
      <c r="AP48" s="57">
        <f t="shared" si="39"/>
        <v>5.0886801504505041E-6</v>
      </c>
      <c r="AQ48" s="57">
        <f t="shared" si="40"/>
        <v>301.41123686220715</v>
      </c>
      <c r="AR48" s="63">
        <f t="shared" si="41"/>
        <v>60.282247372441432</v>
      </c>
      <c r="AS48" s="63">
        <f t="shared" si="42"/>
        <v>7.4099606519304598E-2</v>
      </c>
      <c r="AT48" s="63">
        <f t="shared" si="43"/>
        <v>16359414728.905993</v>
      </c>
      <c r="AU48" s="57"/>
      <c r="AV48" s="57"/>
    </row>
    <row r="49" spans="2:48" s="64" customFormat="1" ht="14" x14ac:dyDescent="0.15">
      <c r="B49" s="57" t="s">
        <v>54</v>
      </c>
      <c r="C49" s="57" t="s">
        <v>82</v>
      </c>
      <c r="D49" s="58">
        <v>44098</v>
      </c>
      <c r="E49" s="59" t="s">
        <v>57</v>
      </c>
      <c r="F49" s="60" t="s">
        <v>58</v>
      </c>
      <c r="G49" s="57" t="s">
        <v>59</v>
      </c>
      <c r="H49" s="57">
        <v>-20</v>
      </c>
      <c r="I49" s="57" t="s">
        <v>60</v>
      </c>
      <c r="J49" s="57" t="s">
        <v>61</v>
      </c>
      <c r="K49" s="57" t="s">
        <v>62</v>
      </c>
      <c r="L49" s="57" t="s">
        <v>63</v>
      </c>
      <c r="M49" s="57" t="s">
        <v>60</v>
      </c>
      <c r="N49" s="57">
        <v>50</v>
      </c>
      <c r="O49" s="57" t="s">
        <v>64</v>
      </c>
      <c r="P49" s="57" t="s">
        <v>65</v>
      </c>
      <c r="Q49" s="61" t="s">
        <v>83</v>
      </c>
      <c r="R49" s="57">
        <v>4</v>
      </c>
      <c r="S49" s="57">
        <v>290</v>
      </c>
      <c r="T49" s="57">
        <v>135072</v>
      </c>
      <c r="U49" s="59">
        <f t="shared" si="0"/>
        <v>135072000000</v>
      </c>
      <c r="V49" s="57" t="s">
        <v>60</v>
      </c>
      <c r="W49" s="57" t="s">
        <v>66</v>
      </c>
      <c r="X49" s="57" t="s">
        <v>60</v>
      </c>
      <c r="Y49" s="62">
        <v>17.91</v>
      </c>
      <c r="Z49" s="62">
        <v>17.760000000000002</v>
      </c>
      <c r="AA49" s="57"/>
      <c r="AB49" s="62">
        <f t="shared" si="31"/>
        <v>17.835000000000001</v>
      </c>
      <c r="AC49" s="62">
        <f t="shared" si="32"/>
        <v>9.377249401630678</v>
      </c>
      <c r="AD49" s="63">
        <f t="shared" si="33"/>
        <v>1098263525.7858133</v>
      </c>
      <c r="AE49" s="62">
        <f t="shared" si="35"/>
        <v>11.861636982478203</v>
      </c>
      <c r="AF49" s="57">
        <v>20.54</v>
      </c>
      <c r="AG49" s="57">
        <v>20.11</v>
      </c>
      <c r="AH49" s="57"/>
      <c r="AI49" s="62">
        <f t="shared" si="34"/>
        <v>20.324999999999999</v>
      </c>
      <c r="AJ49" s="57">
        <f t="shared" si="36"/>
        <v>4142.1739382557043</v>
      </c>
      <c r="AK49" s="63">
        <f t="shared" si="37"/>
        <v>828.43478765114082</v>
      </c>
      <c r="AL49" s="57">
        <v>32.29</v>
      </c>
      <c r="AM49" s="57">
        <v>33.11</v>
      </c>
      <c r="AN49" s="57"/>
      <c r="AO49" s="62">
        <f t="shared" si="38"/>
        <v>32.700000000000003</v>
      </c>
      <c r="AP49" s="57">
        <f t="shared" si="39"/>
        <v>1.349808191529249E-5</v>
      </c>
      <c r="AQ49" s="57">
        <f t="shared" si="40"/>
        <v>799.51449984442741</v>
      </c>
      <c r="AR49" s="63">
        <f t="shared" si="41"/>
        <v>159.90289996888549</v>
      </c>
      <c r="AS49" s="63">
        <f t="shared" si="42"/>
        <v>0.19301808947721499</v>
      </c>
      <c r="AT49" s="63">
        <f t="shared" si="43"/>
        <v>26071339381.866383</v>
      </c>
      <c r="AU49" s="57"/>
      <c r="AV49" s="57"/>
    </row>
    <row r="50" spans="2:48" s="5" customFormat="1" x14ac:dyDescent="0.15">
      <c r="B50" s="8"/>
      <c r="C50" s="8"/>
      <c r="D50" s="17"/>
      <c r="E50" s="10" t="s">
        <v>75</v>
      </c>
      <c r="F50" s="10"/>
      <c r="G50" s="8"/>
      <c r="H50" s="8"/>
      <c r="I50" s="8"/>
      <c r="J50" s="8"/>
      <c r="K50" s="8"/>
      <c r="L50" s="8"/>
      <c r="M50" s="8"/>
      <c r="N50" s="8"/>
      <c r="O50" s="8"/>
      <c r="P50" s="8"/>
      <c r="Q50" s="20"/>
      <c r="R50" s="8"/>
      <c r="S50" s="8"/>
      <c r="T50" s="8"/>
      <c r="U50" s="10"/>
      <c r="V50" s="8"/>
      <c r="W50" s="8"/>
      <c r="X50" s="8"/>
      <c r="Y50" s="18">
        <v>14.7</v>
      </c>
      <c r="Z50" s="18">
        <v>14.6</v>
      </c>
      <c r="AA50" s="8"/>
      <c r="AB50" s="18">
        <f t="shared" ref="AB50" si="44">AVERAGE(Y50:AA50)</f>
        <v>14.649999999999999</v>
      </c>
      <c r="AC50" s="18">
        <f t="shared" ref="AC50" si="45">EXP((AB50-21.179)/-1.494)</f>
        <v>79.055272181087517</v>
      </c>
      <c r="AD50" s="19">
        <f t="shared" ref="AD50" si="46">(AC50*(6.0221*10^23))/(15123*340*10^9)</f>
        <v>9258954117.4472675</v>
      </c>
      <c r="AE50" s="49">
        <f t="shared" si="35"/>
        <v>100</v>
      </c>
      <c r="AF50" s="8"/>
      <c r="AG50" s="8"/>
      <c r="AH50" s="8"/>
      <c r="AI50" s="8"/>
      <c r="AJ50" s="8"/>
      <c r="AK50" s="50">
        <f t="shared" si="37"/>
        <v>0</v>
      </c>
      <c r="AL50" s="8"/>
      <c r="AM50" s="8"/>
      <c r="AN50" s="8"/>
      <c r="AO50" s="8"/>
      <c r="AP50" s="8"/>
      <c r="AQ50" s="8"/>
      <c r="AR50" s="50">
        <f t="shared" si="41"/>
        <v>0</v>
      </c>
      <c r="AS50" s="8"/>
      <c r="AT50" s="8"/>
      <c r="AU50" s="8"/>
      <c r="AV50" s="8"/>
    </row>
    <row r="51" spans="2:48" s="5" customFormat="1" x14ac:dyDescent="0.15">
      <c r="B51" s="8"/>
      <c r="C51" s="8"/>
      <c r="D51" s="17"/>
      <c r="E51" s="10"/>
      <c r="F51" s="10"/>
      <c r="G51" s="8"/>
      <c r="H51" s="8"/>
      <c r="I51" s="8"/>
      <c r="J51" s="8"/>
      <c r="K51" s="8"/>
      <c r="L51" s="8"/>
      <c r="M51" s="8"/>
      <c r="N51" s="8"/>
      <c r="O51" s="8"/>
      <c r="P51" s="8"/>
      <c r="Q51" s="20"/>
      <c r="R51" s="8"/>
      <c r="S51" s="8"/>
      <c r="T51" s="8"/>
      <c r="U51" s="10"/>
      <c r="V51" s="8"/>
      <c r="W51" s="8"/>
      <c r="X51" s="8"/>
      <c r="Y51" s="18"/>
      <c r="Z51" s="18"/>
      <c r="AA51" s="8"/>
      <c r="AB51" s="18"/>
      <c r="AC51" s="18"/>
      <c r="AD51" s="19"/>
      <c r="AE51" s="8"/>
      <c r="AF51" s="8"/>
      <c r="AG51" s="8"/>
      <c r="AH51" s="8"/>
      <c r="AI51" s="8"/>
      <c r="AJ51" s="8"/>
      <c r="AK51" s="50">
        <f t="shared" si="37"/>
        <v>0</v>
      </c>
      <c r="AL51" s="8"/>
      <c r="AM51" s="8"/>
      <c r="AN51" s="8"/>
      <c r="AO51" s="8"/>
      <c r="AP51" s="8"/>
      <c r="AQ51" s="8"/>
      <c r="AR51" s="50">
        <f t="shared" si="41"/>
        <v>0</v>
      </c>
      <c r="AS51" s="8"/>
      <c r="AT51" s="8"/>
      <c r="AU51" s="8"/>
      <c r="AV51" s="8"/>
    </row>
    <row r="52" spans="2:48" s="56" customFormat="1" ht="14" x14ac:dyDescent="0.15">
      <c r="B52" s="45" t="s">
        <v>54</v>
      </c>
      <c r="C52" s="45" t="s">
        <v>55</v>
      </c>
      <c r="D52" s="52">
        <v>44063</v>
      </c>
      <c r="E52" s="53" t="s">
        <v>57</v>
      </c>
      <c r="F52" s="54" t="s">
        <v>58</v>
      </c>
      <c r="G52" s="45" t="s">
        <v>59</v>
      </c>
      <c r="H52" s="45">
        <v>-20</v>
      </c>
      <c r="I52" s="45" t="s">
        <v>60</v>
      </c>
      <c r="J52" s="45" t="s">
        <v>61</v>
      </c>
      <c r="K52" s="45" t="s">
        <v>62</v>
      </c>
      <c r="L52" s="45" t="s">
        <v>63</v>
      </c>
      <c r="M52" s="45" t="s">
        <v>60</v>
      </c>
      <c r="N52" s="45">
        <v>50</v>
      </c>
      <c r="O52" s="45" t="s">
        <v>64</v>
      </c>
      <c r="P52" s="45" t="s">
        <v>65</v>
      </c>
      <c r="Q52" s="73" t="s">
        <v>76</v>
      </c>
      <c r="R52" s="45">
        <v>4</v>
      </c>
      <c r="S52" s="45">
        <v>660</v>
      </c>
      <c r="T52" s="45">
        <v>197664</v>
      </c>
      <c r="U52" s="53">
        <f>T52*1000000</f>
        <v>197664000000</v>
      </c>
      <c r="V52" s="45" t="s">
        <v>60</v>
      </c>
      <c r="W52" s="45" t="s">
        <v>66</v>
      </c>
      <c r="X52" s="45" t="s">
        <v>60</v>
      </c>
      <c r="Y52" s="74">
        <v>20.8211017191352</v>
      </c>
      <c r="Z52" s="74">
        <v>20.781973539147501</v>
      </c>
      <c r="AA52" s="45"/>
      <c r="AB52" s="49">
        <f t="shared" ref="AB52:AB59" si="47">AVERAGE(Y52:AA52)</f>
        <v>20.80153762914135</v>
      </c>
      <c r="AC52" s="49">
        <f t="shared" ref="AC52:AC59" si="48">EXP((AB52-21.179)/-1.494)</f>
        <v>1.2874354151789584</v>
      </c>
      <c r="AD52" s="50">
        <f t="shared" ref="AD52:AD59" si="49">(AC52*(6.0221*10^23))/(15123*340*10^9)</f>
        <v>150784446.24178219</v>
      </c>
      <c r="AE52" s="77">
        <f>AD52*100/AD$62</f>
        <v>23.092176867512187</v>
      </c>
      <c r="AF52" s="45">
        <v>20.8220016328169</v>
      </c>
      <c r="AG52" s="45">
        <v>20.466638310152302</v>
      </c>
      <c r="AH52" s="45"/>
      <c r="AI52" s="49">
        <f t="shared" ref="AI52" si="50">AVERAGE(AF52:AH52)</f>
        <v>20.644319971484599</v>
      </c>
      <c r="AJ52" s="45">
        <f>EXP((AI52-31.794)/-1.377)</f>
        <v>3284.8643316821222</v>
      </c>
      <c r="AK52" s="50">
        <f t="shared" si="37"/>
        <v>656.97286633642443</v>
      </c>
      <c r="AL52" s="45">
        <v>38.793462639891402</v>
      </c>
      <c r="AM52" s="45">
        <v>36.524770427854598</v>
      </c>
      <c r="AN52" s="45"/>
      <c r="AO52" s="49">
        <f>AVERAGE(AL52:AN52)</f>
        <v>37.659116533873004</v>
      </c>
      <c r="AP52" s="45">
        <f>EXP((AO52-15.746)/-1.512)</f>
        <v>5.0799108415791373E-7</v>
      </c>
      <c r="AQ52" s="45">
        <f>(AP52*(6.0221*10^23))/(29903*340*10^9)</f>
        <v>30.089181568516363</v>
      </c>
      <c r="AR52" s="50">
        <f t="shared" si="41"/>
        <v>6.0178363137032722</v>
      </c>
      <c r="AS52" s="50">
        <f>AR52/AK52</f>
        <v>9.159946509300191E-3</v>
      </c>
      <c r="AT52" s="50">
        <f>AS52*U52</f>
        <v>1810591666.8143129</v>
      </c>
      <c r="AU52" s="45"/>
      <c r="AV52" s="45"/>
    </row>
    <row r="53" spans="2:48" s="86" customFormat="1" ht="14" x14ac:dyDescent="0.15">
      <c r="B53" s="90" t="s">
        <v>54</v>
      </c>
      <c r="C53" s="90" t="s">
        <v>55</v>
      </c>
      <c r="D53" s="96">
        <v>44071</v>
      </c>
      <c r="E53" s="87" t="s">
        <v>57</v>
      </c>
      <c r="F53" s="89" t="s">
        <v>58</v>
      </c>
      <c r="G53" s="90" t="s">
        <v>59</v>
      </c>
      <c r="H53" s="90">
        <v>-20</v>
      </c>
      <c r="I53" s="90" t="s">
        <v>60</v>
      </c>
      <c r="J53" s="90" t="s">
        <v>61</v>
      </c>
      <c r="K53" s="90" t="s">
        <v>62</v>
      </c>
      <c r="L53" s="90" t="s">
        <v>63</v>
      </c>
      <c r="M53" s="90" t="s">
        <v>60</v>
      </c>
      <c r="N53" s="90">
        <v>50</v>
      </c>
      <c r="O53" s="90" t="s">
        <v>64</v>
      </c>
      <c r="P53" s="90" t="s">
        <v>65</v>
      </c>
      <c r="Q53" s="97" t="s">
        <v>77</v>
      </c>
      <c r="R53" s="90">
        <v>4</v>
      </c>
      <c r="S53" s="90">
        <v>300</v>
      </c>
      <c r="T53" s="90">
        <v>183600</v>
      </c>
      <c r="U53" s="87">
        <f t="shared" si="0"/>
        <v>183600000000</v>
      </c>
      <c r="V53" s="90" t="s">
        <v>60</v>
      </c>
      <c r="W53" s="90" t="s">
        <v>66</v>
      </c>
      <c r="X53" s="90" t="s">
        <v>60</v>
      </c>
      <c r="Y53" s="98">
        <v>22.1221366938661</v>
      </c>
      <c r="Z53" s="98">
        <v>21.999623980589298</v>
      </c>
      <c r="AA53" s="90"/>
      <c r="AB53" s="94">
        <f t="shared" si="47"/>
        <v>22.060880337227701</v>
      </c>
      <c r="AC53" s="94">
        <f t="shared" si="48"/>
        <v>0.55417134656900491</v>
      </c>
      <c r="AD53" s="95">
        <f t="shared" si="49"/>
        <v>64904552.593696482</v>
      </c>
      <c r="AE53" s="100">
        <f t="shared" ref="AE53:AE62" si="51">AD53*100/AD$62</f>
        <v>9.9399337621142099</v>
      </c>
      <c r="AF53" s="90">
        <v>22.696866216238298</v>
      </c>
      <c r="AG53" s="90">
        <v>22.5520130933951</v>
      </c>
      <c r="AH53" s="90"/>
      <c r="AI53" s="94">
        <f t="shared" ref="AI53:AI61" si="52">AVERAGE(AF53:AH53)</f>
        <v>22.624439654816697</v>
      </c>
      <c r="AJ53" s="90">
        <f t="shared" ref="AJ53:AJ61" si="53">EXP((AI53-31.794)/-1.377)</f>
        <v>779.83722967104666</v>
      </c>
      <c r="AK53" s="95">
        <f t="shared" si="37"/>
        <v>155.96744593420934</v>
      </c>
      <c r="AL53" s="90"/>
      <c r="AM53" s="90"/>
      <c r="AN53" s="90"/>
      <c r="AO53" s="94" t="e">
        <f t="shared" ref="AO53:AO61" si="54">AVERAGE(AL53:AN53)</f>
        <v>#DIV/0!</v>
      </c>
      <c r="AP53" s="90" t="e">
        <f t="shared" ref="AP53:AP61" si="55">EXP((AO53-15.746)/-1.512)</f>
        <v>#DIV/0!</v>
      </c>
      <c r="AQ53" s="90" t="e">
        <f t="shared" ref="AQ53:AQ61" si="56">(AP53*(6.0221*10^23))/(29903*340*10^9)</f>
        <v>#DIV/0!</v>
      </c>
      <c r="AR53" s="95" t="e">
        <f t="shared" si="41"/>
        <v>#DIV/0!</v>
      </c>
      <c r="AS53" s="95" t="e">
        <f t="shared" ref="AS53:AS61" si="57">AR53/AK53</f>
        <v>#DIV/0!</v>
      </c>
      <c r="AT53" s="95" t="e">
        <f t="shared" ref="AT53:AT61" si="58">AS53*U53</f>
        <v>#DIV/0!</v>
      </c>
      <c r="AU53" s="90"/>
      <c r="AV53" s="90" t="s">
        <v>87</v>
      </c>
    </row>
    <row r="54" spans="2:48" s="56" customFormat="1" ht="14" x14ac:dyDescent="0.15">
      <c r="B54" s="45" t="s">
        <v>54</v>
      </c>
      <c r="C54" s="45" t="s">
        <v>55</v>
      </c>
      <c r="D54" s="52">
        <v>44083</v>
      </c>
      <c r="E54" s="53" t="s">
        <v>57</v>
      </c>
      <c r="F54" s="54" t="s">
        <v>58</v>
      </c>
      <c r="G54" s="45" t="s">
        <v>59</v>
      </c>
      <c r="H54" s="45">
        <v>-20</v>
      </c>
      <c r="I54" s="45" t="s">
        <v>60</v>
      </c>
      <c r="J54" s="45" t="s">
        <v>61</v>
      </c>
      <c r="K54" s="45" t="s">
        <v>62</v>
      </c>
      <c r="L54" s="45" t="s">
        <v>63</v>
      </c>
      <c r="M54" s="45" t="s">
        <v>60</v>
      </c>
      <c r="N54" s="45">
        <v>50</v>
      </c>
      <c r="O54" s="45" t="s">
        <v>64</v>
      </c>
      <c r="P54" s="45" t="s">
        <v>65</v>
      </c>
      <c r="Q54" s="73" t="s">
        <v>78</v>
      </c>
      <c r="R54" s="45">
        <v>4</v>
      </c>
      <c r="S54" s="45">
        <v>270</v>
      </c>
      <c r="T54" s="45">
        <v>238944</v>
      </c>
      <c r="U54" s="53">
        <f t="shared" si="0"/>
        <v>238944000000</v>
      </c>
      <c r="V54" s="45" t="s">
        <v>60</v>
      </c>
      <c r="W54" s="45" t="s">
        <v>66</v>
      </c>
      <c r="X54" s="45" t="s">
        <v>60</v>
      </c>
      <c r="Y54" s="74">
        <v>19.0636005386724</v>
      </c>
      <c r="Z54" s="74">
        <v>19.470080303242401</v>
      </c>
      <c r="AA54" s="45"/>
      <c r="AB54" s="49">
        <f t="shared" si="47"/>
        <v>19.266840420957401</v>
      </c>
      <c r="AC54" s="49">
        <f t="shared" si="48"/>
        <v>3.5962535505944673</v>
      </c>
      <c r="AD54" s="50">
        <f t="shared" si="49"/>
        <v>421193244.9411869</v>
      </c>
      <c r="AE54" s="77">
        <f t="shared" si="51"/>
        <v>64.504457522012856</v>
      </c>
      <c r="AF54" s="45">
        <v>21.247341052030599</v>
      </c>
      <c r="AG54" s="45">
        <v>21.397974806630099</v>
      </c>
      <c r="AH54" s="45"/>
      <c r="AI54" s="49">
        <f t="shared" si="52"/>
        <v>21.322657929330347</v>
      </c>
      <c r="AJ54" s="45">
        <f t="shared" si="53"/>
        <v>2007.1287004537339</v>
      </c>
      <c r="AK54" s="50">
        <f t="shared" si="37"/>
        <v>401.42574009074679</v>
      </c>
      <c r="AL54" s="45">
        <v>35.220483397130501</v>
      </c>
      <c r="AM54" s="45">
        <v>35.126743051674602</v>
      </c>
      <c r="AN54" s="45"/>
      <c r="AO54" s="49">
        <f t="shared" si="54"/>
        <v>35.173613224402551</v>
      </c>
      <c r="AP54" s="45">
        <f t="shared" si="55"/>
        <v>2.6288855541729779E-6</v>
      </c>
      <c r="AQ54" s="45">
        <f t="shared" si="56"/>
        <v>155.71339188656154</v>
      </c>
      <c r="AR54" s="50">
        <f t="shared" si="41"/>
        <v>31.142678377312308</v>
      </c>
      <c r="AS54" s="50">
        <f t="shared" si="57"/>
        <v>7.7580173035919811E-2</v>
      </c>
      <c r="AT54" s="50">
        <f t="shared" si="58"/>
        <v>18537316865.894825</v>
      </c>
      <c r="AU54" s="45"/>
      <c r="AV54" s="45"/>
    </row>
    <row r="55" spans="2:48" s="56" customFormat="1" ht="14" x14ac:dyDescent="0.15">
      <c r="B55" s="45" t="s">
        <v>54</v>
      </c>
      <c r="C55" s="45" t="s">
        <v>55</v>
      </c>
      <c r="D55" s="52">
        <v>44116</v>
      </c>
      <c r="E55" s="53" t="s">
        <v>57</v>
      </c>
      <c r="F55" s="54" t="s">
        <v>58</v>
      </c>
      <c r="G55" s="45" t="s">
        <v>59</v>
      </c>
      <c r="H55" s="45">
        <v>-20</v>
      </c>
      <c r="I55" s="45" t="s">
        <v>60</v>
      </c>
      <c r="J55" s="45" t="s">
        <v>61</v>
      </c>
      <c r="K55" s="45" t="s">
        <v>62</v>
      </c>
      <c r="L55" s="45" t="s">
        <v>63</v>
      </c>
      <c r="M55" s="45" t="s">
        <v>60</v>
      </c>
      <c r="N55" s="45">
        <v>50</v>
      </c>
      <c r="O55" s="45" t="s">
        <v>64</v>
      </c>
      <c r="P55" s="45" t="s">
        <v>65</v>
      </c>
      <c r="Q55" s="73" t="s">
        <v>79</v>
      </c>
      <c r="R55" s="45">
        <v>4</v>
      </c>
      <c r="S55" s="45">
        <v>210</v>
      </c>
      <c r="T55" s="45">
        <v>221040</v>
      </c>
      <c r="U55" s="53">
        <f t="shared" si="0"/>
        <v>221040000000</v>
      </c>
      <c r="V55" s="45" t="s">
        <v>60</v>
      </c>
      <c r="W55" s="45" t="s">
        <v>66</v>
      </c>
      <c r="X55" s="45" t="s">
        <v>60</v>
      </c>
      <c r="Y55" s="74">
        <v>20.786342255565099</v>
      </c>
      <c r="Z55" s="74">
        <v>20.715641519411001</v>
      </c>
      <c r="AA55" s="45"/>
      <c r="AB55" s="49">
        <f t="shared" si="47"/>
        <v>20.750991887488048</v>
      </c>
      <c r="AC55" s="49">
        <f t="shared" si="48"/>
        <v>1.3317377660430187</v>
      </c>
      <c r="AD55" s="50">
        <f t="shared" si="49"/>
        <v>155973137.93341002</v>
      </c>
      <c r="AE55" s="77">
        <f t="shared" si="51"/>
        <v>23.886809133906112</v>
      </c>
      <c r="AF55" s="45">
        <v>23.778807387312899</v>
      </c>
      <c r="AG55" s="45">
        <v>23.775519380017801</v>
      </c>
      <c r="AH55" s="45"/>
      <c r="AI55" s="49">
        <f t="shared" si="52"/>
        <v>23.77716338366535</v>
      </c>
      <c r="AJ55" s="45">
        <f t="shared" si="53"/>
        <v>337.63260168801821</v>
      </c>
      <c r="AK55" s="50">
        <f t="shared" si="37"/>
        <v>67.526520337603642</v>
      </c>
      <c r="AL55" s="45">
        <v>37.454365200729903</v>
      </c>
      <c r="AM55" s="45">
        <v>35.2470188764675</v>
      </c>
      <c r="AN55" s="45"/>
      <c r="AO55" s="49">
        <f t="shared" si="54"/>
        <v>36.350692038598702</v>
      </c>
      <c r="AP55" s="45">
        <f t="shared" si="55"/>
        <v>1.2069164680848573E-6</v>
      </c>
      <c r="AQ55" s="45">
        <f t="shared" si="56"/>
        <v>71.487728581765538</v>
      </c>
      <c r="AR55" s="50">
        <f t="shared" si="41"/>
        <v>14.297545716353108</v>
      </c>
      <c r="AS55" s="50">
        <f t="shared" si="57"/>
        <v>0.21173230376556515</v>
      </c>
      <c r="AT55" s="50">
        <f t="shared" si="58"/>
        <v>46801308424.340523</v>
      </c>
      <c r="AU55" s="45"/>
      <c r="AV55" s="45"/>
    </row>
    <row r="56" spans="2:48" s="56" customFormat="1" ht="14" x14ac:dyDescent="0.15">
      <c r="B56" s="45" t="s">
        <v>54</v>
      </c>
      <c r="C56" s="45" t="s">
        <v>55</v>
      </c>
      <c r="D56" s="52">
        <v>44130</v>
      </c>
      <c r="E56" s="53" t="s">
        <v>57</v>
      </c>
      <c r="F56" s="54" t="s">
        <v>58</v>
      </c>
      <c r="G56" s="45" t="s">
        <v>59</v>
      </c>
      <c r="H56" s="45">
        <v>-20</v>
      </c>
      <c r="I56" s="45" t="s">
        <v>60</v>
      </c>
      <c r="J56" s="45" t="s">
        <v>61</v>
      </c>
      <c r="K56" s="45" t="s">
        <v>62</v>
      </c>
      <c r="L56" s="45" t="s">
        <v>63</v>
      </c>
      <c r="M56" s="45" t="s">
        <v>60</v>
      </c>
      <c r="N56" s="45">
        <v>50</v>
      </c>
      <c r="O56" s="45" t="s">
        <v>64</v>
      </c>
      <c r="P56" s="45" t="s">
        <v>65</v>
      </c>
      <c r="Q56" s="73" t="s">
        <v>80</v>
      </c>
      <c r="R56" s="45">
        <v>4</v>
      </c>
      <c r="S56" s="45">
        <v>210</v>
      </c>
      <c r="T56" s="45">
        <v>294528</v>
      </c>
      <c r="U56" s="53">
        <f t="shared" si="0"/>
        <v>294528000000</v>
      </c>
      <c r="V56" s="45" t="s">
        <v>60</v>
      </c>
      <c r="W56" s="45" t="s">
        <v>66</v>
      </c>
      <c r="X56" s="45" t="s">
        <v>60</v>
      </c>
      <c r="Y56" s="49">
        <v>19.698250415872899</v>
      </c>
      <c r="Z56" s="49">
        <v>19.482391329685701</v>
      </c>
      <c r="AA56" s="45"/>
      <c r="AB56" s="49">
        <f t="shared" si="47"/>
        <v>19.590320872779301</v>
      </c>
      <c r="AC56" s="49">
        <f t="shared" si="48"/>
        <v>2.8961228951286131</v>
      </c>
      <c r="AD56" s="50">
        <f t="shared" si="49"/>
        <v>339193936.90860474</v>
      </c>
      <c r="AE56" s="77">
        <f t="shared" si="51"/>
        <v>51.946514237426904</v>
      </c>
      <c r="AF56" s="45">
        <v>23.1039134727929</v>
      </c>
      <c r="AG56" s="45">
        <v>23.000637049194602</v>
      </c>
      <c r="AH56" s="45"/>
      <c r="AI56" s="49">
        <f t="shared" si="52"/>
        <v>23.052275260993753</v>
      </c>
      <c r="AJ56" s="45">
        <f t="shared" si="53"/>
        <v>571.56829587837046</v>
      </c>
      <c r="AK56" s="50">
        <f t="shared" si="37"/>
        <v>114.31365917567409</v>
      </c>
      <c r="AL56" s="45">
        <v>35.065238818214098</v>
      </c>
      <c r="AM56" s="45">
        <v>36.045551751208897</v>
      </c>
      <c r="AN56" s="45"/>
      <c r="AO56" s="49">
        <f t="shared" si="54"/>
        <v>35.555395284711494</v>
      </c>
      <c r="AP56" s="45">
        <f t="shared" si="55"/>
        <v>2.0422632927349461E-6</v>
      </c>
      <c r="AQ56" s="45">
        <f t="shared" si="56"/>
        <v>120.966751075331</v>
      </c>
      <c r="AR56" s="50">
        <f t="shared" si="41"/>
        <v>24.1933502150662</v>
      </c>
      <c r="AS56" s="50">
        <f t="shared" si="57"/>
        <v>0.21164006462155607</v>
      </c>
      <c r="AT56" s="50">
        <f t="shared" si="58"/>
        <v>62333924952.857666</v>
      </c>
      <c r="AU56" s="45"/>
      <c r="AV56" s="45"/>
    </row>
    <row r="57" spans="2:48" s="64" customFormat="1" ht="14" x14ac:dyDescent="0.15">
      <c r="B57" s="57" t="s">
        <v>54</v>
      </c>
      <c r="C57" s="57" t="s">
        <v>82</v>
      </c>
      <c r="D57" s="58">
        <v>44063</v>
      </c>
      <c r="E57" s="59" t="s">
        <v>57</v>
      </c>
      <c r="F57" s="60" t="s">
        <v>58</v>
      </c>
      <c r="G57" s="57" t="s">
        <v>59</v>
      </c>
      <c r="H57" s="57">
        <v>-20</v>
      </c>
      <c r="I57" s="57" t="s">
        <v>60</v>
      </c>
      <c r="J57" s="57" t="s">
        <v>61</v>
      </c>
      <c r="K57" s="57" t="s">
        <v>62</v>
      </c>
      <c r="L57" s="57" t="s">
        <v>63</v>
      </c>
      <c r="M57" s="57" t="s">
        <v>60</v>
      </c>
      <c r="N57" s="57">
        <v>50</v>
      </c>
      <c r="O57" s="57" t="s">
        <v>64</v>
      </c>
      <c r="P57" s="57" t="s">
        <v>65</v>
      </c>
      <c r="Q57" s="61" t="s">
        <v>79</v>
      </c>
      <c r="R57" s="57">
        <v>4</v>
      </c>
      <c r="S57" s="57">
        <v>240</v>
      </c>
      <c r="T57" s="57">
        <v>145800</v>
      </c>
      <c r="U57" s="59">
        <f t="shared" si="0"/>
        <v>145800000000</v>
      </c>
      <c r="V57" s="57" t="s">
        <v>60</v>
      </c>
      <c r="W57" s="57" t="s">
        <v>66</v>
      </c>
      <c r="X57" s="57" t="s">
        <v>60</v>
      </c>
      <c r="Y57" s="62">
        <v>18.194613318007001</v>
      </c>
      <c r="Z57" s="62">
        <v>17.349823177147702</v>
      </c>
      <c r="AA57" s="57"/>
      <c r="AB57" s="62">
        <f t="shared" si="47"/>
        <v>17.772218247577349</v>
      </c>
      <c r="AC57" s="62">
        <f t="shared" si="48"/>
        <v>9.7797025672082487</v>
      </c>
      <c r="AD57" s="63">
        <f t="shared" si="49"/>
        <v>1145398843.7943139</v>
      </c>
      <c r="AE57" s="101">
        <f t="shared" si="51"/>
        <v>175.41433048293456</v>
      </c>
      <c r="AF57" s="57">
        <v>22.945237971670601</v>
      </c>
      <c r="AG57" s="57">
        <v>22.130624808078299</v>
      </c>
      <c r="AH57" s="57"/>
      <c r="AI57" s="62">
        <f t="shared" si="52"/>
        <v>22.537931389874451</v>
      </c>
      <c r="AJ57" s="57">
        <f t="shared" si="53"/>
        <v>830.40118531678627</v>
      </c>
      <c r="AK57" s="63">
        <f t="shared" si="37"/>
        <v>166.08023706335726</v>
      </c>
      <c r="AL57" s="57"/>
      <c r="AM57" s="57">
        <v>36.6033125738428</v>
      </c>
      <c r="AN57" s="57"/>
      <c r="AO57" s="62">
        <f t="shared" si="54"/>
        <v>36.6033125738428</v>
      </c>
      <c r="AP57" s="57">
        <f t="shared" si="55"/>
        <v>1.021213534599535E-6</v>
      </c>
      <c r="AQ57" s="57">
        <f t="shared" si="56"/>
        <v>60.488225917838847</v>
      </c>
      <c r="AR57" s="63">
        <f t="shared" si="41"/>
        <v>12.097645183567769</v>
      </c>
      <c r="AS57" s="63">
        <f t="shared" si="57"/>
        <v>7.2842171937367167E-2</v>
      </c>
      <c r="AT57" s="63">
        <f t="shared" si="58"/>
        <v>10620388668.468134</v>
      </c>
      <c r="AU57" s="57"/>
      <c r="AV57" s="57"/>
    </row>
    <row r="58" spans="2:48" s="64" customFormat="1" ht="14" x14ac:dyDescent="0.15">
      <c r="B58" s="57" t="s">
        <v>54</v>
      </c>
      <c r="C58" s="57" t="s">
        <v>82</v>
      </c>
      <c r="D58" s="58">
        <v>44071</v>
      </c>
      <c r="E58" s="59" t="s">
        <v>57</v>
      </c>
      <c r="F58" s="60" t="s">
        <v>58</v>
      </c>
      <c r="G58" s="57" t="s">
        <v>59</v>
      </c>
      <c r="H58" s="57">
        <v>-20</v>
      </c>
      <c r="I58" s="57" t="s">
        <v>60</v>
      </c>
      <c r="J58" s="57" t="s">
        <v>61</v>
      </c>
      <c r="K58" s="57" t="s">
        <v>62</v>
      </c>
      <c r="L58" s="57" t="s">
        <v>63</v>
      </c>
      <c r="M58" s="57" t="s">
        <v>60</v>
      </c>
      <c r="N58" s="57">
        <v>50</v>
      </c>
      <c r="O58" s="57" t="s">
        <v>64</v>
      </c>
      <c r="P58" s="57" t="s">
        <v>65</v>
      </c>
      <c r="Q58" s="61" t="s">
        <v>81</v>
      </c>
      <c r="R58" s="57">
        <v>4</v>
      </c>
      <c r="S58" s="57">
        <v>290</v>
      </c>
      <c r="T58" s="57">
        <v>134832</v>
      </c>
      <c r="U58" s="59">
        <f t="shared" si="0"/>
        <v>134832000000</v>
      </c>
      <c r="V58" s="57" t="s">
        <v>60</v>
      </c>
      <c r="W58" s="57" t="s">
        <v>66</v>
      </c>
      <c r="X58" s="57" t="s">
        <v>60</v>
      </c>
      <c r="Y58" s="62">
        <v>19.354380013949399</v>
      </c>
      <c r="Z58" s="62">
        <v>19.301238269387401</v>
      </c>
      <c r="AA58" s="57"/>
      <c r="AB58" s="62">
        <f t="shared" si="47"/>
        <v>19.3278091416684</v>
      </c>
      <c r="AC58" s="62">
        <f t="shared" si="48"/>
        <v>3.4524480985403661</v>
      </c>
      <c r="AD58" s="63">
        <f t="shared" si="49"/>
        <v>404350749.23314965</v>
      </c>
      <c r="AE58" s="101">
        <f t="shared" si="51"/>
        <v>61.925080805951147</v>
      </c>
      <c r="AF58" s="57">
        <v>23.4536888332571</v>
      </c>
      <c r="AG58" s="57">
        <v>23.323107344154401</v>
      </c>
      <c r="AH58" s="57"/>
      <c r="AI58" s="62">
        <f t="shared" si="52"/>
        <v>23.388398088705749</v>
      </c>
      <c r="AJ58" s="57">
        <f t="shared" si="53"/>
        <v>447.77284653682449</v>
      </c>
      <c r="AK58" s="63">
        <f t="shared" si="37"/>
        <v>89.554569307364901</v>
      </c>
      <c r="AL58" s="57">
        <v>36.301421753410402</v>
      </c>
      <c r="AM58" s="57">
        <v>37.630993283399398</v>
      </c>
      <c r="AN58" s="57"/>
      <c r="AO58" s="62">
        <f t="shared" si="54"/>
        <v>36.9662075184049</v>
      </c>
      <c r="AP58" s="57">
        <f t="shared" si="55"/>
        <v>8.033070785122302E-7</v>
      </c>
      <c r="AQ58" s="57">
        <f t="shared" si="56"/>
        <v>47.581253479470888</v>
      </c>
      <c r="AR58" s="63">
        <f t="shared" si="41"/>
        <v>9.5162506958941773</v>
      </c>
      <c r="AS58" s="63">
        <f t="shared" si="57"/>
        <v>0.10626203408151021</v>
      </c>
      <c r="AT58" s="63">
        <f t="shared" si="58"/>
        <v>14327522579.278185</v>
      </c>
      <c r="AU58" s="57"/>
      <c r="AV58" s="57"/>
    </row>
    <row r="59" spans="2:48" s="64" customFormat="1" ht="14" x14ac:dyDescent="0.15">
      <c r="B59" s="57" t="s">
        <v>54</v>
      </c>
      <c r="C59" s="57" t="s">
        <v>82</v>
      </c>
      <c r="D59" s="58">
        <v>44083</v>
      </c>
      <c r="E59" s="59" t="s">
        <v>57</v>
      </c>
      <c r="F59" s="60" t="s">
        <v>58</v>
      </c>
      <c r="G59" s="57" t="s">
        <v>59</v>
      </c>
      <c r="H59" s="57">
        <v>-20</v>
      </c>
      <c r="I59" s="57" t="s">
        <v>60</v>
      </c>
      <c r="J59" s="57" t="s">
        <v>61</v>
      </c>
      <c r="K59" s="57" t="s">
        <v>62</v>
      </c>
      <c r="L59" s="57" t="s">
        <v>63</v>
      </c>
      <c r="M59" s="57" t="s">
        <v>60</v>
      </c>
      <c r="N59" s="57">
        <v>50</v>
      </c>
      <c r="O59" s="57" t="s">
        <v>64</v>
      </c>
      <c r="P59" s="57" t="s">
        <v>65</v>
      </c>
      <c r="Q59" s="61" t="s">
        <v>83</v>
      </c>
      <c r="R59" s="57">
        <v>4</v>
      </c>
      <c r="S59" s="57">
        <v>250</v>
      </c>
      <c r="T59" s="57">
        <v>166176</v>
      </c>
      <c r="U59" s="59">
        <f t="shared" si="0"/>
        <v>166176000000</v>
      </c>
      <c r="V59" s="57" t="s">
        <v>60</v>
      </c>
      <c r="W59" s="57" t="s">
        <v>66</v>
      </c>
      <c r="X59" s="57" t="s">
        <v>60</v>
      </c>
      <c r="Y59" s="62">
        <v>20.3840841159553</v>
      </c>
      <c r="Z59" s="62">
        <v>20.262895330152698</v>
      </c>
      <c r="AA59" s="57"/>
      <c r="AB59" s="62">
        <f t="shared" si="47"/>
        <v>20.323489723053999</v>
      </c>
      <c r="AC59" s="62">
        <f t="shared" si="48"/>
        <v>1.7729249688808952</v>
      </c>
      <c r="AD59" s="63">
        <f t="shared" si="49"/>
        <v>207644986.69921619</v>
      </c>
      <c r="AE59" s="101">
        <f t="shared" si="51"/>
        <v>31.800194768244165</v>
      </c>
      <c r="AF59" s="57">
        <v>23.218645210192399</v>
      </c>
      <c r="AG59" s="57">
        <v>22.7760796863172</v>
      </c>
      <c r="AH59" s="57"/>
      <c r="AI59" s="62">
        <f t="shared" si="52"/>
        <v>22.997362448254798</v>
      </c>
      <c r="AJ59" s="57">
        <f t="shared" si="53"/>
        <v>594.82221632891685</v>
      </c>
      <c r="AK59" s="63">
        <f t="shared" si="37"/>
        <v>118.96444326578337</v>
      </c>
      <c r="AL59" s="57">
        <v>36.978470245328602</v>
      </c>
      <c r="AM59" s="57">
        <v>35.861971679876902</v>
      </c>
      <c r="AN59" s="57"/>
      <c r="AO59" s="62">
        <f t="shared" si="54"/>
        <v>36.420220962602755</v>
      </c>
      <c r="AP59" s="57">
        <f t="shared" si="55"/>
        <v>1.1526734637353425E-6</v>
      </c>
      <c r="AQ59" s="57">
        <f t="shared" si="56"/>
        <v>68.274822572991937</v>
      </c>
      <c r="AR59" s="63">
        <f t="shared" si="41"/>
        <v>13.654964514598387</v>
      </c>
      <c r="AS59" s="63">
        <f t="shared" si="57"/>
        <v>0.11478189734466514</v>
      </c>
      <c r="AT59" s="63">
        <f t="shared" si="58"/>
        <v>19073996573.147076</v>
      </c>
      <c r="AU59" s="57"/>
      <c r="AV59" s="57"/>
    </row>
    <row r="60" spans="2:48" s="64" customFormat="1" ht="14" x14ac:dyDescent="0.15">
      <c r="B60" s="57" t="s">
        <v>54</v>
      </c>
      <c r="C60" s="57" t="s">
        <v>82</v>
      </c>
      <c r="D60" s="58">
        <v>44116</v>
      </c>
      <c r="E60" s="59" t="s">
        <v>57</v>
      </c>
      <c r="F60" s="60" t="s">
        <v>58</v>
      </c>
      <c r="G60" s="57" t="s">
        <v>59</v>
      </c>
      <c r="H60" s="57">
        <v>-20</v>
      </c>
      <c r="I60" s="57" t="s">
        <v>60</v>
      </c>
      <c r="J60" s="57" t="s">
        <v>61</v>
      </c>
      <c r="K60" s="57" t="s">
        <v>62</v>
      </c>
      <c r="L60" s="57" t="s">
        <v>63</v>
      </c>
      <c r="M60" s="57" t="s">
        <v>60</v>
      </c>
      <c r="N60" s="57">
        <v>50</v>
      </c>
      <c r="O60" s="57" t="s">
        <v>64</v>
      </c>
      <c r="P60" s="57" t="s">
        <v>65</v>
      </c>
      <c r="Q60" s="61" t="s">
        <v>85</v>
      </c>
      <c r="R60" s="57">
        <v>4</v>
      </c>
      <c r="S60" s="57">
        <v>140</v>
      </c>
      <c r="T60" s="57">
        <v>193176</v>
      </c>
      <c r="U60" s="59">
        <f t="shared" si="0"/>
        <v>193176000000</v>
      </c>
      <c r="V60" s="57" t="s">
        <v>60</v>
      </c>
      <c r="W60" s="57" t="s">
        <v>66</v>
      </c>
      <c r="X60" s="57" t="s">
        <v>60</v>
      </c>
      <c r="Y60" s="62">
        <v>21.1374470093761</v>
      </c>
      <c r="Z60" s="62">
        <v>21.1433901740705</v>
      </c>
      <c r="AA60" s="57"/>
      <c r="AB60" s="62">
        <f t="shared" ref="AB60:AB61" si="59">AVERAGE(Y60:AA60)</f>
        <v>21.1404185917233</v>
      </c>
      <c r="AC60" s="62">
        <f t="shared" ref="AC60:AC61" si="60">EXP((AB60-21.179)/-1.494)</f>
        <v>1.0261605703243415</v>
      </c>
      <c r="AD60" s="63">
        <f t="shared" ref="AD60:AD61" si="61">(AC60*(6.0221*10^23))/(15123*340*10^9)</f>
        <v>120183934.29855996</v>
      </c>
      <c r="AE60" s="101">
        <f t="shared" si="51"/>
        <v>18.405802034817409</v>
      </c>
      <c r="AF60" s="57">
        <v>24.4365517630564</v>
      </c>
      <c r="AG60" s="57">
        <v>24.491224684792702</v>
      </c>
      <c r="AH60" s="57"/>
      <c r="AI60" s="62">
        <f t="shared" si="52"/>
        <v>24.463888223924549</v>
      </c>
      <c r="AJ60" s="57">
        <f t="shared" si="53"/>
        <v>205.04869288031966</v>
      </c>
      <c r="AK60" s="63">
        <f t="shared" si="37"/>
        <v>41.009738576063931</v>
      </c>
      <c r="AL60" s="57">
        <v>35.613636972755302</v>
      </c>
      <c r="AM60" s="57">
        <v>36.8141044067537</v>
      </c>
      <c r="AN60" s="57"/>
      <c r="AO60" s="62">
        <f t="shared" si="54"/>
        <v>36.213870689754501</v>
      </c>
      <c r="AP60" s="57">
        <f t="shared" si="55"/>
        <v>1.3212246129193893E-6</v>
      </c>
      <c r="AQ60" s="57">
        <f t="shared" si="56"/>
        <v>78.258395689807372</v>
      </c>
      <c r="AR60" s="63">
        <f t="shared" si="41"/>
        <v>15.651679137961475</v>
      </c>
      <c r="AS60" s="63">
        <f t="shared" si="57"/>
        <v>0.38165761795655184</v>
      </c>
      <c r="AT60" s="63">
        <f t="shared" si="58"/>
        <v>73727092006.374863</v>
      </c>
      <c r="AU60" s="57"/>
      <c r="AV60" s="57"/>
    </row>
    <row r="61" spans="2:48" s="64" customFormat="1" ht="15" thickBot="1" x14ac:dyDescent="0.2">
      <c r="B61" s="57" t="s">
        <v>54</v>
      </c>
      <c r="C61" s="57" t="s">
        <v>82</v>
      </c>
      <c r="D61" s="58">
        <v>44130</v>
      </c>
      <c r="E61" s="59" t="s">
        <v>57</v>
      </c>
      <c r="F61" s="60" t="s">
        <v>58</v>
      </c>
      <c r="G61" s="57" t="s">
        <v>59</v>
      </c>
      <c r="H61" s="57">
        <v>-20</v>
      </c>
      <c r="I61" s="57" t="s">
        <v>60</v>
      </c>
      <c r="J61" s="57" t="s">
        <v>61</v>
      </c>
      <c r="K61" s="57" t="s">
        <v>62</v>
      </c>
      <c r="L61" s="57" t="s">
        <v>63</v>
      </c>
      <c r="M61" s="57" t="s">
        <v>60</v>
      </c>
      <c r="N61" s="57">
        <v>50</v>
      </c>
      <c r="O61" s="57" t="s">
        <v>64</v>
      </c>
      <c r="P61" s="57" t="s">
        <v>65</v>
      </c>
      <c r="Q61" s="61" t="s">
        <v>86</v>
      </c>
      <c r="R61" s="57">
        <v>4</v>
      </c>
      <c r="S61" s="57">
        <v>220</v>
      </c>
      <c r="T61" s="57">
        <v>234768</v>
      </c>
      <c r="U61" s="59">
        <f t="shared" si="0"/>
        <v>234768000000</v>
      </c>
      <c r="V61" s="57" t="s">
        <v>60</v>
      </c>
      <c r="W61" s="57" t="s">
        <v>66</v>
      </c>
      <c r="X61" s="57" t="s">
        <v>60</v>
      </c>
      <c r="Y61" s="62">
        <v>20.261556657577</v>
      </c>
      <c r="Z61" s="62">
        <v>20.362451594866499</v>
      </c>
      <c r="AA61" s="57"/>
      <c r="AB61" s="62">
        <f t="shared" si="59"/>
        <v>20.312004126221751</v>
      </c>
      <c r="AC61" s="62">
        <f t="shared" si="60"/>
        <v>1.7866074161795058</v>
      </c>
      <c r="AD61" s="63">
        <f t="shared" si="61"/>
        <v>209247475.03752756</v>
      </c>
      <c r="AE61" s="101">
        <f t="shared" si="51"/>
        <v>32.045610957106739</v>
      </c>
      <c r="AF61" s="57">
        <v>24.6302912575687</v>
      </c>
      <c r="AG61" s="57">
        <v>24.528478141007302</v>
      </c>
      <c r="AH61" s="57"/>
      <c r="AI61" s="62">
        <f t="shared" si="52"/>
        <v>24.579384699287999</v>
      </c>
      <c r="AJ61" s="57">
        <f t="shared" si="53"/>
        <v>188.55166254333835</v>
      </c>
      <c r="AK61" s="63">
        <f t="shared" si="37"/>
        <v>37.710332508667669</v>
      </c>
      <c r="AL61" s="57">
        <v>35.1834536697312</v>
      </c>
      <c r="AM61" s="57">
        <v>36.193315558464803</v>
      </c>
      <c r="AN61" s="57"/>
      <c r="AO61" s="62">
        <f t="shared" si="54"/>
        <v>35.688384614097998</v>
      </c>
      <c r="AP61" s="57">
        <f t="shared" si="55"/>
        <v>1.8703072915668793E-6</v>
      </c>
      <c r="AQ61" s="57">
        <f t="shared" si="56"/>
        <v>110.78150274657571</v>
      </c>
      <c r="AR61" s="63">
        <f t="shared" si="41"/>
        <v>22.156300549315141</v>
      </c>
      <c r="AS61" s="63">
        <f t="shared" si="57"/>
        <v>0.58753925185418465</v>
      </c>
      <c r="AT61" s="63">
        <f t="shared" si="58"/>
        <v>137935415079.30322</v>
      </c>
      <c r="AU61" s="57"/>
      <c r="AV61" s="57"/>
    </row>
    <row r="62" spans="2:48" s="5" customFormat="1" ht="15" thickBot="1" x14ac:dyDescent="0.2">
      <c r="B62" s="8"/>
      <c r="C62" s="8"/>
      <c r="D62" s="17"/>
      <c r="E62" s="10" t="s">
        <v>75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20"/>
      <c r="R62" s="8"/>
      <c r="S62" s="8"/>
      <c r="T62" s="8"/>
      <c r="U62" s="10">
        <f t="shared" si="0"/>
        <v>0</v>
      </c>
      <c r="V62" s="8"/>
      <c r="W62" s="8"/>
      <c r="X62" s="8"/>
      <c r="Y62" s="75">
        <v>18.767959729731299</v>
      </c>
      <c r="Z62" s="76">
        <v>18.455674775334401</v>
      </c>
      <c r="AA62" s="8"/>
      <c r="AB62" s="18">
        <f t="shared" ref="AB62" si="62">AVERAGE(Y62:AA62)</f>
        <v>18.611817252532852</v>
      </c>
      <c r="AC62" s="18">
        <f t="shared" ref="AC62" si="63">EXP((AB62-21.179)/-1.494)</f>
        <v>5.5752016042723964</v>
      </c>
      <c r="AD62" s="19">
        <f t="shared" ref="AD62" si="64">(AC62*(6.0221*10^23))/(15123*340*10^9)</f>
        <v>652967656.99866569</v>
      </c>
      <c r="AE62" s="77">
        <f t="shared" si="51"/>
        <v>100</v>
      </c>
      <c r="AF62" s="8"/>
      <c r="AG62" s="8"/>
      <c r="AH62" s="8"/>
      <c r="AI62" s="8"/>
      <c r="AJ62" s="8"/>
      <c r="AK62" s="50">
        <f t="shared" si="37"/>
        <v>0</v>
      </c>
      <c r="AL62" s="8"/>
      <c r="AM62" s="8"/>
      <c r="AN62" s="8"/>
      <c r="AO62" s="8"/>
      <c r="AP62" s="8"/>
      <c r="AQ62" s="8"/>
      <c r="AR62" s="50">
        <f t="shared" si="41"/>
        <v>0</v>
      </c>
      <c r="AS62" s="8"/>
      <c r="AT62" s="8"/>
      <c r="AU62" s="8"/>
      <c r="AV62" s="8"/>
    </row>
    <row r="63" spans="2:48" s="5" customFormat="1" x14ac:dyDescent="0.15">
      <c r="B63" s="8"/>
      <c r="C63" s="8"/>
      <c r="D63" s="17"/>
      <c r="E63" s="10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20"/>
      <c r="R63" s="8"/>
      <c r="S63" s="8"/>
      <c r="T63" s="8"/>
      <c r="U63" s="10">
        <f t="shared" si="0"/>
        <v>0</v>
      </c>
      <c r="V63" s="8"/>
      <c r="W63" s="8"/>
      <c r="X63" s="8"/>
      <c r="Y63" s="18"/>
      <c r="Z63" s="18"/>
      <c r="AA63" s="8"/>
      <c r="AB63" s="18"/>
      <c r="AC63" s="18"/>
      <c r="AD63" s="19"/>
      <c r="AE63" s="8"/>
      <c r="AF63" s="8"/>
      <c r="AG63" s="8"/>
      <c r="AH63" s="8"/>
      <c r="AI63" s="8"/>
      <c r="AJ63" s="8"/>
      <c r="AK63" s="50">
        <f t="shared" si="37"/>
        <v>0</v>
      </c>
      <c r="AL63" s="8"/>
      <c r="AM63" s="8"/>
      <c r="AN63" s="8"/>
      <c r="AO63" s="8"/>
      <c r="AP63" s="8"/>
      <c r="AQ63" s="8"/>
      <c r="AR63" s="50">
        <f t="shared" si="41"/>
        <v>0</v>
      </c>
      <c r="AS63" s="8"/>
      <c r="AT63" s="8"/>
      <c r="AU63" s="8"/>
      <c r="AV63" s="8"/>
    </row>
    <row r="64" spans="2:48" s="138" customFormat="1" ht="14" x14ac:dyDescent="0.15">
      <c r="B64" s="103" t="s">
        <v>54</v>
      </c>
      <c r="C64" s="103" t="s">
        <v>82</v>
      </c>
      <c r="D64" s="106" t="s">
        <v>88</v>
      </c>
      <c r="E64" s="111" t="s">
        <v>57</v>
      </c>
      <c r="F64" s="105" t="s">
        <v>58</v>
      </c>
      <c r="G64" s="103" t="s">
        <v>59</v>
      </c>
      <c r="H64" s="103">
        <v>-20</v>
      </c>
      <c r="I64" s="106">
        <v>43933</v>
      </c>
      <c r="J64" s="103" t="s">
        <v>61</v>
      </c>
      <c r="K64" s="103" t="s">
        <v>62</v>
      </c>
      <c r="L64" s="103" t="s">
        <v>89</v>
      </c>
      <c r="M64" s="106" t="s">
        <v>90</v>
      </c>
      <c r="N64" s="103" t="s">
        <v>91</v>
      </c>
      <c r="O64" s="103" t="s">
        <v>92</v>
      </c>
      <c r="P64" s="103" t="s">
        <v>65</v>
      </c>
      <c r="Q64" s="136">
        <v>8.42</v>
      </c>
      <c r="R64" s="103">
        <v>3.52</v>
      </c>
      <c r="S64" s="137">
        <v>210</v>
      </c>
      <c r="T64" s="103">
        <v>163008</v>
      </c>
      <c r="U64" s="111">
        <f t="shared" si="0"/>
        <v>163008000000</v>
      </c>
      <c r="V64" s="103" t="s">
        <v>93</v>
      </c>
      <c r="W64" s="103" t="s">
        <v>66</v>
      </c>
      <c r="X64" s="103" t="s">
        <v>94</v>
      </c>
      <c r="Y64" s="107" t="s">
        <v>95</v>
      </c>
      <c r="Z64" s="107">
        <v>17.649999999999999</v>
      </c>
      <c r="AA64" s="103"/>
      <c r="AB64" s="107">
        <f>AVERAGE(Y64:AA64)</f>
        <v>17.649999999999999</v>
      </c>
      <c r="AC64" s="107">
        <f>EXP((AB64-21.179)/-1.494)</f>
        <v>10.613376369078816</v>
      </c>
      <c r="AD64" s="108">
        <f>(AC64*(6.0221*10^23))/(15123*340*10^9)</f>
        <v>1243038726.2142498</v>
      </c>
      <c r="AE64" s="107">
        <f t="shared" ref="AE64:AE74" si="65">AD64*100/AD$74</f>
        <v>157.64160522336832</v>
      </c>
      <c r="AF64" s="103"/>
      <c r="AG64" s="103">
        <v>24.42</v>
      </c>
      <c r="AH64" s="103"/>
      <c r="AI64" s="107">
        <f t="shared" ref="AI64:AI74" si="66">AVERAGE(AF64:AH64)</f>
        <v>24.42</v>
      </c>
      <c r="AJ64" s="103">
        <f>EXP((AI64-31.794)/-1.377)</f>
        <v>211.68934065834904</v>
      </c>
      <c r="AK64" s="108">
        <f t="shared" si="37"/>
        <v>42.337868131669808</v>
      </c>
      <c r="AL64" s="103">
        <v>36.130000000000003</v>
      </c>
      <c r="AM64" s="107">
        <v>35</v>
      </c>
      <c r="AN64" s="103"/>
      <c r="AO64" s="107">
        <f>AVERAGE(AL64:AN64)</f>
        <v>35.564999999999998</v>
      </c>
      <c r="AP64" s="103">
        <f>EXP((AO64-15.746)/-1.512)</f>
        <v>2.0293312903411192E-6</v>
      </c>
      <c r="AQ64" s="103">
        <f>(AP64*(6.0221*10^23))/(29903*340*10^9)</f>
        <v>120.20076643464117</v>
      </c>
      <c r="AR64" s="108">
        <f t="shared" si="41"/>
        <v>24.040153286928234</v>
      </c>
      <c r="AS64" s="108">
        <f>AR64/AK64</f>
        <v>0.56781681146920071</v>
      </c>
      <c r="AT64" s="108">
        <f>AS64*U64</f>
        <v>92558682803.971466</v>
      </c>
      <c r="AU64" s="103"/>
      <c r="AV64" s="103"/>
    </row>
    <row r="65" spans="2:48" s="86" customFormat="1" ht="14" x14ac:dyDescent="0.15">
      <c r="B65" s="90" t="s">
        <v>54</v>
      </c>
      <c r="C65" s="90" t="s">
        <v>82</v>
      </c>
      <c r="D65" s="96" t="s">
        <v>96</v>
      </c>
      <c r="E65" s="87" t="s">
        <v>57</v>
      </c>
      <c r="F65" s="89" t="s">
        <v>58</v>
      </c>
      <c r="G65" s="90" t="s">
        <v>59</v>
      </c>
      <c r="H65" s="90">
        <v>-20</v>
      </c>
      <c r="I65" s="96">
        <v>43933</v>
      </c>
      <c r="J65" s="90" t="s">
        <v>61</v>
      </c>
      <c r="K65" s="90" t="s">
        <v>62</v>
      </c>
      <c r="L65" s="90" t="s">
        <v>89</v>
      </c>
      <c r="M65" s="96" t="s">
        <v>90</v>
      </c>
      <c r="N65" s="90" t="s">
        <v>91</v>
      </c>
      <c r="O65" s="90" t="s">
        <v>92</v>
      </c>
      <c r="P65" s="90" t="s">
        <v>65</v>
      </c>
      <c r="Q65" s="99">
        <v>8.6</v>
      </c>
      <c r="R65" s="90">
        <v>4.0199999999999996</v>
      </c>
      <c r="S65" s="90">
        <v>240</v>
      </c>
      <c r="T65" s="90">
        <v>132408</v>
      </c>
      <c r="U65" s="87">
        <f t="shared" si="0"/>
        <v>132408000000</v>
      </c>
      <c r="V65" s="90" t="s">
        <v>93</v>
      </c>
      <c r="W65" s="90" t="s">
        <v>66</v>
      </c>
      <c r="X65" s="90" t="s">
        <v>94</v>
      </c>
      <c r="Y65" s="94">
        <v>22.93</v>
      </c>
      <c r="Z65" s="94">
        <v>21.09</v>
      </c>
      <c r="AA65" s="90"/>
      <c r="AB65" s="94">
        <f t="shared" ref="AB65:AB73" si="67">AVERAGE(Y65:AA65)</f>
        <v>22.009999999999998</v>
      </c>
      <c r="AC65" s="94">
        <f t="shared" ref="AC65:AC74" si="68">EXP((AB65-21.179)/-1.494)</f>
        <v>0.57336951080145204</v>
      </c>
      <c r="AD65" s="95">
        <f t="shared" ref="AD65:AD74" si="69">(AC65*(6.0221*10^23))/(15123*340*10^9)</f>
        <v>67153041.743923813</v>
      </c>
      <c r="AE65" s="94">
        <f t="shared" si="65"/>
        <v>8.5163181748847556</v>
      </c>
      <c r="AF65" s="90">
        <v>27.8</v>
      </c>
      <c r="AG65" s="90">
        <v>27.68</v>
      </c>
      <c r="AH65" s="90"/>
      <c r="AI65" s="94">
        <f t="shared" si="66"/>
        <v>27.740000000000002</v>
      </c>
      <c r="AJ65" s="90">
        <f t="shared" ref="AJ65:AJ100" si="70">EXP((AI65-31.794)/-1.377)</f>
        <v>18.993205999348952</v>
      </c>
      <c r="AK65" s="95">
        <f t="shared" si="37"/>
        <v>3.7986411998697904</v>
      </c>
      <c r="AL65" s="90">
        <v>33.74</v>
      </c>
      <c r="AM65" s="90">
        <v>34.61</v>
      </c>
      <c r="AN65" s="90"/>
      <c r="AO65" s="94">
        <v>6</v>
      </c>
      <c r="AP65" s="90">
        <f t="shared" ref="AP65:AP74" si="71">EXP((AO65-15.746)/-1.512)</f>
        <v>630.02984782745466</v>
      </c>
      <c r="AQ65" s="90">
        <f t="shared" ref="AQ65:AQ73" si="72">(AP65*(6.0221*10^23))/(29903*340*10^9)</f>
        <v>37317746464.565956</v>
      </c>
      <c r="AR65" s="95">
        <f t="shared" si="41"/>
        <v>7463549292.9131908</v>
      </c>
      <c r="AS65" s="95">
        <f>AR65/AK65</f>
        <v>1964794488.3999641</v>
      </c>
      <c r="AT65" s="95">
        <f t="shared" ref="AT65:AT74" si="73">AS65*U65</f>
        <v>2.6015450862006246E+20</v>
      </c>
      <c r="AU65" s="90"/>
      <c r="AV65" s="90" t="s">
        <v>97</v>
      </c>
    </row>
    <row r="66" spans="2:48" s="138" customFormat="1" ht="14" x14ac:dyDescent="0.15">
      <c r="B66" s="103" t="s">
        <v>54</v>
      </c>
      <c r="C66" s="103" t="s">
        <v>82</v>
      </c>
      <c r="D66" s="106" t="s">
        <v>98</v>
      </c>
      <c r="E66" s="111" t="s">
        <v>57</v>
      </c>
      <c r="F66" s="105" t="s">
        <v>58</v>
      </c>
      <c r="G66" s="103" t="s">
        <v>59</v>
      </c>
      <c r="H66" s="103">
        <v>-20</v>
      </c>
      <c r="I66" s="106">
        <v>43933</v>
      </c>
      <c r="J66" s="103" t="s">
        <v>61</v>
      </c>
      <c r="K66" s="103" t="s">
        <v>62</v>
      </c>
      <c r="L66" s="103" t="s">
        <v>89</v>
      </c>
      <c r="M66" s="106" t="s">
        <v>90</v>
      </c>
      <c r="N66" s="103" t="s">
        <v>91</v>
      </c>
      <c r="O66" s="103" t="s">
        <v>92</v>
      </c>
      <c r="P66" s="103" t="s">
        <v>65</v>
      </c>
      <c r="Q66" s="136">
        <v>8.2200000000000006</v>
      </c>
      <c r="R66" s="103">
        <v>4.09</v>
      </c>
      <c r="S66" s="103">
        <v>190</v>
      </c>
      <c r="T66" s="103">
        <v>163680</v>
      </c>
      <c r="U66" s="111">
        <f t="shared" si="0"/>
        <v>163680000000</v>
      </c>
      <c r="V66" s="103" t="s">
        <v>93</v>
      </c>
      <c r="W66" s="103" t="s">
        <v>66</v>
      </c>
      <c r="X66" s="103" t="s">
        <v>94</v>
      </c>
      <c r="Y66" s="107">
        <v>18.010000000000002</v>
      </c>
      <c r="Z66" s="107">
        <v>17.97</v>
      </c>
      <c r="AA66" s="103"/>
      <c r="AB66" s="107">
        <f t="shared" si="67"/>
        <v>17.990000000000002</v>
      </c>
      <c r="AC66" s="107">
        <f t="shared" si="68"/>
        <v>8.453141543826872</v>
      </c>
      <c r="AD66" s="108">
        <f t="shared" si="69"/>
        <v>990032006.00331783</v>
      </c>
      <c r="AE66" s="107">
        <f t="shared" si="65"/>
        <v>125.55540817637745</v>
      </c>
      <c r="AF66" s="107">
        <v>24.5</v>
      </c>
      <c r="AG66" s="103">
        <v>24.36</v>
      </c>
      <c r="AH66" s="103"/>
      <c r="AI66" s="107">
        <f t="shared" si="66"/>
        <v>24.43</v>
      </c>
      <c r="AJ66" s="103">
        <f t="shared" si="70"/>
        <v>210.1575865796828</v>
      </c>
      <c r="AK66" s="108">
        <f t="shared" si="37"/>
        <v>42.031517315936561</v>
      </c>
      <c r="AL66" s="103">
        <v>34.86</v>
      </c>
      <c r="AM66" s="107">
        <v>36.4</v>
      </c>
      <c r="AN66" s="103"/>
      <c r="AO66" s="107">
        <f>AVERAGE(AL66:AN66)</f>
        <v>35.629999999999995</v>
      </c>
      <c r="AP66" s="103">
        <f>EXP((AO66-15.746)/-1.512)</f>
        <v>1.9439401279233478E-6</v>
      </c>
      <c r="AQ66" s="103">
        <f t="shared" si="72"/>
        <v>115.14290169948708</v>
      </c>
      <c r="AR66" s="108">
        <f t="shared" si="41"/>
        <v>23.028580339897417</v>
      </c>
      <c r="AS66" s="108">
        <f t="shared" ref="AS66:AS112" si="74">AR66/AK66</f>
        <v>0.54788838972429765</v>
      </c>
      <c r="AT66" s="108">
        <f t="shared" si="73"/>
        <v>89678371630.073044</v>
      </c>
      <c r="AU66" s="103"/>
      <c r="AV66" s="103"/>
    </row>
    <row r="67" spans="2:48" s="86" customFormat="1" ht="16" x14ac:dyDescent="0.2">
      <c r="B67" s="90" t="s">
        <v>54</v>
      </c>
      <c r="C67" s="90" t="s">
        <v>82</v>
      </c>
      <c r="D67" s="96" t="s">
        <v>99</v>
      </c>
      <c r="E67" s="87" t="s">
        <v>57</v>
      </c>
      <c r="F67" s="89" t="s">
        <v>58</v>
      </c>
      <c r="G67" s="90" t="s">
        <v>59</v>
      </c>
      <c r="H67" s="90">
        <v>-20</v>
      </c>
      <c r="I67" s="96">
        <v>43933</v>
      </c>
      <c r="J67" s="90" t="s">
        <v>61</v>
      </c>
      <c r="K67" s="90" t="s">
        <v>62</v>
      </c>
      <c r="L67" s="90" t="s">
        <v>89</v>
      </c>
      <c r="M67" s="96" t="s">
        <v>90</v>
      </c>
      <c r="N67" s="90" t="s">
        <v>91</v>
      </c>
      <c r="O67" s="90" t="s">
        <v>92</v>
      </c>
      <c r="P67" s="90" t="s">
        <v>65</v>
      </c>
      <c r="Q67" s="99">
        <v>7.78</v>
      </c>
      <c r="R67" s="90">
        <v>3.99</v>
      </c>
      <c r="S67" s="90">
        <v>170</v>
      </c>
      <c r="T67" s="90">
        <v>245784</v>
      </c>
      <c r="U67" s="87">
        <f t="shared" si="0"/>
        <v>245784000000</v>
      </c>
      <c r="V67" s="90" t="s">
        <v>93</v>
      </c>
      <c r="W67" s="90" t="s">
        <v>66</v>
      </c>
      <c r="X67" s="90" t="s">
        <v>94</v>
      </c>
      <c r="Y67" s="94">
        <v>17.97</v>
      </c>
      <c r="Z67" s="94">
        <v>18.47</v>
      </c>
      <c r="AA67" s="90"/>
      <c r="AB67" s="94">
        <f t="shared" si="67"/>
        <v>18.22</v>
      </c>
      <c r="AC67" s="94">
        <f t="shared" si="68"/>
        <v>7.2470103822810534</v>
      </c>
      <c r="AD67" s="95">
        <f t="shared" si="69"/>
        <v>848769914.60484278</v>
      </c>
      <c r="AE67" s="94">
        <f t="shared" si="65"/>
        <v>107.64061407089797</v>
      </c>
      <c r="AF67" s="94">
        <v>25.2</v>
      </c>
      <c r="AG67" s="90">
        <v>25.2</v>
      </c>
      <c r="AH67" s="90"/>
      <c r="AI67" s="94">
        <f t="shared" si="66"/>
        <v>25.2</v>
      </c>
      <c r="AJ67" s="90">
        <f t="shared" si="70"/>
        <v>120.14159721702842</v>
      </c>
      <c r="AK67" s="95">
        <f t="shared" si="37"/>
        <v>24.028319443405685</v>
      </c>
      <c r="AL67" s="90" t="s">
        <v>100</v>
      </c>
      <c r="AM67" s="90" t="s">
        <v>100</v>
      </c>
      <c r="AN67" s="90"/>
      <c r="AO67" s="94" t="e">
        <f t="shared" ref="AO67:AO68" si="75">AVERAGE(AL67:AN67)</f>
        <v>#DIV/0!</v>
      </c>
      <c r="AP67" s="90" t="e">
        <f t="shared" si="71"/>
        <v>#DIV/0!</v>
      </c>
      <c r="AQ67" s="90" t="e">
        <f t="shared" si="72"/>
        <v>#DIV/0!</v>
      </c>
      <c r="AR67" s="95" t="e">
        <f t="shared" si="41"/>
        <v>#DIV/0!</v>
      </c>
      <c r="AS67" s="95" t="e">
        <f t="shared" si="74"/>
        <v>#DIV/0!</v>
      </c>
      <c r="AT67" s="95" t="e">
        <f t="shared" si="73"/>
        <v>#DIV/0!</v>
      </c>
      <c r="AU67" s="90"/>
      <c r="AV67" s="135" t="s">
        <v>101</v>
      </c>
    </row>
    <row r="68" spans="2:48" s="86" customFormat="1" ht="14" x14ac:dyDescent="0.15">
      <c r="B68" s="90" t="s">
        <v>54</v>
      </c>
      <c r="C68" s="90" t="s">
        <v>55</v>
      </c>
      <c r="D68" s="96" t="s">
        <v>102</v>
      </c>
      <c r="E68" s="87" t="s">
        <v>57</v>
      </c>
      <c r="F68" s="89" t="s">
        <v>58</v>
      </c>
      <c r="G68" s="90" t="s">
        <v>59</v>
      </c>
      <c r="H68" s="90">
        <v>-20</v>
      </c>
      <c r="I68" s="96">
        <v>43933</v>
      </c>
      <c r="J68" s="90" t="s">
        <v>61</v>
      </c>
      <c r="K68" s="90" t="s">
        <v>62</v>
      </c>
      <c r="L68" s="90" t="s">
        <v>89</v>
      </c>
      <c r="M68" s="96" t="s">
        <v>90</v>
      </c>
      <c r="N68" s="90" t="s">
        <v>91</v>
      </c>
      <c r="O68" s="90" t="s">
        <v>92</v>
      </c>
      <c r="P68" s="90" t="s">
        <v>65</v>
      </c>
      <c r="Q68" s="99">
        <v>8.59</v>
      </c>
      <c r="R68" s="90">
        <v>4.6100000000000003</v>
      </c>
      <c r="S68" s="90">
        <v>330</v>
      </c>
      <c r="T68" s="90">
        <v>233736</v>
      </c>
      <c r="U68" s="87">
        <f t="shared" si="0"/>
        <v>233736000000</v>
      </c>
      <c r="V68" s="90" t="s">
        <v>93</v>
      </c>
      <c r="W68" s="90" t="s">
        <v>66</v>
      </c>
      <c r="X68" s="90" t="s">
        <v>94</v>
      </c>
      <c r="Y68" s="94">
        <v>22.02</v>
      </c>
      <c r="Z68" s="94">
        <v>19.41</v>
      </c>
      <c r="AA68" s="90"/>
      <c r="AB68" s="94">
        <f t="shared" si="67"/>
        <v>20.715</v>
      </c>
      <c r="AC68" s="94">
        <f t="shared" si="68"/>
        <v>1.3642101764766041</v>
      </c>
      <c r="AD68" s="95">
        <f t="shared" si="69"/>
        <v>159776306.90611023</v>
      </c>
      <c r="AE68" s="94">
        <f t="shared" si="65"/>
        <v>20.262758485450011</v>
      </c>
      <c r="AF68" s="94">
        <v>22.99</v>
      </c>
      <c r="AG68" s="94">
        <v>22.58</v>
      </c>
      <c r="AH68" s="90"/>
      <c r="AI68" s="94">
        <f t="shared" si="66"/>
        <v>22.784999999999997</v>
      </c>
      <c r="AJ68" s="90">
        <f t="shared" si="70"/>
        <v>694.00811958649638</v>
      </c>
      <c r="AK68" s="95">
        <f t="shared" si="37"/>
        <v>138.80162391729928</v>
      </c>
      <c r="AL68" s="90" t="s">
        <v>100</v>
      </c>
      <c r="AM68" s="90" t="s">
        <v>100</v>
      </c>
      <c r="AN68" s="90"/>
      <c r="AO68" s="94" t="e">
        <f t="shared" si="75"/>
        <v>#DIV/0!</v>
      </c>
      <c r="AP68" s="90" t="e">
        <f>EXP((AO68-15.746)/-1.512)</f>
        <v>#DIV/0!</v>
      </c>
      <c r="AQ68" s="90" t="e">
        <f t="shared" si="72"/>
        <v>#DIV/0!</v>
      </c>
      <c r="AR68" s="95" t="e">
        <f t="shared" si="41"/>
        <v>#DIV/0!</v>
      </c>
      <c r="AS68" s="95" t="e">
        <f t="shared" si="74"/>
        <v>#DIV/0!</v>
      </c>
      <c r="AT68" s="95" t="e">
        <f t="shared" si="73"/>
        <v>#DIV/0!</v>
      </c>
      <c r="AU68" s="90"/>
      <c r="AV68" s="90" t="s">
        <v>103</v>
      </c>
    </row>
    <row r="69" spans="2:48" s="56" customFormat="1" ht="14" x14ac:dyDescent="0.15">
      <c r="B69" s="45" t="s">
        <v>54</v>
      </c>
      <c r="C69" s="45" t="s">
        <v>55</v>
      </c>
      <c r="D69" s="52" t="s">
        <v>104</v>
      </c>
      <c r="E69" s="53" t="s">
        <v>57</v>
      </c>
      <c r="F69" s="54" t="s">
        <v>58</v>
      </c>
      <c r="G69" s="45" t="s">
        <v>59</v>
      </c>
      <c r="H69" s="45">
        <v>-20</v>
      </c>
      <c r="I69" s="52">
        <v>43933</v>
      </c>
      <c r="J69" s="45" t="s">
        <v>61</v>
      </c>
      <c r="K69" s="45" t="s">
        <v>62</v>
      </c>
      <c r="L69" s="45" t="s">
        <v>89</v>
      </c>
      <c r="M69" s="52" t="s">
        <v>90</v>
      </c>
      <c r="N69" s="45" t="s">
        <v>91</v>
      </c>
      <c r="O69" s="45" t="s">
        <v>92</v>
      </c>
      <c r="P69" s="45" t="s">
        <v>65</v>
      </c>
      <c r="Q69" s="55">
        <v>7.42</v>
      </c>
      <c r="R69" s="45">
        <v>4.37</v>
      </c>
      <c r="S69" s="45">
        <v>210</v>
      </c>
      <c r="T69" s="45">
        <v>426168</v>
      </c>
      <c r="U69" s="53">
        <f t="shared" si="0"/>
        <v>426168000000</v>
      </c>
      <c r="V69" s="45" t="s">
        <v>93</v>
      </c>
      <c r="W69" s="45" t="s">
        <v>66</v>
      </c>
      <c r="X69" s="45" t="s">
        <v>94</v>
      </c>
      <c r="Y69" s="49">
        <v>19.12</v>
      </c>
      <c r="Z69" s="49">
        <v>21.07</v>
      </c>
      <c r="AA69" s="45"/>
      <c r="AB69" s="49">
        <f t="shared" si="67"/>
        <v>20.094999999999999</v>
      </c>
      <c r="AC69" s="49">
        <f t="shared" si="68"/>
        <v>2.0659061473445002</v>
      </c>
      <c r="AD69" s="50">
        <f t="shared" si="69"/>
        <v>241958944.69124383</v>
      </c>
      <c r="AE69" s="49">
        <f t="shared" si="65"/>
        <v>30.685123186343581</v>
      </c>
      <c r="AF69" s="49">
        <v>24.5</v>
      </c>
      <c r="AG69" s="45">
        <v>25.55</v>
      </c>
      <c r="AH69" s="45"/>
      <c r="AI69" s="49">
        <f t="shared" si="66"/>
        <v>25.024999999999999</v>
      </c>
      <c r="AJ69" s="45">
        <f t="shared" si="70"/>
        <v>136.42280126673808</v>
      </c>
      <c r="AK69" s="50">
        <f t="shared" si="37"/>
        <v>27.284560253347614</v>
      </c>
      <c r="AL69" s="45">
        <v>35.71</v>
      </c>
      <c r="AM69" s="45">
        <v>36.15</v>
      </c>
      <c r="AN69" s="45"/>
      <c r="AO69" s="49">
        <f>AVERAGE(AL69:AN69)</f>
        <v>35.93</v>
      </c>
      <c r="AP69" s="45">
        <f t="shared" si="71"/>
        <v>1.5940918623004178E-6</v>
      </c>
      <c r="AQ69" s="45">
        <f t="shared" si="72"/>
        <v>94.420790004931092</v>
      </c>
      <c r="AR69" s="50">
        <f t="shared" si="41"/>
        <v>18.884158000986218</v>
      </c>
      <c r="AS69" s="50">
        <f t="shared" si="74"/>
        <v>0.69211883298244736</v>
      </c>
      <c r="AT69" s="50">
        <f t="shared" si="73"/>
        <v>294958898814.46362</v>
      </c>
      <c r="AU69" s="45"/>
      <c r="AV69" s="45"/>
    </row>
    <row r="70" spans="2:48" s="56" customFormat="1" ht="14" x14ac:dyDescent="0.15">
      <c r="B70" s="45" t="s">
        <v>54</v>
      </c>
      <c r="C70" s="45" t="s">
        <v>55</v>
      </c>
      <c r="D70" s="52">
        <v>43840</v>
      </c>
      <c r="E70" s="53" t="s">
        <v>57</v>
      </c>
      <c r="F70" s="54" t="s">
        <v>58</v>
      </c>
      <c r="G70" s="45" t="s">
        <v>59</v>
      </c>
      <c r="H70" s="45">
        <v>-20</v>
      </c>
      <c r="I70" s="52">
        <v>43933</v>
      </c>
      <c r="J70" s="45" t="s">
        <v>61</v>
      </c>
      <c r="K70" s="45" t="s">
        <v>62</v>
      </c>
      <c r="L70" s="45" t="s">
        <v>89</v>
      </c>
      <c r="M70" s="52" t="s">
        <v>90</v>
      </c>
      <c r="N70" s="45" t="s">
        <v>91</v>
      </c>
      <c r="O70" s="45" t="s">
        <v>92</v>
      </c>
      <c r="P70" s="45" t="s">
        <v>65</v>
      </c>
      <c r="Q70" s="55">
        <v>7.56</v>
      </c>
      <c r="R70" s="45">
        <v>4.58</v>
      </c>
      <c r="S70" s="45">
        <v>190</v>
      </c>
      <c r="T70" s="45">
        <v>295056</v>
      </c>
      <c r="U70" s="53">
        <f t="shared" si="0"/>
        <v>295056000000</v>
      </c>
      <c r="V70" s="45" t="s">
        <v>93</v>
      </c>
      <c r="W70" s="45" t="s">
        <v>66</v>
      </c>
      <c r="X70" s="45" t="s">
        <v>94</v>
      </c>
      <c r="Y70" s="49">
        <v>18.190000000000001</v>
      </c>
      <c r="Z70" s="49">
        <v>18.62</v>
      </c>
      <c r="AA70" s="45"/>
      <c r="AB70" s="49">
        <f t="shared" si="67"/>
        <v>18.405000000000001</v>
      </c>
      <c r="AC70" s="49">
        <f t="shared" si="68"/>
        <v>6.4029599448525563</v>
      </c>
      <c r="AD70" s="50">
        <f t="shared" si="69"/>
        <v>749914720.54440987</v>
      </c>
      <c r="AE70" s="49">
        <f t="shared" si="65"/>
        <v>95.103843375253348</v>
      </c>
      <c r="AF70" s="49">
        <v>24.49</v>
      </c>
      <c r="AG70" s="45">
        <v>24.9</v>
      </c>
      <c r="AH70" s="45"/>
      <c r="AI70" s="49">
        <f t="shared" si="66"/>
        <v>24.695</v>
      </c>
      <c r="AJ70" s="45">
        <f t="shared" si="70"/>
        <v>173.36692674497155</v>
      </c>
      <c r="AK70" s="50">
        <f t="shared" si="37"/>
        <v>34.673385348994309</v>
      </c>
      <c r="AL70" s="45">
        <v>33.08</v>
      </c>
      <c r="AM70" s="45">
        <v>34.119999999999997</v>
      </c>
      <c r="AN70" s="45"/>
      <c r="AO70" s="49">
        <f>AVERAGE(AL70:AN70)</f>
        <v>33.599999999999994</v>
      </c>
      <c r="AP70" s="45">
        <f t="shared" si="71"/>
        <v>7.4432642787186471E-6</v>
      </c>
      <c r="AQ70" s="45">
        <f t="shared" si="72"/>
        <v>440.87728570290562</v>
      </c>
      <c r="AR70" s="50">
        <f t="shared" si="41"/>
        <v>88.17545714058113</v>
      </c>
      <c r="AS70" s="50">
        <f t="shared" si="74"/>
        <v>2.543029942218741</v>
      </c>
      <c r="AT70" s="50">
        <f t="shared" si="73"/>
        <v>750336242631.29285</v>
      </c>
      <c r="AU70" s="45"/>
      <c r="AV70" s="45"/>
    </row>
    <row r="71" spans="2:48" s="56" customFormat="1" ht="14" x14ac:dyDescent="0.15">
      <c r="B71" s="45" t="s">
        <v>54</v>
      </c>
      <c r="C71" s="45" t="s">
        <v>55</v>
      </c>
      <c r="D71" s="52">
        <v>43871</v>
      </c>
      <c r="E71" s="53" t="s">
        <v>57</v>
      </c>
      <c r="F71" s="54" t="s">
        <v>58</v>
      </c>
      <c r="G71" s="45" t="s">
        <v>59</v>
      </c>
      <c r="H71" s="45">
        <v>-20</v>
      </c>
      <c r="I71" s="52">
        <v>43933</v>
      </c>
      <c r="J71" s="45" t="s">
        <v>61</v>
      </c>
      <c r="K71" s="45" t="s">
        <v>62</v>
      </c>
      <c r="L71" s="45" t="s">
        <v>89</v>
      </c>
      <c r="M71" s="52" t="s">
        <v>90</v>
      </c>
      <c r="N71" s="45" t="s">
        <v>91</v>
      </c>
      <c r="O71" s="45" t="s">
        <v>92</v>
      </c>
      <c r="P71" s="45" t="s">
        <v>65</v>
      </c>
      <c r="Q71" s="55">
        <v>7.65</v>
      </c>
      <c r="R71" s="45">
        <v>3.73</v>
      </c>
      <c r="S71" s="45">
        <v>200</v>
      </c>
      <c r="T71" s="45">
        <v>321072</v>
      </c>
      <c r="U71" s="53">
        <f t="shared" si="0"/>
        <v>321072000000</v>
      </c>
      <c r="V71" s="45" t="s">
        <v>93</v>
      </c>
      <c r="W71" s="45" t="s">
        <v>66</v>
      </c>
      <c r="X71" s="45" t="s">
        <v>94</v>
      </c>
      <c r="Y71" s="49">
        <v>18.52</v>
      </c>
      <c r="Z71" s="49">
        <v>19.27</v>
      </c>
      <c r="AA71" s="45"/>
      <c r="AB71" s="49">
        <f t="shared" si="67"/>
        <v>18.895</v>
      </c>
      <c r="AC71" s="49">
        <f t="shared" si="68"/>
        <v>4.6125543562130087</v>
      </c>
      <c r="AD71" s="50">
        <f t="shared" si="69"/>
        <v>540222403.51763296</v>
      </c>
      <c r="AE71" s="49">
        <f t="shared" si="65"/>
        <v>68.510759216255877</v>
      </c>
      <c r="AF71" s="45">
        <v>23.34</v>
      </c>
      <c r="AG71" s="45">
        <v>26.79</v>
      </c>
      <c r="AH71" s="45"/>
      <c r="AI71" s="49">
        <f t="shared" si="66"/>
        <v>25.064999999999998</v>
      </c>
      <c r="AJ71" s="45">
        <f t="shared" si="70"/>
        <v>132.51690731344601</v>
      </c>
      <c r="AK71" s="50">
        <f t="shared" si="37"/>
        <v>26.503381462689202</v>
      </c>
      <c r="AL71" s="45">
        <v>34.130000000000003</v>
      </c>
      <c r="AM71" s="45">
        <v>33.29</v>
      </c>
      <c r="AN71" s="45"/>
      <c r="AO71" s="49">
        <f>AVERAGE(AL71:AN71)</f>
        <v>33.71</v>
      </c>
      <c r="AP71" s="45">
        <f t="shared" si="71"/>
        <v>6.9209855292572844E-6</v>
      </c>
      <c r="AQ71" s="45">
        <f t="shared" si="72"/>
        <v>409.94182125873942</v>
      </c>
      <c r="AR71" s="50">
        <f t="shared" si="41"/>
        <v>81.988364251747882</v>
      </c>
      <c r="AS71" s="50">
        <f t="shared" si="74"/>
        <v>3.0935057991437453</v>
      </c>
      <c r="AT71" s="50">
        <f t="shared" si="73"/>
        <v>993238093942.68066</v>
      </c>
      <c r="AU71" s="45"/>
      <c r="AV71" s="45"/>
    </row>
    <row r="72" spans="2:48" s="86" customFormat="1" ht="14" x14ac:dyDescent="0.15">
      <c r="B72" s="90" t="s">
        <v>54</v>
      </c>
      <c r="C72" s="90" t="s">
        <v>55</v>
      </c>
      <c r="D72" s="96">
        <v>43961</v>
      </c>
      <c r="E72" s="87" t="s">
        <v>57</v>
      </c>
      <c r="F72" s="89" t="s">
        <v>58</v>
      </c>
      <c r="G72" s="90" t="s">
        <v>59</v>
      </c>
      <c r="H72" s="90">
        <v>-20</v>
      </c>
      <c r="I72" s="96">
        <v>43933</v>
      </c>
      <c r="J72" s="90" t="s">
        <v>61</v>
      </c>
      <c r="K72" s="90" t="s">
        <v>62</v>
      </c>
      <c r="L72" s="90" t="s">
        <v>89</v>
      </c>
      <c r="M72" s="96" t="s">
        <v>90</v>
      </c>
      <c r="N72" s="90" t="s">
        <v>91</v>
      </c>
      <c r="O72" s="90" t="s">
        <v>92</v>
      </c>
      <c r="P72" s="90" t="s">
        <v>65</v>
      </c>
      <c r="Q72" s="99">
        <v>7.8</v>
      </c>
      <c r="R72" s="90">
        <v>4.5599999999999996</v>
      </c>
      <c r="S72" s="90">
        <v>250</v>
      </c>
      <c r="T72" s="90">
        <v>200664</v>
      </c>
      <c r="U72" s="87">
        <f t="shared" si="0"/>
        <v>200664000000</v>
      </c>
      <c r="V72" s="90" t="s">
        <v>93</v>
      </c>
      <c r="W72" s="90" t="s">
        <v>66</v>
      </c>
      <c r="X72" s="90" t="s">
        <v>94</v>
      </c>
      <c r="Y72" s="94">
        <v>18.920000000000002</v>
      </c>
      <c r="Z72" s="94">
        <v>19.829999999999998</v>
      </c>
      <c r="AA72" s="90"/>
      <c r="AB72" s="94">
        <f t="shared" si="67"/>
        <v>19.375</v>
      </c>
      <c r="AC72" s="94">
        <f t="shared" si="68"/>
        <v>3.3451002166963621</v>
      </c>
      <c r="AD72" s="95">
        <f t="shared" si="69"/>
        <v>391778164.44307971</v>
      </c>
      <c r="AE72" s="94">
        <f t="shared" si="65"/>
        <v>49.685128412987844</v>
      </c>
      <c r="AF72" s="90">
        <v>23.13</v>
      </c>
      <c r="AG72" s="90">
        <v>23.65</v>
      </c>
      <c r="AH72" s="90"/>
      <c r="AI72" s="94">
        <f t="shared" si="66"/>
        <v>23.39</v>
      </c>
      <c r="AJ72" s="90">
        <f t="shared" si="70"/>
        <v>447.25223991629753</v>
      </c>
      <c r="AK72" s="95">
        <f t="shared" si="37"/>
        <v>89.450447983259508</v>
      </c>
      <c r="AL72" s="90" t="s">
        <v>100</v>
      </c>
      <c r="AM72" s="90" t="s">
        <v>100</v>
      </c>
      <c r="AN72" s="90"/>
      <c r="AO72" s="94" t="e">
        <f t="shared" ref="AO72:AO74" si="76">AVERAGE(AL72:AN72)</f>
        <v>#DIV/0!</v>
      </c>
      <c r="AP72" s="90" t="e">
        <f t="shared" si="71"/>
        <v>#DIV/0!</v>
      </c>
      <c r="AQ72" s="90" t="e">
        <f t="shared" si="72"/>
        <v>#DIV/0!</v>
      </c>
      <c r="AR72" s="95" t="e">
        <f t="shared" si="41"/>
        <v>#DIV/0!</v>
      </c>
      <c r="AS72" s="95" t="e">
        <f t="shared" si="74"/>
        <v>#DIV/0!</v>
      </c>
      <c r="AT72" s="95" t="e">
        <f t="shared" si="73"/>
        <v>#DIV/0!</v>
      </c>
      <c r="AU72" s="90"/>
      <c r="AV72" s="90" t="s">
        <v>103</v>
      </c>
    </row>
    <row r="73" spans="2:48" s="86" customFormat="1" ht="14" x14ac:dyDescent="0.15">
      <c r="B73" s="90" t="s">
        <v>54</v>
      </c>
      <c r="C73" s="90" t="s">
        <v>55</v>
      </c>
      <c r="D73" s="96" t="s">
        <v>99</v>
      </c>
      <c r="E73" s="87" t="s">
        <v>57</v>
      </c>
      <c r="F73" s="89" t="s">
        <v>58</v>
      </c>
      <c r="G73" s="90" t="s">
        <v>59</v>
      </c>
      <c r="H73" s="90">
        <v>-20</v>
      </c>
      <c r="I73" s="96">
        <v>43933</v>
      </c>
      <c r="J73" s="90" t="s">
        <v>61</v>
      </c>
      <c r="K73" s="90" t="s">
        <v>62</v>
      </c>
      <c r="L73" s="90" t="s">
        <v>89</v>
      </c>
      <c r="M73" s="96" t="s">
        <v>90</v>
      </c>
      <c r="N73" s="90" t="s">
        <v>91</v>
      </c>
      <c r="O73" s="90" t="s">
        <v>92</v>
      </c>
      <c r="P73" s="90" t="s">
        <v>65</v>
      </c>
      <c r="Q73" s="99">
        <v>7.84</v>
      </c>
      <c r="R73" s="90">
        <v>4.2699999999999996</v>
      </c>
      <c r="S73" s="90">
        <v>300</v>
      </c>
      <c r="T73" s="90">
        <v>319488</v>
      </c>
      <c r="U73" s="87">
        <f t="shared" si="0"/>
        <v>319488000000</v>
      </c>
      <c r="V73" s="90" t="s">
        <v>93</v>
      </c>
      <c r="W73" s="90" t="s">
        <v>66</v>
      </c>
      <c r="X73" s="90" t="s">
        <v>94</v>
      </c>
      <c r="Y73" s="94">
        <v>20.149999999999999</v>
      </c>
      <c r="Z73" s="94">
        <v>20.75</v>
      </c>
      <c r="AA73" s="90"/>
      <c r="AB73" s="94">
        <f t="shared" si="67"/>
        <v>20.45</v>
      </c>
      <c r="AC73" s="94">
        <f t="shared" si="68"/>
        <v>1.6289763431968496</v>
      </c>
      <c r="AD73" s="95">
        <f t="shared" si="69"/>
        <v>190785722.49448147</v>
      </c>
      <c r="AE73" s="94">
        <f t="shared" si="65"/>
        <v>24.195358449794828</v>
      </c>
      <c r="AF73" s="90">
        <v>24.83</v>
      </c>
      <c r="AG73" s="90">
        <v>25.18</v>
      </c>
      <c r="AH73" s="90"/>
      <c r="AI73" s="94">
        <f t="shared" si="66"/>
        <v>25.004999999999999</v>
      </c>
      <c r="AJ73" s="90">
        <f t="shared" si="70"/>
        <v>138.41871034508986</v>
      </c>
      <c r="AK73" s="95">
        <f t="shared" si="37"/>
        <v>27.683742069017974</v>
      </c>
      <c r="AL73" s="90" t="s">
        <v>100</v>
      </c>
      <c r="AM73" s="90" t="s">
        <v>100</v>
      </c>
      <c r="AN73" s="90"/>
      <c r="AO73" s="94" t="e">
        <f t="shared" si="76"/>
        <v>#DIV/0!</v>
      </c>
      <c r="AP73" s="90" t="e">
        <f t="shared" si="71"/>
        <v>#DIV/0!</v>
      </c>
      <c r="AQ73" s="90" t="e">
        <f t="shared" si="72"/>
        <v>#DIV/0!</v>
      </c>
      <c r="AR73" s="95" t="e">
        <f t="shared" si="41"/>
        <v>#DIV/0!</v>
      </c>
      <c r="AS73" s="95" t="e">
        <f t="shared" si="74"/>
        <v>#DIV/0!</v>
      </c>
      <c r="AT73" s="95" t="e">
        <f t="shared" si="73"/>
        <v>#DIV/0!</v>
      </c>
      <c r="AU73" s="90"/>
      <c r="AV73" s="90" t="s">
        <v>103</v>
      </c>
    </row>
    <row r="74" spans="2:48" s="5" customFormat="1" ht="14" x14ac:dyDescent="0.15">
      <c r="B74" s="8"/>
      <c r="C74" s="8"/>
      <c r="D74" s="17"/>
      <c r="E74" s="10" t="s">
        <v>105</v>
      </c>
      <c r="F74" s="8"/>
      <c r="G74" s="8" t="s">
        <v>106</v>
      </c>
      <c r="H74" s="8">
        <v>-80</v>
      </c>
      <c r="I74" s="8"/>
      <c r="J74" s="8"/>
      <c r="K74" s="8"/>
      <c r="L74" s="8"/>
      <c r="M74" s="8"/>
      <c r="N74" s="10" t="s">
        <v>107</v>
      </c>
      <c r="O74" s="8" t="s">
        <v>108</v>
      </c>
      <c r="P74" s="8" t="s">
        <v>108</v>
      </c>
      <c r="Q74" s="20" t="s">
        <v>108</v>
      </c>
      <c r="R74" s="8" t="s">
        <v>108</v>
      </c>
      <c r="S74" s="8" t="s">
        <v>108</v>
      </c>
      <c r="T74" s="8" t="s">
        <v>108</v>
      </c>
      <c r="U74" s="10" t="e">
        <f t="shared" si="0"/>
        <v>#VALUE!</v>
      </c>
      <c r="V74" s="8" t="s">
        <v>93</v>
      </c>
      <c r="W74" s="8" t="s">
        <v>66</v>
      </c>
      <c r="X74" s="8" t="s">
        <v>94</v>
      </c>
      <c r="Y74" s="18">
        <v>18.04</v>
      </c>
      <c r="Z74" s="18">
        <v>18.62</v>
      </c>
      <c r="AA74" s="8"/>
      <c r="AB74" s="18">
        <f t="shared" ref="AB74" si="77">AVERAGE(Y74:AA74)</f>
        <v>18.329999999999998</v>
      </c>
      <c r="AC74" s="18">
        <f t="shared" si="68"/>
        <v>6.7325985129625687</v>
      </c>
      <c r="AD74" s="19">
        <f t="shared" si="69"/>
        <v>788521992.30840206</v>
      </c>
      <c r="AE74" s="18">
        <f t="shared" si="65"/>
        <v>100</v>
      </c>
      <c r="AF74" s="8" t="s">
        <v>95</v>
      </c>
      <c r="AG74" s="8" t="s">
        <v>95</v>
      </c>
      <c r="AH74" s="8" t="s">
        <v>109</v>
      </c>
      <c r="AI74" s="18" t="e">
        <f t="shared" si="66"/>
        <v>#DIV/0!</v>
      </c>
      <c r="AJ74" s="8" t="e">
        <f t="shared" si="70"/>
        <v>#DIV/0!</v>
      </c>
      <c r="AK74" s="50" t="e">
        <f t="shared" si="37"/>
        <v>#DIV/0!</v>
      </c>
      <c r="AL74" s="8" t="s">
        <v>100</v>
      </c>
      <c r="AM74" s="8" t="s">
        <v>100</v>
      </c>
      <c r="AN74" s="8"/>
      <c r="AO74" s="18" t="e">
        <f t="shared" si="76"/>
        <v>#DIV/0!</v>
      </c>
      <c r="AP74" s="8" t="e">
        <f t="shared" si="71"/>
        <v>#DIV/0!</v>
      </c>
      <c r="AQ74" s="8" t="e">
        <f>(AP74*(6.0221*10^23))/(B11*340*10^9)</f>
        <v>#DIV/0!</v>
      </c>
      <c r="AR74" s="50" t="e">
        <f t="shared" si="41"/>
        <v>#DIV/0!</v>
      </c>
      <c r="AS74" s="19" t="e">
        <f t="shared" si="74"/>
        <v>#DIV/0!</v>
      </c>
      <c r="AT74" s="19" t="e">
        <f t="shared" si="73"/>
        <v>#DIV/0!</v>
      </c>
      <c r="AU74" s="8"/>
      <c r="AV74" s="8"/>
    </row>
    <row r="75" spans="2:48" s="5" customFormat="1" x14ac:dyDescent="0.15">
      <c r="B75" s="8"/>
      <c r="C75" s="8"/>
      <c r="D75" s="17"/>
      <c r="E75" s="8" t="s">
        <v>109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10">
        <f t="shared" si="0"/>
        <v>0</v>
      </c>
      <c r="V75" s="8"/>
      <c r="W75" s="8"/>
      <c r="X75" s="8"/>
      <c r="Y75" s="8"/>
      <c r="Z75" s="8"/>
      <c r="AA75" s="8"/>
      <c r="AB75" s="8"/>
      <c r="AC75" s="18"/>
      <c r="AD75" s="19"/>
      <c r="AE75" s="18"/>
      <c r="AF75" s="8"/>
      <c r="AG75" s="8"/>
      <c r="AH75" s="8"/>
      <c r="AI75" s="8"/>
      <c r="AJ75" s="8"/>
      <c r="AK75" s="50">
        <f t="shared" si="37"/>
        <v>0</v>
      </c>
      <c r="AL75" s="8"/>
      <c r="AM75" s="8"/>
      <c r="AN75" s="8"/>
      <c r="AO75" s="8"/>
      <c r="AP75" s="8"/>
      <c r="AQ75" s="8"/>
      <c r="AR75" s="50"/>
      <c r="AS75" s="19"/>
      <c r="AT75" s="8"/>
      <c r="AU75" s="8"/>
      <c r="AV75" s="8"/>
    </row>
    <row r="76" spans="2:48" s="56" customFormat="1" ht="14" x14ac:dyDescent="0.15">
      <c r="B76" s="45" t="s">
        <v>54</v>
      </c>
      <c r="C76" s="45" t="s">
        <v>55</v>
      </c>
      <c r="D76" s="65" t="s">
        <v>110</v>
      </c>
      <c r="E76" s="45" t="s">
        <v>57</v>
      </c>
      <c r="F76" s="54" t="s">
        <v>58</v>
      </c>
      <c r="G76" s="45" t="s">
        <v>59</v>
      </c>
      <c r="H76" s="45">
        <v>-20</v>
      </c>
      <c r="I76" s="52" t="s">
        <v>111</v>
      </c>
      <c r="J76" s="45" t="s">
        <v>61</v>
      </c>
      <c r="K76" s="45" t="s">
        <v>62</v>
      </c>
      <c r="L76" s="45" t="s">
        <v>89</v>
      </c>
      <c r="M76" s="45" t="s">
        <v>112</v>
      </c>
      <c r="N76" s="45" t="s">
        <v>91</v>
      </c>
      <c r="O76" s="45" t="s">
        <v>92</v>
      </c>
      <c r="P76" s="45" t="s">
        <v>65</v>
      </c>
      <c r="Q76" s="45">
        <v>8.65</v>
      </c>
      <c r="R76" s="45">
        <v>4.1900000000000004</v>
      </c>
      <c r="S76" s="45">
        <v>210</v>
      </c>
      <c r="T76" s="45">
        <v>209112</v>
      </c>
      <c r="U76" s="53">
        <f t="shared" si="0"/>
        <v>209112000000</v>
      </c>
      <c r="V76" s="45" t="s">
        <v>113</v>
      </c>
      <c r="W76" s="45" t="s">
        <v>66</v>
      </c>
      <c r="X76" s="45" t="s">
        <v>114</v>
      </c>
      <c r="Y76" s="45">
        <v>21.13</v>
      </c>
      <c r="Z76" s="45">
        <v>21.09</v>
      </c>
      <c r="AA76" s="45"/>
      <c r="AB76" s="49">
        <f t="shared" ref="AB76:AB86" si="78">AVERAGE(Y76:AA76)</f>
        <v>21.11</v>
      </c>
      <c r="AC76" s="49">
        <f t="shared" ref="AC76:AC86" si="79">EXP((AB76-21.179)/-1.494)</f>
        <v>1.0472678642589164</v>
      </c>
      <c r="AD76" s="50">
        <f t="shared" ref="AD76:AD86" si="80">(AC76*(6.0221*10^23))/(15123*340*10^9)</f>
        <v>122656020.73494637</v>
      </c>
      <c r="AE76" s="49">
        <f t="shared" ref="AE76:AE86" si="81">AD76*100/AD$86</f>
        <v>19.99331090702189</v>
      </c>
      <c r="AF76" s="49">
        <v>24.1</v>
      </c>
      <c r="AG76" s="45">
        <v>23.84</v>
      </c>
      <c r="AH76" s="45"/>
      <c r="AI76" s="49">
        <f t="shared" ref="AI76:AI86" si="82">AVERAGE(AF76:AH76)</f>
        <v>23.97</v>
      </c>
      <c r="AJ76" s="45">
        <f t="shared" si="70"/>
        <v>293.51161462965825</v>
      </c>
      <c r="AK76" s="50">
        <f t="shared" si="37"/>
        <v>58.702322925931654</v>
      </c>
      <c r="AL76" s="45">
        <v>35.93</v>
      </c>
      <c r="AM76" s="45">
        <v>34.69</v>
      </c>
      <c r="AN76" s="45"/>
      <c r="AO76" s="49">
        <f t="shared" ref="AO76:AO82" si="83">AVERAGE(AL76:AN76)</f>
        <v>35.31</v>
      </c>
      <c r="AP76" s="45">
        <f>EXP((AO76-15.746)/-1.512)</f>
        <v>2.4021330628430918E-6</v>
      </c>
      <c r="AQ76" s="45">
        <f>(AP76*(6.0221*10^23))/(29903*340*10^9)</f>
        <v>142.28245363683146</v>
      </c>
      <c r="AR76" s="50">
        <f t="shared" si="41"/>
        <v>28.456490727366294</v>
      </c>
      <c r="AS76" s="50">
        <f t="shared" si="74"/>
        <v>0.48475919365698023</v>
      </c>
      <c r="AT76" s="50">
        <f>AS76*U76</f>
        <v>101368964503.99844</v>
      </c>
      <c r="AU76" s="45"/>
      <c r="AV76" s="45"/>
    </row>
    <row r="77" spans="2:48" s="56" customFormat="1" ht="15" x14ac:dyDescent="0.2">
      <c r="B77" s="45" t="s">
        <v>54</v>
      </c>
      <c r="C77" s="45" t="s">
        <v>55</v>
      </c>
      <c r="D77" s="52" t="s">
        <v>115</v>
      </c>
      <c r="E77" s="45" t="s">
        <v>57</v>
      </c>
      <c r="F77" s="54" t="s">
        <v>58</v>
      </c>
      <c r="G77" s="45" t="s">
        <v>59</v>
      </c>
      <c r="H77" s="45">
        <v>-20</v>
      </c>
      <c r="I77" s="52" t="s">
        <v>111</v>
      </c>
      <c r="J77" s="45" t="s">
        <v>61</v>
      </c>
      <c r="K77" s="45" t="s">
        <v>62</v>
      </c>
      <c r="L77" s="45" t="s">
        <v>89</v>
      </c>
      <c r="M77" s="45" t="s">
        <v>112</v>
      </c>
      <c r="N77" s="45" t="s">
        <v>91</v>
      </c>
      <c r="O77" s="45" t="s">
        <v>92</v>
      </c>
      <c r="P77" s="45" t="s">
        <v>65</v>
      </c>
      <c r="Q77" s="45">
        <v>7.88</v>
      </c>
      <c r="R77" s="45">
        <v>4.2699999999999996</v>
      </c>
      <c r="S77" s="45">
        <v>280</v>
      </c>
      <c r="T77" s="162">
        <v>188232</v>
      </c>
      <c r="U77" s="53">
        <f t="shared" si="0"/>
        <v>188232000000</v>
      </c>
      <c r="V77" s="45" t="s">
        <v>113</v>
      </c>
      <c r="W77" s="45" t="s">
        <v>66</v>
      </c>
      <c r="X77" s="45" t="s">
        <v>114</v>
      </c>
      <c r="Y77" s="49">
        <v>21.7</v>
      </c>
      <c r="Z77" s="45">
        <v>21.75</v>
      </c>
      <c r="AA77" s="45"/>
      <c r="AB77" s="49">
        <f t="shared" si="78"/>
        <v>21.725000000000001</v>
      </c>
      <c r="AC77" s="49">
        <f t="shared" si="79"/>
        <v>0.69387611199265076</v>
      </c>
      <c r="AD77" s="50">
        <f t="shared" si="80"/>
        <v>81266775.850398138</v>
      </c>
      <c r="AE77" s="49">
        <f t="shared" si="81"/>
        <v>13.246735922563181</v>
      </c>
      <c r="AF77" s="45">
        <v>22.39</v>
      </c>
      <c r="AG77" s="45">
        <v>22.66</v>
      </c>
      <c r="AH77" s="45"/>
      <c r="AI77" s="49">
        <f t="shared" si="82"/>
        <v>22.524999999999999</v>
      </c>
      <c r="AJ77" s="45">
        <f t="shared" si="70"/>
        <v>838.23620422186787</v>
      </c>
      <c r="AK77" s="50">
        <f t="shared" si="37"/>
        <v>167.64724084437358</v>
      </c>
      <c r="AL77" s="45">
        <v>35.729999999999997</v>
      </c>
      <c r="AM77" s="45">
        <v>38.15</v>
      </c>
      <c r="AN77" s="45"/>
      <c r="AO77" s="49">
        <f t="shared" si="83"/>
        <v>36.94</v>
      </c>
      <c r="AP77" s="45">
        <f t="shared" ref="AP77:AP112" si="84">EXP((AO77-15.746)/-1.512)</f>
        <v>8.1735218237108468E-7</v>
      </c>
      <c r="AQ77" s="45">
        <f t="shared" ref="AQ77:AQ112" si="85">(AP77*(6.0221*10^23))/(29903*340*10^9)</f>
        <v>48.413169025505098</v>
      </c>
      <c r="AR77" s="50">
        <f t="shared" si="41"/>
        <v>9.6826338051010197</v>
      </c>
      <c r="AS77" s="50">
        <f t="shared" si="74"/>
        <v>5.775599858568134E-2</v>
      </c>
      <c r="AT77" s="50">
        <f t="shared" ref="AT77:AT112" si="86">AS77*U77</f>
        <v>10871527125.77997</v>
      </c>
      <c r="AU77" s="45"/>
      <c r="AV77" s="45"/>
    </row>
    <row r="78" spans="2:48" s="51" customFormat="1" ht="14" x14ac:dyDescent="0.15">
      <c r="B78" s="45" t="s">
        <v>54</v>
      </c>
      <c r="C78" s="45" t="s">
        <v>55</v>
      </c>
      <c r="D78" s="52" t="s">
        <v>116</v>
      </c>
      <c r="E78" s="45" t="s">
        <v>57</v>
      </c>
      <c r="F78" s="54" t="s">
        <v>58</v>
      </c>
      <c r="G78" s="45" t="s">
        <v>59</v>
      </c>
      <c r="H78" s="45">
        <v>-20</v>
      </c>
      <c r="I78" s="52" t="s">
        <v>111</v>
      </c>
      <c r="J78" s="45" t="s">
        <v>61</v>
      </c>
      <c r="K78" s="45" t="s">
        <v>62</v>
      </c>
      <c r="L78" s="45" t="s">
        <v>89</v>
      </c>
      <c r="M78" s="45" t="s">
        <v>112</v>
      </c>
      <c r="N78" s="45" t="s">
        <v>91</v>
      </c>
      <c r="O78" s="45" t="s">
        <v>92</v>
      </c>
      <c r="P78" s="45" t="s">
        <v>65</v>
      </c>
      <c r="Q78" s="45">
        <v>7.92</v>
      </c>
      <c r="R78" s="45">
        <v>4.62</v>
      </c>
      <c r="S78" s="45">
        <v>300</v>
      </c>
      <c r="T78" s="45">
        <v>182904</v>
      </c>
      <c r="U78" s="53">
        <f t="shared" si="0"/>
        <v>182904000000</v>
      </c>
      <c r="V78" s="45" t="s">
        <v>113</v>
      </c>
      <c r="W78" s="45" t="s">
        <v>66</v>
      </c>
      <c r="X78" s="45" t="s">
        <v>114</v>
      </c>
      <c r="Y78" s="45">
        <v>21.82</v>
      </c>
      <c r="Z78" s="45">
        <v>21.38</v>
      </c>
      <c r="AA78" s="45"/>
      <c r="AB78" s="49">
        <f t="shared" si="78"/>
        <v>21.6</v>
      </c>
      <c r="AC78" s="49">
        <f t="shared" si="79"/>
        <v>0.75442920009092496</v>
      </c>
      <c r="AD78" s="50">
        <f t="shared" si="80"/>
        <v>88358754.018374011</v>
      </c>
      <c r="AE78" s="49">
        <f t="shared" si="81"/>
        <v>14.402750308229244</v>
      </c>
      <c r="AF78" s="49">
        <v>22.8</v>
      </c>
      <c r="AG78" s="45">
        <v>22.69</v>
      </c>
      <c r="AH78" s="45"/>
      <c r="AI78" s="49">
        <f t="shared" si="82"/>
        <v>22.745000000000001</v>
      </c>
      <c r="AJ78" s="45">
        <f t="shared" si="70"/>
        <v>714.46378952917394</v>
      </c>
      <c r="AK78" s="50">
        <f t="shared" si="37"/>
        <v>142.8927579058348</v>
      </c>
      <c r="AL78" s="45">
        <v>35.58</v>
      </c>
      <c r="AM78" s="45">
        <v>37.11</v>
      </c>
      <c r="AN78" s="45"/>
      <c r="AO78" s="49">
        <f t="shared" si="83"/>
        <v>36.344999999999999</v>
      </c>
      <c r="AP78" s="45">
        <f t="shared" si="84"/>
        <v>1.2114685595752181E-6</v>
      </c>
      <c r="AQ78" s="45">
        <f t="shared" si="85"/>
        <v>71.757356753679247</v>
      </c>
      <c r="AR78" s="50">
        <f t="shared" si="41"/>
        <v>14.351471350735849</v>
      </c>
      <c r="AS78" s="50">
        <f t="shared" si="74"/>
        <v>0.10043526040832214</v>
      </c>
      <c r="AT78" s="50">
        <f t="shared" si="86"/>
        <v>18370010869.723751</v>
      </c>
      <c r="AU78" s="45"/>
      <c r="AV78" s="45"/>
    </row>
    <row r="79" spans="2:48" s="51" customFormat="1" ht="14" x14ac:dyDescent="0.15">
      <c r="B79" s="45" t="s">
        <v>54</v>
      </c>
      <c r="C79" s="45" t="s">
        <v>55</v>
      </c>
      <c r="D79" s="65" t="s">
        <v>117</v>
      </c>
      <c r="E79" s="45" t="s">
        <v>57</v>
      </c>
      <c r="F79" s="54" t="s">
        <v>58</v>
      </c>
      <c r="G79" s="45" t="s">
        <v>59</v>
      </c>
      <c r="H79" s="45">
        <v>-20</v>
      </c>
      <c r="I79" s="52" t="s">
        <v>111</v>
      </c>
      <c r="J79" s="45" t="s">
        <v>61</v>
      </c>
      <c r="K79" s="45" t="s">
        <v>62</v>
      </c>
      <c r="L79" s="45" t="s">
        <v>89</v>
      </c>
      <c r="M79" s="45" t="s">
        <v>112</v>
      </c>
      <c r="N79" s="45" t="s">
        <v>91</v>
      </c>
      <c r="O79" s="45" t="s">
        <v>92</v>
      </c>
      <c r="P79" s="45" t="s">
        <v>65</v>
      </c>
      <c r="Q79" s="45">
        <v>8.49</v>
      </c>
      <c r="R79" s="45">
        <v>4.66</v>
      </c>
      <c r="S79" s="45">
        <v>260</v>
      </c>
      <c r="T79" s="45">
        <v>205512</v>
      </c>
      <c r="U79" s="53">
        <f t="shared" si="0"/>
        <v>205512000000</v>
      </c>
      <c r="V79" s="45" t="s">
        <v>113</v>
      </c>
      <c r="W79" s="45" t="s">
        <v>66</v>
      </c>
      <c r="X79" s="45" t="s">
        <v>114</v>
      </c>
      <c r="Y79" s="45">
        <v>21.39</v>
      </c>
      <c r="Z79" s="45">
        <v>21.32</v>
      </c>
      <c r="AA79" s="45"/>
      <c r="AB79" s="49">
        <f t="shared" si="78"/>
        <v>21.355</v>
      </c>
      <c r="AC79" s="49">
        <f t="shared" si="79"/>
        <v>0.88886976386520522</v>
      </c>
      <c r="AD79" s="50">
        <f t="shared" si="80"/>
        <v>104104433.93531184</v>
      </c>
      <c r="AE79" s="49">
        <f t="shared" si="81"/>
        <v>16.969344855610444</v>
      </c>
      <c r="AF79" s="45">
        <v>22.67</v>
      </c>
      <c r="AG79" s="45">
        <v>22.46</v>
      </c>
      <c r="AH79" s="45"/>
      <c r="AI79" s="49">
        <f t="shared" si="82"/>
        <v>22.565000000000001</v>
      </c>
      <c r="AJ79" s="45">
        <f t="shared" si="70"/>
        <v>814.23683101518998</v>
      </c>
      <c r="AK79" s="50">
        <f t="shared" si="37"/>
        <v>162.84736620303801</v>
      </c>
      <c r="AL79" s="45">
        <v>35.86</v>
      </c>
      <c r="AM79" s="45">
        <v>38.01</v>
      </c>
      <c r="AN79" s="45"/>
      <c r="AO79" s="49">
        <f t="shared" si="83"/>
        <v>36.935000000000002</v>
      </c>
      <c r="AP79" s="45">
        <f t="shared" si="84"/>
        <v>8.2005954055689121E-7</v>
      </c>
      <c r="AQ79" s="45">
        <f t="shared" si="85"/>
        <v>48.573530485704303</v>
      </c>
      <c r="AR79" s="50">
        <f t="shared" si="41"/>
        <v>9.7147060971408603</v>
      </c>
      <c r="AS79" s="50">
        <f t="shared" si="74"/>
        <v>5.9655285336506887E-2</v>
      </c>
      <c r="AT79" s="50">
        <f t="shared" si="86"/>
        <v>12259877000.076204</v>
      </c>
      <c r="AU79" s="45"/>
      <c r="AV79" s="45"/>
    </row>
    <row r="80" spans="2:48" s="51" customFormat="1" ht="14" x14ac:dyDescent="0.15">
      <c r="B80" s="45" t="s">
        <v>54</v>
      </c>
      <c r="C80" s="45" t="s">
        <v>55</v>
      </c>
      <c r="D80" s="65" t="s">
        <v>118</v>
      </c>
      <c r="E80" s="45" t="s">
        <v>57</v>
      </c>
      <c r="F80" s="54" t="s">
        <v>58</v>
      </c>
      <c r="G80" s="45" t="s">
        <v>59</v>
      </c>
      <c r="H80" s="45">
        <v>-20</v>
      </c>
      <c r="I80" s="52" t="s">
        <v>111</v>
      </c>
      <c r="J80" s="45" t="s">
        <v>61</v>
      </c>
      <c r="K80" s="45" t="s">
        <v>62</v>
      </c>
      <c r="L80" s="45" t="s">
        <v>89</v>
      </c>
      <c r="M80" s="45" t="s">
        <v>112</v>
      </c>
      <c r="N80" s="45" t="s">
        <v>91</v>
      </c>
      <c r="O80" s="45" t="s">
        <v>92</v>
      </c>
      <c r="P80" s="45" t="s">
        <v>65</v>
      </c>
      <c r="Q80" s="45">
        <v>7.86</v>
      </c>
      <c r="R80" s="49">
        <v>4.5999999999999996</v>
      </c>
      <c r="S80" s="45">
        <v>350</v>
      </c>
      <c r="T80" s="45">
        <v>183168</v>
      </c>
      <c r="U80" s="53">
        <f t="shared" si="0"/>
        <v>183168000000</v>
      </c>
      <c r="V80" s="45" t="s">
        <v>113</v>
      </c>
      <c r="W80" s="45" t="s">
        <v>66</v>
      </c>
      <c r="X80" s="45" t="s">
        <v>114</v>
      </c>
      <c r="Y80" s="49">
        <v>20</v>
      </c>
      <c r="Z80" s="45">
        <v>19.95</v>
      </c>
      <c r="AA80" s="45"/>
      <c r="AB80" s="49">
        <f t="shared" si="78"/>
        <v>19.975000000000001</v>
      </c>
      <c r="AC80" s="49">
        <f t="shared" si="79"/>
        <v>2.2386885542843498</v>
      </c>
      <c r="AD80" s="50">
        <f t="shared" si="80"/>
        <v>262195221.58993861</v>
      </c>
      <c r="AE80" s="49">
        <f t="shared" si="81"/>
        <v>42.738632414230779</v>
      </c>
      <c r="AF80" s="45">
        <v>20.82</v>
      </c>
      <c r="AG80" s="45">
        <v>20.96</v>
      </c>
      <c r="AH80" s="45"/>
      <c r="AI80" s="49">
        <f t="shared" si="82"/>
        <v>20.89</v>
      </c>
      <c r="AJ80" s="45">
        <f t="shared" si="70"/>
        <v>2748.0964797383353</v>
      </c>
      <c r="AK80" s="50">
        <f t="shared" si="37"/>
        <v>549.61929594766707</v>
      </c>
      <c r="AL80" s="45">
        <v>34.65</v>
      </c>
      <c r="AM80" s="45">
        <v>33.909999999999997</v>
      </c>
      <c r="AN80" s="45"/>
      <c r="AO80" s="49">
        <f t="shared" si="83"/>
        <v>34.28</v>
      </c>
      <c r="AP80" s="45">
        <f t="shared" si="84"/>
        <v>4.7472905749399255E-6</v>
      </c>
      <c r="AQ80" s="45">
        <f t="shared" si="85"/>
        <v>281.19014786383542</v>
      </c>
      <c r="AR80" s="50">
        <f t="shared" si="41"/>
        <v>56.238029572767083</v>
      </c>
      <c r="AS80" s="50">
        <f t="shared" si="74"/>
        <v>0.10232178889534818</v>
      </c>
      <c r="AT80" s="50">
        <f t="shared" si="86"/>
        <v>18742077428.383137</v>
      </c>
      <c r="AU80" s="45"/>
      <c r="AV80" s="45"/>
    </row>
    <row r="81" spans="2:48" s="102" customFormat="1" ht="14" x14ac:dyDescent="0.15">
      <c r="B81" s="103" t="s">
        <v>54</v>
      </c>
      <c r="C81" s="103" t="s">
        <v>82</v>
      </c>
      <c r="D81" s="104" t="s">
        <v>110</v>
      </c>
      <c r="E81" s="103" t="s">
        <v>57</v>
      </c>
      <c r="F81" s="105" t="s">
        <v>58</v>
      </c>
      <c r="G81" s="103" t="s">
        <v>59</v>
      </c>
      <c r="H81" s="103">
        <v>-20</v>
      </c>
      <c r="I81" s="106" t="s">
        <v>111</v>
      </c>
      <c r="J81" s="103" t="s">
        <v>61</v>
      </c>
      <c r="K81" s="103" t="s">
        <v>62</v>
      </c>
      <c r="L81" s="103" t="s">
        <v>89</v>
      </c>
      <c r="M81" s="103" t="s">
        <v>112</v>
      </c>
      <c r="N81" s="103" t="s">
        <v>91</v>
      </c>
      <c r="O81" s="103" t="s">
        <v>92</v>
      </c>
      <c r="P81" s="103" t="s">
        <v>65</v>
      </c>
      <c r="Q81" s="103">
        <v>12.41</v>
      </c>
      <c r="R81" s="103">
        <v>4.05</v>
      </c>
      <c r="S81" s="103">
        <v>200</v>
      </c>
      <c r="T81" s="103">
        <v>224136</v>
      </c>
      <c r="U81" s="111">
        <f t="shared" si="0"/>
        <v>224136000000</v>
      </c>
      <c r="V81" s="103" t="s">
        <v>113</v>
      </c>
      <c r="W81" s="103" t="s">
        <v>66</v>
      </c>
      <c r="X81" s="103" t="s">
        <v>114</v>
      </c>
      <c r="Y81" s="103">
        <v>21.02</v>
      </c>
      <c r="Z81" s="103">
        <v>21.01</v>
      </c>
      <c r="AA81" s="103"/>
      <c r="AB81" s="107">
        <f t="shared" si="78"/>
        <v>21.015000000000001</v>
      </c>
      <c r="AC81" s="107">
        <f t="shared" si="79"/>
        <v>1.1160240601773634</v>
      </c>
      <c r="AD81" s="108">
        <f t="shared" si="80"/>
        <v>130708746.95718831</v>
      </c>
      <c r="AE81" s="107">
        <f t="shared" si="81"/>
        <v>21.305930198318855</v>
      </c>
      <c r="AF81" s="103">
        <v>23.22</v>
      </c>
      <c r="AG81" s="103">
        <v>23.11</v>
      </c>
      <c r="AH81" s="103"/>
      <c r="AI81" s="107">
        <f t="shared" si="82"/>
        <v>23.164999999999999</v>
      </c>
      <c r="AJ81" s="103">
        <f t="shared" si="70"/>
        <v>526.6422225437459</v>
      </c>
      <c r="AK81" s="108">
        <f t="shared" si="37"/>
        <v>105.32844450874919</v>
      </c>
      <c r="AL81" s="103">
        <v>35.25</v>
      </c>
      <c r="AM81" s="103">
        <v>36.15</v>
      </c>
      <c r="AN81" s="103"/>
      <c r="AO81" s="107">
        <f t="shared" si="83"/>
        <v>35.700000000000003</v>
      </c>
      <c r="AP81" s="103">
        <f t="shared" si="84"/>
        <v>1.8559943884116325E-6</v>
      </c>
      <c r="AQ81" s="103">
        <f t="shared" si="85"/>
        <v>109.93372498975798</v>
      </c>
      <c r="AR81" s="108">
        <f t="shared" si="41"/>
        <v>21.986744997951597</v>
      </c>
      <c r="AS81" s="108">
        <f t="shared" si="74"/>
        <v>0.20874460930755748</v>
      </c>
      <c r="AT81" s="108">
        <f t="shared" si="86"/>
        <v>46787181751.758705</v>
      </c>
      <c r="AU81" s="103"/>
      <c r="AV81" s="103"/>
    </row>
    <row r="82" spans="2:48" s="102" customFormat="1" ht="14" x14ac:dyDescent="0.15">
      <c r="B82" s="103" t="s">
        <v>54</v>
      </c>
      <c r="C82" s="103" t="s">
        <v>82</v>
      </c>
      <c r="D82" s="104" t="s">
        <v>115</v>
      </c>
      <c r="E82" s="103" t="s">
        <v>57</v>
      </c>
      <c r="F82" s="105" t="s">
        <v>58</v>
      </c>
      <c r="G82" s="103" t="s">
        <v>59</v>
      </c>
      <c r="H82" s="103">
        <v>-20</v>
      </c>
      <c r="I82" s="106" t="s">
        <v>111</v>
      </c>
      <c r="J82" s="103" t="s">
        <v>61</v>
      </c>
      <c r="K82" s="103" t="s">
        <v>62</v>
      </c>
      <c r="L82" s="103" t="s">
        <v>89</v>
      </c>
      <c r="M82" s="103" t="s">
        <v>112</v>
      </c>
      <c r="N82" s="103" t="s">
        <v>91</v>
      </c>
      <c r="O82" s="103" t="s">
        <v>92</v>
      </c>
      <c r="P82" s="103" t="s">
        <v>65</v>
      </c>
      <c r="Q82" s="103">
        <v>11.43</v>
      </c>
      <c r="R82" s="103">
        <v>4.21</v>
      </c>
      <c r="S82" s="103">
        <v>250</v>
      </c>
      <c r="T82" s="103">
        <v>185760</v>
      </c>
      <c r="U82" s="111">
        <f t="shared" si="0"/>
        <v>185760000000</v>
      </c>
      <c r="V82" s="103" t="s">
        <v>113</v>
      </c>
      <c r="W82" s="103" t="s">
        <v>66</v>
      </c>
      <c r="X82" s="103" t="s">
        <v>114</v>
      </c>
      <c r="Y82" s="103">
        <v>21.11</v>
      </c>
      <c r="Z82" s="103">
        <v>21.2</v>
      </c>
      <c r="AA82" s="103"/>
      <c r="AB82" s="107">
        <f t="shared" si="78"/>
        <v>21.155000000000001</v>
      </c>
      <c r="AC82" s="107">
        <f t="shared" si="79"/>
        <v>1.0161939809134222</v>
      </c>
      <c r="AD82" s="108">
        <f t="shared" si="80"/>
        <v>119016647.26611821</v>
      </c>
      <c r="AE82" s="107">
        <f t="shared" si="81"/>
        <v>19.400081770506159</v>
      </c>
      <c r="AF82" s="103">
        <v>24.02</v>
      </c>
      <c r="AG82" s="103">
        <v>23.75</v>
      </c>
      <c r="AH82" s="103"/>
      <c r="AI82" s="107">
        <f t="shared" si="82"/>
        <v>23.884999999999998</v>
      </c>
      <c r="AJ82" s="103">
        <f t="shared" si="70"/>
        <v>312.20049899258555</v>
      </c>
      <c r="AK82" s="108">
        <f t="shared" si="37"/>
        <v>62.44009979851711</v>
      </c>
      <c r="AL82" s="103">
        <v>36.42</v>
      </c>
      <c r="AM82" s="103">
        <v>36.04</v>
      </c>
      <c r="AN82" s="103"/>
      <c r="AO82" s="107">
        <f t="shared" si="83"/>
        <v>36.230000000000004</v>
      </c>
      <c r="AP82" s="103">
        <f t="shared" si="84"/>
        <v>1.3072053140685076E-6</v>
      </c>
      <c r="AQ82" s="103">
        <f t="shared" si="85"/>
        <v>77.428008618572193</v>
      </c>
      <c r="AR82" s="108">
        <f t="shared" si="41"/>
        <v>15.485601723714439</v>
      </c>
      <c r="AS82" s="108">
        <f t="shared" si="74"/>
        <v>0.24800731859307831</v>
      </c>
      <c r="AT82" s="108">
        <f t="shared" si="86"/>
        <v>46069839501.850227</v>
      </c>
      <c r="AU82" s="103"/>
      <c r="AV82" s="103"/>
    </row>
    <row r="83" spans="2:48" s="116" customFormat="1" ht="14" x14ac:dyDescent="0.15">
      <c r="B83" s="130" t="s">
        <v>54</v>
      </c>
      <c r="C83" s="130" t="s">
        <v>82</v>
      </c>
      <c r="D83" s="131" t="s">
        <v>116</v>
      </c>
      <c r="E83" s="130" t="s">
        <v>57</v>
      </c>
      <c r="F83" s="89" t="s">
        <v>58</v>
      </c>
      <c r="G83" s="130" t="s">
        <v>59</v>
      </c>
      <c r="H83" s="90">
        <v>-20</v>
      </c>
      <c r="I83" s="96" t="s">
        <v>111</v>
      </c>
      <c r="J83" s="130" t="s">
        <v>61</v>
      </c>
      <c r="K83" s="130" t="s">
        <v>62</v>
      </c>
      <c r="L83" s="130" t="s">
        <v>89</v>
      </c>
      <c r="M83" s="90" t="s">
        <v>112</v>
      </c>
      <c r="N83" s="130" t="s">
        <v>91</v>
      </c>
      <c r="O83" s="130" t="s">
        <v>92</v>
      </c>
      <c r="P83" s="130" t="s">
        <v>65</v>
      </c>
      <c r="Q83" s="130">
        <v>7.88</v>
      </c>
      <c r="R83" s="130">
        <v>4.4000000000000004</v>
      </c>
      <c r="S83" s="130">
        <v>210</v>
      </c>
      <c r="T83" s="130">
        <v>148032</v>
      </c>
      <c r="U83" s="87">
        <f t="shared" si="0"/>
        <v>148032000000</v>
      </c>
      <c r="V83" s="130" t="s">
        <v>113</v>
      </c>
      <c r="W83" s="130" t="s">
        <v>66</v>
      </c>
      <c r="X83" s="130" t="s">
        <v>114</v>
      </c>
      <c r="Y83" s="132">
        <v>23.3</v>
      </c>
      <c r="Z83" s="130">
        <v>23.14</v>
      </c>
      <c r="AA83" s="130"/>
      <c r="AB83" s="132">
        <f t="shared" si="78"/>
        <v>23.22</v>
      </c>
      <c r="AC83" s="94">
        <f t="shared" si="79"/>
        <v>0.25509195488560621</v>
      </c>
      <c r="AD83" s="95">
        <f t="shared" si="80"/>
        <v>29876371.820028879</v>
      </c>
      <c r="AE83" s="94">
        <f t="shared" si="81"/>
        <v>4.8699410513440702</v>
      </c>
      <c r="AF83" s="130">
        <v>23.91</v>
      </c>
      <c r="AG83" s="130">
        <v>24.26</v>
      </c>
      <c r="AH83" s="130"/>
      <c r="AI83" s="132">
        <f t="shared" si="82"/>
        <v>24.085000000000001</v>
      </c>
      <c r="AJ83" s="90">
        <f t="shared" si="70"/>
        <v>269.99469857346645</v>
      </c>
      <c r="AK83" s="95">
        <f t="shared" si="37"/>
        <v>53.998939714693293</v>
      </c>
      <c r="AL83" s="130" t="s">
        <v>100</v>
      </c>
      <c r="AM83" s="130" t="s">
        <v>100</v>
      </c>
      <c r="AN83" s="130"/>
      <c r="AO83" s="94" t="e">
        <f t="shared" ref="AO83:AO86" si="87">AVERAGE(AL83:AN83)</f>
        <v>#DIV/0!</v>
      </c>
      <c r="AP83" s="90" t="e">
        <f t="shared" si="84"/>
        <v>#DIV/0!</v>
      </c>
      <c r="AQ83" s="90" t="e">
        <f t="shared" si="85"/>
        <v>#DIV/0!</v>
      </c>
      <c r="AR83" s="95" t="e">
        <f t="shared" si="41"/>
        <v>#DIV/0!</v>
      </c>
      <c r="AS83" s="95" t="e">
        <f t="shared" si="74"/>
        <v>#DIV/0!</v>
      </c>
      <c r="AT83" s="95" t="e">
        <f t="shared" si="86"/>
        <v>#DIV/0!</v>
      </c>
      <c r="AU83" s="130"/>
      <c r="AV83" s="130" t="s">
        <v>119</v>
      </c>
    </row>
    <row r="84" spans="2:48" s="134" customFormat="1" ht="14" x14ac:dyDescent="0.15">
      <c r="B84" s="90" t="s">
        <v>54</v>
      </c>
      <c r="C84" s="90" t="s">
        <v>82</v>
      </c>
      <c r="D84" s="133" t="s">
        <v>117</v>
      </c>
      <c r="E84" s="90" t="s">
        <v>57</v>
      </c>
      <c r="F84" s="89" t="s">
        <v>58</v>
      </c>
      <c r="G84" s="90" t="s">
        <v>59</v>
      </c>
      <c r="H84" s="90">
        <v>-20</v>
      </c>
      <c r="I84" s="96" t="s">
        <v>111</v>
      </c>
      <c r="J84" s="90" t="s">
        <v>61</v>
      </c>
      <c r="K84" s="90" t="s">
        <v>62</v>
      </c>
      <c r="L84" s="90" t="s">
        <v>89</v>
      </c>
      <c r="M84" s="90" t="s">
        <v>112</v>
      </c>
      <c r="N84" s="90" t="s">
        <v>91</v>
      </c>
      <c r="O84" s="90" t="s">
        <v>92</v>
      </c>
      <c r="P84" s="90" t="s">
        <v>65</v>
      </c>
      <c r="Q84" s="90">
        <v>8.66</v>
      </c>
      <c r="R84" s="90">
        <v>4.28</v>
      </c>
      <c r="S84" s="90">
        <v>230</v>
      </c>
      <c r="T84" s="90">
        <v>144336</v>
      </c>
      <c r="U84" s="87">
        <f t="shared" si="0"/>
        <v>144336000000</v>
      </c>
      <c r="V84" s="90" t="s">
        <v>113</v>
      </c>
      <c r="W84" s="90" t="s">
        <v>66</v>
      </c>
      <c r="X84" s="90" t="s">
        <v>114</v>
      </c>
      <c r="Y84" s="90">
        <v>22.53</v>
      </c>
      <c r="Z84" s="90">
        <v>22.52</v>
      </c>
      <c r="AA84" s="90"/>
      <c r="AB84" s="94">
        <f t="shared" si="78"/>
        <v>22.524999999999999</v>
      </c>
      <c r="AC84" s="94">
        <f t="shared" si="79"/>
        <v>0.40618884922209753</v>
      </c>
      <c r="AD84" s="95">
        <f t="shared" si="80"/>
        <v>47572841.307171255</v>
      </c>
      <c r="AE84" s="94">
        <f t="shared" si="81"/>
        <v>7.7545203348806861</v>
      </c>
      <c r="AF84" s="90">
        <v>23.21</v>
      </c>
      <c r="AG84" s="90">
        <v>23.64</v>
      </c>
      <c r="AH84" s="90"/>
      <c r="AI84" s="94">
        <f t="shared" si="82"/>
        <v>23.425000000000001</v>
      </c>
      <c r="AJ84" s="90">
        <f t="shared" si="70"/>
        <v>436.02743083821366</v>
      </c>
      <c r="AK84" s="95">
        <f t="shared" si="37"/>
        <v>87.205486167642732</v>
      </c>
      <c r="AL84" s="90" t="s">
        <v>100</v>
      </c>
      <c r="AM84" s="90" t="s">
        <v>100</v>
      </c>
      <c r="AN84" s="90"/>
      <c r="AO84" s="94" t="e">
        <f t="shared" si="87"/>
        <v>#DIV/0!</v>
      </c>
      <c r="AP84" s="90" t="e">
        <f t="shared" si="84"/>
        <v>#DIV/0!</v>
      </c>
      <c r="AQ84" s="90" t="e">
        <f t="shared" si="85"/>
        <v>#DIV/0!</v>
      </c>
      <c r="AR84" s="95" t="e">
        <f t="shared" si="41"/>
        <v>#DIV/0!</v>
      </c>
      <c r="AS84" s="95" t="e">
        <f t="shared" si="74"/>
        <v>#DIV/0!</v>
      </c>
      <c r="AT84" s="95" t="e">
        <f t="shared" si="86"/>
        <v>#DIV/0!</v>
      </c>
      <c r="AU84" s="90"/>
      <c r="AV84" s="90" t="s">
        <v>119</v>
      </c>
    </row>
    <row r="85" spans="2:48" s="110" customFormat="1" ht="14" x14ac:dyDescent="0.15">
      <c r="B85" s="111" t="s">
        <v>54</v>
      </c>
      <c r="C85" s="111" t="s">
        <v>82</v>
      </c>
      <c r="D85" s="112" t="s">
        <v>118</v>
      </c>
      <c r="E85" s="111" t="s">
        <v>57</v>
      </c>
      <c r="F85" s="105" t="s">
        <v>58</v>
      </c>
      <c r="G85" s="111" t="s">
        <v>59</v>
      </c>
      <c r="H85" s="103">
        <v>-20</v>
      </c>
      <c r="I85" s="106" t="s">
        <v>111</v>
      </c>
      <c r="J85" s="111" t="s">
        <v>61</v>
      </c>
      <c r="K85" s="111" t="s">
        <v>62</v>
      </c>
      <c r="L85" s="111" t="s">
        <v>89</v>
      </c>
      <c r="M85" s="103" t="s">
        <v>112</v>
      </c>
      <c r="N85" s="111" t="s">
        <v>91</v>
      </c>
      <c r="O85" s="111" t="s">
        <v>92</v>
      </c>
      <c r="P85" s="111" t="s">
        <v>65</v>
      </c>
      <c r="Q85" s="111">
        <v>7.89</v>
      </c>
      <c r="R85" s="113">
        <v>4.5999999999999996</v>
      </c>
      <c r="S85" s="111">
        <v>230</v>
      </c>
      <c r="T85" s="111">
        <v>143280</v>
      </c>
      <c r="U85" s="111">
        <f t="shared" ref="U85:U112" si="88">T85*1000000</f>
        <v>143280000000</v>
      </c>
      <c r="V85" s="111" t="s">
        <v>113</v>
      </c>
      <c r="W85" s="111" t="s">
        <v>66</v>
      </c>
      <c r="X85" s="111" t="s">
        <v>114</v>
      </c>
      <c r="Y85" s="111">
        <v>20.61</v>
      </c>
      <c r="Z85" s="111">
        <v>21.21</v>
      </c>
      <c r="AA85" s="111"/>
      <c r="AB85" s="113">
        <f t="shared" si="78"/>
        <v>20.91</v>
      </c>
      <c r="AC85" s="107">
        <f t="shared" si="79"/>
        <v>1.1972814728630514</v>
      </c>
      <c r="AD85" s="108">
        <f t="shared" si="80"/>
        <v>140225615.78835085</v>
      </c>
      <c r="AE85" s="107">
        <f t="shared" si="81"/>
        <v>22.85720926527922</v>
      </c>
      <c r="AF85" s="111">
        <v>22.82</v>
      </c>
      <c r="AG85" s="111">
        <v>22.84</v>
      </c>
      <c r="AH85" s="111"/>
      <c r="AI85" s="113">
        <f t="shared" si="82"/>
        <v>22.83</v>
      </c>
      <c r="AJ85" s="103">
        <f t="shared" si="70"/>
        <v>671.69469983490683</v>
      </c>
      <c r="AK85" s="108">
        <f t="shared" si="37"/>
        <v>134.33893996698137</v>
      </c>
      <c r="AL85" s="111">
        <v>33.78</v>
      </c>
      <c r="AM85" s="111">
        <v>34.83</v>
      </c>
      <c r="AN85" s="111"/>
      <c r="AO85" s="107">
        <f t="shared" si="87"/>
        <v>34.305</v>
      </c>
      <c r="AP85" s="103">
        <f t="shared" si="84"/>
        <v>4.6694423737093367E-6</v>
      </c>
      <c r="AQ85" s="103">
        <f t="shared" si="85"/>
        <v>276.57906563294841</v>
      </c>
      <c r="AR85" s="108">
        <f t="shared" si="41"/>
        <v>55.315813126589681</v>
      </c>
      <c r="AS85" s="108">
        <f t="shared" si="74"/>
        <v>0.41176306095749698</v>
      </c>
      <c r="AT85" s="108">
        <f t="shared" si="86"/>
        <v>58997411373.990166</v>
      </c>
      <c r="AU85" s="111"/>
      <c r="AV85" s="111"/>
    </row>
    <row r="86" spans="2:48" s="21" customFormat="1" x14ac:dyDescent="0.15">
      <c r="B86" s="10"/>
      <c r="C86" s="10"/>
      <c r="D86" s="22"/>
      <c r="E86" s="10" t="s">
        <v>105</v>
      </c>
      <c r="F86" s="10"/>
      <c r="G86" s="10" t="s">
        <v>106</v>
      </c>
      <c r="H86" s="10">
        <v>-80</v>
      </c>
      <c r="I86" s="33" t="s">
        <v>108</v>
      </c>
      <c r="J86" s="10" t="s">
        <v>61</v>
      </c>
      <c r="K86" s="10" t="s">
        <v>62</v>
      </c>
      <c r="L86" s="10" t="s">
        <v>89</v>
      </c>
      <c r="M86" s="8" t="s">
        <v>112</v>
      </c>
      <c r="N86" s="10" t="s">
        <v>107</v>
      </c>
      <c r="O86" s="10" t="s">
        <v>108</v>
      </c>
      <c r="P86" s="10" t="s">
        <v>108</v>
      </c>
      <c r="Q86" s="10" t="s">
        <v>108</v>
      </c>
      <c r="R86" s="10" t="s">
        <v>108</v>
      </c>
      <c r="S86" s="10" t="s">
        <v>108</v>
      </c>
      <c r="T86" s="10" t="s">
        <v>108</v>
      </c>
      <c r="U86" s="10" t="e">
        <f t="shared" si="88"/>
        <v>#VALUE!</v>
      </c>
      <c r="V86" s="10" t="s">
        <v>113</v>
      </c>
      <c r="W86" s="10" t="s">
        <v>66</v>
      </c>
      <c r="X86" s="10" t="s">
        <v>120</v>
      </c>
      <c r="Y86" s="10">
        <v>18.78</v>
      </c>
      <c r="Z86" s="10">
        <v>18.63</v>
      </c>
      <c r="AA86" s="10"/>
      <c r="AB86" s="163">
        <f t="shared" si="78"/>
        <v>18.704999999999998</v>
      </c>
      <c r="AC86" s="18">
        <f t="shared" si="79"/>
        <v>5.2380912252562597</v>
      </c>
      <c r="AD86" s="19">
        <f t="shared" si="80"/>
        <v>613485286.68089736</v>
      </c>
      <c r="AE86" s="18">
        <f t="shared" si="81"/>
        <v>100</v>
      </c>
      <c r="AF86" s="10">
        <v>30.32</v>
      </c>
      <c r="AG86" s="10">
        <v>30.37</v>
      </c>
      <c r="AH86" s="10"/>
      <c r="AI86" s="163">
        <f t="shared" si="82"/>
        <v>30.344999999999999</v>
      </c>
      <c r="AJ86" s="8">
        <f t="shared" si="70"/>
        <v>2.8641957112557694</v>
      </c>
      <c r="AK86" s="50">
        <f t="shared" si="37"/>
        <v>0.57283914225115384</v>
      </c>
      <c r="AL86" s="10" t="s">
        <v>100</v>
      </c>
      <c r="AM86" s="10" t="s">
        <v>100</v>
      </c>
      <c r="AN86" s="10"/>
      <c r="AO86" s="18" t="e">
        <f t="shared" si="87"/>
        <v>#DIV/0!</v>
      </c>
      <c r="AP86" s="8" t="e">
        <f t="shared" si="84"/>
        <v>#DIV/0!</v>
      </c>
      <c r="AQ86" s="8" t="e">
        <f t="shared" si="85"/>
        <v>#DIV/0!</v>
      </c>
      <c r="AR86" s="50" t="e">
        <f t="shared" si="41"/>
        <v>#DIV/0!</v>
      </c>
      <c r="AS86" s="19" t="e">
        <f t="shared" si="74"/>
        <v>#DIV/0!</v>
      </c>
      <c r="AT86" s="19" t="e">
        <f t="shared" si="86"/>
        <v>#DIV/0!</v>
      </c>
      <c r="AU86" s="10"/>
      <c r="AV86" s="10"/>
    </row>
    <row r="87" spans="2:48" s="5" customFormat="1" x14ac:dyDescent="0.15">
      <c r="B87" s="10"/>
      <c r="C87" s="10"/>
      <c r="D87" s="22"/>
      <c r="E87" s="10"/>
      <c r="F87" s="10"/>
      <c r="G87" s="10"/>
      <c r="H87" s="10"/>
      <c r="I87" s="164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>
        <f t="shared" si="88"/>
        <v>0</v>
      </c>
      <c r="V87" s="10"/>
      <c r="W87" s="10"/>
      <c r="X87" s="10"/>
      <c r="Y87" s="10"/>
      <c r="Z87" s="10"/>
      <c r="AA87" s="10"/>
      <c r="AB87" s="163"/>
      <c r="AC87" s="18"/>
      <c r="AD87" s="19"/>
      <c r="AE87" s="18"/>
      <c r="AF87" s="10"/>
      <c r="AG87" s="10"/>
      <c r="AH87" s="10"/>
      <c r="AI87" s="163"/>
      <c r="AJ87" s="10"/>
      <c r="AK87" s="50">
        <f t="shared" si="37"/>
        <v>0</v>
      </c>
      <c r="AL87" s="10"/>
      <c r="AM87" s="10"/>
      <c r="AN87" s="10"/>
      <c r="AO87" s="10"/>
      <c r="AP87" s="10"/>
      <c r="AQ87" s="10"/>
      <c r="AR87" s="50">
        <f t="shared" si="41"/>
        <v>0</v>
      </c>
      <c r="AS87" s="19"/>
      <c r="AT87" s="10"/>
      <c r="AU87" s="10"/>
      <c r="AV87" s="10"/>
    </row>
    <row r="88" spans="2:48" s="102" customFormat="1" ht="14" x14ac:dyDescent="0.15">
      <c r="B88" s="111" t="s">
        <v>54</v>
      </c>
      <c r="C88" s="111" t="s">
        <v>82</v>
      </c>
      <c r="D88" s="112" t="s">
        <v>121</v>
      </c>
      <c r="E88" s="111" t="s">
        <v>57</v>
      </c>
      <c r="F88" s="105" t="s">
        <v>58</v>
      </c>
      <c r="G88" s="111" t="s">
        <v>59</v>
      </c>
      <c r="H88" s="111">
        <v>-20</v>
      </c>
      <c r="I88" s="111" t="s">
        <v>122</v>
      </c>
      <c r="J88" s="111" t="s">
        <v>61</v>
      </c>
      <c r="K88" s="111" t="s">
        <v>62</v>
      </c>
      <c r="L88" s="111" t="s">
        <v>123</v>
      </c>
      <c r="M88" s="111" t="s">
        <v>124</v>
      </c>
      <c r="N88" s="111" t="s">
        <v>125</v>
      </c>
      <c r="O88" s="111" t="s">
        <v>126</v>
      </c>
      <c r="P88" s="111" t="s">
        <v>65</v>
      </c>
      <c r="Q88" s="111">
        <v>8.1199999999999992</v>
      </c>
      <c r="R88" s="111">
        <v>4.49</v>
      </c>
      <c r="S88" s="111">
        <v>240</v>
      </c>
      <c r="T88" s="111">
        <v>141936</v>
      </c>
      <c r="U88" s="111">
        <f t="shared" si="88"/>
        <v>141936000000</v>
      </c>
      <c r="V88" s="111" t="s">
        <v>127</v>
      </c>
      <c r="W88" s="111" t="s">
        <v>66</v>
      </c>
      <c r="X88" s="111" t="s">
        <v>127</v>
      </c>
      <c r="Y88" s="111">
        <v>17.29</v>
      </c>
      <c r="Z88" s="111">
        <v>16.920000000000002</v>
      </c>
      <c r="AA88" s="111"/>
      <c r="AB88" s="107">
        <f t="shared" ref="AB88:AB98" si="89">AVERAGE(Y88:AA88)</f>
        <v>17.105</v>
      </c>
      <c r="AC88" s="107">
        <f t="shared" ref="AC88:AC98" si="90">EXP((AB88-21.179)/-1.494)</f>
        <v>15.285545304842303</v>
      </c>
      <c r="AD88" s="108">
        <f t="shared" ref="AD88:AD98" si="91">(AC88*(6.0221*10^23))/(15123*340*10^9)</f>
        <v>1790243189.7711477</v>
      </c>
      <c r="AE88" s="107">
        <f t="shared" ref="AE88:AE98" si="92">AD88*100/AD$98</f>
        <v>51.033354202927057</v>
      </c>
      <c r="AF88" s="111">
        <v>24.22</v>
      </c>
      <c r="AG88" s="111">
        <v>24.24</v>
      </c>
      <c r="AH88" s="111"/>
      <c r="AI88" s="107">
        <f t="shared" ref="AI88:AI98" si="93">AVERAGE(AF88:AH88)</f>
        <v>24.229999999999997</v>
      </c>
      <c r="AJ88" s="103">
        <f t="shared" si="70"/>
        <v>243.00959886959197</v>
      </c>
      <c r="AK88" s="108">
        <f t="shared" si="37"/>
        <v>48.601919773918397</v>
      </c>
      <c r="AL88" s="111">
        <v>35.58</v>
      </c>
      <c r="AM88" s="111">
        <v>36.31</v>
      </c>
      <c r="AN88" s="111"/>
      <c r="AO88" s="107">
        <f t="shared" ref="AO88:AO98" si="94">AVERAGE(AL88:AN88)</f>
        <v>35.945</v>
      </c>
      <c r="AP88" s="103">
        <f t="shared" si="84"/>
        <v>1.5783556446016772E-6</v>
      </c>
      <c r="AQ88" s="103">
        <f t="shared" si="85"/>
        <v>93.48870689106306</v>
      </c>
      <c r="AR88" s="108">
        <f t="shared" si="41"/>
        <v>18.697741378212612</v>
      </c>
      <c r="AS88" s="108">
        <f t="shared" si="74"/>
        <v>0.38471199214329221</v>
      </c>
      <c r="AT88" s="108">
        <f t="shared" si="86"/>
        <v>54604481316.850327</v>
      </c>
      <c r="AU88" s="111"/>
      <c r="AV88" s="111"/>
    </row>
    <row r="89" spans="2:48" s="102" customFormat="1" ht="14" x14ac:dyDescent="0.15">
      <c r="B89" s="103" t="s">
        <v>54</v>
      </c>
      <c r="C89" s="111" t="s">
        <v>82</v>
      </c>
      <c r="D89" s="104" t="s">
        <v>128</v>
      </c>
      <c r="E89" s="111" t="s">
        <v>57</v>
      </c>
      <c r="F89" s="105" t="s">
        <v>58</v>
      </c>
      <c r="G89" s="111" t="s">
        <v>59</v>
      </c>
      <c r="H89" s="111">
        <v>-20</v>
      </c>
      <c r="I89" s="111" t="s">
        <v>122</v>
      </c>
      <c r="J89" s="111" t="s">
        <v>61</v>
      </c>
      <c r="K89" s="111" t="s">
        <v>62</v>
      </c>
      <c r="L89" s="111" t="s">
        <v>123</v>
      </c>
      <c r="M89" s="111" t="s">
        <v>124</v>
      </c>
      <c r="N89" s="111" t="s">
        <v>125</v>
      </c>
      <c r="O89" s="111" t="s">
        <v>126</v>
      </c>
      <c r="P89" s="111" t="s">
        <v>65</v>
      </c>
      <c r="Q89" s="103">
        <v>7.78</v>
      </c>
      <c r="R89" s="107">
        <v>4.4000000000000004</v>
      </c>
      <c r="S89" s="103">
        <v>300</v>
      </c>
      <c r="T89" s="103">
        <v>148656</v>
      </c>
      <c r="U89" s="111">
        <f t="shared" si="88"/>
        <v>148656000000</v>
      </c>
      <c r="V89" s="111" t="s">
        <v>127</v>
      </c>
      <c r="W89" s="111" t="s">
        <v>66</v>
      </c>
      <c r="X89" s="111" t="s">
        <v>127</v>
      </c>
      <c r="Y89" s="103">
        <v>17.47</v>
      </c>
      <c r="Z89" s="103">
        <v>17.04</v>
      </c>
      <c r="AA89" s="103"/>
      <c r="AB89" s="107">
        <f t="shared" si="89"/>
        <v>17.254999999999999</v>
      </c>
      <c r="AC89" s="107">
        <f t="shared" si="90"/>
        <v>13.825379870430185</v>
      </c>
      <c r="AD89" s="108">
        <f t="shared" si="91"/>
        <v>1619228602.2793019</v>
      </c>
      <c r="AE89" s="107">
        <f t="shared" si="92"/>
        <v>46.158347238954477</v>
      </c>
      <c r="AF89" s="103">
        <v>24.01</v>
      </c>
      <c r="AG89" s="103">
        <v>24.07</v>
      </c>
      <c r="AH89" s="103"/>
      <c r="AI89" s="107">
        <f t="shared" si="93"/>
        <v>24.04</v>
      </c>
      <c r="AJ89" s="103">
        <f t="shared" si="70"/>
        <v>278.96381064395672</v>
      </c>
      <c r="AK89" s="108">
        <f t="shared" si="37"/>
        <v>55.792762128791345</v>
      </c>
      <c r="AL89" s="103">
        <v>35.53</v>
      </c>
      <c r="AM89" s="103">
        <v>37.07</v>
      </c>
      <c r="AN89" s="103"/>
      <c r="AO89" s="107">
        <f t="shared" si="94"/>
        <v>36.299999999999997</v>
      </c>
      <c r="AP89" s="103">
        <f t="shared" si="84"/>
        <v>1.2480660759880712E-6</v>
      </c>
      <c r="AQ89" s="103">
        <f t="shared" si="85"/>
        <v>73.925090303823168</v>
      </c>
      <c r="AR89" s="108">
        <f t="shared" si="41"/>
        <v>14.785018060764633</v>
      </c>
      <c r="AS89" s="108">
        <f t="shared" si="74"/>
        <v>0.26499885462983663</v>
      </c>
      <c r="AT89" s="108">
        <f t="shared" si="86"/>
        <v>39393669733.852997</v>
      </c>
      <c r="AU89" s="103"/>
      <c r="AV89" s="103"/>
    </row>
    <row r="90" spans="2:48" s="102" customFormat="1" ht="14" x14ac:dyDescent="0.15">
      <c r="B90" s="103" t="s">
        <v>54</v>
      </c>
      <c r="C90" s="111" t="s">
        <v>82</v>
      </c>
      <c r="D90" s="104" t="s">
        <v>129</v>
      </c>
      <c r="E90" s="111" t="s">
        <v>57</v>
      </c>
      <c r="F90" s="105" t="s">
        <v>58</v>
      </c>
      <c r="G90" s="111" t="s">
        <v>59</v>
      </c>
      <c r="H90" s="111">
        <v>-20</v>
      </c>
      <c r="I90" s="111" t="s">
        <v>122</v>
      </c>
      <c r="J90" s="111" t="s">
        <v>61</v>
      </c>
      <c r="K90" s="111" t="s">
        <v>62</v>
      </c>
      <c r="L90" s="111" t="s">
        <v>123</v>
      </c>
      <c r="M90" s="111" t="s">
        <v>124</v>
      </c>
      <c r="N90" s="111" t="s">
        <v>125</v>
      </c>
      <c r="O90" s="111" t="s">
        <v>126</v>
      </c>
      <c r="P90" s="111" t="s">
        <v>65</v>
      </c>
      <c r="Q90" s="107">
        <v>8</v>
      </c>
      <c r="R90" s="103">
        <v>4.6100000000000003</v>
      </c>
      <c r="S90" s="103">
        <v>220</v>
      </c>
      <c r="T90" s="103">
        <v>156984</v>
      </c>
      <c r="U90" s="111">
        <f t="shared" si="88"/>
        <v>156984000000</v>
      </c>
      <c r="V90" s="111" t="s">
        <v>127</v>
      </c>
      <c r="W90" s="111" t="s">
        <v>66</v>
      </c>
      <c r="X90" s="111" t="s">
        <v>127</v>
      </c>
      <c r="Y90" s="103">
        <v>17.32</v>
      </c>
      <c r="Z90" s="103">
        <v>17.11</v>
      </c>
      <c r="AA90" s="103"/>
      <c r="AB90" s="107">
        <f t="shared" si="89"/>
        <v>17.215</v>
      </c>
      <c r="AC90" s="107">
        <f t="shared" si="90"/>
        <v>14.20053707123448</v>
      </c>
      <c r="AD90" s="108">
        <f t="shared" si="91"/>
        <v>1663167016.672718</v>
      </c>
      <c r="AE90" s="107">
        <f t="shared" si="92"/>
        <v>47.410872414118437</v>
      </c>
      <c r="AF90" s="103">
        <v>24.41</v>
      </c>
      <c r="AG90" s="103">
        <v>24.5</v>
      </c>
      <c r="AH90" s="103"/>
      <c r="AI90" s="107">
        <f t="shared" si="93"/>
        <v>24.454999999999998</v>
      </c>
      <c r="AJ90" s="103">
        <f t="shared" si="70"/>
        <v>206.37651666176072</v>
      </c>
      <c r="AK90" s="108">
        <f t="shared" si="37"/>
        <v>41.275303332352145</v>
      </c>
      <c r="AL90" s="103">
        <v>36.26</v>
      </c>
      <c r="AM90" s="103">
        <v>35.130000000000003</v>
      </c>
      <c r="AN90" s="103"/>
      <c r="AO90" s="107">
        <f t="shared" si="94"/>
        <v>35.695</v>
      </c>
      <c r="AP90" s="103">
        <f t="shared" si="84"/>
        <v>1.8621420952492264E-6</v>
      </c>
      <c r="AQ90" s="103">
        <f t="shared" si="85"/>
        <v>110.2978641902973</v>
      </c>
      <c r="AR90" s="108">
        <f t="shared" si="41"/>
        <v>22.059572838059459</v>
      </c>
      <c r="AS90" s="108">
        <f t="shared" si="74"/>
        <v>0.53444968436534457</v>
      </c>
      <c r="AT90" s="108">
        <f t="shared" si="86"/>
        <v>83900049250.409256</v>
      </c>
      <c r="AU90" s="103"/>
      <c r="AV90" s="103"/>
    </row>
    <row r="91" spans="2:48" s="102" customFormat="1" ht="14" x14ac:dyDescent="0.15">
      <c r="B91" s="103" t="s">
        <v>54</v>
      </c>
      <c r="C91" s="111" t="s">
        <v>82</v>
      </c>
      <c r="D91" s="104" t="s">
        <v>130</v>
      </c>
      <c r="E91" s="111" t="s">
        <v>57</v>
      </c>
      <c r="F91" s="105" t="s">
        <v>58</v>
      </c>
      <c r="G91" s="111" t="s">
        <v>59</v>
      </c>
      <c r="H91" s="111">
        <v>-20</v>
      </c>
      <c r="I91" s="111" t="s">
        <v>122</v>
      </c>
      <c r="J91" s="111" t="s">
        <v>61</v>
      </c>
      <c r="K91" s="111" t="s">
        <v>62</v>
      </c>
      <c r="L91" s="111" t="s">
        <v>123</v>
      </c>
      <c r="M91" s="111" t="s">
        <v>124</v>
      </c>
      <c r="N91" s="111" t="s">
        <v>125</v>
      </c>
      <c r="O91" s="111" t="s">
        <v>126</v>
      </c>
      <c r="P91" s="111" t="s">
        <v>65</v>
      </c>
      <c r="Q91" s="103">
        <v>7.94</v>
      </c>
      <c r="R91" s="103">
        <v>3.73</v>
      </c>
      <c r="S91" s="103">
        <v>152</v>
      </c>
      <c r="T91" s="103">
        <v>196632</v>
      </c>
      <c r="U91" s="111">
        <f t="shared" si="88"/>
        <v>196632000000</v>
      </c>
      <c r="V91" s="111" t="s">
        <v>127</v>
      </c>
      <c r="W91" s="111" t="s">
        <v>66</v>
      </c>
      <c r="X91" s="111" t="s">
        <v>127</v>
      </c>
      <c r="Y91" s="103">
        <v>16.62</v>
      </c>
      <c r="Z91" s="103">
        <v>16.7</v>
      </c>
      <c r="AA91" s="103"/>
      <c r="AB91" s="107">
        <f t="shared" si="89"/>
        <v>16.66</v>
      </c>
      <c r="AC91" s="107">
        <f t="shared" si="90"/>
        <v>20.589180710248357</v>
      </c>
      <c r="AD91" s="108">
        <f t="shared" si="91"/>
        <v>2411405011.3614755</v>
      </c>
      <c r="AE91" s="107">
        <f t="shared" si="92"/>
        <v>68.740429666013654</v>
      </c>
      <c r="AF91" s="103">
        <v>23.96</v>
      </c>
      <c r="AG91" s="103">
        <v>24.03</v>
      </c>
      <c r="AH91" s="103"/>
      <c r="AI91" s="107">
        <f t="shared" si="93"/>
        <v>23.995000000000001</v>
      </c>
      <c r="AJ91" s="103">
        <f t="shared" si="70"/>
        <v>288.23087290294302</v>
      </c>
      <c r="AK91" s="108">
        <f t="shared" si="37"/>
        <v>57.646174580588607</v>
      </c>
      <c r="AL91" s="103">
        <v>35.06</v>
      </c>
      <c r="AM91" s="103">
        <v>34.69</v>
      </c>
      <c r="AN91" s="103"/>
      <c r="AO91" s="107">
        <f t="shared" si="94"/>
        <v>34.875</v>
      </c>
      <c r="AP91" s="103">
        <f t="shared" si="84"/>
        <v>3.2028964194806362E-6</v>
      </c>
      <c r="AQ91" s="103">
        <f t="shared" si="85"/>
        <v>189.71303811494752</v>
      </c>
      <c r="AR91" s="108">
        <f t="shared" si="41"/>
        <v>37.942607622989506</v>
      </c>
      <c r="AS91" s="108">
        <f t="shared" si="74"/>
        <v>0.6581981874607522</v>
      </c>
      <c r="AT91" s="108">
        <f t="shared" si="86"/>
        <v>129422825996.78262</v>
      </c>
      <c r="AU91" s="103"/>
      <c r="AV91" s="103"/>
    </row>
    <row r="92" spans="2:48" s="102" customFormat="1" ht="14" x14ac:dyDescent="0.15">
      <c r="B92" s="103" t="s">
        <v>54</v>
      </c>
      <c r="C92" s="111" t="s">
        <v>82</v>
      </c>
      <c r="D92" s="104" t="s">
        <v>131</v>
      </c>
      <c r="E92" s="111" t="s">
        <v>57</v>
      </c>
      <c r="F92" s="105" t="s">
        <v>58</v>
      </c>
      <c r="G92" s="111" t="s">
        <v>59</v>
      </c>
      <c r="H92" s="111">
        <v>-20</v>
      </c>
      <c r="I92" s="111" t="s">
        <v>122</v>
      </c>
      <c r="J92" s="111" t="s">
        <v>61</v>
      </c>
      <c r="K92" s="111" t="s">
        <v>62</v>
      </c>
      <c r="L92" s="111" t="s">
        <v>123</v>
      </c>
      <c r="M92" s="111" t="s">
        <v>124</v>
      </c>
      <c r="N92" s="111" t="s">
        <v>125</v>
      </c>
      <c r="O92" s="111" t="s">
        <v>126</v>
      </c>
      <c r="P92" s="111" t="s">
        <v>65</v>
      </c>
      <c r="Q92" s="103">
        <v>7.52</v>
      </c>
      <c r="R92" s="103">
        <v>4.1500000000000004</v>
      </c>
      <c r="S92" s="103">
        <v>189</v>
      </c>
      <c r="T92" s="103">
        <v>250704</v>
      </c>
      <c r="U92" s="111">
        <f t="shared" si="88"/>
        <v>250704000000</v>
      </c>
      <c r="V92" s="111" t="s">
        <v>127</v>
      </c>
      <c r="W92" s="111" t="s">
        <v>66</v>
      </c>
      <c r="X92" s="111" t="s">
        <v>127</v>
      </c>
      <c r="Y92" s="103">
        <v>16.59</v>
      </c>
      <c r="Z92" s="103">
        <v>16.559999999999999</v>
      </c>
      <c r="AA92" s="103"/>
      <c r="AB92" s="107">
        <f t="shared" si="89"/>
        <v>16.574999999999999</v>
      </c>
      <c r="AC92" s="107">
        <f t="shared" si="90"/>
        <v>21.79455075597458</v>
      </c>
      <c r="AD92" s="108">
        <f t="shared" si="91"/>
        <v>2552577960.8690014</v>
      </c>
      <c r="AE92" s="107">
        <f t="shared" si="92"/>
        <v>72.764759532064133</v>
      </c>
      <c r="AF92" s="103">
        <v>22.76</v>
      </c>
      <c r="AG92" s="103">
        <v>22.84</v>
      </c>
      <c r="AH92" s="103"/>
      <c r="AI92" s="107">
        <f t="shared" si="93"/>
        <v>22.8</v>
      </c>
      <c r="AJ92" s="103">
        <f t="shared" si="70"/>
        <v>686.48914565261407</v>
      </c>
      <c r="AK92" s="108">
        <f t="shared" si="37"/>
        <v>137.29782913052281</v>
      </c>
      <c r="AL92" s="103">
        <v>35.24</v>
      </c>
      <c r="AM92" s="103">
        <v>35.39</v>
      </c>
      <c r="AN92" s="103"/>
      <c r="AO92" s="107">
        <f t="shared" si="94"/>
        <v>35.314999999999998</v>
      </c>
      <c r="AP92" s="103">
        <f t="shared" si="84"/>
        <v>2.3942026208575405E-6</v>
      </c>
      <c r="AQ92" s="103">
        <f t="shared" si="85"/>
        <v>141.81271998153042</v>
      </c>
      <c r="AR92" s="108">
        <f t="shared" si="41"/>
        <v>28.362543996306083</v>
      </c>
      <c r="AS92" s="108">
        <f t="shared" si="74"/>
        <v>0.20657678403161858</v>
      </c>
      <c r="AT92" s="108">
        <f t="shared" si="86"/>
        <v>51789626063.862907</v>
      </c>
      <c r="AU92" s="103"/>
      <c r="AV92" s="103"/>
    </row>
    <row r="93" spans="2:48" s="51" customFormat="1" ht="12.75" customHeight="1" x14ac:dyDescent="0.2">
      <c r="B93" s="45" t="s">
        <v>54</v>
      </c>
      <c r="C93" s="45" t="s">
        <v>55</v>
      </c>
      <c r="D93" s="65" t="s">
        <v>121</v>
      </c>
      <c r="E93" s="53" t="s">
        <v>57</v>
      </c>
      <c r="F93" s="54" t="s">
        <v>58</v>
      </c>
      <c r="G93" s="53" t="s">
        <v>59</v>
      </c>
      <c r="H93" s="53">
        <v>-20</v>
      </c>
      <c r="I93" s="53" t="s">
        <v>122</v>
      </c>
      <c r="J93" s="53" t="s">
        <v>61</v>
      </c>
      <c r="K93" s="53" t="s">
        <v>62</v>
      </c>
      <c r="L93" s="53" t="s">
        <v>123</v>
      </c>
      <c r="M93" s="53" t="s">
        <v>124</v>
      </c>
      <c r="N93" s="53" t="s">
        <v>125</v>
      </c>
      <c r="O93" s="53" t="s">
        <v>126</v>
      </c>
      <c r="P93" s="53" t="s">
        <v>65</v>
      </c>
      <c r="Q93" s="45">
        <v>7.86</v>
      </c>
      <c r="R93" s="45">
        <v>4.62</v>
      </c>
      <c r="S93" s="45">
        <v>310</v>
      </c>
      <c r="T93" s="45">
        <v>189240</v>
      </c>
      <c r="U93" s="53">
        <f t="shared" si="88"/>
        <v>189240000000</v>
      </c>
      <c r="V93" s="53" t="s">
        <v>127</v>
      </c>
      <c r="W93" s="53" t="s">
        <v>66</v>
      </c>
      <c r="X93" s="53" t="s">
        <v>127</v>
      </c>
      <c r="Y93" s="45">
        <v>17.010000000000002</v>
      </c>
      <c r="Z93" s="45">
        <v>17.079999999999998</v>
      </c>
      <c r="AA93" s="45"/>
      <c r="AB93" s="49">
        <f t="shared" si="89"/>
        <v>17.045000000000002</v>
      </c>
      <c r="AC93" s="49">
        <f t="shared" si="90"/>
        <v>15.911916168496393</v>
      </c>
      <c r="AD93" s="50">
        <f t="shared" si="91"/>
        <v>1863603750.389981</v>
      </c>
      <c r="AE93" s="49">
        <f t="shared" si="92"/>
        <v>53.12459828416543</v>
      </c>
      <c r="AF93" s="45">
        <v>22.32</v>
      </c>
      <c r="AG93" s="45">
        <v>22.59</v>
      </c>
      <c r="AH93" s="45"/>
      <c r="AI93" s="49">
        <f t="shared" si="93"/>
        <v>22.454999999999998</v>
      </c>
      <c r="AJ93" s="45">
        <f t="shared" si="70"/>
        <v>881.94974528867795</v>
      </c>
      <c r="AK93" s="50">
        <f t="shared" si="37"/>
        <v>176.38994905773558</v>
      </c>
      <c r="AL93" s="45">
        <v>34.81</v>
      </c>
      <c r="AM93" s="45">
        <v>35.47</v>
      </c>
      <c r="AN93" s="45"/>
      <c r="AO93" s="49">
        <f t="shared" si="94"/>
        <v>35.14</v>
      </c>
      <c r="AP93" s="45">
        <f t="shared" si="84"/>
        <v>2.6879826855290061E-6</v>
      </c>
      <c r="AQ93" s="45">
        <f t="shared" si="85"/>
        <v>159.21381614793938</v>
      </c>
      <c r="AR93" s="50">
        <f t="shared" si="41"/>
        <v>31.842763229587877</v>
      </c>
      <c r="AS93" s="50">
        <f t="shared" si="74"/>
        <v>0.18052481674658896</v>
      </c>
      <c r="AT93" s="50">
        <f t="shared" si="86"/>
        <v>34162516321.124496</v>
      </c>
      <c r="AU93" s="45"/>
      <c r="AV93" s="66" t="s">
        <v>132</v>
      </c>
    </row>
    <row r="94" spans="2:48" s="51" customFormat="1" ht="14" x14ac:dyDescent="0.15">
      <c r="B94" s="45" t="s">
        <v>54</v>
      </c>
      <c r="C94" s="45" t="s">
        <v>55</v>
      </c>
      <c r="D94" s="65" t="s">
        <v>128</v>
      </c>
      <c r="E94" s="53" t="s">
        <v>57</v>
      </c>
      <c r="F94" s="54" t="s">
        <v>58</v>
      </c>
      <c r="G94" s="53" t="s">
        <v>59</v>
      </c>
      <c r="H94" s="53">
        <v>-20</v>
      </c>
      <c r="I94" s="53" t="s">
        <v>122</v>
      </c>
      <c r="J94" s="53" t="s">
        <v>61</v>
      </c>
      <c r="K94" s="53" t="s">
        <v>62</v>
      </c>
      <c r="L94" s="53" t="s">
        <v>123</v>
      </c>
      <c r="M94" s="53" t="s">
        <v>124</v>
      </c>
      <c r="N94" s="53" t="s">
        <v>125</v>
      </c>
      <c r="O94" s="53" t="s">
        <v>126</v>
      </c>
      <c r="P94" s="53" t="s">
        <v>65</v>
      </c>
      <c r="Q94" s="45">
        <v>8.3699999999999992</v>
      </c>
      <c r="R94" s="45">
        <v>4.57</v>
      </c>
      <c r="S94" s="45">
        <v>220</v>
      </c>
      <c r="T94" s="45">
        <v>188448</v>
      </c>
      <c r="U94" s="53">
        <f t="shared" si="88"/>
        <v>188448000000</v>
      </c>
      <c r="V94" s="53" t="s">
        <v>127</v>
      </c>
      <c r="W94" s="53" t="s">
        <v>66</v>
      </c>
      <c r="X94" s="53" t="s">
        <v>127</v>
      </c>
      <c r="Y94" s="45">
        <v>16.079999999999998</v>
      </c>
      <c r="Z94" s="45">
        <v>16.48</v>
      </c>
      <c r="AA94" s="45"/>
      <c r="AB94" s="49">
        <f t="shared" si="89"/>
        <v>16.28</v>
      </c>
      <c r="AC94" s="49">
        <f t="shared" si="90"/>
        <v>26.552302467391076</v>
      </c>
      <c r="AD94" s="50">
        <f t="shared" si="91"/>
        <v>3109805879.8027892</v>
      </c>
      <c r="AE94" s="49">
        <f t="shared" si="92"/>
        <v>88.649310816039772</v>
      </c>
      <c r="AF94" s="45">
        <v>23.37</v>
      </c>
      <c r="AG94" s="45">
        <v>23.12</v>
      </c>
      <c r="AH94" s="45"/>
      <c r="AI94" s="49">
        <f t="shared" si="93"/>
        <v>23.245000000000001</v>
      </c>
      <c r="AJ94" s="45">
        <f t="shared" si="70"/>
        <v>496.91754673160335</v>
      </c>
      <c r="AK94" s="50">
        <f t="shared" si="37"/>
        <v>99.383509346320665</v>
      </c>
      <c r="AL94" s="45">
        <v>34.36</v>
      </c>
      <c r="AM94" s="45">
        <v>34.06</v>
      </c>
      <c r="AN94" s="45"/>
      <c r="AO94" s="49">
        <f t="shared" si="94"/>
        <v>34.21</v>
      </c>
      <c r="AP94" s="45">
        <f t="shared" si="84"/>
        <v>4.9722395203122001E-6</v>
      </c>
      <c r="AQ94" s="45">
        <f t="shared" si="85"/>
        <v>294.51425899892098</v>
      </c>
      <c r="AR94" s="50">
        <f t="shared" si="41"/>
        <v>58.902851799784194</v>
      </c>
      <c r="AS94" s="50">
        <f t="shared" si="74"/>
        <v>0.59268234928720465</v>
      </c>
      <c r="AT94" s="50">
        <f t="shared" si="86"/>
        <v>111689803358.47514</v>
      </c>
      <c r="AU94" s="45"/>
      <c r="AV94" s="45"/>
    </row>
    <row r="95" spans="2:48" s="51" customFormat="1" ht="14" x14ac:dyDescent="0.15">
      <c r="B95" s="45" t="s">
        <v>54</v>
      </c>
      <c r="C95" s="45" t="s">
        <v>55</v>
      </c>
      <c r="D95" s="65" t="s">
        <v>129</v>
      </c>
      <c r="E95" s="53" t="s">
        <v>57</v>
      </c>
      <c r="F95" s="54" t="s">
        <v>58</v>
      </c>
      <c r="G95" s="53" t="s">
        <v>59</v>
      </c>
      <c r="H95" s="53">
        <v>-20</v>
      </c>
      <c r="I95" s="53" t="s">
        <v>122</v>
      </c>
      <c r="J95" s="53" t="s">
        <v>61</v>
      </c>
      <c r="K95" s="53" t="s">
        <v>62</v>
      </c>
      <c r="L95" s="53" t="s">
        <v>123</v>
      </c>
      <c r="M95" s="53" t="s">
        <v>124</v>
      </c>
      <c r="N95" s="53" t="s">
        <v>125</v>
      </c>
      <c r="O95" s="53" t="s">
        <v>126</v>
      </c>
      <c r="P95" s="53" t="s">
        <v>65</v>
      </c>
      <c r="Q95" s="45">
        <v>7.55</v>
      </c>
      <c r="R95" s="45">
        <v>4.08</v>
      </c>
      <c r="S95" s="45">
        <v>310</v>
      </c>
      <c r="T95" s="45">
        <v>195864</v>
      </c>
      <c r="U95" s="53">
        <f t="shared" si="88"/>
        <v>195864000000</v>
      </c>
      <c r="V95" s="53" t="s">
        <v>127</v>
      </c>
      <c r="W95" s="53" t="s">
        <v>66</v>
      </c>
      <c r="X95" s="53" t="s">
        <v>127</v>
      </c>
      <c r="Y95" s="45">
        <v>16.86</v>
      </c>
      <c r="Z95" s="45">
        <v>17.02</v>
      </c>
      <c r="AA95" s="45"/>
      <c r="AB95" s="49">
        <f t="shared" si="89"/>
        <v>16.939999999999998</v>
      </c>
      <c r="AC95" s="49">
        <f t="shared" si="90"/>
        <v>17.070458519741173</v>
      </c>
      <c r="AD95" s="50">
        <f t="shared" si="91"/>
        <v>1999292239.9409802</v>
      </c>
      <c r="AE95" s="49">
        <f t="shared" si="92"/>
        <v>56.992586045873665</v>
      </c>
      <c r="AF95" s="45">
        <v>22.16</v>
      </c>
      <c r="AG95" s="45">
        <v>22.13</v>
      </c>
      <c r="AH95" s="45"/>
      <c r="AI95" s="49">
        <f t="shared" si="93"/>
        <v>22.145</v>
      </c>
      <c r="AJ95" s="45">
        <f t="shared" si="70"/>
        <v>1104.6260762220161</v>
      </c>
      <c r="AK95" s="50">
        <f t="shared" si="37"/>
        <v>220.9252152444032</v>
      </c>
      <c r="AL95" s="45">
        <v>33.51</v>
      </c>
      <c r="AM95" s="45">
        <v>33.76</v>
      </c>
      <c r="AN95" s="45"/>
      <c r="AO95" s="49">
        <f t="shared" si="94"/>
        <v>33.634999999999998</v>
      </c>
      <c r="AP95" s="45">
        <f t="shared" si="84"/>
        <v>7.2729453831945883E-6</v>
      </c>
      <c r="AQ95" s="45">
        <f t="shared" si="85"/>
        <v>430.78900594408316</v>
      </c>
      <c r="AR95" s="50">
        <f t="shared" si="41"/>
        <v>86.157801188816634</v>
      </c>
      <c r="AS95" s="50">
        <f t="shared" si="74"/>
        <v>0.38998627247461426</v>
      </c>
      <c r="AT95" s="50">
        <f t="shared" si="86"/>
        <v>76384271271.96785</v>
      </c>
      <c r="AU95" s="45"/>
      <c r="AV95" s="45"/>
    </row>
    <row r="96" spans="2:48" s="51" customFormat="1" ht="14" x14ac:dyDescent="0.15">
      <c r="B96" s="45" t="s">
        <v>54</v>
      </c>
      <c r="C96" s="45" t="s">
        <v>55</v>
      </c>
      <c r="D96" s="45" t="s">
        <v>130</v>
      </c>
      <c r="E96" s="53" t="s">
        <v>57</v>
      </c>
      <c r="F96" s="54" t="s">
        <v>58</v>
      </c>
      <c r="G96" s="53" t="s">
        <v>59</v>
      </c>
      <c r="H96" s="53">
        <v>-20</v>
      </c>
      <c r="I96" s="53" t="s">
        <v>122</v>
      </c>
      <c r="J96" s="53" t="s">
        <v>61</v>
      </c>
      <c r="K96" s="53" t="s">
        <v>62</v>
      </c>
      <c r="L96" s="53" t="s">
        <v>123</v>
      </c>
      <c r="M96" s="53" t="s">
        <v>124</v>
      </c>
      <c r="N96" s="53" t="s">
        <v>125</v>
      </c>
      <c r="O96" s="53" t="s">
        <v>126</v>
      </c>
      <c r="P96" s="53" t="s">
        <v>65</v>
      </c>
      <c r="Q96" s="45">
        <v>8.16</v>
      </c>
      <c r="R96" s="45">
        <v>4.57</v>
      </c>
      <c r="S96" s="45">
        <v>180</v>
      </c>
      <c r="T96" s="45">
        <v>222000</v>
      </c>
      <c r="U96" s="53">
        <f t="shared" si="88"/>
        <v>222000000000</v>
      </c>
      <c r="V96" s="53" t="s">
        <v>127</v>
      </c>
      <c r="W96" s="53" t="s">
        <v>66</v>
      </c>
      <c r="X96" s="53" t="s">
        <v>127</v>
      </c>
      <c r="Y96" s="45">
        <v>17.059999999999999</v>
      </c>
      <c r="Z96" s="45">
        <v>17.079999999999998</v>
      </c>
      <c r="AA96" s="45"/>
      <c r="AB96" s="49">
        <f t="shared" si="89"/>
        <v>17.07</v>
      </c>
      <c r="AC96" s="49">
        <f t="shared" si="90"/>
        <v>15.647867911548204</v>
      </c>
      <c r="AD96" s="50">
        <f t="shared" si="91"/>
        <v>1832678416.3999212</v>
      </c>
      <c r="AE96" s="49">
        <f t="shared" si="92"/>
        <v>52.243028935165263</v>
      </c>
      <c r="AF96" s="45">
        <v>21.54</v>
      </c>
      <c r="AG96" s="45">
        <v>21.78</v>
      </c>
      <c r="AH96" s="45"/>
      <c r="AI96" s="49">
        <f t="shared" si="93"/>
        <v>21.66</v>
      </c>
      <c r="AJ96" s="45">
        <f t="shared" si="70"/>
        <v>1571.0149024626051</v>
      </c>
      <c r="AK96" s="50">
        <f t="shared" si="37"/>
        <v>314.20298049252102</v>
      </c>
      <c r="AL96" s="45">
        <v>33.11</v>
      </c>
      <c r="AM96" s="45">
        <v>32.92</v>
      </c>
      <c r="AN96" s="45"/>
      <c r="AO96" s="49">
        <f t="shared" si="94"/>
        <v>33.015000000000001</v>
      </c>
      <c r="AP96" s="45">
        <f t="shared" si="84"/>
        <v>1.0959583310344562E-5</v>
      </c>
      <c r="AQ96" s="45">
        <f t="shared" si="85"/>
        <v>649.1548816981375</v>
      </c>
      <c r="AR96" s="50">
        <f t="shared" si="41"/>
        <v>129.83097633962751</v>
      </c>
      <c r="AS96" s="50">
        <f t="shared" si="74"/>
        <v>0.41320733538591586</v>
      </c>
      <c r="AT96" s="50">
        <f t="shared" si="86"/>
        <v>91732028455.673325</v>
      </c>
      <c r="AU96" s="45"/>
      <c r="AV96" s="45"/>
    </row>
    <row r="97" spans="2:48" s="51" customFormat="1" ht="16" x14ac:dyDescent="0.2">
      <c r="B97" s="45" t="s">
        <v>54</v>
      </c>
      <c r="C97" s="45" t="s">
        <v>55</v>
      </c>
      <c r="D97" s="45" t="s">
        <v>131</v>
      </c>
      <c r="E97" s="53" t="s">
        <v>57</v>
      </c>
      <c r="F97" s="54" t="s">
        <v>58</v>
      </c>
      <c r="G97" s="53" t="s">
        <v>59</v>
      </c>
      <c r="H97" s="53">
        <v>-20</v>
      </c>
      <c r="I97" s="53" t="s">
        <v>122</v>
      </c>
      <c r="J97" s="53" t="s">
        <v>61</v>
      </c>
      <c r="K97" s="53" t="s">
        <v>62</v>
      </c>
      <c r="L97" s="53" t="s">
        <v>123</v>
      </c>
      <c r="M97" s="53" t="s">
        <v>124</v>
      </c>
      <c r="N97" s="53" t="s">
        <v>125</v>
      </c>
      <c r="O97" s="53" t="s">
        <v>126</v>
      </c>
      <c r="P97" s="53" t="s">
        <v>65</v>
      </c>
      <c r="Q97" s="45">
        <v>7.17</v>
      </c>
      <c r="R97" s="45">
        <v>4.42</v>
      </c>
      <c r="S97" s="45">
        <v>250</v>
      </c>
      <c r="T97" s="45">
        <v>236352</v>
      </c>
      <c r="U97" s="53">
        <f t="shared" si="88"/>
        <v>236352000000</v>
      </c>
      <c r="V97" s="53" t="s">
        <v>127</v>
      </c>
      <c r="W97" s="53" t="s">
        <v>66</v>
      </c>
      <c r="X97" s="53" t="s">
        <v>127</v>
      </c>
      <c r="Y97" s="45">
        <v>16.579999999999998</v>
      </c>
      <c r="Z97" s="45">
        <v>16.88</v>
      </c>
      <c r="AA97" s="45"/>
      <c r="AB97" s="49">
        <f t="shared" si="89"/>
        <v>16.729999999999997</v>
      </c>
      <c r="AC97" s="49">
        <f t="shared" si="90"/>
        <v>19.646744427244833</v>
      </c>
      <c r="AD97" s="50">
        <f t="shared" si="91"/>
        <v>2301026866.2713027</v>
      </c>
      <c r="AE97" s="49">
        <f t="shared" si="92"/>
        <v>65.593948223250038</v>
      </c>
      <c r="AF97" s="45">
        <v>23.63</v>
      </c>
      <c r="AG97" s="45">
        <v>23.36</v>
      </c>
      <c r="AH97" s="45"/>
      <c r="AI97" s="49">
        <f t="shared" si="93"/>
        <v>23.494999999999997</v>
      </c>
      <c r="AJ97" s="45">
        <f t="shared" si="70"/>
        <v>414.41587858592311</v>
      </c>
      <c r="AK97" s="50">
        <f t="shared" si="37"/>
        <v>82.883175717184628</v>
      </c>
      <c r="AL97" s="45">
        <v>33.11</v>
      </c>
      <c r="AM97" s="49">
        <v>33.6</v>
      </c>
      <c r="AN97" s="45"/>
      <c r="AO97" s="49">
        <f t="shared" si="94"/>
        <v>33.355000000000004</v>
      </c>
      <c r="AP97" s="45">
        <f t="shared" si="84"/>
        <v>8.7525626939756413E-6</v>
      </c>
      <c r="AQ97" s="45">
        <f t="shared" si="85"/>
        <v>518.42927228815029</v>
      </c>
      <c r="AR97" s="50">
        <f t="shared" si="41"/>
        <v>103.68585445763006</v>
      </c>
      <c r="AS97" s="50">
        <f t="shared" si="74"/>
        <v>1.2509879545570102</v>
      </c>
      <c r="AT97" s="50">
        <f t="shared" si="86"/>
        <v>295673505035.4585</v>
      </c>
      <c r="AU97" s="45"/>
      <c r="AV97" s="66" t="s">
        <v>133</v>
      </c>
    </row>
    <row r="98" spans="2:48" x14ac:dyDescent="0.15">
      <c r="B98" s="8"/>
      <c r="C98" s="8"/>
      <c r="D98" s="8"/>
      <c r="E98" s="8" t="s">
        <v>105</v>
      </c>
      <c r="F98" s="8"/>
      <c r="G98" s="8" t="s">
        <v>134</v>
      </c>
      <c r="H98" s="8">
        <v>-80</v>
      </c>
      <c r="I98" s="8" t="s">
        <v>108</v>
      </c>
      <c r="J98" s="10" t="s">
        <v>61</v>
      </c>
      <c r="K98" s="10" t="s">
        <v>62</v>
      </c>
      <c r="L98" s="10" t="s">
        <v>123</v>
      </c>
      <c r="M98" s="10" t="s">
        <v>124</v>
      </c>
      <c r="N98" s="10" t="s">
        <v>107</v>
      </c>
      <c r="O98" s="8" t="s">
        <v>108</v>
      </c>
      <c r="P98" s="8" t="s">
        <v>108</v>
      </c>
      <c r="Q98" s="8" t="s">
        <v>108</v>
      </c>
      <c r="R98" s="8" t="s">
        <v>108</v>
      </c>
      <c r="S98" s="8" t="s">
        <v>108</v>
      </c>
      <c r="T98" s="8" t="s">
        <v>108</v>
      </c>
      <c r="U98" s="10" t="e">
        <f t="shared" si="88"/>
        <v>#VALUE!</v>
      </c>
      <c r="V98" s="10" t="s">
        <v>127</v>
      </c>
      <c r="W98" s="10" t="s">
        <v>66</v>
      </c>
      <c r="X98" s="10" t="s">
        <v>127</v>
      </c>
      <c r="Y98" s="8">
        <v>16.149999999999999</v>
      </c>
      <c r="Z98" s="8">
        <v>16.05</v>
      </c>
      <c r="AA98" s="8"/>
      <c r="AB98" s="18">
        <f t="shared" si="89"/>
        <v>16.100000000000001</v>
      </c>
      <c r="AC98" s="18">
        <f t="shared" si="90"/>
        <v>29.952068688374769</v>
      </c>
      <c r="AD98" s="19">
        <f t="shared" si="91"/>
        <v>3507986527.1102777</v>
      </c>
      <c r="AE98" s="18">
        <f t="shared" si="92"/>
        <v>100</v>
      </c>
      <c r="AF98" s="8">
        <v>29.77</v>
      </c>
      <c r="AG98" s="8">
        <v>30.04</v>
      </c>
      <c r="AH98" s="8"/>
      <c r="AI98" s="18">
        <f t="shared" si="93"/>
        <v>29.905000000000001</v>
      </c>
      <c r="AJ98" s="8">
        <f t="shared" si="70"/>
        <v>3.9425306070879205</v>
      </c>
      <c r="AK98" s="50">
        <f t="shared" si="37"/>
        <v>0.78850612141758414</v>
      </c>
      <c r="AL98" s="8">
        <v>24.1</v>
      </c>
      <c r="AM98" s="8">
        <v>24.85</v>
      </c>
      <c r="AN98" s="8"/>
      <c r="AO98" s="18">
        <f t="shared" si="94"/>
        <v>24.475000000000001</v>
      </c>
      <c r="AP98" s="19">
        <f t="shared" si="84"/>
        <v>3.1099514988174471E-3</v>
      </c>
      <c r="AQ98" s="8">
        <f t="shared" si="85"/>
        <v>184207.75134728313</v>
      </c>
      <c r="AR98" s="50">
        <f t="shared" si="41"/>
        <v>36841.550269456624</v>
      </c>
      <c r="AS98" s="19">
        <f t="shared" si="74"/>
        <v>46723.226705231558</v>
      </c>
      <c r="AT98" s="19" t="e">
        <f t="shared" si="86"/>
        <v>#VALUE!</v>
      </c>
      <c r="AU98" s="8"/>
      <c r="AV98" s="8"/>
    </row>
    <row r="99" spans="2:48" x14ac:dyDescent="0.1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10">
        <f t="shared" si="88"/>
        <v>0</v>
      </c>
      <c r="V99" s="8"/>
      <c r="W99" s="8"/>
      <c r="X99" s="8"/>
      <c r="Y99" s="8"/>
      <c r="Z99" s="8"/>
      <c r="AA99" s="8"/>
      <c r="AB99" s="8"/>
      <c r="AC99" s="18"/>
      <c r="AD99" s="19"/>
      <c r="AE99" s="18"/>
      <c r="AF99" s="8"/>
      <c r="AG99" s="8"/>
      <c r="AH99" s="8"/>
      <c r="AI99" s="8"/>
      <c r="AJ99" s="8"/>
      <c r="AK99" s="50">
        <f t="shared" si="37"/>
        <v>0</v>
      </c>
      <c r="AL99" s="8"/>
      <c r="AM99" s="8"/>
      <c r="AN99" s="8"/>
      <c r="AO99" s="8"/>
      <c r="AP99" s="8"/>
      <c r="AQ99" s="8"/>
      <c r="AR99" s="50">
        <f t="shared" si="41"/>
        <v>0</v>
      </c>
      <c r="AS99" s="19"/>
      <c r="AT99" s="19"/>
      <c r="AU99" s="8"/>
      <c r="AV99" s="8"/>
    </row>
    <row r="100" spans="2:48" s="51" customFormat="1" x14ac:dyDescent="0.15">
      <c r="B100" s="45" t="s">
        <v>54</v>
      </c>
      <c r="C100" s="45" t="s">
        <v>55</v>
      </c>
      <c r="D100" s="67" t="s">
        <v>111</v>
      </c>
      <c r="E100" s="45" t="s">
        <v>57</v>
      </c>
      <c r="F100" s="45" t="s">
        <v>58</v>
      </c>
      <c r="G100" s="45" t="s">
        <v>59</v>
      </c>
      <c r="H100" s="45">
        <v>-20</v>
      </c>
      <c r="I100" s="45" t="s">
        <v>135</v>
      </c>
      <c r="J100" s="45" t="s">
        <v>61</v>
      </c>
      <c r="K100" s="45" t="s">
        <v>62</v>
      </c>
      <c r="L100" s="45" t="s">
        <v>123</v>
      </c>
      <c r="M100" s="68">
        <v>44287</v>
      </c>
      <c r="N100" s="45" t="s">
        <v>91</v>
      </c>
      <c r="O100" s="45" t="s">
        <v>136</v>
      </c>
      <c r="P100" s="45" t="s">
        <v>65</v>
      </c>
      <c r="Q100" s="45">
        <v>6.49</v>
      </c>
      <c r="R100" s="45">
        <v>4.25</v>
      </c>
      <c r="S100" s="45">
        <v>270</v>
      </c>
      <c r="T100" s="45">
        <v>193776</v>
      </c>
      <c r="U100" s="53">
        <f t="shared" si="88"/>
        <v>193776000000</v>
      </c>
      <c r="V100" s="68">
        <v>44317</v>
      </c>
      <c r="W100" s="53" t="s">
        <v>66</v>
      </c>
      <c r="X100" s="68">
        <v>44348</v>
      </c>
      <c r="Y100" s="45">
        <v>18.309999999999999</v>
      </c>
      <c r="Z100" s="45">
        <v>18.350000000000001</v>
      </c>
      <c r="AA100" s="45"/>
      <c r="AB100" s="49">
        <f t="shared" ref="AB100:AB112" si="95">AVERAGE(Y100:AA100)</f>
        <v>18.329999999999998</v>
      </c>
      <c r="AC100" s="49">
        <f t="shared" ref="AC100:AC112" si="96">EXP((AB100-21.179)/-1.494)</f>
        <v>6.7325985129625687</v>
      </c>
      <c r="AD100" s="50">
        <f t="shared" ref="AD100:AD112" si="97">(AC100*(6.0221*10^23))/(15123*340*10^9)</f>
        <v>788521992.30840206</v>
      </c>
      <c r="AE100" s="49">
        <f>AD100*100/AD$112</f>
        <v>6.32257150610452</v>
      </c>
      <c r="AF100" s="45">
        <v>21.07</v>
      </c>
      <c r="AG100" s="45">
        <v>21.32</v>
      </c>
      <c r="AH100" s="45"/>
      <c r="AI100" s="49">
        <f t="shared" ref="AI100:AI111" si="98">AVERAGE(AF100:AH100)</f>
        <v>21.195</v>
      </c>
      <c r="AJ100" s="45">
        <f t="shared" si="70"/>
        <v>2202.102260410873</v>
      </c>
      <c r="AK100" s="50">
        <f t="shared" si="37"/>
        <v>440.42045208217462</v>
      </c>
      <c r="AL100" s="45">
        <v>33.21</v>
      </c>
      <c r="AM100" s="45">
        <v>33.25</v>
      </c>
      <c r="AN100" s="45"/>
      <c r="AO100" s="49">
        <f t="shared" ref="AO100:AO112" si="99">AVERAGE(AL100:AN100)</f>
        <v>33.230000000000004</v>
      </c>
      <c r="AP100" s="45">
        <f t="shared" si="84"/>
        <v>9.5069061197446955E-6</v>
      </c>
      <c r="AQ100" s="45">
        <f t="shared" si="85"/>
        <v>563.1103247924616</v>
      </c>
      <c r="AR100" s="50">
        <f t="shared" si="41"/>
        <v>112.62206495849232</v>
      </c>
      <c r="AS100" s="50">
        <f t="shared" si="74"/>
        <v>0.25571488432485201</v>
      </c>
      <c r="AT100" s="50">
        <f t="shared" si="86"/>
        <v>49551407424.932526</v>
      </c>
      <c r="AU100" s="45"/>
      <c r="AV100" s="45"/>
    </row>
    <row r="101" spans="2:48" s="51" customFormat="1" x14ac:dyDescent="0.15">
      <c r="B101" s="45" t="s">
        <v>54</v>
      </c>
      <c r="C101" s="45" t="s">
        <v>55</v>
      </c>
      <c r="D101" s="67" t="s">
        <v>137</v>
      </c>
      <c r="E101" s="45" t="s">
        <v>57</v>
      </c>
      <c r="F101" s="45" t="s">
        <v>58</v>
      </c>
      <c r="G101" s="45" t="s">
        <v>59</v>
      </c>
      <c r="H101" s="45">
        <v>-20</v>
      </c>
      <c r="I101" s="45" t="s">
        <v>135</v>
      </c>
      <c r="J101" s="45" t="s">
        <v>61</v>
      </c>
      <c r="K101" s="45" t="s">
        <v>62</v>
      </c>
      <c r="L101" s="45" t="s">
        <v>123</v>
      </c>
      <c r="M101" s="68">
        <v>44287</v>
      </c>
      <c r="N101" s="45" t="s">
        <v>91</v>
      </c>
      <c r="O101" s="45" t="s">
        <v>136</v>
      </c>
      <c r="P101" s="45" t="s">
        <v>65</v>
      </c>
      <c r="Q101" s="45">
        <v>6.71</v>
      </c>
      <c r="R101" s="45">
        <v>4.33</v>
      </c>
      <c r="S101" s="45">
        <v>270</v>
      </c>
      <c r="T101" s="45">
        <v>192288</v>
      </c>
      <c r="U101" s="53">
        <f t="shared" si="88"/>
        <v>192288000000</v>
      </c>
      <c r="V101" s="68">
        <v>44317</v>
      </c>
      <c r="W101" s="53" t="s">
        <v>66</v>
      </c>
      <c r="X101" s="68">
        <v>44348</v>
      </c>
      <c r="Y101" s="49">
        <v>17.5</v>
      </c>
      <c r="Z101" s="45">
        <v>17.47</v>
      </c>
      <c r="AA101" s="45"/>
      <c r="AB101" s="49">
        <f t="shared" si="95"/>
        <v>17.484999999999999</v>
      </c>
      <c r="AC101" s="49">
        <f t="shared" si="96"/>
        <v>11.852714276759638</v>
      </c>
      <c r="AD101" s="50">
        <f t="shared" si="97"/>
        <v>1388189991.9887161</v>
      </c>
      <c r="AE101" s="49">
        <f t="shared" ref="AE101:AE112" si="100">AD101*100/AD$112</f>
        <v>11.130863278413846</v>
      </c>
      <c r="AF101" s="45">
        <v>20.89</v>
      </c>
      <c r="AG101" s="45">
        <v>20.76</v>
      </c>
      <c r="AH101" s="45"/>
      <c r="AI101" s="49">
        <f t="shared" si="98"/>
        <v>20.825000000000003</v>
      </c>
      <c r="AJ101" s="45">
        <f t="shared" ref="AJ101" si="101">EXP((AI101-31.794)/-1.377)</f>
        <v>2880.9282453488922</v>
      </c>
      <c r="AK101" s="50">
        <f t="shared" si="37"/>
        <v>576.18564906977849</v>
      </c>
      <c r="AL101" s="45">
        <v>32.880000000000003</v>
      </c>
      <c r="AM101" s="45">
        <v>32.39</v>
      </c>
      <c r="AN101" s="45"/>
      <c r="AO101" s="49">
        <f t="shared" si="99"/>
        <v>32.635000000000005</v>
      </c>
      <c r="AP101" s="45">
        <f t="shared" si="84"/>
        <v>1.4091010107164547E-5</v>
      </c>
      <c r="AQ101" s="45">
        <f t="shared" si="85"/>
        <v>834.63465171068424</v>
      </c>
      <c r="AR101" s="50">
        <f t="shared" si="41"/>
        <v>166.92693034213684</v>
      </c>
      <c r="AS101" s="50">
        <f t="shared" si="74"/>
        <v>0.28971032272607206</v>
      </c>
      <c r="AT101" s="50">
        <f t="shared" si="86"/>
        <v>55707818536.350945</v>
      </c>
      <c r="AU101" s="45"/>
      <c r="AV101" s="45"/>
    </row>
    <row r="102" spans="2:48" s="51" customFormat="1" x14ac:dyDescent="0.15">
      <c r="B102" s="45" t="s">
        <v>54</v>
      </c>
      <c r="C102" s="45" t="s">
        <v>55</v>
      </c>
      <c r="D102" s="67" t="s">
        <v>138</v>
      </c>
      <c r="E102" s="45" t="s">
        <v>57</v>
      </c>
      <c r="F102" s="45" t="s">
        <v>58</v>
      </c>
      <c r="G102" s="45" t="s">
        <v>59</v>
      </c>
      <c r="H102" s="45">
        <v>-20</v>
      </c>
      <c r="I102" s="45" t="s">
        <v>135</v>
      </c>
      <c r="J102" s="45" t="s">
        <v>61</v>
      </c>
      <c r="K102" s="45" t="s">
        <v>62</v>
      </c>
      <c r="L102" s="45" t="s">
        <v>123</v>
      </c>
      <c r="M102" s="68">
        <v>44287</v>
      </c>
      <c r="N102" s="45" t="s">
        <v>91</v>
      </c>
      <c r="O102" s="45" t="s">
        <v>136</v>
      </c>
      <c r="P102" s="45" t="s">
        <v>65</v>
      </c>
      <c r="Q102" s="45">
        <v>6.57</v>
      </c>
      <c r="R102" s="45">
        <v>3.75</v>
      </c>
      <c r="S102" s="45">
        <v>340</v>
      </c>
      <c r="T102" s="45">
        <v>192696</v>
      </c>
      <c r="U102" s="53">
        <f t="shared" si="88"/>
        <v>192696000000</v>
      </c>
      <c r="V102" s="68">
        <v>44317</v>
      </c>
      <c r="W102" s="53" t="s">
        <v>66</v>
      </c>
      <c r="X102" s="68">
        <v>44348</v>
      </c>
      <c r="Y102" s="45">
        <v>18.63</v>
      </c>
      <c r="Z102" s="45">
        <v>18.22</v>
      </c>
      <c r="AA102" s="45"/>
      <c r="AB102" s="49">
        <f t="shared" si="95"/>
        <v>18.424999999999997</v>
      </c>
      <c r="AC102" s="49">
        <f t="shared" si="96"/>
        <v>6.3178154639986124</v>
      </c>
      <c r="AD102" s="50">
        <f t="shared" si="97"/>
        <v>739942598.25793278</v>
      </c>
      <c r="AE102" s="49">
        <f t="shared" si="100"/>
        <v>5.9330494691754705</v>
      </c>
      <c r="AF102" s="45">
        <v>20.61</v>
      </c>
      <c r="AG102" s="45">
        <v>21.03</v>
      </c>
      <c r="AH102" s="45"/>
      <c r="AI102" s="49">
        <f t="shared" si="98"/>
        <v>20.82</v>
      </c>
      <c r="AJ102" s="45">
        <f t="shared" ref="AJ102" si="102">EXP((AI102-31.794)/-1.377)</f>
        <v>2891.4081474014033</v>
      </c>
      <c r="AK102" s="50">
        <f t="shared" si="37"/>
        <v>578.28162948028069</v>
      </c>
      <c r="AL102" s="45">
        <v>32.07</v>
      </c>
      <c r="AM102" s="45">
        <v>31.86</v>
      </c>
      <c r="AN102" s="45"/>
      <c r="AO102" s="49">
        <f t="shared" si="99"/>
        <v>31.965</v>
      </c>
      <c r="AP102" s="45">
        <f t="shared" si="84"/>
        <v>2.1947620015714973E-5</v>
      </c>
      <c r="AQ102" s="45">
        <f t="shared" si="85"/>
        <v>1299.995106694362</v>
      </c>
      <c r="AR102" s="50">
        <f t="shared" si="41"/>
        <v>259.99902133887241</v>
      </c>
      <c r="AS102" s="50">
        <f t="shared" si="74"/>
        <v>0.4496062265933321</v>
      </c>
      <c r="AT102" s="50">
        <f t="shared" si="86"/>
        <v>86637321439.628723</v>
      </c>
      <c r="AU102" s="45"/>
      <c r="AV102" s="45"/>
    </row>
    <row r="103" spans="2:48" s="51" customFormat="1" x14ac:dyDescent="0.15">
      <c r="B103" s="45" t="s">
        <v>54</v>
      </c>
      <c r="C103" s="45" t="s">
        <v>55</v>
      </c>
      <c r="D103" s="67" t="s">
        <v>112</v>
      </c>
      <c r="E103" s="45" t="s">
        <v>57</v>
      </c>
      <c r="F103" s="45" t="s">
        <v>58</v>
      </c>
      <c r="G103" s="45" t="s">
        <v>59</v>
      </c>
      <c r="H103" s="45">
        <v>-20</v>
      </c>
      <c r="I103" s="45" t="s">
        <v>135</v>
      </c>
      <c r="J103" s="45" t="s">
        <v>61</v>
      </c>
      <c r="K103" s="45" t="s">
        <v>62</v>
      </c>
      <c r="L103" s="45" t="s">
        <v>123</v>
      </c>
      <c r="M103" s="68">
        <v>44287</v>
      </c>
      <c r="N103" s="45" t="s">
        <v>91</v>
      </c>
      <c r="O103" s="45" t="s">
        <v>136</v>
      </c>
      <c r="P103" s="45" t="s">
        <v>65</v>
      </c>
      <c r="Q103" s="45">
        <v>6.56</v>
      </c>
      <c r="R103" s="49">
        <v>3.8</v>
      </c>
      <c r="S103" s="45">
        <v>310</v>
      </c>
      <c r="T103" s="45">
        <v>202800</v>
      </c>
      <c r="U103" s="53">
        <f t="shared" si="88"/>
        <v>202800000000</v>
      </c>
      <c r="V103" s="68">
        <v>44317</v>
      </c>
      <c r="W103" s="53" t="s">
        <v>66</v>
      </c>
      <c r="X103" s="68">
        <v>44348</v>
      </c>
      <c r="Y103" s="45">
        <v>18.48</v>
      </c>
      <c r="Z103" s="45">
        <v>18.420000000000002</v>
      </c>
      <c r="AA103" s="45"/>
      <c r="AB103" s="49">
        <f t="shared" si="95"/>
        <v>18.450000000000003</v>
      </c>
      <c r="AC103" s="49">
        <f t="shared" si="96"/>
        <v>6.2129752836379071</v>
      </c>
      <c r="AD103" s="50">
        <f t="shared" si="97"/>
        <v>727663715.48587537</v>
      </c>
      <c r="AE103" s="49">
        <f t="shared" si="100"/>
        <v>5.8345942388855283</v>
      </c>
      <c r="AF103" s="49">
        <v>20.399999999999999</v>
      </c>
      <c r="AG103" s="45">
        <v>20.32</v>
      </c>
      <c r="AH103" s="45"/>
      <c r="AI103" s="49">
        <f t="shared" si="98"/>
        <v>20.36</v>
      </c>
      <c r="AJ103" s="45">
        <f t="shared" ref="AJ103" si="103">EXP((AI103-31.794)/-1.377)</f>
        <v>4038.2166911464715</v>
      </c>
      <c r="AK103" s="50">
        <f t="shared" si="37"/>
        <v>807.64333822929427</v>
      </c>
      <c r="AL103" s="45">
        <v>31.39</v>
      </c>
      <c r="AM103" s="45">
        <v>31.2</v>
      </c>
      <c r="AN103" s="45"/>
      <c r="AO103" s="49">
        <f t="shared" si="99"/>
        <v>31.295000000000002</v>
      </c>
      <c r="AP103" s="45">
        <f t="shared" si="84"/>
        <v>3.4184776016113568E-5</v>
      </c>
      <c r="AQ103" s="45">
        <f t="shared" si="85"/>
        <v>2024.8228059612109</v>
      </c>
      <c r="AR103" s="50">
        <f t="shared" si="41"/>
        <v>404.96456119224217</v>
      </c>
      <c r="AS103" s="50">
        <f t="shared" si="74"/>
        <v>0.50141509503452442</v>
      </c>
      <c r="AT103" s="50">
        <f t="shared" si="86"/>
        <v>101686981273.00156</v>
      </c>
      <c r="AU103" s="45"/>
      <c r="AV103" s="45"/>
    </row>
    <row r="104" spans="2:48" s="51" customFormat="1" x14ac:dyDescent="0.15">
      <c r="B104" s="45" t="s">
        <v>54</v>
      </c>
      <c r="C104" s="45" t="s">
        <v>55</v>
      </c>
      <c r="D104" s="67" t="s">
        <v>139</v>
      </c>
      <c r="E104" s="45" t="s">
        <v>57</v>
      </c>
      <c r="F104" s="45" t="s">
        <v>58</v>
      </c>
      <c r="G104" s="45" t="s">
        <v>59</v>
      </c>
      <c r="H104" s="45">
        <v>-20</v>
      </c>
      <c r="I104" s="45" t="s">
        <v>135</v>
      </c>
      <c r="J104" s="45" t="s">
        <v>61</v>
      </c>
      <c r="K104" s="45" t="s">
        <v>62</v>
      </c>
      <c r="L104" s="45" t="s">
        <v>123</v>
      </c>
      <c r="M104" s="68">
        <v>44287</v>
      </c>
      <c r="N104" s="45" t="s">
        <v>91</v>
      </c>
      <c r="O104" s="45" t="s">
        <v>136</v>
      </c>
      <c r="P104" s="45" t="s">
        <v>65</v>
      </c>
      <c r="Q104" s="45">
        <v>6.62</v>
      </c>
      <c r="R104" s="49">
        <v>3.6</v>
      </c>
      <c r="S104" s="45">
        <v>280</v>
      </c>
      <c r="T104" s="45">
        <v>187296</v>
      </c>
      <c r="U104" s="53">
        <f t="shared" si="88"/>
        <v>187296000000</v>
      </c>
      <c r="V104" s="68">
        <v>44317</v>
      </c>
      <c r="W104" s="53" t="s">
        <v>66</v>
      </c>
      <c r="X104" s="68">
        <v>44348</v>
      </c>
      <c r="Y104" s="45">
        <v>17.86</v>
      </c>
      <c r="Z104" s="45">
        <v>17.940000000000001</v>
      </c>
      <c r="AA104" s="45"/>
      <c r="AB104" s="49">
        <f t="shared" si="95"/>
        <v>17.899999999999999</v>
      </c>
      <c r="AC104" s="49">
        <f t="shared" si="96"/>
        <v>8.9780177414983005</v>
      </c>
      <c r="AD104" s="50">
        <f t="shared" si="97"/>
        <v>1051505510.5211172</v>
      </c>
      <c r="AE104" s="49">
        <f t="shared" si="100"/>
        <v>8.4312407823528268</v>
      </c>
      <c r="AF104" s="45">
        <v>24.72</v>
      </c>
      <c r="AG104" s="45">
        <v>24.27</v>
      </c>
      <c r="AH104" s="45"/>
      <c r="AI104" s="49">
        <f t="shared" si="98"/>
        <v>24.494999999999997</v>
      </c>
      <c r="AJ104" s="45">
        <f t="shared" ref="AJ104" si="104">EXP((AI104-31.794)/-1.377)</f>
        <v>200.46779186615584</v>
      </c>
      <c r="AK104" s="50">
        <f t="shared" si="37"/>
        <v>40.093558373231168</v>
      </c>
      <c r="AL104" s="49">
        <v>33.299999999999997</v>
      </c>
      <c r="AM104" s="45">
        <v>33.31</v>
      </c>
      <c r="AN104" s="45"/>
      <c r="AO104" s="49">
        <f t="shared" si="99"/>
        <v>33.305</v>
      </c>
      <c r="AP104" s="45">
        <f t="shared" si="84"/>
        <v>9.0468381399916392E-6</v>
      </c>
      <c r="AQ104" s="45">
        <f t="shared" si="85"/>
        <v>535.85971073966266</v>
      </c>
      <c r="AR104" s="50">
        <f t="shared" si="41"/>
        <v>107.17194214793253</v>
      </c>
      <c r="AS104" s="50">
        <f t="shared" si="74"/>
        <v>2.6730464068633744</v>
      </c>
      <c r="AT104" s="50">
        <f t="shared" si="86"/>
        <v>500650899819.88257</v>
      </c>
      <c r="AU104" s="45"/>
      <c r="AV104" s="45"/>
    </row>
    <row r="105" spans="2:48" s="102" customFormat="1" x14ac:dyDescent="0.15">
      <c r="B105" s="103" t="s">
        <v>54</v>
      </c>
      <c r="C105" s="103" t="s">
        <v>140</v>
      </c>
      <c r="D105" s="114" t="s">
        <v>111</v>
      </c>
      <c r="E105" s="103" t="s">
        <v>57</v>
      </c>
      <c r="F105" s="103" t="s">
        <v>58</v>
      </c>
      <c r="G105" s="103" t="s">
        <v>59</v>
      </c>
      <c r="H105" s="103">
        <v>-20</v>
      </c>
      <c r="I105" s="103" t="s">
        <v>135</v>
      </c>
      <c r="J105" s="103" t="s">
        <v>61</v>
      </c>
      <c r="K105" s="103" t="s">
        <v>62</v>
      </c>
      <c r="L105" s="103" t="s">
        <v>123</v>
      </c>
      <c r="M105" s="115">
        <v>44287</v>
      </c>
      <c r="N105" s="103" t="s">
        <v>91</v>
      </c>
      <c r="O105" s="103" t="s">
        <v>136</v>
      </c>
      <c r="P105" s="103" t="s">
        <v>65</v>
      </c>
      <c r="Q105" s="103">
        <v>6.25</v>
      </c>
      <c r="R105" s="103">
        <v>3.97</v>
      </c>
      <c r="S105" s="103">
        <v>380</v>
      </c>
      <c r="T105" s="103">
        <v>166512</v>
      </c>
      <c r="U105" s="111">
        <f t="shared" si="88"/>
        <v>166512000000</v>
      </c>
      <c r="V105" s="115">
        <v>44317</v>
      </c>
      <c r="W105" s="111" t="s">
        <v>66</v>
      </c>
      <c r="X105" s="115">
        <v>44348</v>
      </c>
      <c r="Y105" s="103">
        <v>17.829999999999998</v>
      </c>
      <c r="Z105" s="103">
        <v>17.86</v>
      </c>
      <c r="AA105" s="103"/>
      <c r="AB105" s="107">
        <f t="shared" si="95"/>
        <v>17.844999999999999</v>
      </c>
      <c r="AC105" s="107">
        <f t="shared" si="96"/>
        <v>9.3146929339289493</v>
      </c>
      <c r="AD105" s="108">
        <f t="shared" si="97"/>
        <v>1090936911.7824724</v>
      </c>
      <c r="AE105" s="107">
        <f t="shared" si="100"/>
        <v>8.747411867614467</v>
      </c>
      <c r="AF105" s="103">
        <v>21.56</v>
      </c>
      <c r="AG105" s="103">
        <v>21.28</v>
      </c>
      <c r="AH105" s="103"/>
      <c r="AI105" s="107">
        <f t="shared" si="98"/>
        <v>21.42</v>
      </c>
      <c r="AJ105" s="103">
        <f t="shared" ref="AJ105" si="105">EXP((AI105-31.794)/-1.377)</f>
        <v>1870.1409160403844</v>
      </c>
      <c r="AK105" s="108">
        <f t="shared" si="37"/>
        <v>374.02818320807688</v>
      </c>
      <c r="AL105" s="103">
        <v>34.65</v>
      </c>
      <c r="AM105" s="103">
        <v>34.22</v>
      </c>
      <c r="AN105" s="103"/>
      <c r="AO105" s="107">
        <f t="shared" si="99"/>
        <v>34.435000000000002</v>
      </c>
      <c r="AP105" s="103">
        <f t="shared" si="84"/>
        <v>4.2847440665851153E-6</v>
      </c>
      <c r="AQ105" s="103">
        <f t="shared" si="85"/>
        <v>253.79272631884487</v>
      </c>
      <c r="AR105" s="108">
        <f t="shared" si="41"/>
        <v>50.758545263768973</v>
      </c>
      <c r="AS105" s="108">
        <f t="shared" si="74"/>
        <v>0.13570780904371399</v>
      </c>
      <c r="AT105" s="108">
        <f t="shared" si="86"/>
        <v>22596978699.486904</v>
      </c>
      <c r="AU105" s="103"/>
      <c r="AV105" s="103"/>
    </row>
    <row r="106" spans="2:48" s="102" customFormat="1" x14ac:dyDescent="0.15">
      <c r="B106" s="103" t="s">
        <v>54</v>
      </c>
      <c r="C106" s="103" t="s">
        <v>140</v>
      </c>
      <c r="D106" s="114" t="s">
        <v>137</v>
      </c>
      <c r="E106" s="103" t="s">
        <v>57</v>
      </c>
      <c r="F106" s="103" t="s">
        <v>58</v>
      </c>
      <c r="G106" s="103" t="s">
        <v>59</v>
      </c>
      <c r="H106" s="103">
        <v>-20</v>
      </c>
      <c r="I106" s="103" t="s">
        <v>135</v>
      </c>
      <c r="J106" s="103" t="s">
        <v>61</v>
      </c>
      <c r="K106" s="103" t="s">
        <v>62</v>
      </c>
      <c r="L106" s="103" t="s">
        <v>123</v>
      </c>
      <c r="M106" s="115">
        <v>44287</v>
      </c>
      <c r="N106" s="103" t="s">
        <v>91</v>
      </c>
      <c r="O106" s="103" t="s">
        <v>136</v>
      </c>
      <c r="P106" s="103" t="s">
        <v>65</v>
      </c>
      <c r="Q106" s="103">
        <v>6.59</v>
      </c>
      <c r="R106" s="103">
        <v>3.66</v>
      </c>
      <c r="S106" s="103">
        <v>210</v>
      </c>
      <c r="T106" s="103">
        <v>161544</v>
      </c>
      <c r="U106" s="111">
        <f t="shared" si="88"/>
        <v>161544000000</v>
      </c>
      <c r="V106" s="115">
        <v>44317</v>
      </c>
      <c r="W106" s="111" t="s">
        <v>66</v>
      </c>
      <c r="X106" s="115">
        <v>44348</v>
      </c>
      <c r="Y106" s="103">
        <v>18.239999999999998</v>
      </c>
      <c r="Z106" s="103">
        <v>18.010000000000002</v>
      </c>
      <c r="AA106" s="103"/>
      <c r="AB106" s="107">
        <f t="shared" si="95"/>
        <v>18.125</v>
      </c>
      <c r="AC106" s="107">
        <f t="shared" si="96"/>
        <v>7.7227977931931004</v>
      </c>
      <c r="AD106" s="108">
        <f t="shared" si="97"/>
        <v>904494140.02022958</v>
      </c>
      <c r="AE106" s="107">
        <f t="shared" si="100"/>
        <v>7.2524659209425577</v>
      </c>
      <c r="AF106" s="103">
        <v>21.46</v>
      </c>
      <c r="AG106" s="103">
        <v>21.25</v>
      </c>
      <c r="AH106" s="103"/>
      <c r="AI106" s="107">
        <f t="shared" si="98"/>
        <v>21.355</v>
      </c>
      <c r="AJ106" s="103">
        <f t="shared" ref="AJ106" si="106">EXP((AI106-31.794)/-1.377)</f>
        <v>1960.5358936729931</v>
      </c>
      <c r="AK106" s="108">
        <f t="shared" si="37"/>
        <v>392.10717873459862</v>
      </c>
      <c r="AL106" s="103">
        <v>34.17</v>
      </c>
      <c r="AM106" s="103">
        <v>33.25</v>
      </c>
      <c r="AN106" s="103"/>
      <c r="AO106" s="107">
        <f t="shared" si="99"/>
        <v>33.71</v>
      </c>
      <c r="AP106" s="103">
        <f t="shared" si="84"/>
        <v>6.9209855292572844E-6</v>
      </c>
      <c r="AQ106" s="103">
        <f t="shared" si="85"/>
        <v>409.94182125873942</v>
      </c>
      <c r="AR106" s="108">
        <f t="shared" si="41"/>
        <v>81.988364251747882</v>
      </c>
      <c r="AS106" s="108">
        <f t="shared" si="74"/>
        <v>0.20909682020191339</v>
      </c>
      <c r="AT106" s="108">
        <f t="shared" si="86"/>
        <v>33778336722.697895</v>
      </c>
      <c r="AU106" s="103"/>
      <c r="AV106" s="103"/>
    </row>
    <row r="107" spans="2:48" s="102" customFormat="1" x14ac:dyDescent="0.15">
      <c r="B107" s="103" t="s">
        <v>54</v>
      </c>
      <c r="C107" s="103" t="s">
        <v>140</v>
      </c>
      <c r="D107" s="114" t="s">
        <v>138</v>
      </c>
      <c r="E107" s="103" t="s">
        <v>57</v>
      </c>
      <c r="F107" s="103" t="s">
        <v>58</v>
      </c>
      <c r="G107" s="103" t="s">
        <v>59</v>
      </c>
      <c r="H107" s="103">
        <v>-20</v>
      </c>
      <c r="I107" s="103" t="s">
        <v>135</v>
      </c>
      <c r="J107" s="103" t="s">
        <v>61</v>
      </c>
      <c r="K107" s="103" t="s">
        <v>62</v>
      </c>
      <c r="L107" s="103" t="s">
        <v>123</v>
      </c>
      <c r="M107" s="115">
        <v>44287</v>
      </c>
      <c r="N107" s="103" t="s">
        <v>91</v>
      </c>
      <c r="O107" s="103" t="s">
        <v>136</v>
      </c>
      <c r="P107" s="103" t="s">
        <v>65</v>
      </c>
      <c r="Q107" s="103">
        <v>6.67</v>
      </c>
      <c r="R107" s="103">
        <v>4.37</v>
      </c>
      <c r="S107" s="103">
        <v>200</v>
      </c>
      <c r="T107" s="103">
        <v>166344</v>
      </c>
      <c r="U107" s="111">
        <f t="shared" si="88"/>
        <v>166344000000</v>
      </c>
      <c r="V107" s="115">
        <v>44317</v>
      </c>
      <c r="W107" s="111" t="s">
        <v>66</v>
      </c>
      <c r="X107" s="115">
        <v>44348</v>
      </c>
      <c r="Y107" s="103">
        <v>17.61</v>
      </c>
      <c r="Z107" s="103">
        <v>17.59</v>
      </c>
      <c r="AA107" s="103"/>
      <c r="AB107" s="107">
        <f t="shared" si="95"/>
        <v>17.600000000000001</v>
      </c>
      <c r="AC107" s="107">
        <f t="shared" si="96"/>
        <v>10.974587022427603</v>
      </c>
      <c r="AD107" s="108">
        <f t="shared" si="97"/>
        <v>1285343720.8568416</v>
      </c>
      <c r="AE107" s="107">
        <f t="shared" si="100"/>
        <v>10.306215507381017</v>
      </c>
      <c r="AF107" s="103">
        <v>21.62</v>
      </c>
      <c r="AG107" s="103">
        <v>21.47</v>
      </c>
      <c r="AH107" s="103"/>
      <c r="AI107" s="107">
        <f t="shared" si="98"/>
        <v>21.545000000000002</v>
      </c>
      <c r="AJ107" s="103">
        <f t="shared" ref="AJ107" si="107">EXP((AI107-31.794)/-1.377)</f>
        <v>1707.8524988281708</v>
      </c>
      <c r="AK107" s="108">
        <f t="shared" ref="AK107:AK156" si="108">(AJ107/5)*(50/50)</f>
        <v>341.57049976563417</v>
      </c>
      <c r="AL107" s="103">
        <v>33.409999999999997</v>
      </c>
      <c r="AM107" s="103">
        <v>33.5</v>
      </c>
      <c r="AN107" s="103"/>
      <c r="AO107" s="107">
        <f t="shared" si="99"/>
        <v>33.454999999999998</v>
      </c>
      <c r="AP107" s="103">
        <f t="shared" si="84"/>
        <v>8.1924170027916033E-6</v>
      </c>
      <c r="AQ107" s="103">
        <f t="shared" si="85"/>
        <v>485.2508840595504</v>
      </c>
      <c r="AR107" s="108">
        <f t="shared" ref="AR107:AR157" si="109">(AQ107/5)*(50/50)</f>
        <v>97.050176811910077</v>
      </c>
      <c r="AS107" s="108">
        <f t="shared" si="74"/>
        <v>0.2841292701755575</v>
      </c>
      <c r="AT107" s="108">
        <f t="shared" si="86"/>
        <v>47263199318.082939</v>
      </c>
      <c r="AU107" s="103"/>
      <c r="AV107" s="103"/>
    </row>
    <row r="108" spans="2:48" s="102" customFormat="1" x14ac:dyDescent="0.15">
      <c r="B108" s="103" t="s">
        <v>54</v>
      </c>
      <c r="C108" s="103" t="s">
        <v>140</v>
      </c>
      <c r="D108" s="114" t="s">
        <v>112</v>
      </c>
      <c r="E108" s="103" t="s">
        <v>57</v>
      </c>
      <c r="F108" s="103" t="s">
        <v>58</v>
      </c>
      <c r="G108" s="103" t="s">
        <v>59</v>
      </c>
      <c r="H108" s="103">
        <v>-20</v>
      </c>
      <c r="I108" s="103" t="s">
        <v>135</v>
      </c>
      <c r="J108" s="103" t="s">
        <v>61</v>
      </c>
      <c r="K108" s="103" t="s">
        <v>62</v>
      </c>
      <c r="L108" s="103" t="s">
        <v>123</v>
      </c>
      <c r="M108" s="115">
        <v>44287</v>
      </c>
      <c r="N108" s="103" t="s">
        <v>91</v>
      </c>
      <c r="O108" s="103" t="s">
        <v>136</v>
      </c>
      <c r="P108" s="103" t="s">
        <v>65</v>
      </c>
      <c r="Q108" s="103">
        <v>6.69</v>
      </c>
      <c r="R108" s="103">
        <v>3.88</v>
      </c>
      <c r="S108" s="103">
        <v>240</v>
      </c>
      <c r="T108" s="103">
        <v>156312</v>
      </c>
      <c r="U108" s="111">
        <f t="shared" si="88"/>
        <v>156312000000</v>
      </c>
      <c r="V108" s="115">
        <v>44317</v>
      </c>
      <c r="W108" s="111" t="s">
        <v>66</v>
      </c>
      <c r="X108" s="115">
        <v>44348</v>
      </c>
      <c r="Y108" s="103">
        <v>17.940000000000001</v>
      </c>
      <c r="Z108" s="103">
        <v>18.079999999999998</v>
      </c>
      <c r="AA108" s="103"/>
      <c r="AB108" s="107">
        <f t="shared" si="95"/>
        <v>18.009999999999998</v>
      </c>
      <c r="AC108" s="107">
        <f t="shared" si="96"/>
        <v>8.3407344142285265</v>
      </c>
      <c r="AD108" s="108">
        <f t="shared" si="97"/>
        <v>976866882.07532752</v>
      </c>
      <c r="AE108" s="107">
        <f t="shared" si="100"/>
        <v>7.8327691226283349</v>
      </c>
      <c r="AF108" s="107">
        <v>21.8</v>
      </c>
      <c r="AG108" s="103">
        <v>22.14</v>
      </c>
      <c r="AH108" s="103"/>
      <c r="AI108" s="107">
        <f t="shared" si="98"/>
        <v>21.97</v>
      </c>
      <c r="AJ108" s="103">
        <f t="shared" ref="AJ108" si="110">EXP((AI108-31.794)/-1.377)</f>
        <v>1254.3214603537303</v>
      </c>
      <c r="AK108" s="108">
        <f t="shared" si="108"/>
        <v>250.86429207074607</v>
      </c>
      <c r="AL108" s="103">
        <v>33.17</v>
      </c>
      <c r="AM108" s="103">
        <v>33.82</v>
      </c>
      <c r="AN108" s="103"/>
      <c r="AO108" s="107">
        <f t="shared" si="99"/>
        <v>33.495000000000005</v>
      </c>
      <c r="AP108" s="103">
        <f t="shared" si="84"/>
        <v>7.9785280870766504E-6</v>
      </c>
      <c r="AQ108" s="103">
        <f t="shared" si="85"/>
        <v>472.5818774152533</v>
      </c>
      <c r="AR108" s="108">
        <f t="shared" si="109"/>
        <v>94.516375483050666</v>
      </c>
      <c r="AS108" s="108">
        <f t="shared" si="74"/>
        <v>0.37676296894576039</v>
      </c>
      <c r="AT108" s="108">
        <f t="shared" si="86"/>
        <v>58892573201.849701</v>
      </c>
      <c r="AU108" s="103"/>
      <c r="AV108" s="103"/>
    </row>
    <row r="109" spans="2:48" s="102" customFormat="1" x14ac:dyDescent="0.15">
      <c r="B109" s="103" t="s">
        <v>54</v>
      </c>
      <c r="C109" s="103" t="s">
        <v>140</v>
      </c>
      <c r="D109" s="114" t="s">
        <v>139</v>
      </c>
      <c r="E109" s="103" t="s">
        <v>57</v>
      </c>
      <c r="F109" s="103" t="s">
        <v>58</v>
      </c>
      <c r="G109" s="103" t="s">
        <v>59</v>
      </c>
      <c r="H109" s="103">
        <v>-20</v>
      </c>
      <c r="I109" s="103" t="s">
        <v>135</v>
      </c>
      <c r="J109" s="103" t="s">
        <v>61</v>
      </c>
      <c r="K109" s="103" t="s">
        <v>62</v>
      </c>
      <c r="L109" s="103" t="s">
        <v>123</v>
      </c>
      <c r="M109" s="115">
        <v>44287</v>
      </c>
      <c r="N109" s="103" t="s">
        <v>91</v>
      </c>
      <c r="O109" s="103" t="s">
        <v>136</v>
      </c>
      <c r="P109" s="103" t="s">
        <v>65</v>
      </c>
      <c r="Q109" s="103">
        <v>6.44</v>
      </c>
      <c r="R109" s="103">
        <v>4.37</v>
      </c>
      <c r="S109" s="103">
        <v>330</v>
      </c>
      <c r="T109" s="103">
        <v>153600</v>
      </c>
      <c r="U109" s="111">
        <f t="shared" si="88"/>
        <v>153600000000</v>
      </c>
      <c r="V109" s="115">
        <v>44317</v>
      </c>
      <c r="W109" s="111" t="s">
        <v>66</v>
      </c>
      <c r="X109" s="115">
        <v>44348</v>
      </c>
      <c r="Y109" s="103">
        <v>18.809999999999999</v>
      </c>
      <c r="Z109" s="103">
        <v>18.829999999999998</v>
      </c>
      <c r="AA109" s="103"/>
      <c r="AB109" s="107">
        <f t="shared" si="95"/>
        <v>18.82</v>
      </c>
      <c r="AC109" s="107">
        <f t="shared" si="96"/>
        <v>4.8500188767483765</v>
      </c>
      <c r="AD109" s="108">
        <f t="shared" si="97"/>
        <v>568034250.08394682</v>
      </c>
      <c r="AE109" s="107">
        <f t="shared" si="100"/>
        <v>4.5546442573634005</v>
      </c>
      <c r="AF109" s="103">
        <v>22.16</v>
      </c>
      <c r="AG109" s="103">
        <v>22.12</v>
      </c>
      <c r="AH109" s="103"/>
      <c r="AI109" s="107">
        <f t="shared" si="98"/>
        <v>22.14</v>
      </c>
      <c r="AJ109" s="103">
        <f t="shared" ref="AJ109" si="111">EXP((AI109-31.794)/-1.377)</f>
        <v>1108.64435508826</v>
      </c>
      <c r="AK109" s="108">
        <f t="shared" si="108"/>
        <v>221.72887101765201</v>
      </c>
      <c r="AL109" s="103">
        <v>33.979999999999997</v>
      </c>
      <c r="AM109" s="103">
        <v>34.53</v>
      </c>
      <c r="AN109" s="103"/>
      <c r="AO109" s="107">
        <f t="shared" si="99"/>
        <v>34.254999999999995</v>
      </c>
      <c r="AP109" s="103">
        <f t="shared" si="84"/>
        <v>4.8264366490105612E-6</v>
      </c>
      <c r="AQ109" s="103">
        <f t="shared" si="85"/>
        <v>285.87810532492801</v>
      </c>
      <c r="AR109" s="108">
        <f t="shared" si="109"/>
        <v>57.175621064985606</v>
      </c>
      <c r="AS109" s="108">
        <f t="shared" si="74"/>
        <v>0.25786277088126158</v>
      </c>
      <c r="AT109" s="108">
        <f t="shared" si="86"/>
        <v>39607721607.361778</v>
      </c>
      <c r="AU109" s="103"/>
      <c r="AV109" s="103"/>
    </row>
    <row r="110" spans="2:48" s="116" customFormat="1" x14ac:dyDescent="0.15">
      <c r="B110" s="90" t="s">
        <v>54</v>
      </c>
      <c r="C110" s="90" t="s">
        <v>55</v>
      </c>
      <c r="D110" s="117" t="s">
        <v>111</v>
      </c>
      <c r="E110" s="90" t="s">
        <v>57</v>
      </c>
      <c r="F110" s="90" t="s">
        <v>58</v>
      </c>
      <c r="G110" s="90" t="s">
        <v>59</v>
      </c>
      <c r="H110" s="90">
        <v>-20</v>
      </c>
      <c r="I110" s="90" t="s">
        <v>135</v>
      </c>
      <c r="J110" s="90" t="s">
        <v>61</v>
      </c>
      <c r="K110" s="90" t="s">
        <v>62</v>
      </c>
      <c r="L110" s="90" t="s">
        <v>123</v>
      </c>
      <c r="M110" s="118">
        <v>44287</v>
      </c>
      <c r="N110" s="90" t="s">
        <v>141</v>
      </c>
      <c r="O110" s="90" t="s">
        <v>136</v>
      </c>
      <c r="P110" s="90" t="s">
        <v>65</v>
      </c>
      <c r="Q110" s="90">
        <v>6.49</v>
      </c>
      <c r="R110" s="90">
        <v>3.99</v>
      </c>
      <c r="S110" s="90">
        <v>270</v>
      </c>
      <c r="T110" s="90">
        <v>193776</v>
      </c>
      <c r="U110" s="87">
        <f t="shared" si="88"/>
        <v>193776000000</v>
      </c>
      <c r="V110" s="118">
        <v>44317</v>
      </c>
      <c r="W110" s="87" t="s">
        <v>66</v>
      </c>
      <c r="X110" s="118">
        <v>44348</v>
      </c>
      <c r="Y110" s="90">
        <v>18.149999999999999</v>
      </c>
      <c r="Z110" s="90">
        <v>18.079999999999998</v>
      </c>
      <c r="AA110" s="90"/>
      <c r="AB110" s="94">
        <f t="shared" si="95"/>
        <v>18.114999999999998</v>
      </c>
      <c r="AC110" s="94">
        <f t="shared" si="96"/>
        <v>7.7746632657474652</v>
      </c>
      <c r="AD110" s="95">
        <f t="shared" si="97"/>
        <v>910568624.58541536</v>
      </c>
      <c r="AE110" s="94">
        <f t="shared" si="100"/>
        <v>7.3011726956435137</v>
      </c>
      <c r="AF110" s="90">
        <v>19.66</v>
      </c>
      <c r="AG110" s="90">
        <v>19.2</v>
      </c>
      <c r="AH110" s="90"/>
      <c r="AI110" s="94">
        <f t="shared" si="98"/>
        <v>19.43</v>
      </c>
      <c r="AJ110" s="90">
        <f t="shared" ref="AJ110" si="112">EXP((AI110-31.794)/-1.377)</f>
        <v>7934.215196510685</v>
      </c>
      <c r="AK110" s="95">
        <f t="shared" si="108"/>
        <v>1586.843039302137</v>
      </c>
      <c r="AL110" s="94">
        <v>32.1</v>
      </c>
      <c r="AM110" s="90">
        <v>32.06</v>
      </c>
      <c r="AN110" s="90"/>
      <c r="AO110" s="94">
        <f t="shared" si="99"/>
        <v>32.08</v>
      </c>
      <c r="AP110" s="90">
        <f t="shared" si="84"/>
        <v>2.0340226068840004E-5</v>
      </c>
      <c r="AQ110" s="90">
        <f t="shared" si="85"/>
        <v>1204.7864114476158</v>
      </c>
      <c r="AR110" s="95">
        <f t="shared" si="109"/>
        <v>240.95728228952316</v>
      </c>
      <c r="AS110" s="95">
        <f t="shared" si="74"/>
        <v>0.15184695418615035</v>
      </c>
      <c r="AT110" s="95">
        <f t="shared" si="86"/>
        <v>29424295394.375469</v>
      </c>
      <c r="AU110" s="90"/>
      <c r="AV110" s="90" t="s">
        <v>142</v>
      </c>
    </row>
    <row r="111" spans="2:48" s="116" customFormat="1" x14ac:dyDescent="0.15">
      <c r="B111" s="90" t="s">
        <v>54</v>
      </c>
      <c r="C111" s="90" t="s">
        <v>55</v>
      </c>
      <c r="D111" s="117" t="s">
        <v>137</v>
      </c>
      <c r="E111" s="90" t="s">
        <v>57</v>
      </c>
      <c r="F111" s="90" t="s">
        <v>58</v>
      </c>
      <c r="G111" s="90" t="s">
        <v>59</v>
      </c>
      <c r="H111" s="90">
        <v>-20</v>
      </c>
      <c r="I111" s="90" t="s">
        <v>135</v>
      </c>
      <c r="J111" s="90" t="s">
        <v>61</v>
      </c>
      <c r="K111" s="90" t="s">
        <v>62</v>
      </c>
      <c r="L111" s="90" t="s">
        <v>123</v>
      </c>
      <c r="M111" s="118">
        <v>44287</v>
      </c>
      <c r="N111" s="90" t="s">
        <v>141</v>
      </c>
      <c r="O111" s="90" t="s">
        <v>136</v>
      </c>
      <c r="P111" s="90" t="s">
        <v>65</v>
      </c>
      <c r="Q111" s="90">
        <v>6.71</v>
      </c>
      <c r="R111" s="90">
        <v>3.82</v>
      </c>
      <c r="S111" s="90">
        <v>270</v>
      </c>
      <c r="T111" s="90">
        <v>192288</v>
      </c>
      <c r="U111" s="87">
        <f t="shared" si="88"/>
        <v>192288000000</v>
      </c>
      <c r="V111" s="118">
        <v>44317</v>
      </c>
      <c r="W111" s="87" t="s">
        <v>66</v>
      </c>
      <c r="X111" s="118">
        <v>44348</v>
      </c>
      <c r="Y111" s="90">
        <v>18.36</v>
      </c>
      <c r="Z111" s="90">
        <v>18.27</v>
      </c>
      <c r="AA111" s="90"/>
      <c r="AB111" s="94">
        <f t="shared" si="95"/>
        <v>18.314999999999998</v>
      </c>
      <c r="AC111" s="94">
        <f t="shared" si="96"/>
        <v>6.8005353613142576</v>
      </c>
      <c r="AD111" s="95">
        <f t="shared" si="97"/>
        <v>796478756.53699636</v>
      </c>
      <c r="AE111" s="94">
        <f t="shared" si="100"/>
        <v>6.3863708817506275</v>
      </c>
      <c r="AF111" s="90">
        <v>18.829999999999998</v>
      </c>
      <c r="AG111" s="90">
        <v>18.57</v>
      </c>
      <c r="AH111" s="90"/>
      <c r="AI111" s="94">
        <f t="shared" si="98"/>
        <v>18.7</v>
      </c>
      <c r="AJ111" s="90">
        <f t="shared" ref="AJ111" si="113">EXP((AI111-31.794)/-1.377)</f>
        <v>13481.554612536807</v>
      </c>
      <c r="AK111" s="95">
        <f t="shared" si="108"/>
        <v>2696.3109225073613</v>
      </c>
      <c r="AL111" s="90">
        <v>31.88</v>
      </c>
      <c r="AM111" s="90">
        <v>31.96</v>
      </c>
      <c r="AN111" s="90"/>
      <c r="AO111" s="94">
        <f t="shared" si="99"/>
        <v>31.92</v>
      </c>
      <c r="AP111" s="90">
        <f t="shared" si="84"/>
        <v>2.261064042792429E-5</v>
      </c>
      <c r="AQ111" s="90">
        <f t="shared" si="85"/>
        <v>1339.2669407653652</v>
      </c>
      <c r="AR111" s="95">
        <f t="shared" si="109"/>
        <v>267.85338815307307</v>
      </c>
      <c r="AS111" s="95">
        <f t="shared" si="74"/>
        <v>9.9340690243538407E-2</v>
      </c>
      <c r="AT111" s="95">
        <f t="shared" si="86"/>
        <v>19102022645.549515</v>
      </c>
      <c r="AU111" s="90"/>
      <c r="AV111" s="90" t="s">
        <v>142</v>
      </c>
    </row>
    <row r="112" spans="2:48" x14ac:dyDescent="0.15">
      <c r="B112" s="8"/>
      <c r="C112" s="8"/>
      <c r="D112" s="8"/>
      <c r="E112" s="8" t="s">
        <v>105</v>
      </c>
      <c r="F112" s="8"/>
      <c r="G112" s="8" t="s">
        <v>106</v>
      </c>
      <c r="H112" s="8">
        <v>-80</v>
      </c>
      <c r="I112" s="8" t="s">
        <v>108</v>
      </c>
      <c r="J112" s="8" t="s">
        <v>61</v>
      </c>
      <c r="K112" s="8" t="s">
        <v>62</v>
      </c>
      <c r="L112" s="8" t="s">
        <v>123</v>
      </c>
      <c r="M112" s="42">
        <v>44287</v>
      </c>
      <c r="N112" s="8" t="s">
        <v>107</v>
      </c>
      <c r="O112" s="8" t="s">
        <v>108</v>
      </c>
      <c r="P112" s="8" t="s">
        <v>108</v>
      </c>
      <c r="Q112" s="8" t="s">
        <v>108</v>
      </c>
      <c r="R112" s="8" t="s">
        <v>108</v>
      </c>
      <c r="S112" s="8" t="s">
        <v>108</v>
      </c>
      <c r="T112" s="8" t="s">
        <v>108</v>
      </c>
      <c r="U112" s="10" t="e">
        <f t="shared" si="88"/>
        <v>#VALUE!</v>
      </c>
      <c r="V112" s="42">
        <v>44317</v>
      </c>
      <c r="W112" s="10" t="s">
        <v>66</v>
      </c>
      <c r="X112" s="42">
        <v>44348</v>
      </c>
      <c r="Y112" s="8">
        <v>14.11</v>
      </c>
      <c r="Z112" s="18">
        <v>14.3</v>
      </c>
      <c r="AA112" s="8"/>
      <c r="AB112" s="18">
        <f t="shared" si="95"/>
        <v>14.205</v>
      </c>
      <c r="AC112" s="18">
        <f t="shared" si="96"/>
        <v>106.48513040085292</v>
      </c>
      <c r="AD112" s="19">
        <f t="shared" si="97"/>
        <v>12471539334.068022</v>
      </c>
      <c r="AE112" s="18">
        <f t="shared" si="100"/>
        <v>100</v>
      </c>
      <c r="AF112" s="8" t="s">
        <v>108</v>
      </c>
      <c r="AG112" s="8" t="s">
        <v>108</v>
      </c>
      <c r="AH112" s="8"/>
      <c r="AI112" s="8"/>
      <c r="AJ112" s="8"/>
      <c r="AK112" s="50">
        <f t="shared" si="108"/>
        <v>0</v>
      </c>
      <c r="AL112" s="8">
        <v>35.770000000000003</v>
      </c>
      <c r="AM112" s="8">
        <v>34.380000000000003</v>
      </c>
      <c r="AN112" s="8"/>
      <c r="AO112" s="18">
        <f t="shared" si="99"/>
        <v>35.075000000000003</v>
      </c>
      <c r="AP112" s="8">
        <f t="shared" si="84"/>
        <v>2.8060572922409756E-6</v>
      </c>
      <c r="AQ112" s="8">
        <f t="shared" si="85"/>
        <v>166.20757724096518</v>
      </c>
      <c r="AR112" s="50">
        <f t="shared" si="109"/>
        <v>33.241515448193034</v>
      </c>
      <c r="AS112" s="19" t="e">
        <f t="shared" si="74"/>
        <v>#DIV/0!</v>
      </c>
      <c r="AT112" s="19" t="e">
        <f t="shared" si="86"/>
        <v>#DIV/0!</v>
      </c>
      <c r="AU112" s="8"/>
      <c r="AV112" s="8"/>
    </row>
    <row r="113" spans="2:50" x14ac:dyDescent="0.15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0"/>
      <c r="V113" s="42"/>
      <c r="W113" s="10"/>
      <c r="X113" s="42"/>
      <c r="Y113" s="8"/>
      <c r="Z113" s="8"/>
      <c r="AA113" s="8"/>
      <c r="AB113" s="18"/>
      <c r="AC113" s="18"/>
      <c r="AD113" s="8"/>
      <c r="AE113" s="8"/>
      <c r="AF113" s="8"/>
      <c r="AG113" s="8"/>
      <c r="AH113" s="8"/>
      <c r="AI113" s="8"/>
      <c r="AJ113" s="8"/>
      <c r="AK113" s="50">
        <f t="shared" si="108"/>
        <v>0</v>
      </c>
      <c r="AL113" s="8"/>
      <c r="AM113" s="8"/>
      <c r="AN113" s="8"/>
      <c r="AO113" s="8"/>
      <c r="AP113" s="8"/>
      <c r="AQ113" s="8"/>
      <c r="AR113" s="50">
        <f t="shared" si="109"/>
        <v>0</v>
      </c>
      <c r="AS113" s="8"/>
      <c r="AT113" s="8"/>
      <c r="AU113" s="8"/>
      <c r="AV113" s="8"/>
    </row>
    <row r="114" spans="2:50" s="116" customFormat="1" x14ac:dyDescent="0.15">
      <c r="B114" s="90" t="s">
        <v>143</v>
      </c>
      <c r="C114" s="90" t="s">
        <v>144</v>
      </c>
      <c r="D114" s="90" t="s">
        <v>135</v>
      </c>
      <c r="E114" s="90" t="s">
        <v>145</v>
      </c>
      <c r="F114" s="90" t="s">
        <v>60</v>
      </c>
      <c r="G114" s="90" t="s">
        <v>146</v>
      </c>
      <c r="H114" s="90">
        <v>4</v>
      </c>
      <c r="I114" s="90" t="s">
        <v>147</v>
      </c>
      <c r="J114" s="90" t="s">
        <v>61</v>
      </c>
      <c r="K114" s="90" t="s">
        <v>62</v>
      </c>
      <c r="L114" s="90" t="s">
        <v>123</v>
      </c>
      <c r="M114" s="90" t="s">
        <v>148</v>
      </c>
      <c r="N114" s="90" t="s">
        <v>91</v>
      </c>
      <c r="O114" s="90" t="s">
        <v>136</v>
      </c>
      <c r="P114" s="90" t="s">
        <v>149</v>
      </c>
      <c r="Q114" s="90">
        <v>7.52</v>
      </c>
      <c r="R114" s="94">
        <v>4.2</v>
      </c>
      <c r="S114" s="90" t="s">
        <v>60</v>
      </c>
      <c r="T114" s="90" t="s">
        <v>60</v>
      </c>
      <c r="U114" s="87" t="s">
        <v>60</v>
      </c>
      <c r="V114" s="90" t="s">
        <v>150</v>
      </c>
      <c r="W114" s="90" t="s">
        <v>66</v>
      </c>
      <c r="X114" s="90"/>
      <c r="Y114" s="90"/>
      <c r="Z114" s="90"/>
      <c r="AA114" s="90"/>
      <c r="AB114" s="90"/>
      <c r="AC114" s="94"/>
      <c r="AD114" s="90"/>
      <c r="AE114" s="90"/>
      <c r="AF114" s="90"/>
      <c r="AG114" s="90"/>
      <c r="AH114" s="90"/>
      <c r="AI114" s="90"/>
      <c r="AJ114" s="90"/>
      <c r="AK114" s="95">
        <f t="shared" si="108"/>
        <v>0</v>
      </c>
      <c r="AL114" s="90"/>
      <c r="AM114" s="90"/>
      <c r="AN114" s="90"/>
      <c r="AO114" s="90"/>
      <c r="AP114" s="90"/>
      <c r="AQ114" s="90"/>
      <c r="AR114" s="95">
        <f t="shared" si="109"/>
        <v>0</v>
      </c>
      <c r="AS114" s="90"/>
      <c r="AT114" s="90"/>
      <c r="AU114" s="90"/>
      <c r="AV114" s="90" t="s">
        <v>151</v>
      </c>
    </row>
    <row r="115" spans="2:50" s="116" customFormat="1" x14ac:dyDescent="0.15">
      <c r="B115" s="90" t="s">
        <v>143</v>
      </c>
      <c r="C115" s="90" t="s">
        <v>144</v>
      </c>
      <c r="D115" s="90" t="s">
        <v>135</v>
      </c>
      <c r="E115" s="90" t="s">
        <v>145</v>
      </c>
      <c r="F115" s="90" t="s">
        <v>60</v>
      </c>
      <c r="G115" s="90" t="s">
        <v>146</v>
      </c>
      <c r="H115" s="90">
        <v>4</v>
      </c>
      <c r="I115" s="90" t="s">
        <v>147</v>
      </c>
      <c r="J115" s="90" t="s">
        <v>61</v>
      </c>
      <c r="K115" s="90" t="s">
        <v>62</v>
      </c>
      <c r="L115" s="90" t="s">
        <v>123</v>
      </c>
      <c r="M115" s="90" t="s">
        <v>148</v>
      </c>
      <c r="N115" s="90" t="s">
        <v>91</v>
      </c>
      <c r="O115" s="90" t="s">
        <v>136</v>
      </c>
      <c r="P115" s="90" t="s">
        <v>149</v>
      </c>
      <c r="Q115" s="90">
        <v>7.35</v>
      </c>
      <c r="R115" s="90">
        <v>4.05</v>
      </c>
      <c r="S115" s="90" t="s">
        <v>60</v>
      </c>
      <c r="T115" s="90" t="s">
        <v>60</v>
      </c>
      <c r="U115" s="87" t="s">
        <v>60</v>
      </c>
      <c r="V115" s="90" t="s">
        <v>150</v>
      </c>
      <c r="W115" s="90" t="s">
        <v>66</v>
      </c>
      <c r="X115" s="90"/>
      <c r="Y115" s="90"/>
      <c r="Z115" s="90"/>
      <c r="AA115" s="90"/>
      <c r="AB115" s="90"/>
      <c r="AC115" s="94"/>
      <c r="AD115" s="90"/>
      <c r="AE115" s="90"/>
      <c r="AF115" s="90"/>
      <c r="AG115" s="90"/>
      <c r="AH115" s="90"/>
      <c r="AI115" s="90"/>
      <c r="AJ115" s="90"/>
      <c r="AK115" s="95">
        <f t="shared" si="108"/>
        <v>0</v>
      </c>
      <c r="AL115" s="90"/>
      <c r="AM115" s="90"/>
      <c r="AN115" s="90"/>
      <c r="AO115" s="90"/>
      <c r="AP115" s="90"/>
      <c r="AQ115" s="90"/>
      <c r="AR115" s="95">
        <f t="shared" si="109"/>
        <v>0</v>
      </c>
      <c r="AS115" s="90"/>
      <c r="AT115" s="90"/>
      <c r="AU115" s="90"/>
      <c r="AV115" s="90" t="s">
        <v>151</v>
      </c>
    </row>
    <row r="116" spans="2:50" s="116" customFormat="1" x14ac:dyDescent="0.15">
      <c r="B116" s="90" t="s">
        <v>143</v>
      </c>
      <c r="C116" s="90" t="s">
        <v>152</v>
      </c>
      <c r="D116" s="90" t="s">
        <v>153</v>
      </c>
      <c r="E116" s="90" t="s">
        <v>145</v>
      </c>
      <c r="F116" s="90" t="s">
        <v>60</v>
      </c>
      <c r="G116" s="90" t="s">
        <v>146</v>
      </c>
      <c r="H116" s="90">
        <v>4</v>
      </c>
      <c r="I116" s="90" t="s">
        <v>147</v>
      </c>
      <c r="J116" s="90" t="s">
        <v>61</v>
      </c>
      <c r="K116" s="90" t="s">
        <v>62</v>
      </c>
      <c r="L116" s="90" t="s">
        <v>123</v>
      </c>
      <c r="M116" s="90" t="s">
        <v>148</v>
      </c>
      <c r="N116" s="90" t="s">
        <v>91</v>
      </c>
      <c r="O116" s="90" t="s">
        <v>136</v>
      </c>
      <c r="P116" s="90" t="s">
        <v>149</v>
      </c>
      <c r="Q116" s="90">
        <v>7.57</v>
      </c>
      <c r="R116" s="90">
        <v>4.41</v>
      </c>
      <c r="S116" s="90" t="s">
        <v>60</v>
      </c>
      <c r="T116" s="90" t="s">
        <v>60</v>
      </c>
      <c r="U116" s="87" t="s">
        <v>60</v>
      </c>
      <c r="V116" s="90" t="s">
        <v>150</v>
      </c>
      <c r="W116" s="90" t="s">
        <v>66</v>
      </c>
      <c r="X116" s="90"/>
      <c r="Y116" s="90"/>
      <c r="Z116" s="90"/>
      <c r="AA116" s="90"/>
      <c r="AB116" s="90"/>
      <c r="AC116" s="94"/>
      <c r="AD116" s="90"/>
      <c r="AE116" s="90"/>
      <c r="AF116" s="90"/>
      <c r="AG116" s="90"/>
      <c r="AH116" s="90"/>
      <c r="AI116" s="90"/>
      <c r="AJ116" s="90"/>
      <c r="AK116" s="95">
        <f t="shared" si="108"/>
        <v>0</v>
      </c>
      <c r="AL116" s="90"/>
      <c r="AM116" s="90"/>
      <c r="AN116" s="90"/>
      <c r="AO116" s="90"/>
      <c r="AP116" s="90"/>
      <c r="AQ116" s="90"/>
      <c r="AR116" s="95">
        <f t="shared" si="109"/>
        <v>0</v>
      </c>
      <c r="AS116" s="90"/>
      <c r="AT116" s="90"/>
      <c r="AU116" s="90"/>
      <c r="AV116" s="90" t="s">
        <v>151</v>
      </c>
    </row>
    <row r="117" spans="2:50" s="116" customFormat="1" x14ac:dyDescent="0.15">
      <c r="B117" s="90" t="s">
        <v>143</v>
      </c>
      <c r="C117" s="90" t="s">
        <v>152</v>
      </c>
      <c r="D117" s="90" t="s">
        <v>153</v>
      </c>
      <c r="E117" s="90" t="s">
        <v>145</v>
      </c>
      <c r="F117" s="90" t="s">
        <v>60</v>
      </c>
      <c r="G117" s="90" t="s">
        <v>146</v>
      </c>
      <c r="H117" s="90">
        <v>4</v>
      </c>
      <c r="I117" s="90" t="s">
        <v>147</v>
      </c>
      <c r="J117" s="90" t="s">
        <v>61</v>
      </c>
      <c r="K117" s="90" t="s">
        <v>62</v>
      </c>
      <c r="L117" s="90" t="s">
        <v>123</v>
      </c>
      <c r="M117" s="90" t="s">
        <v>148</v>
      </c>
      <c r="N117" s="90" t="s">
        <v>91</v>
      </c>
      <c r="O117" s="90" t="s">
        <v>136</v>
      </c>
      <c r="P117" s="90" t="s">
        <v>149</v>
      </c>
      <c r="Q117" s="90">
        <v>7.57</v>
      </c>
      <c r="R117" s="90">
        <v>4.21</v>
      </c>
      <c r="S117" s="90" t="s">
        <v>60</v>
      </c>
      <c r="T117" s="90" t="s">
        <v>60</v>
      </c>
      <c r="U117" s="87" t="s">
        <v>60</v>
      </c>
      <c r="V117" s="90" t="s">
        <v>150</v>
      </c>
      <c r="W117" s="90" t="s">
        <v>66</v>
      </c>
      <c r="X117" s="90"/>
      <c r="Y117" s="90"/>
      <c r="Z117" s="90"/>
      <c r="AA117" s="90"/>
      <c r="AB117" s="90"/>
      <c r="AC117" s="94"/>
      <c r="AD117" s="90"/>
      <c r="AE117" s="90"/>
      <c r="AF117" s="90"/>
      <c r="AG117" s="90"/>
      <c r="AH117" s="90"/>
      <c r="AI117" s="90"/>
      <c r="AJ117" s="90"/>
      <c r="AK117" s="95">
        <f t="shared" si="108"/>
        <v>0</v>
      </c>
      <c r="AL117" s="90"/>
      <c r="AM117" s="90"/>
      <c r="AN117" s="90"/>
      <c r="AO117" s="90"/>
      <c r="AP117" s="90"/>
      <c r="AQ117" s="90"/>
      <c r="AR117" s="95">
        <f t="shared" si="109"/>
        <v>0</v>
      </c>
      <c r="AS117" s="90"/>
      <c r="AT117" s="90"/>
      <c r="AU117" s="90"/>
      <c r="AV117" s="90" t="s">
        <v>151</v>
      </c>
    </row>
    <row r="118" spans="2:50" x14ac:dyDescent="0.15">
      <c r="B118" s="8"/>
      <c r="C118" s="8"/>
      <c r="D118" s="8"/>
      <c r="E118" s="8" t="s">
        <v>154</v>
      </c>
      <c r="F118" s="8"/>
      <c r="G118" s="8" t="s">
        <v>106</v>
      </c>
      <c r="H118" s="8">
        <v>-80</v>
      </c>
      <c r="I118" s="8" t="s">
        <v>108</v>
      </c>
      <c r="J118" s="8" t="s">
        <v>155</v>
      </c>
      <c r="K118" s="8" t="s">
        <v>156</v>
      </c>
      <c r="L118" s="8" t="s">
        <v>157</v>
      </c>
      <c r="M118" s="8" t="s">
        <v>148</v>
      </c>
      <c r="N118" s="8" t="s">
        <v>107</v>
      </c>
      <c r="O118" s="8" t="s">
        <v>108</v>
      </c>
      <c r="P118" s="8" t="s">
        <v>108</v>
      </c>
      <c r="Q118" s="8" t="s">
        <v>108</v>
      </c>
      <c r="R118" s="8" t="s">
        <v>108</v>
      </c>
      <c r="S118" s="8"/>
      <c r="T118" s="8"/>
      <c r="U118" s="10"/>
      <c r="V118" s="8" t="s">
        <v>150</v>
      </c>
      <c r="W118" s="8" t="s">
        <v>66</v>
      </c>
      <c r="X118" s="8"/>
      <c r="Y118" s="8"/>
      <c r="Z118" s="8"/>
      <c r="AA118" s="8"/>
      <c r="AB118" s="8"/>
      <c r="AC118" s="18"/>
      <c r="AD118" s="8"/>
      <c r="AE118" s="8"/>
      <c r="AF118" s="8"/>
      <c r="AG118" s="8"/>
      <c r="AH118" s="8"/>
      <c r="AI118" s="8"/>
      <c r="AJ118" s="8"/>
      <c r="AK118" s="50">
        <f t="shared" si="108"/>
        <v>0</v>
      </c>
      <c r="AL118" s="8"/>
      <c r="AM118" s="8"/>
      <c r="AN118" s="8"/>
      <c r="AO118" s="8"/>
      <c r="AP118" s="8"/>
      <c r="AQ118" s="8"/>
      <c r="AR118" s="50">
        <f t="shared" si="109"/>
        <v>0</v>
      </c>
      <c r="AS118" s="8"/>
      <c r="AT118" s="8"/>
      <c r="AU118" s="8"/>
      <c r="AV118" s="8"/>
    </row>
    <row r="119" spans="2:50" x14ac:dyDescent="0.15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10"/>
      <c r="V119" s="8"/>
      <c r="W119" s="8"/>
      <c r="X119" s="8"/>
      <c r="Y119" s="8"/>
      <c r="Z119" s="8"/>
      <c r="AA119" s="8"/>
      <c r="AB119" s="8"/>
      <c r="AC119" s="18"/>
      <c r="AD119" s="8"/>
      <c r="AE119" s="8"/>
      <c r="AF119" s="8"/>
      <c r="AG119" s="8"/>
      <c r="AH119" s="8"/>
      <c r="AI119" s="8"/>
      <c r="AJ119" s="8"/>
      <c r="AK119" s="50">
        <f t="shared" si="108"/>
        <v>0</v>
      </c>
      <c r="AL119" s="8"/>
      <c r="AM119" s="8"/>
      <c r="AN119" s="8"/>
      <c r="AO119" s="8"/>
      <c r="AP119" s="8"/>
      <c r="AQ119" s="8"/>
      <c r="AR119" s="50">
        <f t="shared" si="109"/>
        <v>0</v>
      </c>
      <c r="AS119" s="8"/>
      <c r="AT119" s="8"/>
      <c r="AU119" s="8"/>
      <c r="AV119" s="8"/>
    </row>
    <row r="120" spans="2:50" s="51" customFormat="1" x14ac:dyDescent="0.15">
      <c r="B120" s="45" t="s">
        <v>54</v>
      </c>
      <c r="C120" s="45" t="s">
        <v>55</v>
      </c>
      <c r="D120" s="45" t="s">
        <v>158</v>
      </c>
      <c r="E120" s="45" t="s">
        <v>159</v>
      </c>
      <c r="F120" s="45" t="s">
        <v>58</v>
      </c>
      <c r="G120" s="45" t="s">
        <v>59</v>
      </c>
      <c r="H120" s="45">
        <v>-20</v>
      </c>
      <c r="I120" s="45" t="s">
        <v>150</v>
      </c>
      <c r="J120" s="45" t="s">
        <v>61</v>
      </c>
      <c r="K120" s="45" t="s">
        <v>62</v>
      </c>
      <c r="L120" s="45" t="s">
        <v>123</v>
      </c>
      <c r="M120" s="45" t="s">
        <v>150</v>
      </c>
      <c r="N120" s="45" t="s">
        <v>91</v>
      </c>
      <c r="O120" s="45" t="s">
        <v>126</v>
      </c>
      <c r="P120" s="45" t="s">
        <v>65</v>
      </c>
      <c r="Q120" s="45">
        <v>7.58</v>
      </c>
      <c r="R120" s="45">
        <v>4.32</v>
      </c>
      <c r="S120" s="45">
        <v>220</v>
      </c>
      <c r="T120" s="45">
        <v>231480</v>
      </c>
      <c r="U120" s="53">
        <f t="shared" ref="U120:U129" si="114">T120*1000000</f>
        <v>231480000000</v>
      </c>
      <c r="V120" s="45" t="s">
        <v>160</v>
      </c>
      <c r="W120" s="45" t="s">
        <v>66</v>
      </c>
      <c r="X120" s="45" t="s">
        <v>161</v>
      </c>
      <c r="Y120" s="45">
        <v>19.309999999999999</v>
      </c>
      <c r="Z120" s="45">
        <v>19.170000000000002</v>
      </c>
      <c r="AA120" s="45"/>
      <c r="AB120" s="49">
        <f t="shared" ref="AB120:AB130" si="115">AVERAGE(Y120:AA120)</f>
        <v>19.240000000000002</v>
      </c>
      <c r="AC120" s="49">
        <f t="shared" ref="AC120:AC156" si="116">EXP((AB120-21.179)/-1.494)</f>
        <v>3.6614458085311248</v>
      </c>
      <c r="AD120" s="50">
        <f t="shared" ref="AD120:AD156" si="117">(AC120*(6.0221*10^23))/(15123*340*10^9)</f>
        <v>428828562.7181676</v>
      </c>
      <c r="AE120" s="49">
        <f>AD120*100/AD$130</f>
        <v>44.938911927666283</v>
      </c>
      <c r="AF120" s="45">
        <v>25.1</v>
      </c>
      <c r="AG120" s="45">
        <v>24.93</v>
      </c>
      <c r="AH120" s="45"/>
      <c r="AI120" s="49">
        <f>AVERAGE(AF120:AH120)</f>
        <v>25.015000000000001</v>
      </c>
      <c r="AJ120" s="45">
        <f t="shared" ref="AJ120:AJ156" si="118">EXP((AI120-31.794)/-1.377)</f>
        <v>137.41713216701308</v>
      </c>
      <c r="AK120" s="50">
        <f t="shared" si="108"/>
        <v>27.483426433402617</v>
      </c>
      <c r="AL120" s="45">
        <v>26.92</v>
      </c>
      <c r="AM120" s="45">
        <v>26.85</v>
      </c>
      <c r="AN120" s="45"/>
      <c r="AO120" s="49">
        <f t="shared" ref="AO120:AO130" si="119">AVERAGE(AL120:AN120)</f>
        <v>26.885000000000002</v>
      </c>
      <c r="AP120" s="50">
        <f t="shared" ref="AP120:AP156" si="120">EXP((AO120-15.746)/-1.512)</f>
        <v>6.3172051036611645E-4</v>
      </c>
      <c r="AQ120" s="45">
        <f t="shared" ref="AQ120:AQ156" si="121">(AP120*(6.0221*10^23))/(29903*340*10^9)</f>
        <v>37417.887301055664</v>
      </c>
      <c r="AR120" s="50">
        <f t="shared" si="109"/>
        <v>7483.5774602111323</v>
      </c>
      <c r="AS120" s="50">
        <f t="shared" ref="AS120:AS156" si="122">AR120/AK120</f>
        <v>272.29419440640754</v>
      </c>
      <c r="AT120" s="50">
        <f t="shared" ref="AT120:AT129" si="123">AS120*U120</f>
        <v>63030660121195.219</v>
      </c>
      <c r="AU120" s="45"/>
      <c r="AV120" s="45"/>
    </row>
    <row r="121" spans="2:50" s="51" customFormat="1" x14ac:dyDescent="0.15">
      <c r="B121" s="45" t="s">
        <v>54</v>
      </c>
      <c r="C121" s="45" t="s">
        <v>55</v>
      </c>
      <c r="D121" s="45" t="s">
        <v>90</v>
      </c>
      <c r="E121" s="45" t="s">
        <v>159</v>
      </c>
      <c r="F121" s="45" t="s">
        <v>58</v>
      </c>
      <c r="G121" s="45" t="s">
        <v>59</v>
      </c>
      <c r="H121" s="45">
        <v>-20</v>
      </c>
      <c r="I121" s="45" t="s">
        <v>150</v>
      </c>
      <c r="J121" s="45" t="s">
        <v>61</v>
      </c>
      <c r="K121" s="45" t="s">
        <v>62</v>
      </c>
      <c r="L121" s="45" t="s">
        <v>123</v>
      </c>
      <c r="M121" s="45" t="s">
        <v>150</v>
      </c>
      <c r="N121" s="45" t="s">
        <v>91</v>
      </c>
      <c r="O121" s="45" t="s">
        <v>126</v>
      </c>
      <c r="P121" s="45" t="s">
        <v>65</v>
      </c>
      <c r="Q121" s="45">
        <v>8.33</v>
      </c>
      <c r="R121" s="49">
        <v>4.2</v>
      </c>
      <c r="S121" s="45">
        <v>210</v>
      </c>
      <c r="T121" s="45">
        <v>221904</v>
      </c>
      <c r="U121" s="53">
        <f t="shared" si="114"/>
        <v>221904000000</v>
      </c>
      <c r="V121" s="45" t="s">
        <v>160</v>
      </c>
      <c r="W121" s="45" t="s">
        <v>66</v>
      </c>
      <c r="X121" s="45" t="s">
        <v>161</v>
      </c>
      <c r="Y121" s="45">
        <v>19.25</v>
      </c>
      <c r="Z121" s="45">
        <v>19.18</v>
      </c>
      <c r="AA121" s="45"/>
      <c r="AB121" s="49">
        <f t="shared" si="115"/>
        <v>19.215</v>
      </c>
      <c r="AC121" s="49">
        <f t="shared" si="116"/>
        <v>3.7232304803546588</v>
      </c>
      <c r="AD121" s="50">
        <f t="shared" si="117"/>
        <v>436064783.98201001</v>
      </c>
      <c r="AE121" s="49">
        <f t="shared" ref="AE121:AE130" si="124">AD121*100/AD$130</f>
        <v>45.697228743140727</v>
      </c>
      <c r="AF121" s="45">
        <v>24.63</v>
      </c>
      <c r="AG121" s="45">
        <v>24.38</v>
      </c>
      <c r="AH121" s="45"/>
      <c r="AI121" s="49">
        <f>AVERAGE(AF121:AH121)</f>
        <v>24.504999999999999</v>
      </c>
      <c r="AJ121" s="45">
        <f t="shared" si="118"/>
        <v>199.01723532477618</v>
      </c>
      <c r="AK121" s="50">
        <f t="shared" si="108"/>
        <v>39.803447064955236</v>
      </c>
      <c r="AL121" s="45">
        <v>26.96</v>
      </c>
      <c r="AM121" s="45">
        <v>26.63</v>
      </c>
      <c r="AN121" s="45"/>
      <c r="AO121" s="49">
        <f t="shared" si="119"/>
        <v>26.795000000000002</v>
      </c>
      <c r="AP121" s="50">
        <f t="shared" si="120"/>
        <v>6.7046458023283927E-4</v>
      </c>
      <c r="AQ121" s="45">
        <f t="shared" si="121"/>
        <v>39712.764887058162</v>
      </c>
      <c r="AR121" s="50">
        <f t="shared" si="109"/>
        <v>7942.5529774116321</v>
      </c>
      <c r="AS121" s="50">
        <f t="shared" si="122"/>
        <v>199.54435012751989</v>
      </c>
      <c r="AT121" s="50">
        <f t="shared" si="123"/>
        <v>44279689470697.172</v>
      </c>
      <c r="AU121" s="45"/>
      <c r="AV121" s="69"/>
    </row>
    <row r="122" spans="2:50" s="51" customFormat="1" ht="16" x14ac:dyDescent="0.2">
      <c r="B122" s="45" t="s">
        <v>54</v>
      </c>
      <c r="C122" s="45" t="s">
        <v>55</v>
      </c>
      <c r="D122" s="45" t="s">
        <v>162</v>
      </c>
      <c r="E122" s="45" t="s">
        <v>159</v>
      </c>
      <c r="F122" s="45" t="s">
        <v>58</v>
      </c>
      <c r="G122" s="45" t="s">
        <v>59</v>
      </c>
      <c r="H122" s="45">
        <v>-20</v>
      </c>
      <c r="I122" s="45" t="s">
        <v>150</v>
      </c>
      <c r="J122" s="45" t="s">
        <v>61</v>
      </c>
      <c r="K122" s="45" t="s">
        <v>62</v>
      </c>
      <c r="L122" s="45" t="s">
        <v>123</v>
      </c>
      <c r="M122" s="45" t="s">
        <v>150</v>
      </c>
      <c r="N122" s="45" t="s">
        <v>91</v>
      </c>
      <c r="O122" s="45" t="s">
        <v>126</v>
      </c>
      <c r="P122" s="45" t="s">
        <v>65</v>
      </c>
      <c r="Q122" s="45">
        <v>7.57</v>
      </c>
      <c r="R122" s="45">
        <v>4.49</v>
      </c>
      <c r="S122" s="45">
        <v>230</v>
      </c>
      <c r="T122" s="45">
        <v>215040</v>
      </c>
      <c r="U122" s="53">
        <f t="shared" si="114"/>
        <v>215040000000</v>
      </c>
      <c r="V122" s="45" t="s">
        <v>160</v>
      </c>
      <c r="W122" s="45" t="s">
        <v>66</v>
      </c>
      <c r="X122" s="45" t="s">
        <v>161</v>
      </c>
      <c r="Y122" s="45">
        <v>19.36</v>
      </c>
      <c r="Z122" s="45">
        <v>19.25</v>
      </c>
      <c r="AA122" s="45"/>
      <c r="AB122" s="49">
        <f t="shared" si="115"/>
        <v>19.305</v>
      </c>
      <c r="AC122" s="49">
        <f t="shared" si="116"/>
        <v>3.5055616013380848</v>
      </c>
      <c r="AD122" s="50">
        <f t="shared" si="117"/>
        <v>410571403.11053437</v>
      </c>
      <c r="AE122" s="49">
        <f t="shared" si="124"/>
        <v>43.02566043514387</v>
      </c>
      <c r="AF122" s="45">
        <v>25.36</v>
      </c>
      <c r="AG122" s="45">
        <v>25.19</v>
      </c>
      <c r="AH122" s="45"/>
      <c r="AI122" s="49">
        <f>AVERAGE(AF122:AH122)</f>
        <v>25.274999999999999</v>
      </c>
      <c r="AJ122" s="45">
        <f t="shared" si="118"/>
        <v>113.77294969349144</v>
      </c>
      <c r="AK122" s="50">
        <f t="shared" si="108"/>
        <v>22.754589938698288</v>
      </c>
      <c r="AL122" s="49">
        <v>27</v>
      </c>
      <c r="AM122" s="45">
        <v>27.03</v>
      </c>
      <c r="AN122" s="45"/>
      <c r="AO122" s="49">
        <f t="shared" si="119"/>
        <v>27.015000000000001</v>
      </c>
      <c r="AP122" s="50">
        <f t="shared" si="120"/>
        <v>5.7967536418725239E-4</v>
      </c>
      <c r="AQ122" s="45">
        <f t="shared" si="121"/>
        <v>34335.164194346544</v>
      </c>
      <c r="AR122" s="50">
        <f t="shared" si="109"/>
        <v>6867.0328388693088</v>
      </c>
      <c r="AS122" s="50">
        <f t="shared" si="122"/>
        <v>301.78671017009538</v>
      </c>
      <c r="AT122" s="50">
        <f t="shared" si="123"/>
        <v>64896214154977.312</v>
      </c>
      <c r="AU122" s="45"/>
      <c r="AV122" s="70" t="s">
        <v>163</v>
      </c>
    </row>
    <row r="123" spans="2:50" s="51" customFormat="1" ht="16" x14ac:dyDescent="0.2">
      <c r="B123" s="45" t="s">
        <v>54</v>
      </c>
      <c r="C123" s="45" t="s">
        <v>55</v>
      </c>
      <c r="D123" s="45" t="s">
        <v>164</v>
      </c>
      <c r="E123" s="45" t="s">
        <v>159</v>
      </c>
      <c r="F123" s="45" t="s">
        <v>58</v>
      </c>
      <c r="G123" s="45" t="s">
        <v>59</v>
      </c>
      <c r="H123" s="45">
        <v>-20</v>
      </c>
      <c r="I123" s="45" t="s">
        <v>150</v>
      </c>
      <c r="J123" s="45" t="s">
        <v>61</v>
      </c>
      <c r="K123" s="45" t="s">
        <v>62</v>
      </c>
      <c r="L123" s="45" t="s">
        <v>123</v>
      </c>
      <c r="M123" s="45" t="s">
        <v>150</v>
      </c>
      <c r="N123" s="45" t="s">
        <v>91</v>
      </c>
      <c r="O123" s="45" t="s">
        <v>126</v>
      </c>
      <c r="P123" s="45" t="s">
        <v>65</v>
      </c>
      <c r="Q123" s="45">
        <v>8.39</v>
      </c>
      <c r="R123" s="45">
        <v>4.34</v>
      </c>
      <c r="S123" s="45">
        <v>280</v>
      </c>
      <c r="T123" s="45">
        <v>208104</v>
      </c>
      <c r="U123" s="53">
        <f t="shared" si="114"/>
        <v>208104000000</v>
      </c>
      <c r="V123" s="45" t="s">
        <v>160</v>
      </c>
      <c r="W123" s="45" t="s">
        <v>66</v>
      </c>
      <c r="X123" s="45" t="s">
        <v>161</v>
      </c>
      <c r="Y123" s="45">
        <v>19.73</v>
      </c>
      <c r="Z123" s="45">
        <v>19.52</v>
      </c>
      <c r="AA123" s="45"/>
      <c r="AB123" s="49">
        <f t="shared" si="115"/>
        <v>19.625</v>
      </c>
      <c r="AC123" s="49">
        <f t="shared" si="116"/>
        <v>2.829671543552017</v>
      </c>
      <c r="AD123" s="50">
        <f t="shared" si="117"/>
        <v>331411154.07432777</v>
      </c>
      <c r="AE123" s="49">
        <f t="shared" si="124"/>
        <v>34.73009486679301</v>
      </c>
      <c r="AF123" s="49">
        <v>25.4</v>
      </c>
      <c r="AG123" s="45">
        <v>25.24</v>
      </c>
      <c r="AH123" s="45"/>
      <c r="AI123" s="49">
        <f>AVERAGE(AF123:AH123)</f>
        <v>25.32</v>
      </c>
      <c r="AJ123" s="45">
        <f t="shared" si="118"/>
        <v>110.11497580062114</v>
      </c>
      <c r="AK123" s="50">
        <f t="shared" si="108"/>
        <v>22.022995160124228</v>
      </c>
      <c r="AL123" s="45">
        <v>27.01</v>
      </c>
      <c r="AM123" s="45">
        <v>26.93</v>
      </c>
      <c r="AN123" s="45"/>
      <c r="AO123" s="49">
        <f t="shared" si="119"/>
        <v>26.97</v>
      </c>
      <c r="AP123" s="50">
        <f t="shared" si="120"/>
        <v>5.9718690296165313E-4</v>
      </c>
      <c r="AQ123" s="45">
        <f t="shared" si="121"/>
        <v>35372.402614781626</v>
      </c>
      <c r="AR123" s="50">
        <f t="shared" si="109"/>
        <v>7074.4805229563253</v>
      </c>
      <c r="AS123" s="50">
        <f t="shared" si="122"/>
        <v>321.23153419956611</v>
      </c>
      <c r="AT123" s="50">
        <f t="shared" si="123"/>
        <v>66849567193066.508</v>
      </c>
      <c r="AU123" s="45"/>
      <c r="AV123" s="70" t="s">
        <v>163</v>
      </c>
    </row>
    <row r="124" spans="2:50" s="51" customFormat="1" ht="16" x14ac:dyDescent="0.2">
      <c r="B124" s="45" t="s">
        <v>54</v>
      </c>
      <c r="C124" s="45" t="s">
        <v>55</v>
      </c>
      <c r="D124" s="69" t="s">
        <v>165</v>
      </c>
      <c r="E124" s="45" t="s">
        <v>159</v>
      </c>
      <c r="F124" s="45" t="s">
        <v>58</v>
      </c>
      <c r="G124" s="45" t="s">
        <v>59</v>
      </c>
      <c r="H124" s="45">
        <v>-20</v>
      </c>
      <c r="I124" s="45" t="s">
        <v>150</v>
      </c>
      <c r="J124" s="45" t="s">
        <v>61</v>
      </c>
      <c r="K124" s="45" t="s">
        <v>62</v>
      </c>
      <c r="L124" s="45" t="s">
        <v>123</v>
      </c>
      <c r="M124" s="45" t="s">
        <v>150</v>
      </c>
      <c r="N124" s="45" t="s">
        <v>91</v>
      </c>
      <c r="O124" s="45" t="s">
        <v>126</v>
      </c>
      <c r="P124" s="45" t="s">
        <v>65</v>
      </c>
      <c r="Q124" s="72">
        <v>7.6</v>
      </c>
      <c r="R124" s="69">
        <v>4.45</v>
      </c>
      <c r="S124" s="69">
        <v>240</v>
      </c>
      <c r="T124" s="69">
        <v>200712</v>
      </c>
      <c r="U124" s="53">
        <f t="shared" si="114"/>
        <v>200712000000</v>
      </c>
      <c r="V124" s="45" t="s">
        <v>160</v>
      </c>
      <c r="W124" s="45" t="s">
        <v>66</v>
      </c>
      <c r="X124" s="45" t="s">
        <v>161</v>
      </c>
      <c r="Y124" s="69">
        <v>19.55</v>
      </c>
      <c r="Z124" s="69">
        <v>19.72</v>
      </c>
      <c r="AA124" s="69"/>
      <c r="AB124" s="49">
        <f t="shared" si="115"/>
        <v>19.634999999999998</v>
      </c>
      <c r="AC124" s="49">
        <f t="shared" si="116"/>
        <v>2.8107945521295723</v>
      </c>
      <c r="AD124" s="50">
        <f t="shared" si="117"/>
        <v>329200280.68620634</v>
      </c>
      <c r="AE124" s="49">
        <f t="shared" si="124"/>
        <v>34.498407304187005</v>
      </c>
      <c r="AF124" s="72">
        <v>25.2</v>
      </c>
      <c r="AG124" s="69">
        <v>25.15</v>
      </c>
      <c r="AH124" s="69"/>
      <c r="AI124" s="72">
        <v>18.7</v>
      </c>
      <c r="AJ124" s="45">
        <f t="shared" si="118"/>
        <v>13481.554612536807</v>
      </c>
      <c r="AK124" s="50">
        <f t="shared" si="108"/>
        <v>2696.3109225073613</v>
      </c>
      <c r="AL124" s="69">
        <v>30.79</v>
      </c>
      <c r="AM124" s="69">
        <v>30.33</v>
      </c>
      <c r="AN124" s="69"/>
      <c r="AO124" s="49">
        <f t="shared" si="119"/>
        <v>30.56</v>
      </c>
      <c r="AP124" s="50">
        <f t="shared" si="120"/>
        <v>5.5583784350425036E-5</v>
      </c>
      <c r="AQ124" s="45">
        <f t="shared" si="121"/>
        <v>3292.3227035718883</v>
      </c>
      <c r="AR124" s="50">
        <f t="shared" si="109"/>
        <v>658.46454071437768</v>
      </c>
      <c r="AS124" s="50">
        <f t="shared" si="122"/>
        <v>0.24420942526244577</v>
      </c>
      <c r="AT124" s="50">
        <f t="shared" si="123"/>
        <v>49015762163.276016</v>
      </c>
      <c r="AU124" s="71"/>
      <c r="AV124" s="70" t="s">
        <v>163</v>
      </c>
    </row>
    <row r="125" spans="2:50" s="102" customFormat="1" ht="16" x14ac:dyDescent="0.2">
      <c r="B125" s="103" t="s">
        <v>54</v>
      </c>
      <c r="C125" s="103" t="s">
        <v>140</v>
      </c>
      <c r="D125" s="103" t="s">
        <v>158</v>
      </c>
      <c r="E125" s="103" t="s">
        <v>159</v>
      </c>
      <c r="F125" s="103" t="s">
        <v>58</v>
      </c>
      <c r="G125" s="103" t="s">
        <v>59</v>
      </c>
      <c r="H125" s="103">
        <v>-20</v>
      </c>
      <c r="I125" s="103" t="s">
        <v>150</v>
      </c>
      <c r="J125" s="103" t="s">
        <v>61</v>
      </c>
      <c r="K125" s="103" t="s">
        <v>62</v>
      </c>
      <c r="L125" s="103" t="s">
        <v>123</v>
      </c>
      <c r="M125" s="103" t="s">
        <v>150</v>
      </c>
      <c r="N125" s="103" t="s">
        <v>91</v>
      </c>
      <c r="O125" s="103" t="s">
        <v>126</v>
      </c>
      <c r="P125" s="103" t="s">
        <v>65</v>
      </c>
      <c r="Q125" s="103">
        <v>7.72</v>
      </c>
      <c r="R125" s="103">
        <v>4.34</v>
      </c>
      <c r="S125" s="103">
        <v>170</v>
      </c>
      <c r="T125" s="103">
        <v>215448</v>
      </c>
      <c r="U125" s="111">
        <f t="shared" si="114"/>
        <v>215448000000</v>
      </c>
      <c r="V125" s="103" t="s">
        <v>160</v>
      </c>
      <c r="W125" s="103" t="s">
        <v>66</v>
      </c>
      <c r="X125" s="103" t="s">
        <v>161</v>
      </c>
      <c r="Y125" s="103">
        <v>19.510000000000002</v>
      </c>
      <c r="Z125" s="107">
        <v>19.399999999999999</v>
      </c>
      <c r="AA125" s="103"/>
      <c r="AB125" s="107">
        <f t="shared" si="115"/>
        <v>19.454999999999998</v>
      </c>
      <c r="AC125" s="107">
        <f t="shared" si="116"/>
        <v>3.1706896830392512</v>
      </c>
      <c r="AD125" s="108">
        <f t="shared" si="117"/>
        <v>371351201.33008689</v>
      </c>
      <c r="AE125" s="107">
        <f t="shared" si="124"/>
        <v>38.915595605448331</v>
      </c>
      <c r="AF125" s="103">
        <v>26.16</v>
      </c>
      <c r="AG125" s="103">
        <v>26.05</v>
      </c>
      <c r="AH125" s="103"/>
      <c r="AI125" s="107">
        <f t="shared" ref="AI125:AI130" si="125">AVERAGE(AF125:AH125)</f>
        <v>26.105</v>
      </c>
      <c r="AJ125" s="103">
        <f t="shared" si="118"/>
        <v>62.267845605891765</v>
      </c>
      <c r="AK125" s="108">
        <f t="shared" si="108"/>
        <v>12.453569121178353</v>
      </c>
      <c r="AL125" s="103">
        <v>30.08</v>
      </c>
      <c r="AM125" s="103">
        <v>29.36</v>
      </c>
      <c r="AN125" s="103"/>
      <c r="AO125" s="107">
        <f t="shared" si="119"/>
        <v>29.72</v>
      </c>
      <c r="AP125" s="108">
        <f t="shared" si="120"/>
        <v>9.6877477922457348E-5</v>
      </c>
      <c r="AQ125" s="103">
        <f t="shared" si="121"/>
        <v>5738.2188664606765</v>
      </c>
      <c r="AR125" s="108">
        <f t="shared" si="109"/>
        <v>1147.6437732921354</v>
      </c>
      <c r="AS125" s="108">
        <f t="shared" si="122"/>
        <v>92.153804433499275</v>
      </c>
      <c r="AT125" s="108">
        <f t="shared" si="123"/>
        <v>19854352857588.551</v>
      </c>
      <c r="AU125" s="103"/>
      <c r="AV125" s="119" t="s">
        <v>166</v>
      </c>
      <c r="AW125" s="120"/>
      <c r="AX125" s="120"/>
    </row>
    <row r="126" spans="2:50" s="102" customFormat="1" ht="16" x14ac:dyDescent="0.2">
      <c r="B126" s="103" t="s">
        <v>54</v>
      </c>
      <c r="C126" s="103" t="s">
        <v>140</v>
      </c>
      <c r="D126" s="103" t="s">
        <v>90</v>
      </c>
      <c r="E126" s="103" t="s">
        <v>159</v>
      </c>
      <c r="F126" s="103" t="s">
        <v>58</v>
      </c>
      <c r="G126" s="103" t="s">
        <v>59</v>
      </c>
      <c r="H126" s="103">
        <v>-20</v>
      </c>
      <c r="I126" s="103" t="s">
        <v>150</v>
      </c>
      <c r="J126" s="103" t="s">
        <v>61</v>
      </c>
      <c r="K126" s="103" t="s">
        <v>62</v>
      </c>
      <c r="L126" s="103" t="s">
        <v>123</v>
      </c>
      <c r="M126" s="103" t="s">
        <v>150</v>
      </c>
      <c r="N126" s="103" t="s">
        <v>91</v>
      </c>
      <c r="O126" s="103" t="s">
        <v>126</v>
      </c>
      <c r="P126" s="103" t="s">
        <v>65</v>
      </c>
      <c r="Q126" s="103">
        <v>7.99</v>
      </c>
      <c r="R126" s="103">
        <v>3.96</v>
      </c>
      <c r="S126" s="103">
        <v>230</v>
      </c>
      <c r="T126" s="103">
        <v>202104</v>
      </c>
      <c r="U126" s="111">
        <f t="shared" si="114"/>
        <v>202104000000</v>
      </c>
      <c r="V126" s="103" t="s">
        <v>160</v>
      </c>
      <c r="W126" s="103" t="s">
        <v>66</v>
      </c>
      <c r="X126" s="103" t="s">
        <v>161</v>
      </c>
      <c r="Y126" s="103">
        <v>19.38</v>
      </c>
      <c r="Z126" s="107">
        <v>19.2</v>
      </c>
      <c r="AA126" s="103"/>
      <c r="AB126" s="107">
        <f t="shared" si="115"/>
        <v>19.29</v>
      </c>
      <c r="AC126" s="107">
        <f t="shared" si="116"/>
        <v>3.5409352845361957</v>
      </c>
      <c r="AD126" s="108">
        <f t="shared" si="117"/>
        <v>414714369.17288864</v>
      </c>
      <c r="AE126" s="107">
        <f t="shared" si="124"/>
        <v>43.459820850707906</v>
      </c>
      <c r="AF126" s="103">
        <v>25.28</v>
      </c>
      <c r="AG126" s="103">
        <v>25.17</v>
      </c>
      <c r="AH126" s="103"/>
      <c r="AI126" s="107">
        <f t="shared" si="125"/>
        <v>25.225000000000001</v>
      </c>
      <c r="AJ126" s="103">
        <f t="shared" si="118"/>
        <v>117.98005840930963</v>
      </c>
      <c r="AK126" s="108">
        <f t="shared" si="108"/>
        <v>23.596011681861928</v>
      </c>
      <c r="AL126" s="103">
        <v>30.69</v>
      </c>
      <c r="AM126" s="103">
        <v>29.61</v>
      </c>
      <c r="AN126" s="103"/>
      <c r="AO126" s="107">
        <f t="shared" si="119"/>
        <v>30.15</v>
      </c>
      <c r="AP126" s="108">
        <f t="shared" si="120"/>
        <v>7.2897586502811653E-5</v>
      </c>
      <c r="AQ126" s="103">
        <f t="shared" si="121"/>
        <v>4317.8488453704422</v>
      </c>
      <c r="AR126" s="108">
        <f t="shared" si="109"/>
        <v>863.56976907408841</v>
      </c>
      <c r="AS126" s="108">
        <f t="shared" si="122"/>
        <v>36.598124323607955</v>
      </c>
      <c r="AT126" s="108">
        <f t="shared" si="123"/>
        <v>7396627318298.4619</v>
      </c>
      <c r="AU126" s="103"/>
      <c r="AV126" s="121" t="s">
        <v>163</v>
      </c>
      <c r="AW126" s="122"/>
      <c r="AX126" s="122"/>
    </row>
    <row r="127" spans="2:50" s="102" customFormat="1" ht="16" x14ac:dyDescent="0.2">
      <c r="B127" s="103" t="s">
        <v>54</v>
      </c>
      <c r="C127" s="103" t="s">
        <v>140</v>
      </c>
      <c r="D127" s="123" t="s">
        <v>162</v>
      </c>
      <c r="E127" s="103" t="s">
        <v>159</v>
      </c>
      <c r="F127" s="103" t="s">
        <v>58</v>
      </c>
      <c r="G127" s="103" t="s">
        <v>59</v>
      </c>
      <c r="H127" s="103">
        <v>-20</v>
      </c>
      <c r="I127" s="103" t="s">
        <v>150</v>
      </c>
      <c r="J127" s="103" t="s">
        <v>61</v>
      </c>
      <c r="K127" s="103" t="s">
        <v>62</v>
      </c>
      <c r="L127" s="103" t="s">
        <v>123</v>
      </c>
      <c r="M127" s="103" t="s">
        <v>150</v>
      </c>
      <c r="N127" s="103" t="s">
        <v>91</v>
      </c>
      <c r="O127" s="103" t="s">
        <v>126</v>
      </c>
      <c r="P127" s="103" t="s">
        <v>65</v>
      </c>
      <c r="Q127" s="103">
        <v>7.63</v>
      </c>
      <c r="R127" s="103">
        <v>4.55</v>
      </c>
      <c r="S127" s="103">
        <v>200</v>
      </c>
      <c r="T127" s="103">
        <v>187512</v>
      </c>
      <c r="U127" s="111">
        <f t="shared" si="114"/>
        <v>187512000000</v>
      </c>
      <c r="V127" s="103" t="s">
        <v>160</v>
      </c>
      <c r="W127" s="103" t="s">
        <v>66</v>
      </c>
      <c r="X127" s="103" t="s">
        <v>161</v>
      </c>
      <c r="Y127" s="107">
        <v>19.3</v>
      </c>
      <c r="Z127" s="103">
        <v>19.68</v>
      </c>
      <c r="AA127" s="103"/>
      <c r="AB127" s="107">
        <f t="shared" si="115"/>
        <v>19.490000000000002</v>
      </c>
      <c r="AC127" s="107">
        <f t="shared" si="116"/>
        <v>3.0972731283042396</v>
      </c>
      <c r="AD127" s="108">
        <f t="shared" si="117"/>
        <v>362752653.84554416</v>
      </c>
      <c r="AE127" s="107">
        <f t="shared" si="124"/>
        <v>38.014514376939587</v>
      </c>
      <c r="AF127" s="107">
        <v>26</v>
      </c>
      <c r="AG127" s="107">
        <v>26</v>
      </c>
      <c r="AH127" s="103"/>
      <c r="AI127" s="107">
        <f t="shared" si="125"/>
        <v>26</v>
      </c>
      <c r="AJ127" s="103">
        <f t="shared" si="118"/>
        <v>67.201656261400174</v>
      </c>
      <c r="AK127" s="108">
        <f t="shared" si="108"/>
        <v>13.440331252280036</v>
      </c>
      <c r="AL127" s="107">
        <v>28.9</v>
      </c>
      <c r="AM127" s="103">
        <v>29.85</v>
      </c>
      <c r="AN127" s="103"/>
      <c r="AO127" s="107">
        <f t="shared" si="119"/>
        <v>29.375</v>
      </c>
      <c r="AP127" s="108">
        <f t="shared" si="120"/>
        <v>1.2170762706625576E-4</v>
      </c>
      <c r="AQ127" s="103">
        <f t="shared" si="121"/>
        <v>7208.9511081486889</v>
      </c>
      <c r="AR127" s="108">
        <f t="shared" si="109"/>
        <v>1441.7902216297377</v>
      </c>
      <c r="AS127" s="108">
        <f t="shared" si="122"/>
        <v>107.27341421627168</v>
      </c>
      <c r="AT127" s="108">
        <f t="shared" si="123"/>
        <v>20115052446521.535</v>
      </c>
      <c r="AU127" s="103"/>
      <c r="AV127" s="121" t="s">
        <v>163</v>
      </c>
      <c r="AW127" s="122"/>
      <c r="AX127" s="122"/>
    </row>
    <row r="128" spans="2:50" s="102" customFormat="1" ht="16" x14ac:dyDescent="0.2">
      <c r="B128" s="103" t="s">
        <v>54</v>
      </c>
      <c r="C128" s="103" t="s">
        <v>140</v>
      </c>
      <c r="D128" s="103" t="s">
        <v>164</v>
      </c>
      <c r="E128" s="103" t="s">
        <v>159</v>
      </c>
      <c r="F128" s="103" t="s">
        <v>58</v>
      </c>
      <c r="G128" s="103" t="s">
        <v>59</v>
      </c>
      <c r="H128" s="103">
        <v>-20</v>
      </c>
      <c r="I128" s="103" t="s">
        <v>150</v>
      </c>
      <c r="J128" s="103" t="s">
        <v>61</v>
      </c>
      <c r="K128" s="103" t="s">
        <v>62</v>
      </c>
      <c r="L128" s="103" t="s">
        <v>123</v>
      </c>
      <c r="M128" s="103" t="s">
        <v>150</v>
      </c>
      <c r="N128" s="103" t="s">
        <v>91</v>
      </c>
      <c r="O128" s="103" t="s">
        <v>126</v>
      </c>
      <c r="P128" s="103" t="s">
        <v>65</v>
      </c>
      <c r="Q128" s="103">
        <v>7.64</v>
      </c>
      <c r="R128" s="103">
        <v>4.25</v>
      </c>
      <c r="S128" s="103">
        <v>270</v>
      </c>
      <c r="T128" s="103">
        <v>178920</v>
      </c>
      <c r="U128" s="111">
        <f t="shared" si="114"/>
        <v>178920000000</v>
      </c>
      <c r="V128" s="103" t="s">
        <v>160</v>
      </c>
      <c r="W128" s="103" t="s">
        <v>66</v>
      </c>
      <c r="X128" s="103" t="s">
        <v>161</v>
      </c>
      <c r="Y128" s="103">
        <v>19.940000000000001</v>
      </c>
      <c r="Z128" s="103">
        <v>19.73</v>
      </c>
      <c r="AA128" s="103"/>
      <c r="AB128" s="107">
        <f t="shared" si="115"/>
        <v>19.835000000000001</v>
      </c>
      <c r="AC128" s="107">
        <f t="shared" si="116"/>
        <v>2.4586155170681665</v>
      </c>
      <c r="AD128" s="108">
        <f t="shared" si="117"/>
        <v>287953069.25050277</v>
      </c>
      <c r="AE128" s="107">
        <f t="shared" si="124"/>
        <v>30.175922835751237</v>
      </c>
      <c r="AF128" s="103">
        <v>25.99</v>
      </c>
      <c r="AG128" s="103">
        <v>25.72</v>
      </c>
      <c r="AH128" s="103"/>
      <c r="AI128" s="107">
        <f t="shared" si="125"/>
        <v>25.854999999999997</v>
      </c>
      <c r="AJ128" s="103">
        <f t="shared" si="118"/>
        <v>74.664091502292138</v>
      </c>
      <c r="AK128" s="108">
        <f t="shared" si="108"/>
        <v>14.932818300458427</v>
      </c>
      <c r="AL128" s="103">
        <v>29.28</v>
      </c>
      <c r="AM128" s="103">
        <v>29.66</v>
      </c>
      <c r="AN128" s="103"/>
      <c r="AO128" s="107">
        <f t="shared" si="119"/>
        <v>29.47</v>
      </c>
      <c r="AP128" s="108">
        <f t="shared" si="120"/>
        <v>1.1429593218612785E-4</v>
      </c>
      <c r="AQ128" s="103">
        <f t="shared" si="121"/>
        <v>6769.9437319694507</v>
      </c>
      <c r="AR128" s="108">
        <f t="shared" si="109"/>
        <v>1353.9887463938901</v>
      </c>
      <c r="AS128" s="108">
        <f t="shared" si="122"/>
        <v>90.672016437267146</v>
      </c>
      <c r="AT128" s="108">
        <f t="shared" si="123"/>
        <v>16223037180955.838</v>
      </c>
      <c r="AU128" s="103"/>
      <c r="AV128" s="121" t="s">
        <v>163</v>
      </c>
      <c r="AW128" s="122"/>
      <c r="AX128" s="122"/>
    </row>
    <row r="129" spans="2:50" s="102" customFormat="1" ht="16" x14ac:dyDescent="0.2">
      <c r="B129" s="103" t="s">
        <v>54</v>
      </c>
      <c r="C129" s="103" t="s">
        <v>140</v>
      </c>
      <c r="D129" s="103" t="s">
        <v>165</v>
      </c>
      <c r="E129" s="103" t="s">
        <v>159</v>
      </c>
      <c r="F129" s="103" t="s">
        <v>58</v>
      </c>
      <c r="G129" s="124" t="s">
        <v>167</v>
      </c>
      <c r="H129" s="103">
        <v>-80</v>
      </c>
      <c r="I129" s="103" t="s">
        <v>150</v>
      </c>
      <c r="J129" s="103" t="s">
        <v>61</v>
      </c>
      <c r="K129" s="103" t="s">
        <v>62</v>
      </c>
      <c r="L129" s="103" t="s">
        <v>123</v>
      </c>
      <c r="M129" s="103" t="s">
        <v>150</v>
      </c>
      <c r="N129" s="103" t="s">
        <v>91</v>
      </c>
      <c r="O129" s="103" t="s">
        <v>126</v>
      </c>
      <c r="P129" s="103" t="s">
        <v>65</v>
      </c>
      <c r="Q129" s="103">
        <v>7.39</v>
      </c>
      <c r="R129" s="103">
        <v>4.08</v>
      </c>
      <c r="S129" s="103">
        <v>180</v>
      </c>
      <c r="T129" s="103">
        <v>171240</v>
      </c>
      <c r="U129" s="111">
        <f t="shared" si="114"/>
        <v>171240000000</v>
      </c>
      <c r="V129" s="103" t="s">
        <v>160</v>
      </c>
      <c r="W129" s="103" t="s">
        <v>66</v>
      </c>
      <c r="X129" s="103" t="s">
        <v>161</v>
      </c>
      <c r="Y129" s="107">
        <v>19.8</v>
      </c>
      <c r="Z129" s="103">
        <v>19.809999999999999</v>
      </c>
      <c r="AA129" s="103"/>
      <c r="AB129" s="107">
        <f t="shared" si="115"/>
        <v>19.805</v>
      </c>
      <c r="AC129" s="107">
        <f t="shared" si="116"/>
        <v>2.5084843217164581</v>
      </c>
      <c r="AD129" s="108">
        <f t="shared" si="117"/>
        <v>293793704.05437529</v>
      </c>
      <c r="AE129" s="107">
        <f t="shared" si="124"/>
        <v>30.787989745168812</v>
      </c>
      <c r="AF129" s="103">
        <v>26.21</v>
      </c>
      <c r="AG129" s="125">
        <v>26.06</v>
      </c>
      <c r="AH129" s="103"/>
      <c r="AI129" s="107">
        <f t="shared" si="125"/>
        <v>26.134999999999998</v>
      </c>
      <c r="AJ129" s="103">
        <f t="shared" si="118"/>
        <v>60.925918681284678</v>
      </c>
      <c r="AK129" s="108">
        <f t="shared" si="108"/>
        <v>12.185183736256935</v>
      </c>
      <c r="AL129" s="103">
        <v>30.58</v>
      </c>
      <c r="AM129" s="103">
        <v>29.94</v>
      </c>
      <c r="AN129" s="103"/>
      <c r="AO129" s="107">
        <f t="shared" si="119"/>
        <v>30.259999999999998</v>
      </c>
      <c r="AP129" s="108">
        <f t="shared" si="120"/>
        <v>6.7782510792508858E-5</v>
      </c>
      <c r="AQ129" s="103">
        <f t="shared" si="121"/>
        <v>4014.8741543103833</v>
      </c>
      <c r="AR129" s="108">
        <f t="shared" si="109"/>
        <v>802.97483086207671</v>
      </c>
      <c r="AS129" s="108">
        <f t="shared" si="122"/>
        <v>65.897638332102474</v>
      </c>
      <c r="AT129" s="108">
        <f t="shared" si="123"/>
        <v>11284311587989.229</v>
      </c>
      <c r="AU129" s="103"/>
      <c r="AV129" s="121" t="s">
        <v>163</v>
      </c>
      <c r="AW129" s="122"/>
      <c r="AX129" s="122"/>
    </row>
    <row r="130" spans="2:50" ht="15" x14ac:dyDescent="0.2">
      <c r="B130" s="8"/>
      <c r="C130" s="8"/>
      <c r="D130" s="8"/>
      <c r="E130" s="8" t="s">
        <v>154</v>
      </c>
      <c r="F130" s="8"/>
      <c r="G130" s="8" t="s">
        <v>106</v>
      </c>
      <c r="H130" s="8"/>
      <c r="I130" s="8"/>
      <c r="J130" s="8"/>
      <c r="K130" s="8"/>
      <c r="L130" s="8"/>
      <c r="M130" s="8" t="s">
        <v>108</v>
      </c>
      <c r="N130" s="8" t="s">
        <v>107</v>
      </c>
      <c r="O130" s="8" t="s">
        <v>108</v>
      </c>
      <c r="P130" s="8" t="s">
        <v>108</v>
      </c>
      <c r="Q130" s="8" t="s">
        <v>108</v>
      </c>
      <c r="R130" s="8" t="s">
        <v>108</v>
      </c>
      <c r="S130" s="8" t="s">
        <v>108</v>
      </c>
      <c r="T130" s="8"/>
      <c r="U130" s="10"/>
      <c r="V130" s="8" t="s">
        <v>108</v>
      </c>
      <c r="W130" s="8" t="s">
        <v>108</v>
      </c>
      <c r="X130" s="11" t="s">
        <v>108</v>
      </c>
      <c r="Y130" s="8">
        <v>17.940000000000001</v>
      </c>
      <c r="Z130" s="8">
        <v>18.149999999999999</v>
      </c>
      <c r="AA130" s="8"/>
      <c r="AB130" s="18">
        <f t="shared" si="115"/>
        <v>18.045000000000002</v>
      </c>
      <c r="AC130" s="18">
        <f t="shared" si="116"/>
        <v>8.1476067209294953</v>
      </c>
      <c r="AD130" s="19">
        <f t="shared" si="117"/>
        <v>954247765.07364142</v>
      </c>
      <c r="AE130" s="18">
        <f t="shared" si="124"/>
        <v>100</v>
      </c>
      <c r="AF130" s="18">
        <v>30.5</v>
      </c>
      <c r="AG130" s="8">
        <v>30.98</v>
      </c>
      <c r="AH130" s="8"/>
      <c r="AI130" s="18">
        <f t="shared" si="125"/>
        <v>30.740000000000002</v>
      </c>
      <c r="AJ130" s="8">
        <f t="shared" si="118"/>
        <v>2.1499231531189897</v>
      </c>
      <c r="AK130" s="50">
        <f t="shared" si="108"/>
        <v>0.42998463062379794</v>
      </c>
      <c r="AL130" s="8">
        <v>29.75</v>
      </c>
      <c r="AM130" s="8">
        <v>29.96</v>
      </c>
      <c r="AN130" s="8"/>
      <c r="AO130" s="18">
        <f t="shared" si="119"/>
        <v>29.855</v>
      </c>
      <c r="AP130" s="19">
        <f t="shared" si="120"/>
        <v>8.8602613207294122E-5</v>
      </c>
      <c r="AQ130" s="8">
        <f t="shared" si="121"/>
        <v>5248.0844632512362</v>
      </c>
      <c r="AR130" s="50">
        <f t="shared" si="109"/>
        <v>1049.6168926502473</v>
      </c>
      <c r="AS130" s="19">
        <f t="shared" si="122"/>
        <v>2441.0567678373091</v>
      </c>
      <c r="AT130" s="19" t="s">
        <v>108</v>
      </c>
      <c r="AU130" s="8"/>
      <c r="AV130" s="43"/>
      <c r="AW130" s="28"/>
      <c r="AX130" s="28"/>
    </row>
    <row r="131" spans="2:50" ht="15" x14ac:dyDescent="0.2">
      <c r="B131" s="8"/>
      <c r="C131" s="8"/>
      <c r="D131" s="8"/>
      <c r="E131" s="4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10"/>
      <c r="V131" s="8"/>
      <c r="W131" s="8"/>
      <c r="X131" s="11"/>
      <c r="Y131" s="8"/>
      <c r="Z131" s="8"/>
      <c r="AA131" s="8"/>
      <c r="AB131" s="18"/>
      <c r="AC131" s="18"/>
      <c r="AD131" s="8"/>
      <c r="AE131" s="8"/>
      <c r="AF131" s="18"/>
      <c r="AG131" s="8"/>
      <c r="AH131" s="8"/>
      <c r="AI131" s="18"/>
      <c r="AJ131" s="8"/>
      <c r="AK131" s="50">
        <f t="shared" si="108"/>
        <v>0</v>
      </c>
      <c r="AL131" s="8"/>
      <c r="AM131" s="8"/>
      <c r="AN131" s="8"/>
      <c r="AO131" s="18"/>
      <c r="AP131" s="8"/>
      <c r="AQ131" s="8"/>
      <c r="AR131" s="50">
        <f t="shared" si="109"/>
        <v>0</v>
      </c>
      <c r="AS131" s="8"/>
      <c r="AT131" s="8"/>
      <c r="AU131" s="8"/>
      <c r="AV131" s="44"/>
      <c r="AW131" s="28"/>
      <c r="AX131" s="28"/>
    </row>
    <row r="132" spans="2:50" s="102" customFormat="1" x14ac:dyDescent="0.15">
      <c r="B132" s="103" t="s">
        <v>54</v>
      </c>
      <c r="C132" s="103" t="s">
        <v>140</v>
      </c>
      <c r="D132" s="126" t="s">
        <v>168</v>
      </c>
      <c r="E132" s="109" t="s">
        <v>57</v>
      </c>
      <c r="F132" s="127" t="s">
        <v>58</v>
      </c>
      <c r="G132" s="103" t="s">
        <v>59</v>
      </c>
      <c r="H132" s="103">
        <v>-20</v>
      </c>
      <c r="I132" s="103" t="s">
        <v>161</v>
      </c>
      <c r="J132" s="103" t="s">
        <v>61</v>
      </c>
      <c r="K132" s="103" t="s">
        <v>62</v>
      </c>
      <c r="L132" s="103" t="s">
        <v>123</v>
      </c>
      <c r="M132" s="103" t="s">
        <v>169</v>
      </c>
      <c r="N132" s="103" t="s">
        <v>91</v>
      </c>
      <c r="O132" s="103" t="s">
        <v>126</v>
      </c>
      <c r="P132" s="103" t="s">
        <v>65</v>
      </c>
      <c r="Q132" s="103">
        <v>7.02</v>
      </c>
      <c r="R132" s="107">
        <v>3.7</v>
      </c>
      <c r="S132" s="103"/>
      <c r="T132" s="103"/>
      <c r="U132" s="111"/>
      <c r="V132" s="103" t="s">
        <v>169</v>
      </c>
      <c r="W132" s="103" t="s">
        <v>66</v>
      </c>
      <c r="X132" s="126" t="s">
        <v>170</v>
      </c>
      <c r="Y132" s="103">
        <v>18.47</v>
      </c>
      <c r="Z132" s="103">
        <v>17.59</v>
      </c>
      <c r="AA132" s="103"/>
      <c r="AB132" s="107">
        <f>AVERAGE(Y132:AA132)</f>
        <v>18.03</v>
      </c>
      <c r="AC132" s="107">
        <f t="shared" si="116"/>
        <v>8.229822038115465</v>
      </c>
      <c r="AD132" s="108">
        <f t="shared" si="117"/>
        <v>963876823.68762696</v>
      </c>
      <c r="AE132" s="107">
        <f>AD132*100/AD$138</f>
        <v>20.060335017697195</v>
      </c>
      <c r="AF132" s="103">
        <v>21.09</v>
      </c>
      <c r="AG132" s="103">
        <v>20.69</v>
      </c>
      <c r="AH132" s="103"/>
      <c r="AI132" s="107">
        <f>AVERAGE(AF132:AH132)</f>
        <v>20.89</v>
      </c>
      <c r="AJ132" s="103">
        <f t="shared" si="118"/>
        <v>2748.0964797383353</v>
      </c>
      <c r="AK132" s="108">
        <f t="shared" si="108"/>
        <v>549.61929594766707</v>
      </c>
      <c r="AL132" s="103">
        <v>28.51</v>
      </c>
      <c r="AM132" s="103">
        <v>28.21</v>
      </c>
      <c r="AN132" s="103"/>
      <c r="AO132" s="107">
        <f>AVERAGE(AL132:AN132)</f>
        <v>28.36</v>
      </c>
      <c r="AP132" s="108">
        <f t="shared" si="120"/>
        <v>2.3815410529480792E-4</v>
      </c>
      <c r="AQ132" s="103">
        <f t="shared" si="121"/>
        <v>14106.275363831905</v>
      </c>
      <c r="AR132" s="108">
        <f t="shared" si="109"/>
        <v>2821.2550727663811</v>
      </c>
      <c r="AS132" s="108">
        <f t="shared" si="122"/>
        <v>5.13310775943902</v>
      </c>
      <c r="AT132" s="108"/>
      <c r="AU132" s="103"/>
      <c r="AV132" s="111"/>
      <c r="AW132" s="109"/>
      <c r="AX132" s="109"/>
    </row>
    <row r="133" spans="2:50" s="102" customFormat="1" x14ac:dyDescent="0.15">
      <c r="B133" s="103" t="s">
        <v>54</v>
      </c>
      <c r="C133" s="103" t="s">
        <v>140</v>
      </c>
      <c r="D133" s="103" t="s">
        <v>171</v>
      </c>
      <c r="E133" s="109" t="s">
        <v>57</v>
      </c>
      <c r="F133" s="127" t="s">
        <v>58</v>
      </c>
      <c r="G133" s="103" t="s">
        <v>59</v>
      </c>
      <c r="H133" s="103">
        <v>-20</v>
      </c>
      <c r="I133" s="103" t="s">
        <v>161</v>
      </c>
      <c r="J133" s="103" t="s">
        <v>61</v>
      </c>
      <c r="K133" s="103" t="s">
        <v>62</v>
      </c>
      <c r="L133" s="103" t="s">
        <v>123</v>
      </c>
      <c r="M133" s="103" t="s">
        <v>169</v>
      </c>
      <c r="N133" s="103" t="s">
        <v>91</v>
      </c>
      <c r="O133" s="103" t="s">
        <v>126</v>
      </c>
      <c r="P133" s="103" t="s">
        <v>65</v>
      </c>
      <c r="Q133" s="103">
        <v>7.08</v>
      </c>
      <c r="R133" s="107">
        <v>3.8</v>
      </c>
      <c r="S133" s="103"/>
      <c r="T133" s="103"/>
      <c r="U133" s="111"/>
      <c r="V133" s="103" t="s">
        <v>169</v>
      </c>
      <c r="W133" s="103" t="s">
        <v>66</v>
      </c>
      <c r="X133" s="126" t="s">
        <v>170</v>
      </c>
      <c r="Y133" s="103">
        <v>18.510000000000002</v>
      </c>
      <c r="Z133" s="103">
        <v>16.940000000000001</v>
      </c>
      <c r="AA133" s="103"/>
      <c r="AB133" s="107">
        <f t="shared" ref="AB133:AB156" si="126">AVERAGE(Y133:AA133)</f>
        <v>17.725000000000001</v>
      </c>
      <c r="AC133" s="107">
        <f t="shared" si="116"/>
        <v>10.093728838874867</v>
      </c>
      <c r="AD133" s="108">
        <f t="shared" si="117"/>
        <v>1182177603.2725441</v>
      </c>
      <c r="AE133" s="107">
        <f t="shared" ref="AE133:AE138" si="127">AD133*100/AD$138</f>
        <v>24.603640412616738</v>
      </c>
      <c r="AF133" s="103">
        <v>20.55</v>
      </c>
      <c r="AG133" s="103">
        <v>20.420000000000002</v>
      </c>
      <c r="AH133" s="103"/>
      <c r="AI133" s="107">
        <f t="shared" ref="AI133:AI156" si="128">AVERAGE(AF133:AH133)</f>
        <v>20.484999999999999</v>
      </c>
      <c r="AJ133" s="103">
        <f t="shared" si="118"/>
        <v>3687.7854538289812</v>
      </c>
      <c r="AK133" s="108">
        <f t="shared" si="108"/>
        <v>737.55709076579626</v>
      </c>
      <c r="AL133" s="103">
        <v>26.64</v>
      </c>
      <c r="AM133" s="103">
        <v>27.56</v>
      </c>
      <c r="AN133" s="103"/>
      <c r="AO133" s="107">
        <f t="shared" ref="AO133:AO156" si="129">AVERAGE(AL133:AN133)</f>
        <v>27.1</v>
      </c>
      <c r="AP133" s="108">
        <f t="shared" si="120"/>
        <v>5.4798685460050363E-4</v>
      </c>
      <c r="AQ133" s="103">
        <f t="shared" si="121"/>
        <v>32458.199522472587</v>
      </c>
      <c r="AR133" s="108">
        <f t="shared" si="109"/>
        <v>6491.6399044945174</v>
      </c>
      <c r="AS133" s="108">
        <f t="shared" si="122"/>
        <v>8.8015422612971275</v>
      </c>
      <c r="AT133" s="103"/>
      <c r="AU133" s="103"/>
      <c r="AV133" s="103"/>
      <c r="AW133" s="109"/>
      <c r="AX133" s="109"/>
    </row>
    <row r="134" spans="2:50" s="79" customFormat="1" x14ac:dyDescent="0.15">
      <c r="B134" s="80" t="s">
        <v>54</v>
      </c>
      <c r="C134" s="80" t="s">
        <v>140</v>
      </c>
      <c r="D134" s="80" t="s">
        <v>172</v>
      </c>
      <c r="E134" s="81" t="s">
        <v>57</v>
      </c>
      <c r="F134" s="82" t="s">
        <v>58</v>
      </c>
      <c r="G134" s="80" t="s">
        <v>59</v>
      </c>
      <c r="H134" s="80">
        <v>-20</v>
      </c>
      <c r="I134" s="80" t="s">
        <v>161</v>
      </c>
      <c r="J134" s="80" t="s">
        <v>61</v>
      </c>
      <c r="K134" s="80" t="s">
        <v>62</v>
      </c>
      <c r="L134" s="80" t="s">
        <v>123</v>
      </c>
      <c r="M134" s="80" t="s">
        <v>169</v>
      </c>
      <c r="N134" s="80" t="s">
        <v>91</v>
      </c>
      <c r="O134" s="80" t="s">
        <v>126</v>
      </c>
      <c r="P134" s="80" t="s">
        <v>65</v>
      </c>
      <c r="Q134" s="80">
        <v>7.24</v>
      </c>
      <c r="R134" s="80">
        <v>3.63</v>
      </c>
      <c r="S134" s="80"/>
      <c r="T134" s="80"/>
      <c r="U134" s="165"/>
      <c r="V134" s="80" t="s">
        <v>169</v>
      </c>
      <c r="W134" s="80" t="s">
        <v>66</v>
      </c>
      <c r="X134" s="83" t="s">
        <v>170</v>
      </c>
      <c r="Y134" s="80">
        <v>19.12</v>
      </c>
      <c r="Z134" s="80">
        <v>18.62</v>
      </c>
      <c r="AA134" s="80"/>
      <c r="AB134" s="84">
        <f t="shared" si="126"/>
        <v>18.87</v>
      </c>
      <c r="AC134" s="84">
        <f t="shared" si="116"/>
        <v>4.6903884064952175</v>
      </c>
      <c r="AD134" s="85">
        <f t="shared" si="117"/>
        <v>549338328.11640322</v>
      </c>
      <c r="AE134" s="84">
        <f t="shared" si="127"/>
        <v>11.432903696051566</v>
      </c>
      <c r="AF134" s="80">
        <v>21.25</v>
      </c>
      <c r="AG134" s="80">
        <v>21.61</v>
      </c>
      <c r="AH134" s="80"/>
      <c r="AI134" s="84">
        <f t="shared" si="128"/>
        <v>21.43</v>
      </c>
      <c r="AJ134" s="80">
        <f t="shared" si="118"/>
        <v>1856.6088413175066</v>
      </c>
      <c r="AK134" s="85">
        <f t="shared" si="108"/>
        <v>371.32176826350133</v>
      </c>
      <c r="AL134" s="80">
        <v>26.82</v>
      </c>
      <c r="AM134" s="80">
        <v>27.32</v>
      </c>
      <c r="AN134" s="80"/>
      <c r="AO134" s="84">
        <f t="shared" si="129"/>
        <v>27.07</v>
      </c>
      <c r="AP134" s="85">
        <f t="shared" si="120"/>
        <v>5.5896819122871447E-4</v>
      </c>
      <c r="AQ134" s="80">
        <f t="shared" si="121"/>
        <v>33108.642890428477</v>
      </c>
      <c r="AR134" s="85">
        <f t="shared" si="109"/>
        <v>6621.7285780856955</v>
      </c>
      <c r="AS134" s="85">
        <f t="shared" si="122"/>
        <v>17.832858571832272</v>
      </c>
      <c r="AT134" s="80"/>
      <c r="AU134" s="80"/>
      <c r="AV134" s="80"/>
      <c r="AW134" s="81"/>
      <c r="AX134" s="81"/>
    </row>
    <row r="135" spans="2:50" s="51" customFormat="1" x14ac:dyDescent="0.15">
      <c r="B135" s="45" t="s">
        <v>54</v>
      </c>
      <c r="C135" s="45" t="s">
        <v>55</v>
      </c>
      <c r="D135" s="45" t="s">
        <v>168</v>
      </c>
      <c r="E135" s="46" t="s">
        <v>57</v>
      </c>
      <c r="F135" s="47" t="s">
        <v>58</v>
      </c>
      <c r="G135" s="45" t="s">
        <v>59</v>
      </c>
      <c r="H135" s="45">
        <v>-20</v>
      </c>
      <c r="I135" s="45" t="s">
        <v>161</v>
      </c>
      <c r="J135" s="45" t="s">
        <v>61</v>
      </c>
      <c r="K135" s="45" t="s">
        <v>62</v>
      </c>
      <c r="L135" s="45" t="s">
        <v>123</v>
      </c>
      <c r="M135" s="45" t="s">
        <v>169</v>
      </c>
      <c r="N135" s="45" t="s">
        <v>91</v>
      </c>
      <c r="O135" s="45" t="s">
        <v>126</v>
      </c>
      <c r="P135" s="45" t="s">
        <v>65</v>
      </c>
      <c r="Q135" s="45">
        <v>7.02</v>
      </c>
      <c r="R135" s="45">
        <v>4.33</v>
      </c>
      <c r="S135" s="45"/>
      <c r="T135" s="45"/>
      <c r="U135" s="53"/>
      <c r="V135" s="45" t="s">
        <v>169</v>
      </c>
      <c r="W135" s="45" t="s">
        <v>66</v>
      </c>
      <c r="X135" s="48" t="s">
        <v>170</v>
      </c>
      <c r="Y135" s="45">
        <v>18.829999999999998</v>
      </c>
      <c r="Z135" s="45">
        <v>19.079999999999998</v>
      </c>
      <c r="AA135" s="45"/>
      <c r="AB135" s="49">
        <f t="shared" si="126"/>
        <v>18.954999999999998</v>
      </c>
      <c r="AC135" s="49">
        <f t="shared" si="116"/>
        <v>4.4309816515080422</v>
      </c>
      <c r="AD135" s="50">
        <f t="shared" si="117"/>
        <v>518956606.87356967</v>
      </c>
      <c r="AE135" s="49">
        <f t="shared" si="127"/>
        <v>10.800595198152623</v>
      </c>
      <c r="AF135" s="45">
        <v>19.54</v>
      </c>
      <c r="AG135" s="45">
        <v>19.18</v>
      </c>
      <c r="AH135" s="45"/>
      <c r="AI135" s="49">
        <f t="shared" si="128"/>
        <v>19.36</v>
      </c>
      <c r="AJ135" s="128">
        <f t="shared" si="118"/>
        <v>8347.980004185074</v>
      </c>
      <c r="AK135" s="50">
        <f t="shared" si="108"/>
        <v>1669.5960008370148</v>
      </c>
      <c r="AL135" s="45">
        <v>26.87</v>
      </c>
      <c r="AM135" s="45">
        <v>28.14</v>
      </c>
      <c r="AN135" s="45"/>
      <c r="AO135" s="49">
        <f t="shared" si="129"/>
        <v>27.505000000000003</v>
      </c>
      <c r="AP135" s="50">
        <f t="shared" si="120"/>
        <v>4.192192932189241E-4</v>
      </c>
      <c r="AQ135" s="45">
        <f t="shared" si="121"/>
        <v>24831.076418593475</v>
      </c>
      <c r="AR135" s="50">
        <f t="shared" si="109"/>
        <v>4966.215283718695</v>
      </c>
      <c r="AS135" s="50">
        <f t="shared" si="122"/>
        <v>2.9745011854538426</v>
      </c>
      <c r="AT135" s="45"/>
      <c r="AU135" s="45"/>
      <c r="AV135" s="45"/>
      <c r="AW135" s="46"/>
      <c r="AX135" s="46"/>
    </row>
    <row r="136" spans="2:50" s="51" customFormat="1" x14ac:dyDescent="0.15">
      <c r="B136" s="45" t="s">
        <v>54</v>
      </c>
      <c r="C136" s="45" t="s">
        <v>55</v>
      </c>
      <c r="D136" s="45" t="s">
        <v>171</v>
      </c>
      <c r="E136" s="46" t="s">
        <v>57</v>
      </c>
      <c r="F136" s="47" t="s">
        <v>58</v>
      </c>
      <c r="G136" s="45" t="s">
        <v>59</v>
      </c>
      <c r="H136" s="45">
        <v>-20</v>
      </c>
      <c r="I136" s="45" t="s">
        <v>161</v>
      </c>
      <c r="J136" s="45" t="s">
        <v>61</v>
      </c>
      <c r="K136" s="45" t="s">
        <v>62</v>
      </c>
      <c r="L136" s="45" t="s">
        <v>123</v>
      </c>
      <c r="M136" s="45" t="s">
        <v>169</v>
      </c>
      <c r="N136" s="45" t="s">
        <v>91</v>
      </c>
      <c r="O136" s="45" t="s">
        <v>126</v>
      </c>
      <c r="P136" s="45" t="s">
        <v>65</v>
      </c>
      <c r="Q136" s="45">
        <v>7.13</v>
      </c>
      <c r="R136" s="45">
        <v>4.54</v>
      </c>
      <c r="S136" s="45"/>
      <c r="T136" s="45"/>
      <c r="U136" s="53"/>
      <c r="V136" s="45" t="s">
        <v>169</v>
      </c>
      <c r="W136" s="45" t="s">
        <v>66</v>
      </c>
      <c r="X136" s="48" t="s">
        <v>170</v>
      </c>
      <c r="Y136" s="45">
        <v>17.87</v>
      </c>
      <c r="Z136" s="45">
        <v>19.47</v>
      </c>
      <c r="AA136" s="45"/>
      <c r="AB136" s="49">
        <f t="shared" si="126"/>
        <v>18.670000000000002</v>
      </c>
      <c r="AC136" s="49">
        <f t="shared" si="116"/>
        <v>5.3622528975452255</v>
      </c>
      <c r="AD136" s="50">
        <f t="shared" si="117"/>
        <v>628027102.74391365</v>
      </c>
      <c r="AE136" s="49">
        <f t="shared" si="127"/>
        <v>13.070585132483219</v>
      </c>
      <c r="AF136" s="45">
        <v>21.05</v>
      </c>
      <c r="AG136" s="45">
        <v>20.92</v>
      </c>
      <c r="AH136" s="45"/>
      <c r="AI136" s="49">
        <f t="shared" si="128"/>
        <v>20.984999999999999</v>
      </c>
      <c r="AJ136" s="45">
        <f t="shared" si="118"/>
        <v>2564.8959785587008</v>
      </c>
      <c r="AK136" s="50">
        <f t="shared" si="108"/>
        <v>512.9791957117402</v>
      </c>
      <c r="AL136" s="45">
        <v>28.02</v>
      </c>
      <c r="AM136" s="45">
        <v>26.79</v>
      </c>
      <c r="AN136" s="45"/>
      <c r="AO136" s="49">
        <f t="shared" si="129"/>
        <v>27.405000000000001</v>
      </c>
      <c r="AP136" s="50">
        <f t="shared" si="120"/>
        <v>4.4788285864507342E-4</v>
      </c>
      <c r="AQ136" s="45">
        <f t="shared" si="121"/>
        <v>26528.868469290868</v>
      </c>
      <c r="AR136" s="50">
        <f t="shared" si="109"/>
        <v>5305.7736938581738</v>
      </c>
      <c r="AS136" s="50">
        <f t="shared" si="122"/>
        <v>10.343058233573398</v>
      </c>
      <c r="AT136" s="45"/>
      <c r="AU136" s="45"/>
      <c r="AV136" s="45"/>
      <c r="AW136" s="46"/>
      <c r="AX136" s="46"/>
    </row>
    <row r="137" spans="2:50" s="79" customFormat="1" x14ac:dyDescent="0.15">
      <c r="B137" s="80" t="s">
        <v>54</v>
      </c>
      <c r="C137" s="80" t="s">
        <v>55</v>
      </c>
      <c r="D137" s="80" t="s">
        <v>172</v>
      </c>
      <c r="E137" s="81" t="s">
        <v>57</v>
      </c>
      <c r="F137" s="82" t="s">
        <v>58</v>
      </c>
      <c r="G137" s="80" t="s">
        <v>59</v>
      </c>
      <c r="H137" s="80">
        <v>-20</v>
      </c>
      <c r="I137" s="80" t="s">
        <v>161</v>
      </c>
      <c r="J137" s="80" t="s">
        <v>61</v>
      </c>
      <c r="K137" s="80" t="s">
        <v>62</v>
      </c>
      <c r="L137" s="80" t="s">
        <v>123</v>
      </c>
      <c r="M137" s="80" t="s">
        <v>169</v>
      </c>
      <c r="N137" s="80" t="s">
        <v>91</v>
      </c>
      <c r="O137" s="80" t="s">
        <v>126</v>
      </c>
      <c r="P137" s="80" t="s">
        <v>65</v>
      </c>
      <c r="Q137" s="80">
        <v>7.27</v>
      </c>
      <c r="R137" s="84">
        <v>4.3</v>
      </c>
      <c r="S137" s="80"/>
      <c r="T137" s="80"/>
      <c r="U137" s="165"/>
      <c r="V137" s="80" t="s">
        <v>169</v>
      </c>
      <c r="W137" s="80" t="s">
        <v>66</v>
      </c>
      <c r="X137" s="83" t="s">
        <v>170</v>
      </c>
      <c r="Y137" s="80">
        <v>18.850000000000001</v>
      </c>
      <c r="Z137" s="80">
        <v>18.57</v>
      </c>
      <c r="AA137" s="80"/>
      <c r="AB137" s="84">
        <f t="shared" si="126"/>
        <v>18.71</v>
      </c>
      <c r="AC137" s="84">
        <f t="shared" si="116"/>
        <v>5.2205901014864207</v>
      </c>
      <c r="AD137" s="85">
        <f t="shared" si="117"/>
        <v>611435554.92338073</v>
      </c>
      <c r="AE137" s="84">
        <f t="shared" si="127"/>
        <v>12.725279591813949</v>
      </c>
      <c r="AF137" s="84">
        <v>18.899999999999999</v>
      </c>
      <c r="AG137" s="80">
        <v>19.13</v>
      </c>
      <c r="AH137" s="80"/>
      <c r="AI137" s="84">
        <f t="shared" si="128"/>
        <v>19.015000000000001</v>
      </c>
      <c r="AJ137" s="80">
        <f t="shared" si="118"/>
        <v>10724.858338971682</v>
      </c>
      <c r="AK137" s="85">
        <f t="shared" si="108"/>
        <v>2144.9716677943366</v>
      </c>
      <c r="AL137" s="80">
        <v>24.55</v>
      </c>
      <c r="AM137" s="80">
        <v>24.53</v>
      </c>
      <c r="AN137" s="80"/>
      <c r="AO137" s="84">
        <f t="shared" si="129"/>
        <v>24.54</v>
      </c>
      <c r="AP137" s="85">
        <f t="shared" si="120"/>
        <v>2.9790894878629578E-3</v>
      </c>
      <c r="AQ137" s="80">
        <f t="shared" si="121"/>
        <v>176456.57040961381</v>
      </c>
      <c r="AR137" s="85">
        <f t="shared" si="109"/>
        <v>35291.314081922763</v>
      </c>
      <c r="AS137" s="85">
        <f t="shared" si="122"/>
        <v>16.453044397650547</v>
      </c>
      <c r="AT137" s="80"/>
      <c r="AU137" s="80"/>
      <c r="AV137" s="80"/>
      <c r="AW137" s="81"/>
      <c r="AX137" s="81"/>
    </row>
    <row r="138" spans="2:50" x14ac:dyDescent="0.15">
      <c r="B138" s="8"/>
      <c r="C138" s="8"/>
      <c r="D138" s="8"/>
      <c r="E138" s="8" t="s">
        <v>173</v>
      </c>
      <c r="F138" s="8"/>
      <c r="G138" s="8" t="s">
        <v>106</v>
      </c>
      <c r="H138" s="8">
        <v>-80</v>
      </c>
      <c r="I138" s="8"/>
      <c r="J138" s="8"/>
      <c r="K138" s="8"/>
      <c r="L138" s="8"/>
      <c r="M138" s="8"/>
      <c r="N138" s="8" t="s">
        <v>107</v>
      </c>
      <c r="O138" s="8" t="s">
        <v>108</v>
      </c>
      <c r="P138" s="8" t="s">
        <v>108</v>
      </c>
      <c r="Q138" s="8" t="s">
        <v>108</v>
      </c>
      <c r="R138" s="8" t="s">
        <v>108</v>
      </c>
      <c r="S138" s="8"/>
      <c r="T138" s="8"/>
      <c r="U138" s="10"/>
      <c r="V138" s="8" t="s">
        <v>108</v>
      </c>
      <c r="W138" s="8" t="s">
        <v>108</v>
      </c>
      <c r="X138" s="11" t="s">
        <v>170</v>
      </c>
      <c r="Y138" s="8">
        <v>15.6</v>
      </c>
      <c r="Z138" s="8">
        <v>15.66</v>
      </c>
      <c r="AA138" s="8"/>
      <c r="AB138" s="18">
        <f t="shared" si="126"/>
        <v>15.629999999999999</v>
      </c>
      <c r="AC138" s="18">
        <f t="shared" si="116"/>
        <v>41.025346938897734</v>
      </c>
      <c r="AD138" s="19">
        <f t="shared" si="117"/>
        <v>4804888965.4001112</v>
      </c>
      <c r="AE138" s="18">
        <f t="shared" si="127"/>
        <v>100</v>
      </c>
      <c r="AF138" s="18">
        <v>24.1</v>
      </c>
      <c r="AG138" s="8">
        <v>24.66</v>
      </c>
      <c r="AH138" s="8"/>
      <c r="AI138" s="18">
        <f t="shared" si="128"/>
        <v>24.380000000000003</v>
      </c>
      <c r="AJ138" s="8">
        <f t="shared" si="118"/>
        <v>217.92881705737256</v>
      </c>
      <c r="AK138" s="50">
        <f t="shared" si="108"/>
        <v>43.58576341147451</v>
      </c>
      <c r="AL138" s="8">
        <v>26.97</v>
      </c>
      <c r="AM138" s="8">
        <v>28.35</v>
      </c>
      <c r="AN138" s="8"/>
      <c r="AO138" s="18">
        <f t="shared" si="129"/>
        <v>27.66</v>
      </c>
      <c r="AP138" s="19">
        <f t="shared" si="120"/>
        <v>3.7837316904506618E-4</v>
      </c>
      <c r="AQ138" s="8">
        <f t="shared" si="121"/>
        <v>22411.690557373673</v>
      </c>
      <c r="AR138" s="50">
        <f t="shared" si="109"/>
        <v>4482.3381114747344</v>
      </c>
      <c r="AS138" s="19">
        <f t="shared" si="122"/>
        <v>102.83949988804605</v>
      </c>
      <c r="AT138" s="8"/>
      <c r="AU138" s="8"/>
      <c r="AV138" s="8"/>
      <c r="AW138" s="9"/>
      <c r="AX138" s="9"/>
    </row>
    <row r="139" spans="2:50" x14ac:dyDescent="0.15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11"/>
      <c r="Y139" s="8"/>
      <c r="Z139" s="8"/>
      <c r="AA139" s="8"/>
      <c r="AB139" s="8"/>
      <c r="AC139" s="18"/>
      <c r="AD139" s="8"/>
      <c r="AE139" s="8"/>
      <c r="AF139" s="8"/>
      <c r="AG139" s="8"/>
      <c r="AH139" s="8"/>
      <c r="AI139" s="8"/>
      <c r="AJ139" s="8"/>
      <c r="AK139" s="50">
        <f t="shared" si="108"/>
        <v>0</v>
      </c>
      <c r="AL139" s="8"/>
      <c r="AM139" s="8"/>
      <c r="AN139" s="8"/>
      <c r="AO139" s="8"/>
      <c r="AP139" s="8"/>
      <c r="AQ139" s="8"/>
      <c r="AR139" s="50">
        <f t="shared" si="109"/>
        <v>0</v>
      </c>
      <c r="AS139" s="19"/>
      <c r="AT139" s="8"/>
      <c r="AU139" s="8"/>
      <c r="AV139" s="8"/>
      <c r="AW139" s="9"/>
      <c r="AX139" s="9"/>
    </row>
    <row r="140" spans="2:50" s="102" customFormat="1" x14ac:dyDescent="0.15">
      <c r="B140" s="103" t="s">
        <v>54</v>
      </c>
      <c r="C140" s="103" t="s">
        <v>140</v>
      </c>
      <c r="D140" s="103" t="s">
        <v>161</v>
      </c>
      <c r="E140" s="103" t="s">
        <v>57</v>
      </c>
      <c r="F140" s="127" t="s">
        <v>58</v>
      </c>
      <c r="G140" s="103" t="s">
        <v>59</v>
      </c>
      <c r="H140" s="103">
        <v>-20</v>
      </c>
      <c r="I140" s="103" t="s">
        <v>170</v>
      </c>
      <c r="J140" s="103" t="s">
        <v>61</v>
      </c>
      <c r="K140" s="103" t="s">
        <v>62</v>
      </c>
      <c r="L140" s="103" t="s">
        <v>123</v>
      </c>
      <c r="M140" s="103" t="s">
        <v>174</v>
      </c>
      <c r="N140" s="103" t="s">
        <v>91</v>
      </c>
      <c r="O140" s="103" t="s">
        <v>92</v>
      </c>
      <c r="P140" s="103" t="s">
        <v>65</v>
      </c>
      <c r="Q140" s="107">
        <v>7.3</v>
      </c>
      <c r="R140" s="103">
        <v>3.73</v>
      </c>
      <c r="S140" s="103"/>
      <c r="T140" s="103"/>
      <c r="U140" s="103"/>
      <c r="V140" s="103" t="s">
        <v>175</v>
      </c>
      <c r="W140" s="103" t="s">
        <v>66</v>
      </c>
      <c r="X140" s="126" t="s">
        <v>175</v>
      </c>
      <c r="Y140" s="103">
        <v>18.07</v>
      </c>
      <c r="Z140" s="103">
        <v>18.43</v>
      </c>
      <c r="AA140" s="103"/>
      <c r="AB140" s="107">
        <f t="shared" si="126"/>
        <v>18.25</v>
      </c>
      <c r="AC140" s="107">
        <f t="shared" si="116"/>
        <v>7.1029394220165614</v>
      </c>
      <c r="AD140" s="108">
        <f t="shared" si="117"/>
        <v>831896322.57305634</v>
      </c>
      <c r="AE140" s="107">
        <f>AD140*100/AD$144</f>
        <v>39.046053397005849</v>
      </c>
      <c r="AF140" s="103">
        <v>18.670000000000002</v>
      </c>
      <c r="AG140" s="103">
        <v>18.93</v>
      </c>
      <c r="AH140" s="103"/>
      <c r="AI140" s="107">
        <f t="shared" si="128"/>
        <v>18.8</v>
      </c>
      <c r="AJ140" s="103">
        <f t="shared" si="118"/>
        <v>12537.207022570268</v>
      </c>
      <c r="AK140" s="108">
        <f t="shared" si="108"/>
        <v>2507.4414045140538</v>
      </c>
      <c r="AL140" s="103">
        <v>30.48</v>
      </c>
      <c r="AM140" s="103">
        <v>30.55</v>
      </c>
      <c r="AN140" s="103"/>
      <c r="AO140" s="107">
        <f t="shared" si="129"/>
        <v>30.515000000000001</v>
      </c>
      <c r="AP140" s="108">
        <f t="shared" si="120"/>
        <v>5.7262926944737332E-5</v>
      </c>
      <c r="AQ140" s="103">
        <f t="shared" si="121"/>
        <v>3391.781194036233</v>
      </c>
      <c r="AR140" s="108">
        <f t="shared" si="109"/>
        <v>678.35623880724665</v>
      </c>
      <c r="AS140" s="108">
        <f t="shared" si="122"/>
        <v>0.27053722475270092</v>
      </c>
      <c r="AT140" s="103"/>
      <c r="AU140" s="103"/>
      <c r="AV140" s="103"/>
      <c r="AW140" s="109"/>
      <c r="AX140" s="109"/>
    </row>
    <row r="141" spans="2:50" s="102" customFormat="1" x14ac:dyDescent="0.15">
      <c r="B141" s="103" t="s">
        <v>54</v>
      </c>
      <c r="C141" s="103" t="s">
        <v>140</v>
      </c>
      <c r="D141" s="103" t="s">
        <v>169</v>
      </c>
      <c r="E141" s="103" t="s">
        <v>57</v>
      </c>
      <c r="F141" s="127" t="s">
        <v>58</v>
      </c>
      <c r="G141" s="103" t="s">
        <v>59</v>
      </c>
      <c r="H141" s="103">
        <v>-20</v>
      </c>
      <c r="I141" s="103" t="s">
        <v>170</v>
      </c>
      <c r="J141" s="103" t="s">
        <v>61</v>
      </c>
      <c r="K141" s="103" t="s">
        <v>62</v>
      </c>
      <c r="L141" s="103" t="s">
        <v>123</v>
      </c>
      <c r="M141" s="103" t="s">
        <v>174</v>
      </c>
      <c r="N141" s="103" t="s">
        <v>91</v>
      </c>
      <c r="O141" s="103" t="s">
        <v>92</v>
      </c>
      <c r="P141" s="103" t="s">
        <v>65</v>
      </c>
      <c r="Q141" s="103">
        <v>7.31</v>
      </c>
      <c r="R141" s="103">
        <v>3.74</v>
      </c>
      <c r="S141" s="103"/>
      <c r="T141" s="103"/>
      <c r="U141" s="103"/>
      <c r="V141" s="103" t="s">
        <v>175</v>
      </c>
      <c r="W141" s="103" t="s">
        <v>66</v>
      </c>
      <c r="X141" s="126" t="s">
        <v>175</v>
      </c>
      <c r="Y141" s="103">
        <v>18.670000000000002</v>
      </c>
      <c r="Z141" s="103">
        <v>18.55</v>
      </c>
      <c r="AA141" s="103"/>
      <c r="AB141" s="107">
        <f t="shared" si="126"/>
        <v>18.61</v>
      </c>
      <c r="AC141" s="107">
        <f t="shared" si="116"/>
        <v>5.5819872224635017</v>
      </c>
      <c r="AD141" s="108">
        <f t="shared" si="117"/>
        <v>653762388.65610719</v>
      </c>
      <c r="AE141" s="107">
        <f t="shared" ref="AE141:AE144" si="130">AD141*100/AD$144</f>
        <v>30.685123186343581</v>
      </c>
      <c r="AF141" s="103">
        <v>19.25</v>
      </c>
      <c r="AG141" s="103">
        <v>18.84</v>
      </c>
      <c r="AH141" s="103"/>
      <c r="AI141" s="107">
        <f t="shared" si="128"/>
        <v>19.045000000000002</v>
      </c>
      <c r="AJ141" s="103">
        <f t="shared" si="118"/>
        <v>10493.728194229652</v>
      </c>
      <c r="AK141" s="108">
        <f t="shared" si="108"/>
        <v>2098.7456388459304</v>
      </c>
      <c r="AL141" s="103">
        <v>31.09</v>
      </c>
      <c r="AM141" s="103">
        <v>31.11</v>
      </c>
      <c r="AN141" s="103"/>
      <c r="AO141" s="107">
        <f t="shared" si="129"/>
        <v>31.1</v>
      </c>
      <c r="AP141" s="108">
        <f t="shared" si="120"/>
        <v>3.8890447433373855E-5</v>
      </c>
      <c r="AQ141" s="103">
        <f t="shared" si="121"/>
        <v>2303.5477798658867</v>
      </c>
      <c r="AR141" s="108">
        <f t="shared" si="109"/>
        <v>460.70955597317732</v>
      </c>
      <c r="AS141" s="108">
        <f t="shared" si="122"/>
        <v>0.21951662338010372</v>
      </c>
      <c r="AT141" s="103"/>
      <c r="AU141" s="103"/>
      <c r="AV141" s="103"/>
      <c r="AW141" s="109"/>
      <c r="AX141" s="109"/>
    </row>
    <row r="142" spans="2:50" s="51" customFormat="1" x14ac:dyDescent="0.15">
      <c r="B142" s="45" t="s">
        <v>54</v>
      </c>
      <c r="C142" s="45" t="s">
        <v>55</v>
      </c>
      <c r="D142" s="45" t="s">
        <v>161</v>
      </c>
      <c r="E142" s="45" t="s">
        <v>57</v>
      </c>
      <c r="F142" s="47" t="s">
        <v>58</v>
      </c>
      <c r="G142" s="45" t="s">
        <v>59</v>
      </c>
      <c r="H142" s="45">
        <v>-20</v>
      </c>
      <c r="I142" s="45" t="s">
        <v>170</v>
      </c>
      <c r="J142" s="45" t="s">
        <v>61</v>
      </c>
      <c r="K142" s="45" t="s">
        <v>62</v>
      </c>
      <c r="L142" s="45" t="s">
        <v>123</v>
      </c>
      <c r="M142" s="45" t="s">
        <v>174</v>
      </c>
      <c r="N142" s="45" t="s">
        <v>91</v>
      </c>
      <c r="O142" s="45" t="s">
        <v>92</v>
      </c>
      <c r="P142" s="45" t="s">
        <v>65</v>
      </c>
      <c r="Q142" s="45">
        <v>7.46</v>
      </c>
      <c r="R142" s="45">
        <v>4.26</v>
      </c>
      <c r="S142" s="45"/>
      <c r="T142" s="45"/>
      <c r="U142" s="45"/>
      <c r="V142" s="45" t="s">
        <v>175</v>
      </c>
      <c r="W142" s="45" t="s">
        <v>66</v>
      </c>
      <c r="X142" s="48" t="s">
        <v>175</v>
      </c>
      <c r="Y142" s="45">
        <v>19.22</v>
      </c>
      <c r="Z142" s="45">
        <v>19.25</v>
      </c>
      <c r="AA142" s="45"/>
      <c r="AB142" s="49">
        <f t="shared" si="126"/>
        <v>19.234999999999999</v>
      </c>
      <c r="AC142" s="49">
        <f t="shared" si="116"/>
        <v>3.673720171203922</v>
      </c>
      <c r="AD142" s="50">
        <f t="shared" si="117"/>
        <v>430266136.1737116</v>
      </c>
      <c r="AE142" s="49">
        <f t="shared" si="130"/>
        <v>20.195058052425463</v>
      </c>
      <c r="AF142" s="45">
        <v>20.04</v>
      </c>
      <c r="AG142" s="45">
        <v>19.510000000000002</v>
      </c>
      <c r="AH142" s="45"/>
      <c r="AI142" s="49">
        <f t="shared" si="128"/>
        <v>19.774999999999999</v>
      </c>
      <c r="AJ142" s="45">
        <f t="shared" si="118"/>
        <v>6175.8083618401661</v>
      </c>
      <c r="AK142" s="50">
        <f t="shared" si="108"/>
        <v>1235.1616723680331</v>
      </c>
      <c r="AL142" s="45">
        <v>31.36</v>
      </c>
      <c r="AM142" s="45">
        <v>31.15</v>
      </c>
      <c r="AN142" s="45"/>
      <c r="AO142" s="49">
        <f t="shared" si="129"/>
        <v>31.254999999999999</v>
      </c>
      <c r="AP142" s="50">
        <f t="shared" si="120"/>
        <v>3.510120378276991E-5</v>
      </c>
      <c r="AQ142" s="45">
        <f t="shared" si="121"/>
        <v>2079.1043914560869</v>
      </c>
      <c r="AR142" s="50">
        <f t="shared" si="109"/>
        <v>415.82087829121735</v>
      </c>
      <c r="AS142" s="50">
        <f t="shared" si="122"/>
        <v>0.33665299660247061</v>
      </c>
      <c r="AT142" s="45"/>
      <c r="AU142" s="45"/>
      <c r="AV142" s="45"/>
      <c r="AW142" s="46"/>
      <c r="AX142" s="46"/>
    </row>
    <row r="143" spans="2:50" s="51" customFormat="1" x14ac:dyDescent="0.15">
      <c r="B143" s="45" t="s">
        <v>54</v>
      </c>
      <c r="C143" s="45" t="s">
        <v>55</v>
      </c>
      <c r="D143" s="45" t="s">
        <v>169</v>
      </c>
      <c r="E143" s="45" t="s">
        <v>57</v>
      </c>
      <c r="F143" s="47" t="s">
        <v>58</v>
      </c>
      <c r="G143" s="45" t="s">
        <v>59</v>
      </c>
      <c r="H143" s="45">
        <v>-20</v>
      </c>
      <c r="I143" s="45" t="s">
        <v>170</v>
      </c>
      <c r="J143" s="45" t="s">
        <v>61</v>
      </c>
      <c r="K143" s="45" t="s">
        <v>62</v>
      </c>
      <c r="L143" s="45" t="s">
        <v>123</v>
      </c>
      <c r="M143" s="45" t="s">
        <v>174</v>
      </c>
      <c r="N143" s="45" t="s">
        <v>91</v>
      </c>
      <c r="O143" s="45" t="s">
        <v>92</v>
      </c>
      <c r="P143" s="45" t="s">
        <v>65</v>
      </c>
      <c r="Q143" s="45">
        <v>6.79</v>
      </c>
      <c r="R143" s="45">
        <v>4.4800000000000004</v>
      </c>
      <c r="S143" s="45"/>
      <c r="T143" s="45"/>
      <c r="U143" s="45"/>
      <c r="V143" s="45" t="s">
        <v>175</v>
      </c>
      <c r="W143" s="45" t="s">
        <v>66</v>
      </c>
      <c r="X143" s="48" t="s">
        <v>175</v>
      </c>
      <c r="Y143" s="49">
        <v>23.5</v>
      </c>
      <c r="Z143" s="45">
        <v>23.26</v>
      </c>
      <c r="AA143" s="45"/>
      <c r="AB143" s="49">
        <f t="shared" si="126"/>
        <v>23.380000000000003</v>
      </c>
      <c r="AC143" s="49">
        <f t="shared" si="116"/>
        <v>0.22918488610032423</v>
      </c>
      <c r="AD143" s="50">
        <f t="shared" si="117"/>
        <v>26842135.714294985</v>
      </c>
      <c r="AE143" s="49">
        <f t="shared" si="130"/>
        <v>1.2598678897249223</v>
      </c>
      <c r="AF143" s="45">
        <v>21.31</v>
      </c>
      <c r="AG143" s="45">
        <v>21.46</v>
      </c>
      <c r="AH143" s="45"/>
      <c r="AI143" s="49">
        <f t="shared" si="128"/>
        <v>21.384999999999998</v>
      </c>
      <c r="AJ143" s="45">
        <f t="shared" si="118"/>
        <v>1918.2846181265438</v>
      </c>
      <c r="AK143" s="50">
        <f t="shared" si="108"/>
        <v>383.65692362530876</v>
      </c>
      <c r="AL143" s="45">
        <v>32.26</v>
      </c>
      <c r="AM143" s="45">
        <v>32.11</v>
      </c>
      <c r="AN143" s="45"/>
      <c r="AO143" s="49">
        <f t="shared" si="129"/>
        <v>32.185000000000002</v>
      </c>
      <c r="AP143" s="50">
        <f t="shared" si="120"/>
        <v>1.8975640176599252E-5</v>
      </c>
      <c r="AQ143" s="45">
        <f t="shared" si="121"/>
        <v>1123.9596529513894</v>
      </c>
      <c r="AR143" s="50">
        <f t="shared" si="109"/>
        <v>224.7919305902779</v>
      </c>
      <c r="AS143" s="50">
        <f t="shared" si="122"/>
        <v>0.58591912916920708</v>
      </c>
      <c r="AT143" s="45"/>
      <c r="AU143" s="45"/>
      <c r="AV143" s="45"/>
      <c r="AW143" s="46"/>
      <c r="AX143" s="46"/>
    </row>
    <row r="144" spans="2:50" x14ac:dyDescent="0.15">
      <c r="B144" s="8"/>
      <c r="C144" s="8"/>
      <c r="D144" s="8"/>
      <c r="E144" s="8" t="s">
        <v>173</v>
      </c>
      <c r="F144" s="8"/>
      <c r="G144" s="8" t="s">
        <v>106</v>
      </c>
      <c r="H144" s="8">
        <v>-80</v>
      </c>
      <c r="I144" s="8"/>
      <c r="J144" s="8"/>
      <c r="K144" s="8"/>
      <c r="L144" s="8"/>
      <c r="M144" s="8"/>
      <c r="N144" s="8" t="s">
        <v>107</v>
      </c>
      <c r="O144" s="8" t="s">
        <v>108</v>
      </c>
      <c r="P144" s="8" t="s">
        <v>108</v>
      </c>
      <c r="Q144" s="8" t="s">
        <v>108</v>
      </c>
      <c r="R144" s="8" t="s">
        <v>108</v>
      </c>
      <c r="S144" s="8"/>
      <c r="T144" s="8"/>
      <c r="U144" s="8"/>
      <c r="V144" s="8" t="s">
        <v>175</v>
      </c>
      <c r="W144" s="8" t="s">
        <v>66</v>
      </c>
      <c r="X144" s="11" t="s">
        <v>175</v>
      </c>
      <c r="Y144" s="8">
        <v>16.91</v>
      </c>
      <c r="Z144" s="8">
        <v>16.78</v>
      </c>
      <c r="AA144" s="8"/>
      <c r="AB144" s="18">
        <f t="shared" si="126"/>
        <v>16.844999999999999</v>
      </c>
      <c r="AC144" s="18">
        <f t="shared" si="116"/>
        <v>18.19118400980631</v>
      </c>
      <c r="AD144" s="19">
        <f t="shared" si="117"/>
        <v>2130551618.4046614</v>
      </c>
      <c r="AE144" s="18">
        <f t="shared" si="130"/>
        <v>100</v>
      </c>
      <c r="AF144" s="8">
        <v>26.75</v>
      </c>
      <c r="AG144" s="8">
        <v>26.82</v>
      </c>
      <c r="AH144" s="8"/>
      <c r="AI144" s="18">
        <f t="shared" si="128"/>
        <v>26.785</v>
      </c>
      <c r="AJ144" s="8">
        <f t="shared" si="118"/>
        <v>38.001210336019248</v>
      </c>
      <c r="AK144" s="50">
        <f t="shared" si="108"/>
        <v>7.6002420672038493</v>
      </c>
      <c r="AL144" s="18">
        <v>31.9</v>
      </c>
      <c r="AM144" s="8">
        <v>32.32</v>
      </c>
      <c r="AN144" s="8"/>
      <c r="AO144" s="18">
        <f t="shared" si="129"/>
        <v>32.11</v>
      </c>
      <c r="AP144" s="19">
        <f t="shared" si="120"/>
        <v>1.994062753521889E-5</v>
      </c>
      <c r="AQ144" s="8">
        <f t="shared" si="121"/>
        <v>1181.1175062097022</v>
      </c>
      <c r="AR144" s="50">
        <f t="shared" si="109"/>
        <v>236.22350124194045</v>
      </c>
      <c r="AS144" s="19">
        <f t="shared" si="122"/>
        <v>31.081049676204294</v>
      </c>
      <c r="AT144" s="8"/>
      <c r="AU144" s="8"/>
      <c r="AV144" s="8"/>
      <c r="AW144" s="9"/>
      <c r="AX144" s="9"/>
    </row>
    <row r="145" spans="2:50" x14ac:dyDescent="0.15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11"/>
      <c r="Y145" s="8"/>
      <c r="Z145" s="8"/>
      <c r="AA145" s="8"/>
      <c r="AB145" s="8"/>
      <c r="AC145" s="18"/>
      <c r="AD145" s="19"/>
      <c r="AE145" s="8"/>
      <c r="AF145" s="8"/>
      <c r="AG145" s="8"/>
      <c r="AH145" s="8"/>
      <c r="AI145" s="8"/>
      <c r="AJ145" s="8"/>
      <c r="AK145" s="50">
        <f t="shared" si="108"/>
        <v>0</v>
      </c>
      <c r="AL145" s="8"/>
      <c r="AM145" s="8"/>
      <c r="AN145" s="8"/>
      <c r="AO145" s="8"/>
      <c r="AP145" s="19"/>
      <c r="AQ145" s="8"/>
      <c r="AR145" s="50">
        <f t="shared" si="109"/>
        <v>0</v>
      </c>
      <c r="AS145" s="19"/>
      <c r="AT145" s="8"/>
      <c r="AU145" s="8"/>
      <c r="AV145" s="8"/>
      <c r="AW145" s="9"/>
      <c r="AX145" s="9"/>
    </row>
    <row r="146" spans="2:50" s="51" customFormat="1" x14ac:dyDescent="0.15">
      <c r="B146" s="45" t="s">
        <v>54</v>
      </c>
      <c r="C146" s="45" t="s">
        <v>55</v>
      </c>
      <c r="D146" s="45" t="s">
        <v>170</v>
      </c>
      <c r="E146" s="45" t="s">
        <v>57</v>
      </c>
      <c r="F146" s="47" t="s">
        <v>58</v>
      </c>
      <c r="G146" s="45" t="s">
        <v>59</v>
      </c>
      <c r="H146" s="45">
        <v>-20</v>
      </c>
      <c r="I146" s="45" t="s">
        <v>176</v>
      </c>
      <c r="J146" s="45" t="s">
        <v>61</v>
      </c>
      <c r="K146" s="45" t="s">
        <v>62</v>
      </c>
      <c r="L146" s="45" t="s">
        <v>123</v>
      </c>
      <c r="M146" s="45" t="s">
        <v>176</v>
      </c>
      <c r="N146" s="45" t="s">
        <v>91</v>
      </c>
      <c r="O146" s="45" t="s">
        <v>92</v>
      </c>
      <c r="P146" s="45" t="s">
        <v>65</v>
      </c>
      <c r="Q146" s="49">
        <v>7</v>
      </c>
      <c r="R146" s="45">
        <v>4.4800000000000004</v>
      </c>
      <c r="S146" s="45"/>
      <c r="T146" s="45"/>
      <c r="U146" s="45"/>
      <c r="V146" s="45" t="s">
        <v>175</v>
      </c>
      <c r="W146" s="45" t="s">
        <v>66</v>
      </c>
      <c r="X146" s="48" t="s">
        <v>175</v>
      </c>
      <c r="Y146" s="45">
        <v>20.16</v>
      </c>
      <c r="Z146" s="45">
        <v>20.03</v>
      </c>
      <c r="AA146" s="45"/>
      <c r="AB146" s="49">
        <f t="shared" si="126"/>
        <v>20.094999999999999</v>
      </c>
      <c r="AC146" s="49">
        <f t="shared" si="116"/>
        <v>2.0659061473445002</v>
      </c>
      <c r="AD146" s="50">
        <f t="shared" si="117"/>
        <v>241958944.69124383</v>
      </c>
      <c r="AE146" s="49">
        <f>AD146*100/AD$150</f>
        <v>10.909581111492347</v>
      </c>
      <c r="AF146" s="45">
        <v>19.829999999999998</v>
      </c>
      <c r="AG146" s="45">
        <v>20.47</v>
      </c>
      <c r="AH146" s="45"/>
      <c r="AI146" s="49">
        <f t="shared" si="128"/>
        <v>20.149999999999999</v>
      </c>
      <c r="AJ146" s="45">
        <f t="shared" si="118"/>
        <v>4703.5080694834223</v>
      </c>
      <c r="AK146" s="50">
        <f t="shared" si="108"/>
        <v>940.70161389668442</v>
      </c>
      <c r="AL146" s="45">
        <v>31.44</v>
      </c>
      <c r="AM146" s="45">
        <v>31.69</v>
      </c>
      <c r="AN146" s="45"/>
      <c r="AO146" s="49">
        <f t="shared" si="129"/>
        <v>31.565000000000001</v>
      </c>
      <c r="AP146" s="50">
        <f t="shared" si="120"/>
        <v>2.8594344990284266E-5</v>
      </c>
      <c r="AQ146" s="45">
        <f t="shared" si="121"/>
        <v>1693.6920057793814</v>
      </c>
      <c r="AR146" s="50">
        <f t="shared" si="109"/>
        <v>338.73840115587626</v>
      </c>
      <c r="AS146" s="50">
        <f t="shared" si="122"/>
        <v>0.36009122994135662</v>
      </c>
      <c r="AT146" s="45"/>
      <c r="AU146" s="45"/>
      <c r="AV146" s="45"/>
      <c r="AW146" s="46"/>
      <c r="AX146" s="46"/>
    </row>
    <row r="147" spans="2:50" s="51" customFormat="1" x14ac:dyDescent="0.15">
      <c r="B147" s="45" t="s">
        <v>54</v>
      </c>
      <c r="C147" s="45" t="s">
        <v>55</v>
      </c>
      <c r="D147" s="45" t="s">
        <v>174</v>
      </c>
      <c r="E147" s="45" t="s">
        <v>57</v>
      </c>
      <c r="F147" s="47" t="s">
        <v>58</v>
      </c>
      <c r="G147" s="45" t="s">
        <v>59</v>
      </c>
      <c r="H147" s="45">
        <v>-20</v>
      </c>
      <c r="I147" s="45" t="s">
        <v>176</v>
      </c>
      <c r="J147" s="45" t="s">
        <v>61</v>
      </c>
      <c r="K147" s="45" t="s">
        <v>62</v>
      </c>
      <c r="L147" s="45" t="s">
        <v>123</v>
      </c>
      <c r="M147" s="45" t="s">
        <v>176</v>
      </c>
      <c r="N147" s="45" t="s">
        <v>91</v>
      </c>
      <c r="O147" s="45" t="s">
        <v>92</v>
      </c>
      <c r="P147" s="45" t="s">
        <v>65</v>
      </c>
      <c r="Q147" s="49">
        <v>7</v>
      </c>
      <c r="R147" s="45">
        <v>4.2699999999999996</v>
      </c>
      <c r="S147" s="45"/>
      <c r="T147" s="45"/>
      <c r="U147" s="45"/>
      <c r="V147" s="45" t="s">
        <v>175</v>
      </c>
      <c r="W147" s="45" t="s">
        <v>66</v>
      </c>
      <c r="X147" s="48" t="s">
        <v>175</v>
      </c>
      <c r="Y147" s="45">
        <v>19.260000000000002</v>
      </c>
      <c r="Z147" s="45">
        <v>19.22</v>
      </c>
      <c r="AA147" s="45"/>
      <c r="AB147" s="49">
        <f t="shared" si="126"/>
        <v>19.240000000000002</v>
      </c>
      <c r="AC147" s="49">
        <f t="shared" si="116"/>
        <v>3.6614458085311248</v>
      </c>
      <c r="AD147" s="50">
        <f t="shared" si="117"/>
        <v>428828562.7181676</v>
      </c>
      <c r="AE147" s="49">
        <f t="shared" ref="AE147:AE150" si="131">AD147*100/AD$150</f>
        <v>19.335263649246009</v>
      </c>
      <c r="AF147" s="45">
        <v>19.68</v>
      </c>
      <c r="AG147" s="45">
        <v>19.28</v>
      </c>
      <c r="AH147" s="45"/>
      <c r="AI147" s="49">
        <f t="shared" si="128"/>
        <v>19.48</v>
      </c>
      <c r="AJ147" s="45">
        <f t="shared" si="118"/>
        <v>7651.2851288664251</v>
      </c>
      <c r="AK147" s="50">
        <f t="shared" si="108"/>
        <v>1530.257025773285</v>
      </c>
      <c r="AL147" s="49">
        <v>30.6</v>
      </c>
      <c r="AM147" s="45">
        <v>30.13</v>
      </c>
      <c r="AN147" s="45"/>
      <c r="AO147" s="49">
        <f t="shared" si="129"/>
        <v>30.365000000000002</v>
      </c>
      <c r="AP147" s="50">
        <f t="shared" si="120"/>
        <v>6.3235115023402302E-5</v>
      </c>
      <c r="AQ147" s="45">
        <f t="shared" si="121"/>
        <v>3745.5241180053836</v>
      </c>
      <c r="AR147" s="50">
        <f t="shared" si="109"/>
        <v>749.10482360107676</v>
      </c>
      <c r="AS147" s="50">
        <f t="shared" si="122"/>
        <v>0.4895287595379812</v>
      </c>
      <c r="AT147" s="45"/>
      <c r="AU147" s="45"/>
      <c r="AV147" s="45"/>
      <c r="AW147" s="46"/>
      <c r="AX147" s="46"/>
    </row>
    <row r="148" spans="2:50" s="102" customFormat="1" x14ac:dyDescent="0.15">
      <c r="B148" s="103" t="s">
        <v>54</v>
      </c>
      <c r="C148" s="103" t="s">
        <v>140</v>
      </c>
      <c r="D148" s="103" t="s">
        <v>170</v>
      </c>
      <c r="E148" s="103" t="s">
        <v>57</v>
      </c>
      <c r="F148" s="127" t="s">
        <v>58</v>
      </c>
      <c r="G148" s="103" t="s">
        <v>59</v>
      </c>
      <c r="H148" s="103">
        <v>-20</v>
      </c>
      <c r="I148" s="103" t="s">
        <v>176</v>
      </c>
      <c r="J148" s="103" t="s">
        <v>61</v>
      </c>
      <c r="K148" s="103" t="s">
        <v>62</v>
      </c>
      <c r="L148" s="103" t="s">
        <v>123</v>
      </c>
      <c r="M148" s="103" t="s">
        <v>176</v>
      </c>
      <c r="N148" s="103" t="s">
        <v>91</v>
      </c>
      <c r="O148" s="103" t="s">
        <v>92</v>
      </c>
      <c r="P148" s="103" t="s">
        <v>65</v>
      </c>
      <c r="Q148" s="107">
        <v>7</v>
      </c>
      <c r="R148" s="103">
        <v>3.85</v>
      </c>
      <c r="S148" s="103"/>
      <c r="T148" s="103"/>
      <c r="U148" s="103"/>
      <c r="V148" s="103" t="s">
        <v>175</v>
      </c>
      <c r="W148" s="103" t="s">
        <v>66</v>
      </c>
      <c r="X148" s="126" t="s">
        <v>175</v>
      </c>
      <c r="Y148" s="103" t="s">
        <v>95</v>
      </c>
      <c r="Z148" s="166">
        <v>18.84</v>
      </c>
      <c r="AA148" s="103"/>
      <c r="AB148" s="107">
        <f t="shared" si="126"/>
        <v>18.84</v>
      </c>
      <c r="AC148" s="107">
        <f t="shared" si="116"/>
        <v>4.7855249016260393</v>
      </c>
      <c r="AD148" s="108">
        <f t="shared" si="117"/>
        <v>560480715.19582891</v>
      </c>
      <c r="AE148" s="107">
        <f t="shared" si="131"/>
        <v>25.271270015079615</v>
      </c>
      <c r="AF148" s="103">
        <v>19.22</v>
      </c>
      <c r="AG148" s="103">
        <v>19.05</v>
      </c>
      <c r="AH148" s="103"/>
      <c r="AI148" s="107">
        <f t="shared" si="128"/>
        <v>19.134999999999998</v>
      </c>
      <c r="AJ148" s="103">
        <f t="shared" si="118"/>
        <v>9829.7970379702401</v>
      </c>
      <c r="AK148" s="108">
        <f t="shared" si="108"/>
        <v>1965.9594075940481</v>
      </c>
      <c r="AL148" s="103">
        <v>34.26</v>
      </c>
      <c r="AM148" s="103">
        <v>30.79</v>
      </c>
      <c r="AN148" s="103"/>
      <c r="AO148" s="107">
        <f t="shared" si="129"/>
        <v>32.524999999999999</v>
      </c>
      <c r="AP148" s="108">
        <f t="shared" si="120"/>
        <v>1.5154360854873317E-5</v>
      </c>
      <c r="AQ148" s="103">
        <f t="shared" si="121"/>
        <v>897.61873689766117</v>
      </c>
      <c r="AR148" s="108">
        <f t="shared" si="109"/>
        <v>179.52374737953224</v>
      </c>
      <c r="AS148" s="108">
        <f t="shared" si="122"/>
        <v>9.1316100773023781E-2</v>
      </c>
      <c r="AT148" s="103"/>
      <c r="AU148" s="103"/>
      <c r="AV148" s="103"/>
      <c r="AW148" s="109"/>
      <c r="AX148" s="109"/>
    </row>
    <row r="149" spans="2:50" s="102" customFormat="1" x14ac:dyDescent="0.15">
      <c r="B149" s="103" t="s">
        <v>54</v>
      </c>
      <c r="C149" s="103" t="s">
        <v>140</v>
      </c>
      <c r="D149" s="103" t="s">
        <v>170</v>
      </c>
      <c r="E149" s="103" t="s">
        <v>57</v>
      </c>
      <c r="F149" s="127" t="s">
        <v>58</v>
      </c>
      <c r="G149" s="103" t="s">
        <v>59</v>
      </c>
      <c r="H149" s="103">
        <v>-20</v>
      </c>
      <c r="I149" s="103" t="s">
        <v>176</v>
      </c>
      <c r="J149" s="103" t="s">
        <v>61</v>
      </c>
      <c r="K149" s="103" t="s">
        <v>62</v>
      </c>
      <c r="L149" s="103" t="s">
        <v>123</v>
      </c>
      <c r="M149" s="103" t="s">
        <v>176</v>
      </c>
      <c r="N149" s="103" t="s">
        <v>91</v>
      </c>
      <c r="O149" s="103" t="s">
        <v>92</v>
      </c>
      <c r="P149" s="103" t="s">
        <v>65</v>
      </c>
      <c r="Q149" s="107">
        <v>7</v>
      </c>
      <c r="R149" s="103">
        <v>3.83</v>
      </c>
      <c r="S149" s="103"/>
      <c r="T149" s="103"/>
      <c r="U149" s="103"/>
      <c r="V149" s="103" t="s">
        <v>175</v>
      </c>
      <c r="W149" s="103" t="s">
        <v>66</v>
      </c>
      <c r="X149" s="126" t="s">
        <v>175</v>
      </c>
      <c r="Y149" s="107">
        <v>18.600000000000001</v>
      </c>
      <c r="Z149" s="103">
        <v>18.46</v>
      </c>
      <c r="AA149" s="103"/>
      <c r="AB149" s="107">
        <f t="shared" si="126"/>
        <v>18.53</v>
      </c>
      <c r="AC149" s="107">
        <f t="shared" si="116"/>
        <v>5.889036308832571</v>
      </c>
      <c r="AD149" s="108">
        <f t="shared" si="117"/>
        <v>689723980.13583958</v>
      </c>
      <c r="AE149" s="107">
        <f t="shared" si="131"/>
        <v>31.098663103507835</v>
      </c>
      <c r="AF149" s="103">
        <v>18.11</v>
      </c>
      <c r="AG149" s="103">
        <v>18.260000000000002</v>
      </c>
      <c r="AH149" s="103"/>
      <c r="AI149" s="107">
        <f t="shared" si="128"/>
        <v>18.185000000000002</v>
      </c>
      <c r="AJ149" s="103">
        <f t="shared" si="118"/>
        <v>19595.96893704301</v>
      </c>
      <c r="AK149" s="108">
        <f t="shared" si="108"/>
        <v>3919.193787408602</v>
      </c>
      <c r="AL149" s="103">
        <v>32.17</v>
      </c>
      <c r="AM149" s="103">
        <v>31.54</v>
      </c>
      <c r="AN149" s="103"/>
      <c r="AO149" s="107">
        <f t="shared" si="129"/>
        <v>31.855</v>
      </c>
      <c r="AP149" s="108">
        <f t="shared" si="120"/>
        <v>2.3603854591990748E-5</v>
      </c>
      <c r="AQ149" s="103">
        <f t="shared" si="121"/>
        <v>1398.0967160330902</v>
      </c>
      <c r="AR149" s="108">
        <f t="shared" si="109"/>
        <v>279.61934320661805</v>
      </c>
      <c r="AS149" s="108">
        <f t="shared" si="122"/>
        <v>7.1346138612733492E-2</v>
      </c>
      <c r="AT149" s="103"/>
      <c r="AU149" s="103"/>
      <c r="AV149" s="103"/>
      <c r="AW149" s="109"/>
      <c r="AX149" s="109"/>
    </row>
    <row r="150" spans="2:50" x14ac:dyDescent="0.15">
      <c r="B150" s="8"/>
      <c r="C150" s="8"/>
      <c r="D150" s="8"/>
      <c r="E150" s="8" t="s">
        <v>105</v>
      </c>
      <c r="F150" s="8" t="s">
        <v>108</v>
      </c>
      <c r="G150" s="8" t="s">
        <v>106</v>
      </c>
      <c r="H150" s="8">
        <v>-80</v>
      </c>
      <c r="I150" s="8"/>
      <c r="J150" s="8"/>
      <c r="K150" s="8"/>
      <c r="L150" s="8"/>
      <c r="M150" s="8"/>
      <c r="N150" s="8" t="s">
        <v>91</v>
      </c>
      <c r="O150" s="8"/>
      <c r="P150" s="8" t="s">
        <v>108</v>
      </c>
      <c r="Q150" s="8" t="s">
        <v>108</v>
      </c>
      <c r="R150" s="8" t="s">
        <v>108</v>
      </c>
      <c r="S150" s="8"/>
      <c r="T150" s="8"/>
      <c r="U150" s="8"/>
      <c r="V150" s="8" t="s">
        <v>175</v>
      </c>
      <c r="W150" s="8" t="s">
        <v>66</v>
      </c>
      <c r="X150" s="11" t="s">
        <v>175</v>
      </c>
      <c r="Y150" s="8">
        <v>16.93</v>
      </c>
      <c r="Z150" s="8">
        <v>16.64</v>
      </c>
      <c r="AA150" s="8"/>
      <c r="AB150" s="18">
        <f t="shared" si="126"/>
        <v>16.785</v>
      </c>
      <c r="AC150" s="18">
        <f t="shared" si="116"/>
        <v>18.936622096042147</v>
      </c>
      <c r="AD150" s="19">
        <f t="shared" si="117"/>
        <v>2217857333.0955849</v>
      </c>
      <c r="AE150" s="18">
        <f t="shared" si="131"/>
        <v>100</v>
      </c>
      <c r="AF150" s="8">
        <v>28.18</v>
      </c>
      <c r="AG150" s="8">
        <v>28.35</v>
      </c>
      <c r="AH150" s="8"/>
      <c r="AI150" s="18">
        <f t="shared" si="128"/>
        <v>28.265000000000001</v>
      </c>
      <c r="AJ150" s="8">
        <f t="shared" si="118"/>
        <v>12.97231822308871</v>
      </c>
      <c r="AK150" s="50">
        <f t="shared" si="108"/>
        <v>2.594463644617742</v>
      </c>
      <c r="AL150" s="8">
        <v>32.03</v>
      </c>
      <c r="AM150" s="8">
        <v>32.03</v>
      </c>
      <c r="AN150" s="8"/>
      <c r="AO150" s="18">
        <f t="shared" si="129"/>
        <v>32.03</v>
      </c>
      <c r="AP150" s="19">
        <f t="shared" si="120"/>
        <v>2.1024097673963495E-5</v>
      </c>
      <c r="AQ150" s="8">
        <f t="shared" si="121"/>
        <v>1245.293297371064</v>
      </c>
      <c r="AR150" s="50">
        <f t="shared" si="109"/>
        <v>249.05865947421279</v>
      </c>
      <c r="AS150" s="19">
        <f t="shared" si="122"/>
        <v>95.996203296542276</v>
      </c>
      <c r="AT150" s="8"/>
      <c r="AU150" s="8"/>
      <c r="AV150" s="8"/>
      <c r="AW150" s="9"/>
      <c r="AX150" s="9"/>
    </row>
    <row r="151" spans="2:50" s="51" customFormat="1" x14ac:dyDescent="0.15">
      <c r="B151" s="45" t="s">
        <v>177</v>
      </c>
      <c r="C151" s="45" t="s">
        <v>55</v>
      </c>
      <c r="D151" s="45" t="s">
        <v>172</v>
      </c>
      <c r="E151" s="45" t="s">
        <v>57</v>
      </c>
      <c r="F151" s="47" t="s">
        <v>58</v>
      </c>
      <c r="G151" s="45" t="s">
        <v>178</v>
      </c>
      <c r="H151" s="45">
        <v>-20</v>
      </c>
      <c r="I151" s="45" t="s">
        <v>161</v>
      </c>
      <c r="J151" s="45" t="s">
        <v>61</v>
      </c>
      <c r="K151" s="45" t="s">
        <v>62</v>
      </c>
      <c r="L151" s="45" t="s">
        <v>63</v>
      </c>
      <c r="M151" s="45" t="s">
        <v>170</v>
      </c>
      <c r="N151" s="45" t="s">
        <v>91</v>
      </c>
      <c r="O151" s="45" t="s">
        <v>92</v>
      </c>
      <c r="P151" s="45" t="s">
        <v>65</v>
      </c>
      <c r="Q151" s="129">
        <v>7.27</v>
      </c>
      <c r="R151" s="49">
        <v>4.3</v>
      </c>
      <c r="S151" s="45"/>
      <c r="T151" s="45"/>
      <c r="U151" s="45"/>
      <c r="V151" s="45" t="s">
        <v>175</v>
      </c>
      <c r="W151" s="45" t="s">
        <v>66</v>
      </c>
      <c r="X151" s="48" t="s">
        <v>175</v>
      </c>
      <c r="Y151" s="45">
        <v>18.29</v>
      </c>
      <c r="Z151" s="45">
        <v>18.13</v>
      </c>
      <c r="AA151" s="45"/>
      <c r="AB151" s="49">
        <f t="shared" si="126"/>
        <v>18.21</v>
      </c>
      <c r="AC151" s="49">
        <f t="shared" si="116"/>
        <v>7.2956805181759181</v>
      </c>
      <c r="AD151" s="50">
        <f t="shared" si="117"/>
        <v>854470161.31461608</v>
      </c>
      <c r="AE151" s="49">
        <f>AD151*100/AD$155</f>
        <v>52.593887452499615</v>
      </c>
      <c r="AF151" s="45">
        <v>18.37</v>
      </c>
      <c r="AG151" s="45">
        <v>18.21</v>
      </c>
      <c r="AH151" s="45"/>
      <c r="AI151" s="49">
        <f t="shared" si="128"/>
        <v>18.29</v>
      </c>
      <c r="AJ151" s="45">
        <f t="shared" si="118"/>
        <v>18157.272248221565</v>
      </c>
      <c r="AK151" s="50">
        <f t="shared" si="108"/>
        <v>3631.4544496443132</v>
      </c>
      <c r="AL151" s="49">
        <v>29.3</v>
      </c>
      <c r="AM151" s="45">
        <v>29.51</v>
      </c>
      <c r="AN151" s="45"/>
      <c r="AO151" s="49">
        <f t="shared" si="129"/>
        <v>29.405000000000001</v>
      </c>
      <c r="AP151" s="50">
        <f t="shared" si="120"/>
        <v>1.1931659222025245E-4</v>
      </c>
      <c r="AQ151" s="45">
        <f t="shared" si="121"/>
        <v>7067.3260208948359</v>
      </c>
      <c r="AR151" s="50">
        <f t="shared" si="109"/>
        <v>1413.4652041789673</v>
      </c>
      <c r="AS151" s="50">
        <f t="shared" si="122"/>
        <v>0.3892283997441881</v>
      </c>
      <c r="AT151" s="45"/>
      <c r="AU151" s="45"/>
      <c r="AV151" s="45"/>
      <c r="AW151" s="46"/>
      <c r="AX151" s="46"/>
    </row>
    <row r="152" spans="2:50" s="51" customFormat="1" x14ac:dyDescent="0.15">
      <c r="B152" s="45" t="s">
        <v>177</v>
      </c>
      <c r="C152" s="45" t="s">
        <v>55</v>
      </c>
      <c r="D152" s="45" t="s">
        <v>172</v>
      </c>
      <c r="E152" s="45" t="s">
        <v>57</v>
      </c>
      <c r="F152" s="47" t="s">
        <v>58</v>
      </c>
      <c r="G152" s="45" t="s">
        <v>146</v>
      </c>
      <c r="H152" s="45">
        <v>-20</v>
      </c>
      <c r="I152" s="45" t="s">
        <v>161</v>
      </c>
      <c r="J152" s="45" t="s">
        <v>61</v>
      </c>
      <c r="K152" s="45" t="s">
        <v>62</v>
      </c>
      <c r="L152" s="45" t="s">
        <v>63</v>
      </c>
      <c r="M152" s="45" t="s">
        <v>176</v>
      </c>
      <c r="N152" s="45" t="s">
        <v>91</v>
      </c>
      <c r="O152" s="45" t="s">
        <v>92</v>
      </c>
      <c r="P152" s="45" t="s">
        <v>65</v>
      </c>
      <c r="Q152" s="51">
        <v>7.27</v>
      </c>
      <c r="R152" s="49">
        <v>4.3</v>
      </c>
      <c r="S152" s="45"/>
      <c r="T152" s="45"/>
      <c r="U152" s="45"/>
      <c r="V152" s="45" t="s">
        <v>175</v>
      </c>
      <c r="W152" s="45" t="s">
        <v>66</v>
      </c>
      <c r="X152" s="48" t="s">
        <v>175</v>
      </c>
      <c r="Y152" s="45">
        <v>18.82</v>
      </c>
      <c r="Z152" s="45">
        <v>19.05</v>
      </c>
      <c r="AA152" s="45"/>
      <c r="AB152" s="49">
        <f t="shared" si="126"/>
        <v>18.935000000000002</v>
      </c>
      <c r="AC152" s="49">
        <f t="shared" si="116"/>
        <v>4.4906974875499248</v>
      </c>
      <c r="AD152" s="50">
        <f t="shared" si="117"/>
        <v>525950526.07392716</v>
      </c>
      <c r="AE152" s="49">
        <f>AD152*100/AD$156</f>
        <v>23.714353408829467</v>
      </c>
      <c r="AF152" s="45">
        <v>19.05</v>
      </c>
      <c r="AG152" s="45">
        <v>18.84</v>
      </c>
      <c r="AH152" s="45"/>
      <c r="AI152" s="49">
        <f t="shared" si="128"/>
        <v>18.945</v>
      </c>
      <c r="AJ152" s="45">
        <f t="shared" si="118"/>
        <v>11284.153598559706</v>
      </c>
      <c r="AK152" s="50">
        <f t="shared" si="108"/>
        <v>2256.8307197119411</v>
      </c>
      <c r="AL152" s="45">
        <v>29.77</v>
      </c>
      <c r="AM152" s="45">
        <v>30.32</v>
      </c>
      <c r="AN152" s="45"/>
      <c r="AO152" s="49">
        <f t="shared" si="129"/>
        <v>30.045000000000002</v>
      </c>
      <c r="AP152" s="50">
        <f t="shared" si="120"/>
        <v>7.8139834837748145E-5</v>
      </c>
      <c r="AQ152" s="45">
        <f t="shared" si="121"/>
        <v>4628.3561887003571</v>
      </c>
      <c r="AR152" s="50">
        <f t="shared" si="109"/>
        <v>925.67123774007143</v>
      </c>
      <c r="AS152" s="50">
        <f t="shared" si="122"/>
        <v>0.41016423148397363</v>
      </c>
      <c r="AT152" s="45"/>
      <c r="AU152" s="45"/>
      <c r="AV152" s="45"/>
      <c r="AW152" s="46"/>
      <c r="AX152" s="46"/>
    </row>
    <row r="153" spans="2:50" s="102" customFormat="1" x14ac:dyDescent="0.15">
      <c r="B153" s="103" t="s">
        <v>177</v>
      </c>
      <c r="C153" s="103" t="s">
        <v>140</v>
      </c>
      <c r="D153" s="103" t="s">
        <v>172</v>
      </c>
      <c r="E153" s="103" t="s">
        <v>57</v>
      </c>
      <c r="F153" s="103" t="s">
        <v>58</v>
      </c>
      <c r="G153" s="103" t="s">
        <v>178</v>
      </c>
      <c r="H153" s="103">
        <v>-20</v>
      </c>
      <c r="I153" s="103" t="s">
        <v>161</v>
      </c>
      <c r="J153" s="103" t="s">
        <v>61</v>
      </c>
      <c r="K153" s="103" t="s">
        <v>62</v>
      </c>
      <c r="L153" s="103" t="s">
        <v>63</v>
      </c>
      <c r="M153" s="103" t="s">
        <v>170</v>
      </c>
      <c r="N153" s="103" t="s">
        <v>91</v>
      </c>
      <c r="O153" s="103" t="s">
        <v>92</v>
      </c>
      <c r="P153" s="103" t="s">
        <v>65</v>
      </c>
      <c r="Q153" s="103">
        <v>7.24</v>
      </c>
      <c r="R153" s="103">
        <v>3.63</v>
      </c>
      <c r="S153" s="103"/>
      <c r="T153" s="103"/>
      <c r="U153" s="103"/>
      <c r="V153" s="103" t="s">
        <v>175</v>
      </c>
      <c r="W153" s="103" t="s">
        <v>66</v>
      </c>
      <c r="X153" s="126" t="s">
        <v>175</v>
      </c>
      <c r="Y153" s="103">
        <v>18.23</v>
      </c>
      <c r="Z153" s="103">
        <v>18.05</v>
      </c>
      <c r="AA153" s="103"/>
      <c r="AB153" s="107">
        <f t="shared" si="126"/>
        <v>18.14</v>
      </c>
      <c r="AC153" s="107">
        <f t="shared" si="116"/>
        <v>7.6456476109425173</v>
      </c>
      <c r="AD153" s="108">
        <f t="shared" si="117"/>
        <v>895458310.05085611</v>
      </c>
      <c r="AE153" s="107">
        <f>AD153*100/AD$155</f>
        <v>55.116767921729227</v>
      </c>
      <c r="AF153" s="103">
        <v>18.66</v>
      </c>
      <c r="AG153" s="103">
        <v>19.059999999999999</v>
      </c>
      <c r="AH153" s="103"/>
      <c r="AI153" s="107">
        <f t="shared" si="128"/>
        <v>18.86</v>
      </c>
      <c r="AJ153" s="103">
        <f t="shared" si="118"/>
        <v>12002.654098116029</v>
      </c>
      <c r="AK153" s="108">
        <f t="shared" si="108"/>
        <v>2400.5308196232058</v>
      </c>
      <c r="AL153" s="103">
        <v>29.91</v>
      </c>
      <c r="AM153" s="103">
        <v>29.47</v>
      </c>
      <c r="AN153" s="103"/>
      <c r="AO153" s="107">
        <f t="shared" si="129"/>
        <v>29.689999999999998</v>
      </c>
      <c r="AP153" s="108">
        <f t="shared" si="120"/>
        <v>9.8818846018840123E-5</v>
      </c>
      <c r="AQ153" s="103">
        <f t="shared" si="121"/>
        <v>5853.2094223288341</v>
      </c>
      <c r="AR153" s="108">
        <f t="shared" si="109"/>
        <v>1170.6418844657669</v>
      </c>
      <c r="AS153" s="108">
        <f t="shared" si="122"/>
        <v>0.48765959382663299</v>
      </c>
      <c r="AT153" s="103"/>
      <c r="AU153" s="103"/>
      <c r="AV153" s="103"/>
      <c r="AW153" s="109"/>
      <c r="AX153" s="109"/>
    </row>
    <row r="154" spans="2:50" s="102" customFormat="1" x14ac:dyDescent="0.15">
      <c r="B154" s="103" t="s">
        <v>177</v>
      </c>
      <c r="C154" s="103" t="s">
        <v>140</v>
      </c>
      <c r="D154" s="103" t="s">
        <v>172</v>
      </c>
      <c r="E154" s="103" t="s">
        <v>57</v>
      </c>
      <c r="F154" s="127" t="s">
        <v>58</v>
      </c>
      <c r="G154" s="103" t="s">
        <v>146</v>
      </c>
      <c r="H154" s="103">
        <v>-20</v>
      </c>
      <c r="I154" s="103" t="s">
        <v>161</v>
      </c>
      <c r="J154" s="103" t="s">
        <v>61</v>
      </c>
      <c r="K154" s="103" t="s">
        <v>62</v>
      </c>
      <c r="L154" s="103" t="s">
        <v>63</v>
      </c>
      <c r="M154" s="103" t="s">
        <v>176</v>
      </c>
      <c r="N154" s="103" t="s">
        <v>91</v>
      </c>
      <c r="O154" s="103" t="s">
        <v>92</v>
      </c>
      <c r="P154" s="103" t="s">
        <v>65</v>
      </c>
      <c r="Q154" s="103">
        <v>7.24</v>
      </c>
      <c r="R154" s="103">
        <v>3.63</v>
      </c>
      <c r="S154" s="103"/>
      <c r="T154" s="103"/>
      <c r="U154" s="103"/>
      <c r="V154" s="103" t="s">
        <v>175</v>
      </c>
      <c r="W154" s="103" t="s">
        <v>66</v>
      </c>
      <c r="X154" s="126" t="s">
        <v>175</v>
      </c>
      <c r="Y154" s="103">
        <v>19.57</v>
      </c>
      <c r="Z154" s="103">
        <v>19.84</v>
      </c>
      <c r="AA154" s="103"/>
      <c r="AB154" s="107">
        <f t="shared" si="126"/>
        <v>19.704999999999998</v>
      </c>
      <c r="AC154" s="107">
        <f t="shared" si="116"/>
        <v>2.6821349999465598</v>
      </c>
      <c r="AD154" s="108">
        <f t="shared" si="117"/>
        <v>314131672.89360923</v>
      </c>
      <c r="AE154" s="107">
        <f>AD154*100/AD$156</f>
        <v>14.163745711053402</v>
      </c>
      <c r="AF154" s="103">
        <v>19.850000000000001</v>
      </c>
      <c r="AG154" s="103">
        <v>19.760000000000002</v>
      </c>
      <c r="AH154" s="103"/>
      <c r="AI154" s="107">
        <f t="shared" si="128"/>
        <v>19.805</v>
      </c>
      <c r="AJ154" s="103">
        <f t="shared" si="118"/>
        <v>6042.7142513674662</v>
      </c>
      <c r="AK154" s="108">
        <f t="shared" si="108"/>
        <v>1208.5428502734933</v>
      </c>
      <c r="AL154" s="103">
        <v>30.55</v>
      </c>
      <c r="AM154" s="103">
        <v>30.88</v>
      </c>
      <c r="AN154" s="103"/>
      <c r="AO154" s="107">
        <f t="shared" si="129"/>
        <v>30.715</v>
      </c>
      <c r="AP154" s="108">
        <f t="shared" si="120"/>
        <v>5.016804563239604E-5</v>
      </c>
      <c r="AQ154" s="103">
        <f t="shared" si="121"/>
        <v>2971.5392278450536</v>
      </c>
      <c r="AR154" s="108">
        <f t="shared" si="109"/>
        <v>594.30784556901074</v>
      </c>
      <c r="AS154" s="108">
        <f t="shared" si="122"/>
        <v>0.49175570848358324</v>
      </c>
      <c r="AT154" s="103"/>
      <c r="AU154" s="103"/>
      <c r="AV154" s="103"/>
      <c r="AW154" s="109"/>
      <c r="AX154" s="109"/>
    </row>
    <row r="155" spans="2:50" x14ac:dyDescent="0.15">
      <c r="B155" s="8"/>
      <c r="C155" s="8"/>
      <c r="D155" s="8"/>
      <c r="E155" s="8" t="s">
        <v>179</v>
      </c>
      <c r="F155" s="8" t="s">
        <v>108</v>
      </c>
      <c r="G155" s="8" t="s">
        <v>106</v>
      </c>
      <c r="H155" s="8">
        <v>-80</v>
      </c>
      <c r="I155" s="8" t="s">
        <v>108</v>
      </c>
      <c r="J155" s="8" t="s">
        <v>61</v>
      </c>
      <c r="K155" s="8" t="s">
        <v>62</v>
      </c>
      <c r="L155" s="8" t="s">
        <v>63</v>
      </c>
      <c r="M155" s="8" t="s">
        <v>170</v>
      </c>
      <c r="N155" s="8" t="s">
        <v>107</v>
      </c>
      <c r="O155" s="8" t="s">
        <v>92</v>
      </c>
      <c r="P155" s="8" t="s">
        <v>108</v>
      </c>
      <c r="Q155" s="8" t="s">
        <v>108</v>
      </c>
      <c r="R155" s="8" t="s">
        <v>108</v>
      </c>
      <c r="S155" s="8"/>
      <c r="T155" s="8"/>
      <c r="U155" s="8"/>
      <c r="V155" s="8" t="s">
        <v>175</v>
      </c>
      <c r="W155" s="8" t="s">
        <v>66</v>
      </c>
      <c r="X155" s="11" t="s">
        <v>175</v>
      </c>
      <c r="Y155" s="8">
        <v>17.25</v>
      </c>
      <c r="Z155" s="8">
        <v>17.25</v>
      </c>
      <c r="AA155" s="8"/>
      <c r="AB155" s="18">
        <f t="shared" si="126"/>
        <v>17.25</v>
      </c>
      <c r="AC155" s="18">
        <f t="shared" si="116"/>
        <v>13.87172706099172</v>
      </c>
      <c r="AD155" s="19">
        <f t="shared" si="117"/>
        <v>1624656785.6128421</v>
      </c>
      <c r="AE155" s="18">
        <f>AD156*100/AD$156</f>
        <v>100</v>
      </c>
      <c r="AF155" s="8">
        <v>26.92</v>
      </c>
      <c r="AG155" s="8">
        <v>26.59</v>
      </c>
      <c r="AH155" s="8"/>
      <c r="AI155" s="18">
        <f t="shared" si="128"/>
        <v>26.755000000000003</v>
      </c>
      <c r="AJ155" s="8">
        <f t="shared" si="118"/>
        <v>38.838207929511839</v>
      </c>
      <c r="AK155" s="50">
        <f t="shared" si="108"/>
        <v>7.7676415859023678</v>
      </c>
      <c r="AL155" s="8">
        <v>31.42</v>
      </c>
      <c r="AM155" s="8">
        <v>31.43</v>
      </c>
      <c r="AN155" s="8"/>
      <c r="AO155" s="18">
        <f t="shared" si="129"/>
        <v>31.425000000000001</v>
      </c>
      <c r="AP155" s="19">
        <f t="shared" si="120"/>
        <v>3.1368417142757939E-5</v>
      </c>
      <c r="AQ155" s="8">
        <f t="shared" si="121"/>
        <v>1858.0050484350631</v>
      </c>
      <c r="AR155" s="50">
        <f t="shared" si="109"/>
        <v>371.60100968701261</v>
      </c>
      <c r="AS155" s="19">
        <f t="shared" si="122"/>
        <v>47.839618444990812</v>
      </c>
      <c r="AT155" s="8"/>
      <c r="AU155" s="8"/>
      <c r="AV155" s="8"/>
      <c r="AW155" s="9"/>
      <c r="AX155" s="9"/>
    </row>
    <row r="156" spans="2:50" x14ac:dyDescent="0.15">
      <c r="B156" s="8"/>
      <c r="C156" s="8"/>
      <c r="D156" s="8"/>
      <c r="E156" s="8" t="s">
        <v>180</v>
      </c>
      <c r="F156" s="34"/>
      <c r="G156" s="8" t="s">
        <v>106</v>
      </c>
      <c r="H156" s="8">
        <v>-80</v>
      </c>
      <c r="I156" s="8" t="s">
        <v>108</v>
      </c>
      <c r="J156" s="8" t="s">
        <v>61</v>
      </c>
      <c r="K156" s="8" t="s">
        <v>62</v>
      </c>
      <c r="L156" s="8" t="s">
        <v>63</v>
      </c>
      <c r="M156" s="8" t="s">
        <v>176</v>
      </c>
      <c r="N156" s="8" t="s">
        <v>107</v>
      </c>
      <c r="O156" s="8" t="s">
        <v>92</v>
      </c>
      <c r="P156" s="8" t="s">
        <v>108</v>
      </c>
      <c r="Q156" s="2" t="s">
        <v>108</v>
      </c>
      <c r="R156" s="18" t="s">
        <v>108</v>
      </c>
      <c r="S156" s="8"/>
      <c r="T156" s="8"/>
      <c r="U156" s="8"/>
      <c r="V156" s="8" t="s">
        <v>175</v>
      </c>
      <c r="W156" s="8" t="s">
        <v>66</v>
      </c>
      <c r="X156" s="11" t="s">
        <v>181</v>
      </c>
      <c r="Y156" s="8">
        <v>16.93</v>
      </c>
      <c r="Z156" s="8">
        <v>16.64</v>
      </c>
      <c r="AA156" s="8"/>
      <c r="AB156" s="18">
        <f t="shared" si="126"/>
        <v>16.785</v>
      </c>
      <c r="AC156" s="18">
        <f t="shared" si="116"/>
        <v>18.936622096042147</v>
      </c>
      <c r="AD156" s="19">
        <f t="shared" si="117"/>
        <v>2217857333.0955849</v>
      </c>
      <c r="AE156" s="18">
        <f t="shared" ref="AE156" si="132">AD156*100/AD$156</f>
        <v>100</v>
      </c>
      <c r="AF156" s="8">
        <v>28.18</v>
      </c>
      <c r="AG156" s="8">
        <v>28.35</v>
      </c>
      <c r="AH156" s="8"/>
      <c r="AI156" s="18">
        <f t="shared" si="128"/>
        <v>28.265000000000001</v>
      </c>
      <c r="AJ156" s="8">
        <f t="shared" si="118"/>
        <v>12.97231822308871</v>
      </c>
      <c r="AK156" s="50">
        <f t="shared" si="108"/>
        <v>2.594463644617742</v>
      </c>
      <c r="AL156" s="8">
        <v>32.03</v>
      </c>
      <c r="AM156" s="8">
        <v>32.03</v>
      </c>
      <c r="AN156" s="8"/>
      <c r="AO156" s="18">
        <f t="shared" si="129"/>
        <v>32.03</v>
      </c>
      <c r="AP156" s="19">
        <f t="shared" si="120"/>
        <v>2.1024097673963495E-5</v>
      </c>
      <c r="AQ156" s="8">
        <f t="shared" si="121"/>
        <v>1245.293297371064</v>
      </c>
      <c r="AR156" s="50">
        <f t="shared" si="109"/>
        <v>249.05865947421279</v>
      </c>
      <c r="AS156" s="19">
        <f t="shared" si="122"/>
        <v>95.996203296542276</v>
      </c>
      <c r="AT156" s="8"/>
      <c r="AU156" s="8"/>
      <c r="AV156" s="8"/>
      <c r="AW156" s="9"/>
      <c r="AX156" s="9"/>
    </row>
    <row r="157" spans="2:50" x14ac:dyDescent="0.15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11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50">
        <f t="shared" si="109"/>
        <v>0</v>
      </c>
      <c r="AS157" s="8"/>
      <c r="AT157" s="8"/>
      <c r="AU157" s="8"/>
      <c r="AV157" s="8"/>
      <c r="AW157" s="9"/>
      <c r="AX157" s="9"/>
    </row>
    <row r="158" spans="2:50" x14ac:dyDescent="0.15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11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9"/>
      <c r="AX158" s="9"/>
    </row>
    <row r="159" spans="2:50" x14ac:dyDescent="0.15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11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9"/>
      <c r="AX159" s="9"/>
    </row>
    <row r="160" spans="2:50" x14ac:dyDescent="0.15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11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9"/>
      <c r="AX160" s="9"/>
    </row>
    <row r="161" spans="2:50" x14ac:dyDescent="0.15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11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9"/>
      <c r="AX161" s="9"/>
    </row>
    <row r="162" spans="2:50" x14ac:dyDescent="0.15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11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9"/>
      <c r="AX162" s="9"/>
    </row>
    <row r="163" spans="2:50" x14ac:dyDescent="0.15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11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9"/>
      <c r="AX163" s="9"/>
    </row>
    <row r="164" spans="2:50" x14ac:dyDescent="0.15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11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9"/>
      <c r="AX164" s="9"/>
    </row>
    <row r="165" spans="2:50" x14ac:dyDescent="0.15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11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9"/>
      <c r="AX165" s="9"/>
    </row>
    <row r="166" spans="2:50" x14ac:dyDescent="0.15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11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9"/>
      <c r="AX166" s="9"/>
    </row>
    <row r="167" spans="2:50" x14ac:dyDescent="0.15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11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9"/>
      <c r="AX167" s="9"/>
    </row>
    <row r="168" spans="2:50" x14ac:dyDescent="0.15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2:50" x14ac:dyDescent="0.15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2:50" x14ac:dyDescent="0.15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2:50" x14ac:dyDescent="0.15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2:50" x14ac:dyDescent="0.15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2:50" x14ac:dyDescent="0.15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2:50" x14ac:dyDescent="0.15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2:50" x14ac:dyDescent="0.15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2:50" x14ac:dyDescent="0.15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2:24" x14ac:dyDescent="0.15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</sheetData>
  <autoFilter ref="B18:BB18" xr:uid="{00000000-0009-0000-0000-000000000000}"/>
  <mergeCells count="53">
    <mergeCell ref="X2:AB2"/>
    <mergeCell ref="X3:AB3"/>
    <mergeCell ref="G2:O2"/>
    <mergeCell ref="AS17:AS18"/>
    <mergeCell ref="C17:C18"/>
    <mergeCell ref="D17:D18"/>
    <mergeCell ref="E17:E18"/>
    <mergeCell ref="F17:F18"/>
    <mergeCell ref="V16:V18"/>
    <mergeCell ref="X16:X18"/>
    <mergeCell ref="O17:O18"/>
    <mergeCell ref="AE17:AE18"/>
    <mergeCell ref="Q17:R17"/>
    <mergeCell ref="P17:P18"/>
    <mergeCell ref="Q16:U16"/>
    <mergeCell ref="AD17:AD18"/>
    <mergeCell ref="B17:B18"/>
    <mergeCell ref="I17:I18"/>
    <mergeCell ref="AU15:AV15"/>
    <mergeCell ref="AT17:AT18"/>
    <mergeCell ref="AL17:AO17"/>
    <mergeCell ref="AP17:AP18"/>
    <mergeCell ref="AQ17:AQ18"/>
    <mergeCell ref="AR17:AR18"/>
    <mergeCell ref="V15:AT15"/>
    <mergeCell ref="AU16:AV18"/>
    <mergeCell ref="AL16:AT16"/>
    <mergeCell ref="AF17:AI17"/>
    <mergeCell ref="AF16:AK16"/>
    <mergeCell ref="AJ17:AJ18"/>
    <mergeCell ref="AK17:AK18"/>
    <mergeCell ref="Y17:AB17"/>
    <mergeCell ref="I16:P16"/>
    <mergeCell ref="M17:M18"/>
    <mergeCell ref="J17:J18"/>
    <mergeCell ref="L17:L18"/>
    <mergeCell ref="K17:K18"/>
    <mergeCell ref="P3:P4"/>
    <mergeCell ref="Q3:Q4"/>
    <mergeCell ref="Y16:AE16"/>
    <mergeCell ref="AC17:AC18"/>
    <mergeCell ref="W16:W18"/>
    <mergeCell ref="I15:U15"/>
    <mergeCell ref="S17:S18"/>
    <mergeCell ref="T17:U17"/>
    <mergeCell ref="G3:O3"/>
    <mergeCell ref="B15:H15"/>
    <mergeCell ref="AC3:AC4"/>
    <mergeCell ref="AD3:AD4"/>
    <mergeCell ref="H17:H18"/>
    <mergeCell ref="N17:N18"/>
    <mergeCell ref="G17:G18"/>
    <mergeCell ref="B16:H1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BQ200"/>
  <sheetViews>
    <sheetView showGridLines="0" tabSelected="1" topLeftCell="BI1" zoomScale="70" zoomScaleNormal="70" workbookViewId="0">
      <selection activeCell="BR39" sqref="BR39"/>
    </sheetView>
  </sheetViews>
  <sheetFormatPr baseColWidth="10" defaultColWidth="8.6640625" defaultRowHeight="13" x14ac:dyDescent="0.2"/>
  <cols>
    <col min="1" max="1" width="33" style="374" customWidth="1"/>
    <col min="2" max="2" width="26" style="374" customWidth="1"/>
    <col min="3" max="3" width="22.1640625" style="218" customWidth="1"/>
    <col min="4" max="4" width="14.33203125" style="218" customWidth="1"/>
    <col min="5" max="5" width="15.1640625" style="6" customWidth="1"/>
    <col min="6" max="6" width="12.33203125" style="6" customWidth="1"/>
    <col min="7" max="7" width="11.33203125" style="1" customWidth="1"/>
    <col min="8" max="8" width="16" style="1" bestFit="1" customWidth="1"/>
    <col min="9" max="9" width="12.33203125" style="1" bestFit="1" customWidth="1"/>
    <col min="10" max="10" width="15.6640625" style="1" customWidth="1"/>
    <col min="11" max="11" width="18.5" style="269" customWidth="1"/>
    <col min="12" max="12" width="15.83203125" style="1" customWidth="1"/>
    <col min="13" max="13" width="14.1640625" style="1" customWidth="1"/>
    <col min="14" max="14" width="12.33203125" style="1" customWidth="1"/>
    <col min="15" max="15" width="18" style="1" bestFit="1" customWidth="1"/>
    <col min="16" max="16" width="11.6640625" style="1" bestFit="1" customWidth="1"/>
    <col min="17" max="17" width="17.33203125" style="1" bestFit="1" customWidth="1"/>
    <col min="18" max="18" width="9.6640625" style="1" bestFit="1" customWidth="1"/>
    <col min="19" max="19" width="12.33203125" style="1" customWidth="1"/>
    <col min="20" max="20" width="9.6640625" style="1" bestFit="1" customWidth="1"/>
    <col min="21" max="21" width="12.6640625" style="1" customWidth="1"/>
    <col min="22" max="22" width="12.33203125" style="1" customWidth="1"/>
    <col min="23" max="23" width="12.83203125" style="152" bestFit="1" customWidth="1"/>
    <col min="24" max="24" width="22" style="261" customWidth="1"/>
    <col min="25" max="25" width="16.6640625" style="1" customWidth="1"/>
    <col min="26" max="26" width="18.1640625" style="1" customWidth="1"/>
    <col min="27" max="29" width="16.83203125" style="1" customWidth="1"/>
    <col min="30" max="30" width="14.33203125" style="261" customWidth="1"/>
    <col min="31" max="31" width="17.6640625" style="1" customWidth="1"/>
    <col min="32" max="32" width="16.83203125" style="1" customWidth="1"/>
    <col min="33" max="35" width="8.33203125" style="1" bestFit="1" customWidth="1"/>
    <col min="36" max="36" width="11.83203125" style="1" bestFit="1" customWidth="1"/>
    <col min="37" max="38" width="11.83203125" style="1" customWidth="1"/>
    <col min="39" max="39" width="14.6640625" style="1" customWidth="1"/>
    <col min="40" max="40" width="10.6640625" style="1" bestFit="1" customWidth="1"/>
    <col min="41" max="43" width="8.33203125" style="1" bestFit="1" customWidth="1"/>
    <col min="44" max="44" width="11.83203125" style="1" bestFit="1" customWidth="1"/>
    <col min="45" max="46" width="11.83203125" style="1" customWidth="1"/>
    <col min="47" max="47" width="15.33203125" style="29" bestFit="1" customWidth="1"/>
    <col min="48" max="48" width="15.33203125" style="29" customWidth="1"/>
    <col min="49" max="51" width="8.33203125" style="1" bestFit="1" customWidth="1"/>
    <col min="52" max="52" width="11.83203125" style="1" bestFit="1" customWidth="1"/>
    <col min="53" max="54" width="11.83203125" style="1" customWidth="1"/>
    <col min="55" max="55" width="19.33203125" style="1" customWidth="1"/>
    <col min="56" max="56" width="19.1640625" style="1" customWidth="1"/>
    <col min="57" max="57" width="20.33203125" style="144" bestFit="1" customWidth="1"/>
    <col min="58" max="59" width="20.33203125" style="144" customWidth="1"/>
    <col min="60" max="60" width="114.83203125" style="1" customWidth="1"/>
    <col min="61" max="61" width="20.33203125" style="144" customWidth="1"/>
    <col min="62" max="67" width="8.6640625" style="234"/>
    <col min="68" max="68" width="8.6640625" style="255"/>
    <col min="69" max="16384" width="8.6640625" style="174"/>
  </cols>
  <sheetData>
    <row r="1" spans="1:69" ht="14.5" customHeight="1" x14ac:dyDescent="0.2">
      <c r="A1" s="505"/>
      <c r="B1" s="505"/>
      <c r="C1" s="505"/>
      <c r="D1" s="505"/>
      <c r="E1" s="505"/>
      <c r="F1" s="505"/>
      <c r="G1" s="505"/>
      <c r="H1" s="505"/>
      <c r="I1" s="505"/>
      <c r="J1" s="506"/>
      <c r="K1" s="507" t="s">
        <v>13</v>
      </c>
      <c r="L1" s="507"/>
      <c r="M1" s="507"/>
      <c r="N1" s="507"/>
      <c r="O1" s="507"/>
      <c r="P1" s="507"/>
      <c r="Q1" s="507"/>
      <c r="R1" s="507"/>
      <c r="S1" s="507"/>
      <c r="T1" s="507"/>
      <c r="U1" s="224"/>
      <c r="V1" s="224"/>
      <c r="W1" s="224"/>
      <c r="X1" s="514" t="s">
        <v>344</v>
      </c>
      <c r="Y1" s="515"/>
      <c r="Z1" s="515"/>
      <c r="AA1" s="515"/>
      <c r="AB1" s="515"/>
      <c r="AC1" s="516"/>
      <c r="AD1" s="520" t="s">
        <v>345</v>
      </c>
      <c r="AE1" s="521"/>
      <c r="AF1" s="521"/>
      <c r="AG1" s="521"/>
      <c r="AH1" s="521"/>
      <c r="AI1" s="521"/>
      <c r="AJ1" s="521"/>
      <c r="AK1" s="521"/>
      <c r="AL1" s="521"/>
      <c r="AM1" s="521"/>
      <c r="AN1" s="521"/>
      <c r="AO1" s="521"/>
      <c r="AP1" s="521"/>
      <c r="AQ1" s="521"/>
      <c r="AR1" s="521"/>
      <c r="AS1" s="521"/>
      <c r="AT1" s="521"/>
      <c r="AU1" s="521"/>
      <c r="AV1" s="521"/>
      <c r="AW1" s="521"/>
      <c r="AX1" s="521"/>
      <c r="AY1" s="521"/>
      <c r="AZ1" s="521"/>
      <c r="BA1" s="521"/>
      <c r="BB1" s="521"/>
      <c r="BC1" s="521"/>
      <c r="BD1" s="521"/>
      <c r="BE1" s="521"/>
      <c r="BF1" s="521"/>
      <c r="BG1" s="521"/>
      <c r="BH1" s="522"/>
      <c r="BI1" s="490" t="s">
        <v>182</v>
      </c>
      <c r="BJ1" s="492" t="s">
        <v>206</v>
      </c>
      <c r="BK1" s="493"/>
      <c r="BL1" s="493"/>
      <c r="BM1" s="493"/>
      <c r="BN1" s="493"/>
      <c r="BO1" s="493"/>
      <c r="BP1" s="494"/>
      <c r="BQ1" s="491"/>
    </row>
    <row r="2" spans="1:69" s="173" customFormat="1" ht="14.5" customHeight="1" x14ac:dyDescent="0.2">
      <c r="A2" s="526"/>
      <c r="B2" s="526"/>
      <c r="C2" s="526"/>
      <c r="D2" s="526"/>
      <c r="E2" s="526"/>
      <c r="F2" s="526"/>
      <c r="G2" s="526"/>
      <c r="H2" s="526"/>
      <c r="I2" s="526"/>
      <c r="J2" s="527"/>
      <c r="K2" s="439" t="s">
        <v>16</v>
      </c>
      <c r="L2" s="439"/>
      <c r="M2" s="439"/>
      <c r="N2" s="439"/>
      <c r="O2" s="439"/>
      <c r="P2" s="439" t="s">
        <v>17</v>
      </c>
      <c r="Q2" s="439"/>
      <c r="R2" s="439"/>
      <c r="S2" s="439"/>
      <c r="T2" s="439"/>
      <c r="U2" s="221"/>
      <c r="V2" s="221"/>
      <c r="W2" s="221"/>
      <c r="X2" s="487" t="s">
        <v>351</v>
      </c>
      <c r="Y2" s="474" t="s">
        <v>183</v>
      </c>
      <c r="Z2" s="474" t="s">
        <v>338</v>
      </c>
      <c r="AA2" s="474" t="s">
        <v>341</v>
      </c>
      <c r="AB2" s="474" t="s">
        <v>340</v>
      </c>
      <c r="AC2" s="474" t="s">
        <v>354</v>
      </c>
      <c r="AD2" s="487" t="s">
        <v>355</v>
      </c>
      <c r="AE2" s="474" t="s">
        <v>184</v>
      </c>
      <c r="AF2" s="474" t="s">
        <v>339</v>
      </c>
      <c r="AG2" s="439" t="s">
        <v>21</v>
      </c>
      <c r="AH2" s="439"/>
      <c r="AI2" s="439"/>
      <c r="AJ2" s="439"/>
      <c r="AK2" s="439"/>
      <c r="AL2" s="439"/>
      <c r="AM2" s="439"/>
      <c r="AN2" s="439"/>
      <c r="AO2" s="439" t="s">
        <v>22</v>
      </c>
      <c r="AP2" s="439"/>
      <c r="AQ2" s="439"/>
      <c r="AR2" s="439"/>
      <c r="AS2" s="439"/>
      <c r="AT2" s="439"/>
      <c r="AU2" s="439"/>
      <c r="AV2" s="439"/>
      <c r="AW2" s="439" t="s">
        <v>23</v>
      </c>
      <c r="AX2" s="439"/>
      <c r="AY2" s="439"/>
      <c r="AZ2" s="439"/>
      <c r="BA2" s="439"/>
      <c r="BB2" s="439"/>
      <c r="BC2" s="439"/>
      <c r="BD2" s="439"/>
      <c r="BE2" s="508"/>
      <c r="BF2" s="171"/>
      <c r="BG2" s="223"/>
      <c r="BH2" s="517" t="s">
        <v>356</v>
      </c>
      <c r="BI2" s="490"/>
      <c r="BJ2" s="495"/>
      <c r="BK2" s="496"/>
      <c r="BL2" s="496"/>
      <c r="BM2" s="496"/>
      <c r="BN2" s="496"/>
      <c r="BO2" s="496"/>
      <c r="BP2" s="497"/>
      <c r="BQ2" s="491"/>
    </row>
    <row r="3" spans="1:69" s="173" customFormat="1" ht="15" customHeight="1" x14ac:dyDescent="0.2">
      <c r="A3" s="510" t="s">
        <v>322</v>
      </c>
      <c r="B3" s="510" t="s">
        <v>323</v>
      </c>
      <c r="C3" s="511" t="s">
        <v>321</v>
      </c>
      <c r="D3" s="525" t="s">
        <v>215</v>
      </c>
      <c r="E3" s="525" t="s">
        <v>185</v>
      </c>
      <c r="F3" s="511" t="s">
        <v>204</v>
      </c>
      <c r="G3" s="474" t="s">
        <v>205</v>
      </c>
      <c r="H3" s="474" t="s">
        <v>349</v>
      </c>
      <c r="I3" s="474" t="s">
        <v>350</v>
      </c>
      <c r="J3" s="439" t="s">
        <v>334</v>
      </c>
      <c r="K3" s="487" t="s">
        <v>358</v>
      </c>
      <c r="L3" s="474" t="s">
        <v>37</v>
      </c>
      <c r="M3" s="474" t="s">
        <v>347</v>
      </c>
      <c r="N3" s="474" t="s">
        <v>348</v>
      </c>
      <c r="O3" s="439" t="s">
        <v>346</v>
      </c>
      <c r="P3" s="439" t="s">
        <v>40</v>
      </c>
      <c r="Q3" s="439"/>
      <c r="R3" s="439" t="s">
        <v>186</v>
      </c>
      <c r="S3" s="439" t="s">
        <v>217</v>
      </c>
      <c r="T3" s="439" t="s">
        <v>41</v>
      </c>
      <c r="U3" s="474" t="s">
        <v>352</v>
      </c>
      <c r="V3" s="474" t="s">
        <v>353</v>
      </c>
      <c r="W3" s="487" t="s">
        <v>324</v>
      </c>
      <c r="X3" s="487"/>
      <c r="Y3" s="509"/>
      <c r="Z3" s="509"/>
      <c r="AA3" s="513"/>
      <c r="AB3" s="513"/>
      <c r="AC3" s="513"/>
      <c r="AD3" s="487"/>
      <c r="AE3" s="509"/>
      <c r="AF3" s="509"/>
      <c r="AG3" s="439" t="s">
        <v>8</v>
      </c>
      <c r="AH3" s="439"/>
      <c r="AI3" s="439"/>
      <c r="AJ3" s="439"/>
      <c r="AK3" s="221"/>
      <c r="AL3" s="221"/>
      <c r="AM3" s="439" t="s">
        <v>187</v>
      </c>
      <c r="AN3" s="439" t="s">
        <v>43</v>
      </c>
      <c r="AO3" s="439" t="s">
        <v>8</v>
      </c>
      <c r="AP3" s="439"/>
      <c r="AQ3" s="439"/>
      <c r="AR3" s="439"/>
      <c r="AS3" s="221"/>
      <c r="AT3" s="221"/>
      <c r="AU3" s="439" t="s">
        <v>187</v>
      </c>
      <c r="AV3" s="439" t="s">
        <v>45</v>
      </c>
      <c r="AW3" s="439" t="s">
        <v>8</v>
      </c>
      <c r="AX3" s="439"/>
      <c r="AY3" s="439"/>
      <c r="AZ3" s="439"/>
      <c r="BA3" s="221"/>
      <c r="BB3" s="221"/>
      <c r="BC3" s="524" t="s">
        <v>44</v>
      </c>
      <c r="BD3" s="524" t="s">
        <v>45</v>
      </c>
      <c r="BE3" s="508" t="s">
        <v>46</v>
      </c>
      <c r="BF3" s="474" t="s">
        <v>342</v>
      </c>
      <c r="BG3" s="523" t="s">
        <v>214</v>
      </c>
      <c r="BH3" s="518"/>
      <c r="BI3" s="490"/>
      <c r="BJ3" s="474" t="s">
        <v>207</v>
      </c>
      <c r="BK3" s="474" t="s">
        <v>208</v>
      </c>
      <c r="BL3" s="474" t="s">
        <v>209</v>
      </c>
      <c r="BM3" s="474" t="s">
        <v>210</v>
      </c>
      <c r="BN3" s="474" t="s">
        <v>211</v>
      </c>
      <c r="BO3" s="474" t="s">
        <v>212</v>
      </c>
      <c r="BP3" s="498" t="s">
        <v>213</v>
      </c>
    </row>
    <row r="4" spans="1:69" s="173" customFormat="1" ht="28.5" customHeight="1" x14ac:dyDescent="0.2">
      <c r="A4" s="500"/>
      <c r="B4" s="500"/>
      <c r="C4" s="512"/>
      <c r="D4" s="525"/>
      <c r="E4" s="525"/>
      <c r="F4" s="512"/>
      <c r="G4" s="500"/>
      <c r="H4" s="500"/>
      <c r="I4" s="500"/>
      <c r="J4" s="439"/>
      <c r="K4" s="487"/>
      <c r="L4" s="488"/>
      <c r="M4" s="489"/>
      <c r="N4" s="489"/>
      <c r="O4" s="439"/>
      <c r="P4" s="221" t="s">
        <v>48</v>
      </c>
      <c r="Q4" s="221" t="s">
        <v>336</v>
      </c>
      <c r="R4" s="439"/>
      <c r="S4" s="439"/>
      <c r="T4" s="439"/>
      <c r="U4" s="500"/>
      <c r="V4" s="500"/>
      <c r="W4" s="487"/>
      <c r="X4" s="487"/>
      <c r="Y4" s="488"/>
      <c r="Z4" s="488"/>
      <c r="AA4" s="500"/>
      <c r="AB4" s="500"/>
      <c r="AC4" s="500"/>
      <c r="AD4" s="487"/>
      <c r="AE4" s="488"/>
      <c r="AF4" s="488"/>
      <c r="AG4" s="221">
        <v>1</v>
      </c>
      <c r="AH4" s="221">
        <v>2</v>
      </c>
      <c r="AI4" s="221">
        <v>3</v>
      </c>
      <c r="AJ4" s="221" t="s">
        <v>52</v>
      </c>
      <c r="AK4" s="221" t="s">
        <v>359</v>
      </c>
      <c r="AL4" s="221" t="s">
        <v>360</v>
      </c>
      <c r="AM4" s="439"/>
      <c r="AN4" s="439"/>
      <c r="AO4" s="221">
        <v>1</v>
      </c>
      <c r="AP4" s="221">
        <v>2</v>
      </c>
      <c r="AQ4" s="221">
        <v>3</v>
      </c>
      <c r="AR4" s="221" t="s">
        <v>53</v>
      </c>
      <c r="AS4" s="221" t="s">
        <v>359</v>
      </c>
      <c r="AT4" s="221" t="s">
        <v>360</v>
      </c>
      <c r="AU4" s="439"/>
      <c r="AV4" s="439"/>
      <c r="AW4" s="221">
        <v>1</v>
      </c>
      <c r="AX4" s="221">
        <v>2</v>
      </c>
      <c r="AY4" s="221">
        <v>3</v>
      </c>
      <c r="AZ4" s="221" t="s">
        <v>53</v>
      </c>
      <c r="BA4" s="221" t="s">
        <v>359</v>
      </c>
      <c r="BB4" s="221" t="s">
        <v>360</v>
      </c>
      <c r="BC4" s="524"/>
      <c r="BD4" s="524"/>
      <c r="BE4" s="508"/>
      <c r="BF4" s="500"/>
      <c r="BG4" s="489"/>
      <c r="BH4" s="519"/>
      <c r="BI4" s="490"/>
      <c r="BJ4" s="489"/>
      <c r="BK4" s="489"/>
      <c r="BL4" s="489"/>
      <c r="BM4" s="489"/>
      <c r="BN4" s="489"/>
      <c r="BO4" s="489"/>
      <c r="BP4" s="499"/>
    </row>
    <row r="5" spans="1:69" s="257" customFormat="1" ht="15" x14ac:dyDescent="0.15">
      <c r="A5" s="414"/>
      <c r="B5" s="363">
        <v>44253</v>
      </c>
      <c r="C5" s="415" t="s">
        <v>278</v>
      </c>
      <c r="D5" s="415" t="s">
        <v>265</v>
      </c>
      <c r="E5" s="415" t="s">
        <v>267</v>
      </c>
      <c r="F5" s="416" t="s">
        <v>269</v>
      </c>
      <c r="G5" s="154"/>
      <c r="H5" s="154"/>
      <c r="I5" s="154"/>
      <c r="J5" s="154" t="s">
        <v>335</v>
      </c>
      <c r="K5" s="417">
        <v>44253</v>
      </c>
      <c r="L5" s="154">
        <v>50</v>
      </c>
      <c r="M5" s="154" t="s">
        <v>330</v>
      </c>
      <c r="N5" s="154" t="s">
        <v>329</v>
      </c>
      <c r="O5" s="154" t="s">
        <v>89</v>
      </c>
      <c r="P5" s="418">
        <v>6.54</v>
      </c>
      <c r="Q5" s="418">
        <v>3.76</v>
      </c>
      <c r="R5" s="418">
        <v>77.599999999999994</v>
      </c>
      <c r="S5" s="418"/>
      <c r="T5" s="154"/>
      <c r="U5" s="154"/>
      <c r="V5" s="154"/>
      <c r="W5" s="258" t="s">
        <v>325</v>
      </c>
      <c r="X5" s="417"/>
      <c r="Y5" s="154">
        <v>50</v>
      </c>
      <c r="Z5" s="154" t="s">
        <v>364</v>
      </c>
      <c r="AA5" s="154"/>
      <c r="AB5" s="154" t="s">
        <v>362</v>
      </c>
      <c r="AC5" s="419"/>
      <c r="AD5" s="417">
        <v>43894</v>
      </c>
      <c r="AE5" s="420">
        <v>5</v>
      </c>
      <c r="AF5" s="154"/>
      <c r="AG5" s="421">
        <v>23.197523967541699</v>
      </c>
      <c r="AH5" s="421">
        <v>23.0445565060128</v>
      </c>
      <c r="AI5" s="421">
        <v>22.998712413711399</v>
      </c>
      <c r="AJ5" s="422">
        <f t="shared" ref="AJ5:AJ14" si="0">AVERAGE(AG5:AI5)</f>
        <v>23.080264295755299</v>
      </c>
      <c r="AK5" s="423">
        <v>-3.4410714285714286</v>
      </c>
      <c r="AL5" s="423">
        <v>48.943513064185922</v>
      </c>
      <c r="AM5" s="424">
        <f>IF(AND(AG5="No CT",AH5="No CT",AI5="No CT"),0,10^((AJ5-AL5)/AK5))</f>
        <v>32812952.432024926</v>
      </c>
      <c r="AN5" s="425">
        <f>AM5*100/$AM$13</f>
        <v>13.381352415460663</v>
      </c>
      <c r="AO5" s="421">
        <v>25.095966538429</v>
      </c>
      <c r="AP5" s="421">
        <v>24.948293071331999</v>
      </c>
      <c r="AQ5" s="421">
        <v>24.8591428511264</v>
      </c>
      <c r="AR5" s="422">
        <f t="shared" ref="AR5:AR14" si="1">AVERAGE(AO5:AQ5)</f>
        <v>24.967800820295803</v>
      </c>
      <c r="AS5" s="426">
        <v>-3.5035151515151512</v>
      </c>
      <c r="AT5" s="426">
        <v>40.672666666666665</v>
      </c>
      <c r="AU5" s="427">
        <f>IF(AND(AO5="No CT",AP5="No CT",AQ5="No CT"),0,10^((AR5-AT5)/AS5))</f>
        <v>30381.031837159135</v>
      </c>
      <c r="AV5" s="427">
        <f t="shared" ref="AV5:AV11" si="2">(AU5/AE5)*(Y5/L5)</f>
        <v>6076.2063674318269</v>
      </c>
      <c r="AW5" s="421">
        <v>36.7314051460909</v>
      </c>
      <c r="AX5" s="421">
        <v>39.152132475045597</v>
      </c>
      <c r="AY5" s="421">
        <v>38.943403168628599</v>
      </c>
      <c r="AZ5" s="422">
        <f t="shared" ref="AZ5:AZ14" si="3">AVERAGE(AW5:AY5)</f>
        <v>38.275646929921699</v>
      </c>
      <c r="BA5" s="426">
        <v>-3.4617</v>
      </c>
      <c r="BB5" s="426">
        <v>42.390999999999998</v>
      </c>
      <c r="BC5" s="427">
        <f>IF(AND(AW5="No CT",AX5="No CT",AY5="No CT"),0,10^((AZ5-BB5)/BA5))</f>
        <v>15.446294018666402</v>
      </c>
      <c r="BD5" s="428">
        <f t="shared" ref="BD5:BD11" si="4">(BC5/AE5)*(Y5/L5)</f>
        <v>3.0892588037332804</v>
      </c>
      <c r="BE5" s="427">
        <f>BC5/AU5</f>
        <v>5.0841900635428686E-4</v>
      </c>
      <c r="BF5" s="273"/>
      <c r="BG5" s="273"/>
      <c r="BH5" s="274"/>
      <c r="BI5" s="501"/>
      <c r="BJ5" s="275"/>
      <c r="BK5" s="275"/>
      <c r="BL5" s="275"/>
      <c r="BM5" s="275"/>
      <c r="BN5" s="275"/>
      <c r="BO5" s="275"/>
      <c r="BP5" s="276"/>
    </row>
    <row r="6" spans="1:69" s="257" customFormat="1" ht="15" x14ac:dyDescent="0.15">
      <c r="A6" s="414"/>
      <c r="B6" s="363">
        <v>44253</v>
      </c>
      <c r="C6" s="415" t="s">
        <v>268</v>
      </c>
      <c r="D6" s="415" t="s">
        <v>264</v>
      </c>
      <c r="E6" s="415" t="s">
        <v>267</v>
      </c>
      <c r="F6" s="416" t="s">
        <v>269</v>
      </c>
      <c r="G6" s="154"/>
      <c r="H6" s="154"/>
      <c r="I6" s="154"/>
      <c r="J6" s="154" t="s">
        <v>335</v>
      </c>
      <c r="K6" s="417">
        <v>44253</v>
      </c>
      <c r="L6" s="154">
        <v>50</v>
      </c>
      <c r="M6" s="154" t="s">
        <v>330</v>
      </c>
      <c r="N6" s="154" t="s">
        <v>329</v>
      </c>
      <c r="O6" s="154" t="s">
        <v>89</v>
      </c>
      <c r="P6" s="303">
        <v>7.16</v>
      </c>
      <c r="Q6" s="302">
        <v>3.63</v>
      </c>
      <c r="R6" s="302">
        <v>24.3</v>
      </c>
      <c r="S6" s="418"/>
      <c r="T6" s="429"/>
      <c r="U6" s="429"/>
      <c r="V6" s="429"/>
      <c r="W6" s="258" t="s">
        <v>325</v>
      </c>
      <c r="X6" s="258"/>
      <c r="Y6" s="154">
        <v>50</v>
      </c>
      <c r="Z6" s="154" t="s">
        <v>364</v>
      </c>
      <c r="AA6" s="154"/>
      <c r="AB6" s="154" t="s">
        <v>362</v>
      </c>
      <c r="AC6" s="430"/>
      <c r="AD6" s="417">
        <v>43894</v>
      </c>
      <c r="AE6" s="420">
        <v>5</v>
      </c>
      <c r="AF6" s="429"/>
      <c r="AG6" s="421">
        <v>21.4822851044127</v>
      </c>
      <c r="AH6" s="421">
        <v>21.412500792663302</v>
      </c>
      <c r="AI6" s="421">
        <v>21.4148584230315</v>
      </c>
      <c r="AJ6" s="422">
        <f t="shared" si="0"/>
        <v>21.436548106702503</v>
      </c>
      <c r="AK6" s="423">
        <v>-3.4410714285714286</v>
      </c>
      <c r="AL6" s="423">
        <v>48.943513064185922</v>
      </c>
      <c r="AM6" s="424">
        <f t="shared" ref="AM6:AM14" si="5">IF(AND(AG6="No CT",AH6="No CT",AI6="No CT"),0,10^((AJ6-AL6)/AK6))</f>
        <v>98564609.304223284</v>
      </c>
      <c r="AN6" s="425">
        <f t="shared" ref="AN6:AN14" si="6">AM6*100/$AM$13</f>
        <v>40.19533979833988</v>
      </c>
      <c r="AO6" s="421">
        <v>24.351424357978299</v>
      </c>
      <c r="AP6" s="421">
        <v>24.2965946504298</v>
      </c>
      <c r="AQ6" s="421">
        <v>24.3012470103133</v>
      </c>
      <c r="AR6" s="422">
        <f t="shared" si="1"/>
        <v>24.316422006240469</v>
      </c>
      <c r="AS6" s="431">
        <v>-3.5035151515151512</v>
      </c>
      <c r="AT6" s="431">
        <v>40.672666666666665</v>
      </c>
      <c r="AU6" s="427">
        <f>IF(AND(AO6="No CT",AP6="No CT",AQ6="No CT"),0,10^((AR6-AT6)/AS6))</f>
        <v>46614.821553552458</v>
      </c>
      <c r="AV6" s="427">
        <f t="shared" si="2"/>
        <v>9322.9643107104912</v>
      </c>
      <c r="AW6" s="421">
        <v>37.261171127033798</v>
      </c>
      <c r="AX6" s="421">
        <v>37.942549833976599</v>
      </c>
      <c r="AY6" s="421">
        <v>36.979425129931101</v>
      </c>
      <c r="AZ6" s="422">
        <f t="shared" si="3"/>
        <v>37.394382030313828</v>
      </c>
      <c r="BA6" s="426">
        <v>-3.4410714285714286</v>
      </c>
      <c r="BB6" s="426">
        <v>48.943513064185922</v>
      </c>
      <c r="BC6" s="427">
        <f t="shared" ref="BC6:BC14" si="7">IF(AND(AW6="No CT",AX6="No CT",AY6="No CT"),0,10^((AZ6-BB6)/BA6))</f>
        <v>2271.2251377514735</v>
      </c>
      <c r="BD6" s="428">
        <f t="shared" si="4"/>
        <v>454.24502755029471</v>
      </c>
      <c r="BE6" s="427">
        <f t="shared" ref="BE6:BE14" si="8">BC6/AU6</f>
        <v>4.8723239992289238E-2</v>
      </c>
      <c r="BF6" s="273"/>
      <c r="BG6" s="273"/>
      <c r="BH6" s="280"/>
      <c r="BI6" s="501"/>
      <c r="BJ6" s="275"/>
      <c r="BK6" s="275"/>
      <c r="BL6" s="275"/>
      <c r="BM6" s="275"/>
      <c r="BN6" s="275"/>
      <c r="BO6" s="275"/>
      <c r="BP6" s="276"/>
    </row>
    <row r="7" spans="1:69" s="257" customFormat="1" ht="15" x14ac:dyDescent="0.15">
      <c r="A7" s="414"/>
      <c r="B7" s="363">
        <v>44253</v>
      </c>
      <c r="C7" s="415" t="s">
        <v>284</v>
      </c>
      <c r="D7" s="415" t="s">
        <v>265</v>
      </c>
      <c r="E7" s="415" t="s">
        <v>272</v>
      </c>
      <c r="F7" s="416" t="s">
        <v>269</v>
      </c>
      <c r="G7" s="154"/>
      <c r="H7" s="154"/>
      <c r="I7" s="154"/>
      <c r="J7" s="154" t="s">
        <v>335</v>
      </c>
      <c r="K7" s="417">
        <v>44253</v>
      </c>
      <c r="L7" s="154">
        <v>50</v>
      </c>
      <c r="M7" s="154" t="s">
        <v>330</v>
      </c>
      <c r="N7" s="154" t="s">
        <v>329</v>
      </c>
      <c r="O7" s="154" t="s">
        <v>89</v>
      </c>
      <c r="P7" s="418">
        <v>7.65</v>
      </c>
      <c r="Q7" s="418">
        <v>4.32</v>
      </c>
      <c r="R7" s="418">
        <v>102</v>
      </c>
      <c r="S7" s="418"/>
      <c r="T7" s="429"/>
      <c r="U7" s="429"/>
      <c r="V7" s="429"/>
      <c r="W7" s="258" t="s">
        <v>325</v>
      </c>
      <c r="X7" s="258"/>
      <c r="Y7" s="154">
        <v>50</v>
      </c>
      <c r="Z7" s="154" t="s">
        <v>364</v>
      </c>
      <c r="AA7" s="429"/>
      <c r="AB7" s="154" t="s">
        <v>362</v>
      </c>
      <c r="AC7" s="430"/>
      <c r="AD7" s="417">
        <v>43894</v>
      </c>
      <c r="AE7" s="420">
        <v>5</v>
      </c>
      <c r="AF7" s="429"/>
      <c r="AG7" s="139">
        <v>22.679130259185499</v>
      </c>
      <c r="AH7" s="139">
        <v>22.7953658168978</v>
      </c>
      <c r="AI7" s="421">
        <v>22.533789559635199</v>
      </c>
      <c r="AJ7" s="422">
        <f t="shared" si="0"/>
        <v>22.669428545239498</v>
      </c>
      <c r="AK7" s="423">
        <v>-3.4410714285714286</v>
      </c>
      <c r="AL7" s="423">
        <v>48.943513064185922</v>
      </c>
      <c r="AM7" s="424">
        <f t="shared" si="5"/>
        <v>43195362.220637299</v>
      </c>
      <c r="AN7" s="425">
        <f t="shared" si="6"/>
        <v>17.615372032895529</v>
      </c>
      <c r="AO7" s="421">
        <v>27.139283292694699</v>
      </c>
      <c r="AP7" s="421">
        <v>27.2286478019941</v>
      </c>
      <c r="AQ7" s="421">
        <v>27.128579698071398</v>
      </c>
      <c r="AR7" s="422">
        <f t="shared" si="1"/>
        <v>27.165503597586735</v>
      </c>
      <c r="AS7" s="431">
        <v>-3.5035151515151512</v>
      </c>
      <c r="AT7" s="431">
        <v>40.672666666666665</v>
      </c>
      <c r="AU7" s="427">
        <f t="shared" ref="AU7:AU14" si="9">IF(AND(AO7="No CT",AP7="No CT",AQ7="No CT"),0,10^((AR7-AT7)/AS7))</f>
        <v>7166.6705608679413</v>
      </c>
      <c r="AV7" s="427">
        <f t="shared" si="2"/>
        <v>1433.3341121735882</v>
      </c>
      <c r="AW7" s="421">
        <v>35.127734417400703</v>
      </c>
      <c r="AX7" s="421">
        <v>35.505554803763701</v>
      </c>
      <c r="AY7" s="421">
        <v>35.3246237051818</v>
      </c>
      <c r="AZ7" s="422">
        <f t="shared" si="3"/>
        <v>35.319304308782073</v>
      </c>
      <c r="BA7" s="426">
        <v>-3.4410714285714286</v>
      </c>
      <c r="BB7" s="426">
        <v>48.943513064185922</v>
      </c>
      <c r="BC7" s="427">
        <f t="shared" si="7"/>
        <v>9105.2658923836971</v>
      </c>
      <c r="BD7" s="428">
        <f t="shared" si="4"/>
        <v>1821.0531784767395</v>
      </c>
      <c r="BE7" s="427">
        <f t="shared" si="8"/>
        <v>1.2705015271807019</v>
      </c>
      <c r="BF7" s="273"/>
      <c r="BG7" s="273"/>
      <c r="BH7" s="280"/>
      <c r="BI7" s="501"/>
      <c r="BJ7" s="275"/>
      <c r="BK7" s="275"/>
      <c r="BL7" s="275"/>
      <c r="BM7" s="275"/>
      <c r="BN7" s="275"/>
      <c r="BO7" s="275"/>
      <c r="BP7" s="276"/>
    </row>
    <row r="8" spans="1:69" s="257" customFormat="1" ht="13.25" customHeight="1" x14ac:dyDescent="0.15">
      <c r="A8" s="414"/>
      <c r="B8" s="363">
        <v>44253</v>
      </c>
      <c r="C8" s="415" t="s">
        <v>283</v>
      </c>
      <c r="D8" s="415" t="s">
        <v>264</v>
      </c>
      <c r="E8" s="415" t="s">
        <v>272</v>
      </c>
      <c r="F8" s="416" t="s">
        <v>269</v>
      </c>
      <c r="G8" s="154"/>
      <c r="H8" s="154"/>
      <c r="I8" s="154"/>
      <c r="J8" s="154" t="s">
        <v>335</v>
      </c>
      <c r="K8" s="417">
        <v>44253</v>
      </c>
      <c r="L8" s="154">
        <v>50</v>
      </c>
      <c r="M8" s="154" t="s">
        <v>330</v>
      </c>
      <c r="N8" s="154" t="s">
        <v>329</v>
      </c>
      <c r="O8" s="154" t="s">
        <v>89</v>
      </c>
      <c r="P8" s="303">
        <v>7.5</v>
      </c>
      <c r="Q8" s="302">
        <v>4.5</v>
      </c>
      <c r="R8" s="302">
        <v>62.4</v>
      </c>
      <c r="S8" s="418"/>
      <c r="T8" s="429"/>
      <c r="U8" s="429"/>
      <c r="V8" s="429"/>
      <c r="W8" s="258" t="s">
        <v>325</v>
      </c>
      <c r="X8" s="258"/>
      <c r="Y8" s="154">
        <v>50</v>
      </c>
      <c r="Z8" s="154" t="s">
        <v>364</v>
      </c>
      <c r="AA8" s="429"/>
      <c r="AB8" s="154" t="s">
        <v>362</v>
      </c>
      <c r="AC8" s="430"/>
      <c r="AD8" s="417">
        <v>43894</v>
      </c>
      <c r="AE8" s="420">
        <v>5</v>
      </c>
      <c r="AF8" s="429"/>
      <c r="AG8" s="139">
        <v>22.020414634355699</v>
      </c>
      <c r="AH8" s="139">
        <v>22.044685560962598</v>
      </c>
      <c r="AI8" s="421">
        <v>22.174578806911502</v>
      </c>
      <c r="AJ8" s="422">
        <f t="shared" si="0"/>
        <v>22.079893000743265</v>
      </c>
      <c r="AK8" s="423">
        <v>-3.4410714285714286</v>
      </c>
      <c r="AL8" s="423">
        <v>48.943513064185922</v>
      </c>
      <c r="AM8" s="424">
        <f t="shared" si="5"/>
        <v>64085587.689391136</v>
      </c>
      <c r="AN8" s="425">
        <f t="shared" si="6"/>
        <v>26.134552670935307</v>
      </c>
      <c r="AO8" s="421">
        <v>27.1423225697548</v>
      </c>
      <c r="AP8" s="421">
        <v>27.179924259774399</v>
      </c>
      <c r="AQ8" s="421">
        <v>27.338764859214699</v>
      </c>
      <c r="AR8" s="422">
        <f t="shared" si="1"/>
        <v>27.2203372295813</v>
      </c>
      <c r="AS8" s="431">
        <v>-3.5035151515151512</v>
      </c>
      <c r="AT8" s="431">
        <v>40.672666666666665</v>
      </c>
      <c r="AU8" s="427">
        <f t="shared" si="9"/>
        <v>6912.997629640593</v>
      </c>
      <c r="AV8" s="427">
        <f t="shared" si="2"/>
        <v>1382.5995259281185</v>
      </c>
      <c r="AW8" s="421">
        <v>32.571843956753597</v>
      </c>
      <c r="AX8" s="421">
        <v>32.557813168676603</v>
      </c>
      <c r="AY8" s="421">
        <v>32.693788586921102</v>
      </c>
      <c r="AZ8" s="422">
        <f t="shared" si="3"/>
        <v>32.607815237450431</v>
      </c>
      <c r="BA8" s="426">
        <v>-3.4410714285714286</v>
      </c>
      <c r="BB8" s="426">
        <v>48.943513064185922</v>
      </c>
      <c r="BC8" s="427">
        <f t="shared" si="7"/>
        <v>55881.849938521103</v>
      </c>
      <c r="BD8" s="428">
        <f t="shared" si="4"/>
        <v>11176.36998770422</v>
      </c>
      <c r="BE8" s="427">
        <f t="shared" si="8"/>
        <v>8.0835916533398837</v>
      </c>
      <c r="BF8" s="273"/>
      <c r="BG8" s="273"/>
      <c r="BH8" s="280"/>
      <c r="BI8" s="501"/>
      <c r="BJ8" s="275"/>
      <c r="BK8" s="275"/>
      <c r="BL8" s="275"/>
      <c r="BM8" s="275"/>
      <c r="BN8" s="275"/>
      <c r="BO8" s="275"/>
      <c r="BP8" s="276"/>
    </row>
    <row r="9" spans="1:69" s="257" customFormat="1" ht="15" x14ac:dyDescent="0.15">
      <c r="A9" s="414"/>
      <c r="B9" s="363">
        <v>44253</v>
      </c>
      <c r="C9" s="415" t="s">
        <v>289</v>
      </c>
      <c r="D9" s="415" t="s">
        <v>265</v>
      </c>
      <c r="E9" s="415" t="s">
        <v>273</v>
      </c>
      <c r="F9" s="416" t="s">
        <v>269</v>
      </c>
      <c r="G9" s="154"/>
      <c r="H9" s="154"/>
      <c r="I9" s="154"/>
      <c r="J9" s="154" t="s">
        <v>335</v>
      </c>
      <c r="K9" s="417">
        <v>44253</v>
      </c>
      <c r="L9" s="154">
        <v>50</v>
      </c>
      <c r="M9" s="154" t="s">
        <v>330</v>
      </c>
      <c r="N9" s="154" t="s">
        <v>329</v>
      </c>
      <c r="O9" s="154" t="s">
        <v>89</v>
      </c>
      <c r="P9" s="418">
        <v>8.9</v>
      </c>
      <c r="Q9" s="418">
        <v>3.78</v>
      </c>
      <c r="R9" s="418">
        <v>90.2</v>
      </c>
      <c r="S9" s="418"/>
      <c r="T9" s="429"/>
      <c r="U9" s="429"/>
      <c r="V9" s="429"/>
      <c r="W9" s="258" t="s">
        <v>325</v>
      </c>
      <c r="X9" s="258"/>
      <c r="Y9" s="154">
        <v>50</v>
      </c>
      <c r="Z9" s="154" t="s">
        <v>364</v>
      </c>
      <c r="AA9" s="429"/>
      <c r="AB9" s="154" t="s">
        <v>362</v>
      </c>
      <c r="AC9" s="430"/>
      <c r="AD9" s="417">
        <v>43894</v>
      </c>
      <c r="AE9" s="420">
        <v>5</v>
      </c>
      <c r="AF9" s="429"/>
      <c r="AG9" s="139">
        <v>21.765600838481799</v>
      </c>
      <c r="AH9" s="139">
        <v>21.763837384098899</v>
      </c>
      <c r="AI9" s="421">
        <v>21.751124179549599</v>
      </c>
      <c r="AJ9" s="422">
        <f t="shared" si="0"/>
        <v>21.760187467376767</v>
      </c>
      <c r="AK9" s="423">
        <v>-3.4410714285714286</v>
      </c>
      <c r="AL9" s="423">
        <v>48.943513064185922</v>
      </c>
      <c r="AM9" s="424">
        <f t="shared" si="5"/>
        <v>79372322.598911017</v>
      </c>
      <c r="AN9" s="425">
        <f t="shared" si="6"/>
        <v>32.368590511015981</v>
      </c>
      <c r="AO9" s="421">
        <v>27.8444117934811</v>
      </c>
      <c r="AP9" s="421">
        <v>27.776135864766701</v>
      </c>
      <c r="AQ9" s="421">
        <v>27.613750544657201</v>
      </c>
      <c r="AR9" s="422">
        <f t="shared" si="1"/>
        <v>27.744766067634998</v>
      </c>
      <c r="AS9" s="431">
        <v>-3.5035151515151512</v>
      </c>
      <c r="AT9" s="431">
        <v>40.672666666666665</v>
      </c>
      <c r="AU9" s="427">
        <f t="shared" si="9"/>
        <v>4897.5618756730955</v>
      </c>
      <c r="AV9" s="427">
        <f t="shared" si="2"/>
        <v>979.51237513461911</v>
      </c>
      <c r="AW9" s="421">
        <v>30.392554948261001</v>
      </c>
      <c r="AX9" s="421">
        <v>30.569209000859001</v>
      </c>
      <c r="AY9" s="421">
        <v>30.4554857853804</v>
      </c>
      <c r="AZ9" s="422">
        <f t="shared" si="3"/>
        <v>30.472416578166801</v>
      </c>
      <c r="BA9" s="426">
        <v>-3.4410714285714286</v>
      </c>
      <c r="BB9" s="426">
        <v>48.943513064185922</v>
      </c>
      <c r="BC9" s="427">
        <f t="shared" si="7"/>
        <v>233256.05034689416</v>
      </c>
      <c r="BD9" s="428">
        <f t="shared" si="4"/>
        <v>46651.210069378831</v>
      </c>
      <c r="BE9" s="427">
        <f t="shared" si="8"/>
        <v>47.626973638763197</v>
      </c>
      <c r="BF9" s="273"/>
      <c r="BG9" s="273"/>
      <c r="BH9" s="280"/>
      <c r="BI9" s="501"/>
      <c r="BJ9" s="275"/>
      <c r="BK9" s="275"/>
      <c r="BL9" s="275"/>
      <c r="BM9" s="275"/>
      <c r="BN9" s="275"/>
      <c r="BO9" s="275"/>
      <c r="BP9" s="276"/>
    </row>
    <row r="10" spans="1:69" s="257" customFormat="1" ht="15" x14ac:dyDescent="0.15">
      <c r="A10" s="414"/>
      <c r="B10" s="363">
        <v>44253</v>
      </c>
      <c r="C10" s="415" t="s">
        <v>288</v>
      </c>
      <c r="D10" s="415" t="s">
        <v>264</v>
      </c>
      <c r="E10" s="415" t="s">
        <v>273</v>
      </c>
      <c r="F10" s="416" t="s">
        <v>269</v>
      </c>
      <c r="G10" s="154"/>
      <c r="H10" s="154"/>
      <c r="I10" s="154"/>
      <c r="J10" s="154" t="s">
        <v>335</v>
      </c>
      <c r="K10" s="417">
        <v>44253</v>
      </c>
      <c r="L10" s="154">
        <v>50</v>
      </c>
      <c r="M10" s="154" t="s">
        <v>330</v>
      </c>
      <c r="N10" s="154" t="s">
        <v>329</v>
      </c>
      <c r="O10" s="154" t="s">
        <v>89</v>
      </c>
      <c r="P10" s="303">
        <v>8.57</v>
      </c>
      <c r="Q10" s="302">
        <v>4.46</v>
      </c>
      <c r="R10" s="302">
        <v>63.3</v>
      </c>
      <c r="S10" s="418"/>
      <c r="T10" s="429"/>
      <c r="U10" s="429"/>
      <c r="V10" s="429"/>
      <c r="W10" s="258" t="s">
        <v>325</v>
      </c>
      <c r="X10" s="258"/>
      <c r="Y10" s="154">
        <v>50</v>
      </c>
      <c r="Z10" s="154" t="s">
        <v>364</v>
      </c>
      <c r="AA10" s="429"/>
      <c r="AB10" s="154" t="s">
        <v>362</v>
      </c>
      <c r="AC10" s="430"/>
      <c r="AD10" s="417">
        <v>43894</v>
      </c>
      <c r="AE10" s="420">
        <v>5</v>
      </c>
      <c r="AF10" s="429"/>
      <c r="AG10" s="139">
        <v>22.635148920465401</v>
      </c>
      <c r="AH10" s="139">
        <v>22.5394562482604</v>
      </c>
      <c r="AI10" s="421">
        <v>22.500222306350398</v>
      </c>
      <c r="AJ10" s="422">
        <f t="shared" si="0"/>
        <v>22.558275825025401</v>
      </c>
      <c r="AK10" s="423">
        <v>-3.4410714285714286</v>
      </c>
      <c r="AL10" s="423">
        <v>48.943513064185922</v>
      </c>
      <c r="AM10" s="424">
        <f t="shared" si="5"/>
        <v>46530626.143442549</v>
      </c>
      <c r="AN10" s="425">
        <f t="shared" si="6"/>
        <v>18.975516080953522</v>
      </c>
      <c r="AO10" s="421">
        <v>27.951348393051799</v>
      </c>
      <c r="AP10" s="421">
        <v>27.947454779883302</v>
      </c>
      <c r="AQ10" s="421">
        <v>27.856198954520401</v>
      </c>
      <c r="AR10" s="422">
        <f t="shared" si="1"/>
        <v>27.918334042485167</v>
      </c>
      <c r="AS10" s="431">
        <v>-3.5035151515151512</v>
      </c>
      <c r="AT10" s="431">
        <v>40.672666666666665</v>
      </c>
      <c r="AU10" s="427">
        <f t="shared" si="9"/>
        <v>4369.5713691622132</v>
      </c>
      <c r="AV10" s="427">
        <f t="shared" si="2"/>
        <v>873.91427383244263</v>
      </c>
      <c r="AW10" s="421">
        <v>31.542195763628399</v>
      </c>
      <c r="AX10" s="421">
        <v>31.448458967049898</v>
      </c>
      <c r="AY10" s="421">
        <v>31.361535283036101</v>
      </c>
      <c r="AZ10" s="422">
        <f t="shared" si="3"/>
        <v>31.450730004571469</v>
      </c>
      <c r="BA10" s="426">
        <v>-3.4410714285714286</v>
      </c>
      <c r="BB10" s="426">
        <v>48.943513064185922</v>
      </c>
      <c r="BC10" s="427">
        <f t="shared" si="7"/>
        <v>121207.09144603046</v>
      </c>
      <c r="BD10" s="428">
        <f t="shared" si="4"/>
        <v>24241.418289206093</v>
      </c>
      <c r="BE10" s="427">
        <f t="shared" si="8"/>
        <v>27.738897298127835</v>
      </c>
      <c r="BF10" s="273"/>
      <c r="BG10" s="273"/>
      <c r="BH10" s="280"/>
      <c r="BI10" s="501"/>
      <c r="BJ10" s="275"/>
      <c r="BK10" s="275"/>
      <c r="BL10" s="275"/>
      <c r="BM10" s="275"/>
      <c r="BN10" s="275"/>
      <c r="BO10" s="275"/>
      <c r="BP10" s="276"/>
    </row>
    <row r="11" spans="1:69" s="257" customFormat="1" ht="15" x14ac:dyDescent="0.15">
      <c r="A11" s="414"/>
      <c r="B11" s="363">
        <v>44253</v>
      </c>
      <c r="C11" s="415" t="s">
        <v>294</v>
      </c>
      <c r="D11" s="415" t="s">
        <v>265</v>
      </c>
      <c r="E11" s="415" t="s">
        <v>320</v>
      </c>
      <c r="F11" s="416" t="s">
        <v>269</v>
      </c>
      <c r="G11" s="154"/>
      <c r="H11" s="154"/>
      <c r="I11" s="154"/>
      <c r="J11" s="154" t="s">
        <v>335</v>
      </c>
      <c r="K11" s="417">
        <v>44253</v>
      </c>
      <c r="L11" s="154">
        <v>50</v>
      </c>
      <c r="M11" s="154" t="s">
        <v>330</v>
      </c>
      <c r="N11" s="154" t="s">
        <v>329</v>
      </c>
      <c r="O11" s="154" t="s">
        <v>89</v>
      </c>
      <c r="P11" s="418">
        <v>8.08</v>
      </c>
      <c r="Q11" s="418">
        <v>3.88</v>
      </c>
      <c r="R11" s="418">
        <v>53.5</v>
      </c>
      <c r="S11" s="418"/>
      <c r="T11" s="429"/>
      <c r="U11" s="429"/>
      <c r="V11" s="429"/>
      <c r="W11" s="258" t="s">
        <v>325</v>
      </c>
      <c r="X11" s="258"/>
      <c r="Y11" s="154">
        <v>50</v>
      </c>
      <c r="Z11" s="154" t="s">
        <v>364</v>
      </c>
      <c r="AA11" s="429"/>
      <c r="AB11" s="154" t="s">
        <v>362</v>
      </c>
      <c r="AC11" s="430"/>
      <c r="AD11" s="417">
        <v>43894</v>
      </c>
      <c r="AE11" s="420">
        <v>5</v>
      </c>
      <c r="AF11" s="429"/>
      <c r="AG11" s="421">
        <v>21.864713846663999</v>
      </c>
      <c r="AH11" s="421">
        <v>21.8919487992078</v>
      </c>
      <c r="AI11" s="421">
        <v>22.047319270224602</v>
      </c>
      <c r="AJ11" s="422">
        <f t="shared" si="0"/>
        <v>21.934660638698801</v>
      </c>
      <c r="AK11" s="423">
        <v>-3.4410714285714286</v>
      </c>
      <c r="AL11" s="423">
        <v>48.943513064185922</v>
      </c>
      <c r="AM11" s="424">
        <f t="shared" si="5"/>
        <v>70626215.589864016</v>
      </c>
      <c r="AN11" s="425">
        <f t="shared" si="6"/>
        <v>28.801866657262291</v>
      </c>
      <c r="AO11" s="421">
        <v>28.503073806656101</v>
      </c>
      <c r="AP11" s="421">
        <v>28.636013617718401</v>
      </c>
      <c r="AQ11" s="421">
        <v>28.7383138923967</v>
      </c>
      <c r="AR11" s="422">
        <f t="shared" si="1"/>
        <v>28.625800438923733</v>
      </c>
      <c r="AS11" s="431">
        <v>-3.5035151515151512</v>
      </c>
      <c r="AT11" s="431">
        <v>40.672666666666665</v>
      </c>
      <c r="AU11" s="427">
        <f t="shared" si="9"/>
        <v>2744.7853411399028</v>
      </c>
      <c r="AV11" s="427">
        <f t="shared" si="2"/>
        <v>548.95706822798059</v>
      </c>
      <c r="AW11" s="421">
        <v>38.3154324605811</v>
      </c>
      <c r="AX11" s="421">
        <v>37.488199694256799</v>
      </c>
      <c r="AY11" s="421">
        <v>38.526437968502499</v>
      </c>
      <c r="AZ11" s="422">
        <f t="shared" si="3"/>
        <v>38.110023374446797</v>
      </c>
      <c r="BA11" s="426">
        <v>-3.4410714285714286</v>
      </c>
      <c r="BB11" s="426">
        <v>48.943513064185922</v>
      </c>
      <c r="BC11" s="427">
        <f t="shared" si="7"/>
        <v>1406.9857104224507</v>
      </c>
      <c r="BD11" s="428">
        <f t="shared" si="4"/>
        <v>281.39714208449016</v>
      </c>
      <c r="BE11" s="427">
        <f t="shared" si="8"/>
        <v>0.51260318587905784</v>
      </c>
      <c r="BF11" s="273"/>
      <c r="BG11" s="273"/>
      <c r="BH11" s="280"/>
      <c r="BI11" s="501"/>
      <c r="BJ11" s="275"/>
      <c r="BK11" s="275"/>
      <c r="BL11" s="275"/>
      <c r="BM11" s="275"/>
      <c r="BN11" s="275"/>
      <c r="BO11" s="275"/>
      <c r="BP11" s="276"/>
    </row>
    <row r="12" spans="1:69" s="257" customFormat="1" ht="15" x14ac:dyDescent="0.15">
      <c r="A12" s="414"/>
      <c r="B12" s="363">
        <v>44253</v>
      </c>
      <c r="C12" s="415" t="s">
        <v>293</v>
      </c>
      <c r="D12" s="415" t="s">
        <v>264</v>
      </c>
      <c r="E12" s="415" t="s">
        <v>320</v>
      </c>
      <c r="F12" s="416" t="s">
        <v>269</v>
      </c>
      <c r="G12" s="154"/>
      <c r="H12" s="154"/>
      <c r="I12" s="154"/>
      <c r="J12" s="154" t="s">
        <v>335</v>
      </c>
      <c r="K12" s="417">
        <v>44253</v>
      </c>
      <c r="L12" s="154">
        <v>50</v>
      </c>
      <c r="M12" s="154" t="s">
        <v>330</v>
      </c>
      <c r="N12" s="154" t="s">
        <v>329</v>
      </c>
      <c r="O12" s="154" t="s">
        <v>89</v>
      </c>
      <c r="P12" s="303">
        <v>7.88</v>
      </c>
      <c r="Q12" s="302">
        <v>3.54</v>
      </c>
      <c r="R12" s="302">
        <v>40.4</v>
      </c>
      <c r="S12" s="418"/>
      <c r="T12" s="429"/>
      <c r="U12" s="429"/>
      <c r="V12" s="429"/>
      <c r="W12" s="258" t="s">
        <v>325</v>
      </c>
      <c r="X12" s="258"/>
      <c r="Y12" s="154">
        <v>50</v>
      </c>
      <c r="Z12" s="154" t="s">
        <v>364</v>
      </c>
      <c r="AA12" s="429"/>
      <c r="AB12" s="154" t="s">
        <v>362</v>
      </c>
      <c r="AC12" s="430"/>
      <c r="AD12" s="417">
        <v>43894</v>
      </c>
      <c r="AE12" s="420">
        <v>5</v>
      </c>
      <c r="AF12" s="429"/>
      <c r="AG12" s="421">
        <v>21.6220859681478</v>
      </c>
      <c r="AH12" s="421">
        <v>21.513542189780399</v>
      </c>
      <c r="AI12" s="421">
        <v>21.655351867814701</v>
      </c>
      <c r="AJ12" s="422">
        <f t="shared" si="0"/>
        <v>21.596993341914299</v>
      </c>
      <c r="AK12" s="423">
        <v>-3.4410714285714286</v>
      </c>
      <c r="AL12" s="423">
        <v>48.943513064185922</v>
      </c>
      <c r="AM12" s="424">
        <f t="shared" si="5"/>
        <v>88530816.656253025</v>
      </c>
      <c r="AN12" s="425">
        <f t="shared" si="6"/>
        <v>36.103488698860424</v>
      </c>
      <c r="AO12" s="421">
        <v>27.629328239595502</v>
      </c>
      <c r="AP12" s="421">
        <v>27.5887273902121</v>
      </c>
      <c r="AQ12" s="421">
        <v>27.879988174569</v>
      </c>
      <c r="AR12" s="422">
        <f t="shared" si="1"/>
        <v>27.6993479347922</v>
      </c>
      <c r="AS12" s="431">
        <v>-3.5035151515151512</v>
      </c>
      <c r="AT12" s="431">
        <v>40.672666666666665</v>
      </c>
      <c r="AU12" s="427">
        <f t="shared" si="9"/>
        <v>5045.9567206867796</v>
      </c>
      <c r="AV12" s="427">
        <f t="shared" ref="AV12:AV14" si="10">(AU12/AE12)*(Y12/L12)</f>
        <v>1009.1913441373559</v>
      </c>
      <c r="AW12" s="421">
        <v>36.870997416642602</v>
      </c>
      <c r="AX12" s="421">
        <v>36.277182336770402</v>
      </c>
      <c r="AY12" s="421">
        <v>35.684679190335302</v>
      </c>
      <c r="AZ12" s="422">
        <f t="shared" si="3"/>
        <v>36.277619647916104</v>
      </c>
      <c r="BA12" s="426">
        <v>-3.4410714285714286</v>
      </c>
      <c r="BB12" s="426">
        <v>48.943513064185922</v>
      </c>
      <c r="BC12" s="427">
        <f t="shared" si="7"/>
        <v>4795.118367296338</v>
      </c>
      <c r="BD12" s="428">
        <f t="shared" ref="BD12:BD13" si="11">(BC12/AE12)*(Y12/L12)</f>
        <v>959.02367345926757</v>
      </c>
      <c r="BE12" s="427">
        <f>BC12/AU12</f>
        <v>0.95028923804239418</v>
      </c>
      <c r="BF12" s="273"/>
      <c r="BG12" s="273"/>
      <c r="BH12" s="280"/>
      <c r="BI12" s="501"/>
      <c r="BJ12" s="275"/>
      <c r="BK12" s="275"/>
      <c r="BL12" s="275"/>
      <c r="BM12" s="275"/>
      <c r="BN12" s="275"/>
      <c r="BO12" s="275"/>
      <c r="BP12" s="276"/>
    </row>
    <row r="13" spans="1:69" s="257" customFormat="1" ht="15" x14ac:dyDescent="0.2">
      <c r="A13" s="414"/>
      <c r="B13" s="363"/>
      <c r="C13" s="282" t="s">
        <v>191</v>
      </c>
      <c r="D13" s="282" t="s">
        <v>191</v>
      </c>
      <c r="E13" s="282" t="s">
        <v>191</v>
      </c>
      <c r="F13" s="432" t="s">
        <v>191</v>
      </c>
      <c r="G13" s="154"/>
      <c r="H13" s="154"/>
      <c r="I13" s="154"/>
      <c r="J13" s="429"/>
      <c r="K13" s="258"/>
      <c r="L13" s="154">
        <v>50</v>
      </c>
      <c r="M13" s="154"/>
      <c r="N13" s="154"/>
      <c r="O13" s="429"/>
      <c r="P13" s="433"/>
      <c r="Q13" s="429"/>
      <c r="R13" s="429"/>
      <c r="S13" s="429"/>
      <c r="T13" s="429"/>
      <c r="U13" s="429"/>
      <c r="V13" s="429"/>
      <c r="W13" s="258" t="s">
        <v>325</v>
      </c>
      <c r="X13" s="258"/>
      <c r="Y13" s="154">
        <v>50</v>
      </c>
      <c r="Z13" s="154" t="s">
        <v>364</v>
      </c>
      <c r="AA13" s="429"/>
      <c r="AB13" s="154" t="s">
        <v>362</v>
      </c>
      <c r="AC13" s="430"/>
      <c r="AD13" s="417">
        <v>43894</v>
      </c>
      <c r="AE13" s="420">
        <v>5</v>
      </c>
      <c r="AF13" s="429"/>
      <c r="AG13" s="421">
        <v>20.087503954475402</v>
      </c>
      <c r="AH13" s="421">
        <v>20.006359590170501</v>
      </c>
      <c r="AI13" s="421">
        <v>20.129601752473</v>
      </c>
      <c r="AJ13" s="422">
        <f t="shared" si="0"/>
        <v>20.074488432372966</v>
      </c>
      <c r="AK13" s="423">
        <v>-3.4410714285714286</v>
      </c>
      <c r="AL13" s="423">
        <v>48.943513064185922</v>
      </c>
      <c r="AM13" s="424">
        <f t="shared" si="5"/>
        <v>245214021.82124144</v>
      </c>
      <c r="AN13" s="425">
        <f t="shared" si="6"/>
        <v>100</v>
      </c>
      <c r="AO13" s="421">
        <v>34.581049418347902</v>
      </c>
      <c r="AP13" s="421">
        <v>34.315598006685804</v>
      </c>
      <c r="AQ13" s="421">
        <v>34.294290492739798</v>
      </c>
      <c r="AR13" s="422">
        <f t="shared" si="1"/>
        <v>34.396979305924503</v>
      </c>
      <c r="AS13" s="431">
        <v>-3.5035151515151512</v>
      </c>
      <c r="AT13" s="431">
        <v>40.672666666666665</v>
      </c>
      <c r="AU13" s="427">
        <f t="shared" si="9"/>
        <v>61.837870119127516</v>
      </c>
      <c r="AV13" s="427">
        <f t="shared" si="10"/>
        <v>12.367574023825503</v>
      </c>
      <c r="AW13" s="421">
        <v>37.009676049026098</v>
      </c>
      <c r="AX13" s="421">
        <v>36.831351113352497</v>
      </c>
      <c r="AY13" s="421">
        <v>37.152809563603299</v>
      </c>
      <c r="AZ13" s="422">
        <f t="shared" si="3"/>
        <v>36.9979455753273</v>
      </c>
      <c r="BA13" s="426">
        <v>-3.4410714285714286</v>
      </c>
      <c r="BB13" s="426">
        <v>48.943513064185922</v>
      </c>
      <c r="BC13" s="427">
        <f t="shared" si="7"/>
        <v>2961.1980801314926</v>
      </c>
      <c r="BD13" s="428">
        <f t="shared" si="11"/>
        <v>592.23961602629856</v>
      </c>
      <c r="BE13" s="427">
        <f t="shared" si="8"/>
        <v>47.886482416468986</v>
      </c>
      <c r="BF13" s="273"/>
      <c r="BG13" s="273"/>
      <c r="BH13" s="280"/>
      <c r="BI13" s="501"/>
      <c r="BJ13" s="275"/>
      <c r="BK13" s="275"/>
      <c r="BL13" s="275"/>
      <c r="BM13" s="275"/>
      <c r="BN13" s="275"/>
      <c r="BO13" s="275"/>
      <c r="BP13" s="276"/>
    </row>
    <row r="14" spans="1:69" s="257" customFormat="1" ht="15" x14ac:dyDescent="0.2">
      <c r="A14" s="414"/>
      <c r="B14" s="363"/>
      <c r="C14" s="282" t="s">
        <v>192</v>
      </c>
      <c r="D14" s="282" t="s">
        <v>192</v>
      </c>
      <c r="E14" s="282" t="s">
        <v>192</v>
      </c>
      <c r="F14" s="432" t="s">
        <v>192</v>
      </c>
      <c r="G14" s="154"/>
      <c r="H14" s="154"/>
      <c r="I14" s="154"/>
      <c r="J14" s="429"/>
      <c r="K14" s="258"/>
      <c r="L14" s="154">
        <v>50</v>
      </c>
      <c r="M14" s="154"/>
      <c r="N14" s="154"/>
      <c r="O14" s="429"/>
      <c r="P14" s="433"/>
      <c r="Q14" s="429"/>
      <c r="R14" s="429"/>
      <c r="S14" s="429"/>
      <c r="T14" s="429"/>
      <c r="U14" s="429"/>
      <c r="V14" s="429"/>
      <c r="W14" s="258" t="s">
        <v>325</v>
      </c>
      <c r="X14" s="258"/>
      <c r="Y14" s="154">
        <v>50</v>
      </c>
      <c r="Z14" s="154" t="s">
        <v>364</v>
      </c>
      <c r="AA14" s="429"/>
      <c r="AB14" s="154" t="s">
        <v>362</v>
      </c>
      <c r="AC14" s="429"/>
      <c r="AD14" s="417">
        <v>43894</v>
      </c>
      <c r="AE14" s="420">
        <v>5</v>
      </c>
      <c r="AF14" s="429"/>
      <c r="AG14" s="421">
        <v>38.379169763715097</v>
      </c>
      <c r="AH14" s="421">
        <v>39.142455139707501</v>
      </c>
      <c r="AI14" s="421">
        <v>39.421492709494103</v>
      </c>
      <c r="AJ14" s="422">
        <f t="shared" si="0"/>
        <v>38.981039204305567</v>
      </c>
      <c r="AK14" s="423">
        <v>-3.4410714285714286</v>
      </c>
      <c r="AL14" s="423">
        <v>48.943513064185922</v>
      </c>
      <c r="AM14" s="424">
        <f t="shared" si="5"/>
        <v>785.53628201830429</v>
      </c>
      <c r="AN14" s="425">
        <f t="shared" si="6"/>
        <v>3.2034721186986298E-4</v>
      </c>
      <c r="AO14" s="421">
        <v>36.053383853605098</v>
      </c>
      <c r="AP14" s="421">
        <v>36.975032583737097</v>
      </c>
      <c r="AQ14" s="421">
        <v>36.402648596946698</v>
      </c>
      <c r="AR14" s="422">
        <f t="shared" si="1"/>
        <v>36.4770216780963</v>
      </c>
      <c r="AS14" s="431">
        <v>-3.5035151515151512</v>
      </c>
      <c r="AT14" s="431">
        <v>40.672666666666665</v>
      </c>
      <c r="AU14" s="427">
        <f t="shared" si="9"/>
        <v>15.759882449620019</v>
      </c>
      <c r="AV14" s="427">
        <f t="shared" si="10"/>
        <v>3.1519764899240039</v>
      </c>
      <c r="AW14" s="421">
        <v>37.121062919942403</v>
      </c>
      <c r="AX14" s="421">
        <v>37.638556974068401</v>
      </c>
      <c r="AY14" s="421">
        <v>37.094520363984401</v>
      </c>
      <c r="AZ14" s="422">
        <f t="shared" si="3"/>
        <v>37.28471341933173</v>
      </c>
      <c r="BA14" s="426">
        <v>-3.4410714285714286</v>
      </c>
      <c r="BB14" s="426">
        <v>48.943513064185922</v>
      </c>
      <c r="BC14" s="427">
        <f t="shared" si="7"/>
        <v>2444.1658398255227</v>
      </c>
      <c r="BD14" s="428">
        <f>(BC14/AE14)*(Y14/L14)</f>
        <v>488.83316796510451</v>
      </c>
      <c r="BE14" s="427">
        <f t="shared" si="8"/>
        <v>155.08782172956202</v>
      </c>
      <c r="BF14" s="273"/>
      <c r="BG14" s="273"/>
      <c r="BH14" s="280"/>
      <c r="BI14" s="501"/>
      <c r="BJ14" s="275"/>
      <c r="BK14" s="275"/>
      <c r="BL14" s="275"/>
      <c r="BM14" s="275"/>
      <c r="BN14" s="275"/>
      <c r="BO14" s="275"/>
      <c r="BP14" s="276"/>
    </row>
    <row r="15" spans="1:69" s="257" customFormat="1" x14ac:dyDescent="0.2">
      <c r="A15" s="365"/>
      <c r="B15" s="365"/>
      <c r="C15" s="284"/>
      <c r="D15" s="284"/>
      <c r="E15" s="284"/>
      <c r="F15" s="285"/>
      <c r="G15" s="286"/>
      <c r="H15" s="286"/>
      <c r="I15" s="286"/>
      <c r="J15" s="287"/>
      <c r="K15" s="259"/>
      <c r="L15" s="286"/>
      <c r="M15" s="286"/>
      <c r="N15" s="286"/>
      <c r="O15" s="287"/>
      <c r="P15" s="288"/>
      <c r="Q15" s="287"/>
      <c r="R15" s="287"/>
      <c r="S15" s="287"/>
      <c r="T15" s="287"/>
      <c r="U15" s="287"/>
      <c r="V15" s="287"/>
      <c r="W15" s="259"/>
      <c r="X15" s="259"/>
      <c r="Y15" s="286"/>
      <c r="Z15" s="287"/>
      <c r="AA15" s="287"/>
      <c r="AB15" s="287"/>
      <c r="AC15" s="287"/>
      <c r="AD15" s="259"/>
      <c r="AE15" s="289"/>
      <c r="AF15" s="287"/>
      <c r="AG15" s="290"/>
      <c r="AH15" s="290"/>
      <c r="AI15" s="287"/>
      <c r="AJ15" s="291"/>
      <c r="AK15" s="291"/>
      <c r="AL15" s="291"/>
      <c r="AM15" s="292"/>
      <c r="AN15" s="290"/>
      <c r="AO15" s="287"/>
      <c r="AP15" s="287"/>
      <c r="AQ15" s="287"/>
      <c r="AR15" s="291"/>
      <c r="AS15" s="291"/>
      <c r="AT15" s="291"/>
      <c r="AU15" s="293"/>
      <c r="AV15" s="293"/>
      <c r="AW15" s="287"/>
      <c r="AX15" s="287"/>
      <c r="AY15" s="287"/>
      <c r="AZ15" s="287"/>
      <c r="BA15" s="286"/>
      <c r="BB15" s="286"/>
      <c r="BC15" s="294"/>
      <c r="BD15" s="294"/>
      <c r="BE15" s="293"/>
      <c r="BF15" s="295"/>
      <c r="BG15" s="295"/>
      <c r="BH15" s="296"/>
      <c r="BI15" s="297"/>
      <c r="BJ15" s="298"/>
      <c r="BK15" s="298"/>
      <c r="BL15" s="298"/>
      <c r="BM15" s="298"/>
      <c r="BN15" s="298"/>
      <c r="BO15" s="298"/>
      <c r="BP15" s="297"/>
    </row>
    <row r="16" spans="1:69" s="257" customFormat="1" x14ac:dyDescent="0.2">
      <c r="A16" s="362"/>
      <c r="B16" s="362"/>
      <c r="C16" s="219"/>
      <c r="D16" s="219"/>
      <c r="E16" s="219"/>
      <c r="F16" s="270"/>
      <c r="G16" s="217"/>
      <c r="H16" s="217"/>
      <c r="I16" s="217"/>
      <c r="J16" s="277"/>
      <c r="K16" s="262"/>
      <c r="L16" s="217"/>
      <c r="M16" s="217"/>
      <c r="N16" s="217"/>
      <c r="O16" s="277"/>
      <c r="P16" s="278"/>
      <c r="Q16" s="277"/>
      <c r="R16" s="277"/>
      <c r="S16" s="277"/>
      <c r="T16" s="277"/>
      <c r="U16" s="277"/>
      <c r="V16" s="277"/>
      <c r="W16" s="258" t="s">
        <v>326</v>
      </c>
      <c r="X16" s="262"/>
      <c r="Y16" s="217"/>
      <c r="Z16" s="277"/>
      <c r="AA16" s="277"/>
      <c r="AB16" s="277"/>
      <c r="AC16" s="277"/>
      <c r="AD16" s="262"/>
      <c r="AE16" s="271"/>
      <c r="AF16" s="277"/>
      <c r="AG16" s="279"/>
      <c r="AH16" s="279"/>
      <c r="AI16" s="279"/>
      <c r="AJ16" s="256" t="e">
        <f>AVERAGE(AG16:AI16)</f>
        <v>#DIV/0!</v>
      </c>
      <c r="AK16" s="256"/>
      <c r="AL16" s="256"/>
      <c r="AM16" s="424" t="e">
        <f>IF(AND(AG16="No CT",AH16="No CT",AI16="No CT"),0,10^((AJ16-AL16)/AK16))</f>
        <v>#DIV/0!</v>
      </c>
      <c r="AN16" s="425" t="e">
        <f>AM16*100/$AM$13</f>
        <v>#DIV/0!</v>
      </c>
      <c r="AO16" s="279"/>
      <c r="AP16" s="279"/>
      <c r="AQ16" s="279"/>
      <c r="AR16" s="256" t="e">
        <f t="shared" ref="AR16:AR27" si="12">AVERAGE(AO16:AQ16)</f>
        <v>#DIV/0!</v>
      </c>
      <c r="AS16" s="256"/>
      <c r="AT16" s="256"/>
      <c r="AU16" s="427" t="e">
        <f>IF(AND(AO16="No CT",AP16="No CT",AQ16="No CT"),0,10^((AR16-AT16)/AS16))</f>
        <v>#DIV/0!</v>
      </c>
      <c r="AV16" s="427" t="e">
        <f>(AU16/AE16)*(Y16/L16)</f>
        <v>#DIV/0!</v>
      </c>
      <c r="AW16" s="279"/>
      <c r="AX16" s="279"/>
      <c r="AY16" s="279"/>
      <c r="AZ16" s="256" t="e">
        <f>AVERAGE(AW16:AY16)</f>
        <v>#DIV/0!</v>
      </c>
      <c r="BA16" s="256"/>
      <c r="BB16" s="256"/>
      <c r="BC16" s="427" t="e">
        <f>IF(AND(AW16="No CT",AX16="No CT",AY16="No CT"),0,10^((AZ16-BB16)/BA16))</f>
        <v>#DIV/0!</v>
      </c>
      <c r="BD16" s="428" t="e">
        <f>(BC16/AE16)*(Y16/L16)</f>
        <v>#DIV/0!</v>
      </c>
      <c r="BE16" s="272" t="e">
        <f>BC16/AU16</f>
        <v>#DIV/0!</v>
      </c>
      <c r="BF16" s="273"/>
      <c r="BG16" s="273"/>
      <c r="BH16" s="280"/>
      <c r="BI16" s="502"/>
      <c r="BJ16" s="275"/>
      <c r="BK16" s="275"/>
      <c r="BL16" s="275"/>
      <c r="BM16" s="275"/>
      <c r="BN16" s="275"/>
      <c r="BO16" s="275"/>
      <c r="BP16" s="276"/>
    </row>
    <row r="17" spans="1:68" s="257" customFormat="1" x14ac:dyDescent="0.2">
      <c r="A17" s="362"/>
      <c r="B17" s="362"/>
      <c r="C17" s="219"/>
      <c r="D17" s="219"/>
      <c r="E17" s="219"/>
      <c r="F17" s="270"/>
      <c r="G17" s="217"/>
      <c r="H17" s="217"/>
      <c r="I17" s="217"/>
      <c r="J17" s="277"/>
      <c r="K17" s="262"/>
      <c r="L17" s="217"/>
      <c r="M17" s="217"/>
      <c r="N17" s="217"/>
      <c r="O17" s="277"/>
      <c r="P17" s="278"/>
      <c r="Q17" s="277"/>
      <c r="R17" s="277"/>
      <c r="S17" s="277"/>
      <c r="T17" s="277"/>
      <c r="U17" s="277"/>
      <c r="V17" s="277"/>
      <c r="W17" s="258" t="s">
        <v>326</v>
      </c>
      <c r="X17" s="262"/>
      <c r="Y17" s="217"/>
      <c r="Z17" s="277"/>
      <c r="AA17" s="277"/>
      <c r="AB17" s="277"/>
      <c r="AC17" s="277"/>
      <c r="AD17" s="262"/>
      <c r="AE17" s="271"/>
      <c r="AF17" s="277"/>
      <c r="AG17" s="279"/>
      <c r="AH17" s="279"/>
      <c r="AI17" s="279"/>
      <c r="AJ17" s="256" t="e">
        <f t="shared" ref="AJ17:AJ25" si="13">AVERAGE(AG17:AI17)</f>
        <v>#DIV/0!</v>
      </c>
      <c r="AK17" s="256"/>
      <c r="AL17" s="256"/>
      <c r="AM17" s="424" t="e">
        <f t="shared" ref="AM17:AM27" si="14">IF(AND(AG17="No CT",AH17="No CT",AI17="No CT"),0,10^((AJ17-AL17)/AK17))</f>
        <v>#DIV/0!</v>
      </c>
      <c r="AN17" s="425" t="e">
        <f t="shared" ref="AN17:AN27" si="15">AM17*100/$AM$13</f>
        <v>#DIV/0!</v>
      </c>
      <c r="AO17" s="279"/>
      <c r="AP17" s="279"/>
      <c r="AQ17" s="279"/>
      <c r="AR17" s="256" t="e">
        <f t="shared" si="12"/>
        <v>#DIV/0!</v>
      </c>
      <c r="AS17" s="256"/>
      <c r="AT17" s="256"/>
      <c r="AU17" s="427" t="e">
        <f t="shared" ref="AU17:AU27" si="16">IF(AND(AO17="No CT",AP17="No CT",AQ17="No CT"),0,10^((AR17-AT17)/AS17))</f>
        <v>#DIV/0!</v>
      </c>
      <c r="AV17" s="427" t="e">
        <f t="shared" ref="AV17:AV27" si="17">(AU17/AE17)*(Y17/L17)</f>
        <v>#DIV/0!</v>
      </c>
      <c r="AW17" s="279"/>
      <c r="AX17" s="279"/>
      <c r="AY17" s="279"/>
      <c r="AZ17" s="256" t="e">
        <f t="shared" ref="AZ17:AZ27" si="18">AVERAGE(AW17:AY17)</f>
        <v>#DIV/0!</v>
      </c>
      <c r="BA17" s="256"/>
      <c r="BB17" s="256"/>
      <c r="BC17" s="427" t="e">
        <f t="shared" ref="BC17:BC27" si="19">IF(AND(AW17="No CT",AX17="No CT",AY17="No CT"),0,10^((AZ17-BB17)/BA17))</f>
        <v>#DIV/0!</v>
      </c>
      <c r="BD17" s="428" t="e">
        <f t="shared" ref="BD17:BD27" si="20">(BC17/AE17)*(Y17/L17)</f>
        <v>#DIV/0!</v>
      </c>
      <c r="BE17" s="272" t="e">
        <f t="shared" ref="BE17:BE27" si="21">BC17/AU17</f>
        <v>#DIV/0!</v>
      </c>
      <c r="BF17" s="273"/>
      <c r="BG17" s="273"/>
      <c r="BH17" s="280"/>
      <c r="BI17" s="503"/>
      <c r="BJ17" s="275"/>
      <c r="BK17" s="275"/>
      <c r="BL17" s="275"/>
      <c r="BM17" s="275"/>
      <c r="BN17" s="275"/>
      <c r="BO17" s="275"/>
      <c r="BP17" s="276"/>
    </row>
    <row r="18" spans="1:68" s="257" customFormat="1" x14ac:dyDescent="0.2">
      <c r="A18" s="362"/>
      <c r="B18" s="362"/>
      <c r="C18" s="219"/>
      <c r="D18" s="219"/>
      <c r="E18" s="219"/>
      <c r="F18" s="270"/>
      <c r="G18" s="217"/>
      <c r="H18" s="217"/>
      <c r="I18" s="217"/>
      <c r="J18" s="277"/>
      <c r="K18" s="262"/>
      <c r="L18" s="217"/>
      <c r="M18" s="217"/>
      <c r="N18" s="217"/>
      <c r="O18" s="277"/>
      <c r="P18" s="278"/>
      <c r="Q18" s="277"/>
      <c r="R18" s="277"/>
      <c r="S18" s="277"/>
      <c r="T18" s="277"/>
      <c r="U18" s="277"/>
      <c r="V18" s="277"/>
      <c r="W18" s="258" t="s">
        <v>326</v>
      </c>
      <c r="X18" s="262"/>
      <c r="Y18" s="217"/>
      <c r="Z18" s="277"/>
      <c r="AA18" s="277"/>
      <c r="AB18" s="277"/>
      <c r="AC18" s="277"/>
      <c r="AD18" s="262"/>
      <c r="AE18" s="271"/>
      <c r="AF18" s="277"/>
      <c r="AG18" s="279"/>
      <c r="AH18" s="279"/>
      <c r="AI18" s="279"/>
      <c r="AJ18" s="256" t="e">
        <f t="shared" si="13"/>
        <v>#DIV/0!</v>
      </c>
      <c r="AK18" s="256"/>
      <c r="AL18" s="256"/>
      <c r="AM18" s="424" t="e">
        <f t="shared" si="14"/>
        <v>#DIV/0!</v>
      </c>
      <c r="AN18" s="425" t="e">
        <f t="shared" si="15"/>
        <v>#DIV/0!</v>
      </c>
      <c r="AO18" s="279"/>
      <c r="AP18" s="279"/>
      <c r="AQ18" s="279"/>
      <c r="AR18" s="256" t="e">
        <f t="shared" si="12"/>
        <v>#DIV/0!</v>
      </c>
      <c r="AS18" s="256"/>
      <c r="AT18" s="256"/>
      <c r="AU18" s="427" t="e">
        <f t="shared" si="16"/>
        <v>#DIV/0!</v>
      </c>
      <c r="AV18" s="427" t="e">
        <f t="shared" si="17"/>
        <v>#DIV/0!</v>
      </c>
      <c r="AW18" s="279"/>
      <c r="AX18" s="279"/>
      <c r="AY18" s="279"/>
      <c r="AZ18" s="256" t="e">
        <f t="shared" si="18"/>
        <v>#DIV/0!</v>
      </c>
      <c r="BA18" s="256"/>
      <c r="BB18" s="256"/>
      <c r="BC18" s="427" t="e">
        <f t="shared" si="19"/>
        <v>#DIV/0!</v>
      </c>
      <c r="BD18" s="428" t="e">
        <f t="shared" si="20"/>
        <v>#DIV/0!</v>
      </c>
      <c r="BE18" s="272" t="e">
        <f t="shared" si="21"/>
        <v>#DIV/0!</v>
      </c>
      <c r="BF18" s="273"/>
      <c r="BG18" s="273"/>
      <c r="BH18" s="280"/>
      <c r="BI18" s="503"/>
      <c r="BJ18" s="275"/>
      <c r="BK18" s="275"/>
      <c r="BL18" s="275"/>
      <c r="BM18" s="275"/>
      <c r="BN18" s="275"/>
      <c r="BO18" s="275"/>
      <c r="BP18" s="276"/>
    </row>
    <row r="19" spans="1:68" s="257" customFormat="1" x14ac:dyDescent="0.2">
      <c r="A19" s="362"/>
      <c r="B19" s="362"/>
      <c r="C19" s="219"/>
      <c r="D19" s="219"/>
      <c r="E19" s="219"/>
      <c r="F19" s="270"/>
      <c r="G19" s="217"/>
      <c r="H19" s="217"/>
      <c r="I19" s="217"/>
      <c r="J19" s="277"/>
      <c r="K19" s="262"/>
      <c r="L19" s="217"/>
      <c r="M19" s="217"/>
      <c r="N19" s="217"/>
      <c r="O19" s="277"/>
      <c r="P19" s="278"/>
      <c r="Q19" s="277"/>
      <c r="R19" s="277"/>
      <c r="S19" s="277"/>
      <c r="T19" s="277"/>
      <c r="U19" s="277"/>
      <c r="V19" s="277"/>
      <c r="W19" s="258" t="s">
        <v>326</v>
      </c>
      <c r="X19" s="262"/>
      <c r="Y19" s="217"/>
      <c r="Z19" s="277"/>
      <c r="AA19" s="277"/>
      <c r="AB19" s="277"/>
      <c r="AC19" s="277"/>
      <c r="AD19" s="262"/>
      <c r="AE19" s="271"/>
      <c r="AF19" s="277"/>
      <c r="AG19" s="279"/>
      <c r="AH19" s="279"/>
      <c r="AI19" s="279"/>
      <c r="AJ19" s="256" t="e">
        <f t="shared" si="13"/>
        <v>#DIV/0!</v>
      </c>
      <c r="AK19" s="256"/>
      <c r="AL19" s="256"/>
      <c r="AM19" s="424" t="e">
        <f t="shared" si="14"/>
        <v>#DIV/0!</v>
      </c>
      <c r="AN19" s="425" t="e">
        <f t="shared" si="15"/>
        <v>#DIV/0!</v>
      </c>
      <c r="AO19" s="279"/>
      <c r="AP19" s="279"/>
      <c r="AQ19" s="279"/>
      <c r="AR19" s="256" t="e">
        <f t="shared" si="12"/>
        <v>#DIV/0!</v>
      </c>
      <c r="AS19" s="256"/>
      <c r="AT19" s="256"/>
      <c r="AU19" s="427" t="e">
        <f t="shared" si="16"/>
        <v>#DIV/0!</v>
      </c>
      <c r="AV19" s="427" t="e">
        <f t="shared" si="17"/>
        <v>#DIV/0!</v>
      </c>
      <c r="AW19" s="279"/>
      <c r="AX19" s="279"/>
      <c r="AY19" s="279"/>
      <c r="AZ19" s="256" t="e">
        <f t="shared" si="18"/>
        <v>#DIV/0!</v>
      </c>
      <c r="BA19" s="256"/>
      <c r="BB19" s="256"/>
      <c r="BC19" s="427" t="e">
        <f t="shared" si="19"/>
        <v>#DIV/0!</v>
      </c>
      <c r="BD19" s="428" t="e">
        <f t="shared" si="20"/>
        <v>#DIV/0!</v>
      </c>
      <c r="BE19" s="272" t="e">
        <f t="shared" si="21"/>
        <v>#DIV/0!</v>
      </c>
      <c r="BF19" s="273"/>
      <c r="BG19" s="273"/>
      <c r="BH19" s="280"/>
      <c r="BI19" s="503"/>
      <c r="BJ19" s="275"/>
      <c r="BK19" s="275"/>
      <c r="BL19" s="275"/>
      <c r="BM19" s="275"/>
      <c r="BN19" s="275"/>
      <c r="BO19" s="275"/>
      <c r="BP19" s="276"/>
    </row>
    <row r="20" spans="1:68" s="257" customFormat="1" x14ac:dyDescent="0.2">
      <c r="A20" s="362"/>
      <c r="B20" s="362"/>
      <c r="C20" s="219"/>
      <c r="D20" s="219"/>
      <c r="E20" s="219"/>
      <c r="F20" s="270"/>
      <c r="G20" s="217"/>
      <c r="H20" s="217"/>
      <c r="I20" s="217"/>
      <c r="J20" s="277"/>
      <c r="K20" s="262"/>
      <c r="L20" s="217"/>
      <c r="M20" s="217"/>
      <c r="N20" s="217"/>
      <c r="O20" s="277"/>
      <c r="P20" s="278"/>
      <c r="Q20" s="277"/>
      <c r="R20" s="277"/>
      <c r="S20" s="277"/>
      <c r="T20" s="277"/>
      <c r="U20" s="277"/>
      <c r="V20" s="277"/>
      <c r="W20" s="258" t="s">
        <v>326</v>
      </c>
      <c r="X20" s="262"/>
      <c r="Y20" s="217"/>
      <c r="Z20" s="277"/>
      <c r="AA20" s="277"/>
      <c r="AB20" s="277"/>
      <c r="AC20" s="277"/>
      <c r="AD20" s="262"/>
      <c r="AE20" s="271"/>
      <c r="AF20" s="277"/>
      <c r="AG20" s="279"/>
      <c r="AH20" s="279"/>
      <c r="AI20" s="279"/>
      <c r="AJ20" s="256" t="e">
        <f t="shared" si="13"/>
        <v>#DIV/0!</v>
      </c>
      <c r="AK20" s="256"/>
      <c r="AL20" s="256"/>
      <c r="AM20" s="424" t="e">
        <f t="shared" si="14"/>
        <v>#DIV/0!</v>
      </c>
      <c r="AN20" s="425" t="e">
        <f t="shared" si="15"/>
        <v>#DIV/0!</v>
      </c>
      <c r="AO20" s="279"/>
      <c r="AP20" s="279"/>
      <c r="AQ20" s="279"/>
      <c r="AR20" s="256" t="e">
        <f t="shared" si="12"/>
        <v>#DIV/0!</v>
      </c>
      <c r="AS20" s="256"/>
      <c r="AT20" s="256"/>
      <c r="AU20" s="427" t="e">
        <f t="shared" si="16"/>
        <v>#DIV/0!</v>
      </c>
      <c r="AV20" s="427" t="e">
        <f t="shared" si="17"/>
        <v>#DIV/0!</v>
      </c>
      <c r="AW20" s="279"/>
      <c r="AX20" s="279"/>
      <c r="AY20" s="279"/>
      <c r="AZ20" s="256" t="e">
        <f t="shared" si="18"/>
        <v>#DIV/0!</v>
      </c>
      <c r="BA20" s="256"/>
      <c r="BB20" s="256"/>
      <c r="BC20" s="427" t="e">
        <f t="shared" si="19"/>
        <v>#DIV/0!</v>
      </c>
      <c r="BD20" s="428" t="e">
        <f t="shared" si="20"/>
        <v>#DIV/0!</v>
      </c>
      <c r="BE20" s="272" t="e">
        <f>BC20/AU20</f>
        <v>#DIV/0!</v>
      </c>
      <c r="BF20" s="273"/>
      <c r="BG20" s="273"/>
      <c r="BH20" s="280"/>
      <c r="BI20" s="503"/>
      <c r="BJ20" s="275"/>
      <c r="BK20" s="275"/>
      <c r="BL20" s="275"/>
      <c r="BM20" s="275"/>
      <c r="BN20" s="275"/>
      <c r="BO20" s="275"/>
      <c r="BP20" s="276"/>
    </row>
    <row r="21" spans="1:68" s="257" customFormat="1" x14ac:dyDescent="0.2">
      <c r="A21" s="362"/>
      <c r="B21" s="362"/>
      <c r="C21" s="219"/>
      <c r="D21" s="219"/>
      <c r="E21" s="219"/>
      <c r="F21" s="270"/>
      <c r="G21" s="217"/>
      <c r="H21" s="217"/>
      <c r="I21" s="217"/>
      <c r="J21" s="277"/>
      <c r="K21" s="262"/>
      <c r="L21" s="217"/>
      <c r="M21" s="217"/>
      <c r="N21" s="217"/>
      <c r="O21" s="277"/>
      <c r="P21" s="278"/>
      <c r="Q21" s="277"/>
      <c r="R21" s="277"/>
      <c r="S21" s="277"/>
      <c r="T21" s="277"/>
      <c r="U21" s="277"/>
      <c r="V21" s="277"/>
      <c r="W21" s="258" t="s">
        <v>326</v>
      </c>
      <c r="X21" s="262"/>
      <c r="Y21" s="217"/>
      <c r="Z21" s="277"/>
      <c r="AA21" s="277"/>
      <c r="AB21" s="277"/>
      <c r="AC21" s="277"/>
      <c r="AD21" s="262"/>
      <c r="AE21" s="271"/>
      <c r="AF21" s="277"/>
      <c r="AG21" s="279"/>
      <c r="AH21" s="279"/>
      <c r="AI21" s="279"/>
      <c r="AJ21" s="256" t="e">
        <f t="shared" si="13"/>
        <v>#DIV/0!</v>
      </c>
      <c r="AK21" s="256"/>
      <c r="AL21" s="256"/>
      <c r="AM21" s="424" t="e">
        <f t="shared" si="14"/>
        <v>#DIV/0!</v>
      </c>
      <c r="AN21" s="425" t="e">
        <f t="shared" si="15"/>
        <v>#DIV/0!</v>
      </c>
      <c r="AO21" s="279"/>
      <c r="AP21" s="279"/>
      <c r="AQ21" s="279"/>
      <c r="AR21" s="256" t="e">
        <f t="shared" si="12"/>
        <v>#DIV/0!</v>
      </c>
      <c r="AS21" s="256"/>
      <c r="AT21" s="256"/>
      <c r="AU21" s="427" t="e">
        <f t="shared" si="16"/>
        <v>#DIV/0!</v>
      </c>
      <c r="AV21" s="427" t="e">
        <f t="shared" si="17"/>
        <v>#DIV/0!</v>
      </c>
      <c r="AW21" s="279"/>
      <c r="AX21" s="279"/>
      <c r="AY21" s="279"/>
      <c r="AZ21" s="256" t="e">
        <f t="shared" ref="AZ21:AZ22" si="22">AVERAGE(AW21:AY21)</f>
        <v>#DIV/0!</v>
      </c>
      <c r="BA21" s="256"/>
      <c r="BB21" s="256"/>
      <c r="BC21" s="427" t="e">
        <f t="shared" si="19"/>
        <v>#DIV/0!</v>
      </c>
      <c r="BD21" s="428" t="e">
        <f t="shared" si="20"/>
        <v>#DIV/0!</v>
      </c>
      <c r="BE21" s="272" t="e">
        <f t="shared" si="21"/>
        <v>#DIV/0!</v>
      </c>
      <c r="BF21" s="273"/>
      <c r="BG21" s="273"/>
      <c r="BH21" s="280"/>
      <c r="BI21" s="503"/>
      <c r="BJ21" s="275"/>
      <c r="BK21" s="275"/>
      <c r="BL21" s="275"/>
      <c r="BM21" s="275"/>
      <c r="BN21" s="275"/>
      <c r="BO21" s="275"/>
      <c r="BP21" s="276"/>
    </row>
    <row r="22" spans="1:68" s="257" customFormat="1" x14ac:dyDescent="0.2">
      <c r="A22" s="362"/>
      <c r="B22" s="362"/>
      <c r="C22" s="219"/>
      <c r="D22" s="219"/>
      <c r="E22" s="219"/>
      <c r="F22" s="270"/>
      <c r="G22" s="217"/>
      <c r="H22" s="217"/>
      <c r="I22" s="217"/>
      <c r="J22" s="277"/>
      <c r="K22" s="262"/>
      <c r="L22" s="217"/>
      <c r="M22" s="217"/>
      <c r="N22" s="217"/>
      <c r="O22" s="277"/>
      <c r="P22" s="278"/>
      <c r="Q22" s="277"/>
      <c r="R22" s="277"/>
      <c r="S22" s="277"/>
      <c r="T22" s="277"/>
      <c r="U22" s="277"/>
      <c r="V22" s="277"/>
      <c r="W22" s="258" t="s">
        <v>326</v>
      </c>
      <c r="X22" s="262"/>
      <c r="Y22" s="217"/>
      <c r="Z22" s="277"/>
      <c r="AA22" s="277"/>
      <c r="AB22" s="277"/>
      <c r="AC22" s="277"/>
      <c r="AD22" s="262"/>
      <c r="AE22" s="271"/>
      <c r="AF22" s="277"/>
      <c r="AG22" s="279"/>
      <c r="AH22" s="279"/>
      <c r="AI22" s="279"/>
      <c r="AJ22" s="256" t="e">
        <f t="shared" si="13"/>
        <v>#DIV/0!</v>
      </c>
      <c r="AK22" s="256"/>
      <c r="AL22" s="256"/>
      <c r="AM22" s="424" t="e">
        <f t="shared" si="14"/>
        <v>#DIV/0!</v>
      </c>
      <c r="AN22" s="425" t="e">
        <f t="shared" si="15"/>
        <v>#DIV/0!</v>
      </c>
      <c r="AO22" s="279"/>
      <c r="AP22" s="279"/>
      <c r="AQ22" s="279"/>
      <c r="AR22" s="256" t="e">
        <f t="shared" si="12"/>
        <v>#DIV/0!</v>
      </c>
      <c r="AS22" s="256"/>
      <c r="AT22" s="256"/>
      <c r="AU22" s="427" t="e">
        <f t="shared" si="16"/>
        <v>#DIV/0!</v>
      </c>
      <c r="AV22" s="427" t="e">
        <f t="shared" si="17"/>
        <v>#DIV/0!</v>
      </c>
      <c r="AW22" s="279"/>
      <c r="AX22" s="279"/>
      <c r="AY22" s="279"/>
      <c r="AZ22" s="256" t="e">
        <f t="shared" si="22"/>
        <v>#DIV/0!</v>
      </c>
      <c r="BA22" s="256"/>
      <c r="BB22" s="256"/>
      <c r="BC22" s="427" t="e">
        <f t="shared" si="19"/>
        <v>#DIV/0!</v>
      </c>
      <c r="BD22" s="428" t="e">
        <f t="shared" si="20"/>
        <v>#DIV/0!</v>
      </c>
      <c r="BE22" s="272" t="e">
        <f>BC22/AU22</f>
        <v>#DIV/0!</v>
      </c>
      <c r="BF22" s="273"/>
      <c r="BG22" s="273"/>
      <c r="BH22" s="280"/>
      <c r="BI22" s="503"/>
      <c r="BJ22" s="275"/>
      <c r="BK22" s="275"/>
      <c r="BL22" s="275"/>
      <c r="BM22" s="275"/>
      <c r="BN22" s="275"/>
      <c r="BO22" s="275"/>
      <c r="BP22" s="276"/>
    </row>
    <row r="23" spans="1:68" s="257" customFormat="1" x14ac:dyDescent="0.2">
      <c r="A23" s="362"/>
      <c r="B23" s="362"/>
      <c r="C23" s="219"/>
      <c r="D23" s="219"/>
      <c r="E23" s="219"/>
      <c r="F23" s="270"/>
      <c r="G23" s="217"/>
      <c r="H23" s="217"/>
      <c r="I23" s="217"/>
      <c r="J23" s="277"/>
      <c r="K23" s="262"/>
      <c r="L23" s="217"/>
      <c r="M23" s="217"/>
      <c r="N23" s="217"/>
      <c r="O23" s="277"/>
      <c r="P23" s="278"/>
      <c r="Q23" s="277"/>
      <c r="R23" s="277"/>
      <c r="S23" s="277"/>
      <c r="T23" s="277"/>
      <c r="U23" s="277"/>
      <c r="V23" s="277"/>
      <c r="W23" s="258" t="s">
        <v>326</v>
      </c>
      <c r="X23" s="262"/>
      <c r="Y23" s="217"/>
      <c r="Z23" s="277"/>
      <c r="AA23" s="277"/>
      <c r="AB23" s="277"/>
      <c r="AC23" s="277"/>
      <c r="AD23" s="262"/>
      <c r="AE23" s="271"/>
      <c r="AF23" s="277"/>
      <c r="AG23" s="279"/>
      <c r="AH23" s="279"/>
      <c r="AI23" s="279"/>
      <c r="AJ23" s="256" t="e">
        <f t="shared" si="13"/>
        <v>#DIV/0!</v>
      </c>
      <c r="AK23" s="256"/>
      <c r="AL23" s="256"/>
      <c r="AM23" s="424" t="e">
        <f t="shared" si="14"/>
        <v>#DIV/0!</v>
      </c>
      <c r="AN23" s="425" t="e">
        <f t="shared" si="15"/>
        <v>#DIV/0!</v>
      </c>
      <c r="AO23" s="279"/>
      <c r="AP23" s="279"/>
      <c r="AQ23" s="279"/>
      <c r="AR23" s="256" t="e">
        <f t="shared" si="12"/>
        <v>#DIV/0!</v>
      </c>
      <c r="AS23" s="256"/>
      <c r="AT23" s="256"/>
      <c r="AU23" s="427" t="e">
        <f t="shared" si="16"/>
        <v>#DIV/0!</v>
      </c>
      <c r="AV23" s="427" t="e">
        <f t="shared" si="17"/>
        <v>#DIV/0!</v>
      </c>
      <c r="AW23" s="279"/>
      <c r="AX23" s="279"/>
      <c r="AY23" s="279"/>
      <c r="AZ23" s="256" t="e">
        <f t="shared" ref="AZ23" si="23">AVERAGE(AW23:AY23)</f>
        <v>#DIV/0!</v>
      </c>
      <c r="BA23" s="256"/>
      <c r="BB23" s="256"/>
      <c r="BC23" s="427" t="e">
        <f t="shared" si="19"/>
        <v>#DIV/0!</v>
      </c>
      <c r="BD23" s="428" t="e">
        <f t="shared" si="20"/>
        <v>#DIV/0!</v>
      </c>
      <c r="BE23" s="272" t="e">
        <f t="shared" ref="BE23" si="24">BC23/AU23</f>
        <v>#DIV/0!</v>
      </c>
      <c r="BF23" s="273"/>
      <c r="BG23" s="273"/>
      <c r="BH23" s="280"/>
      <c r="BI23" s="503"/>
      <c r="BJ23" s="275"/>
      <c r="BK23" s="275"/>
      <c r="BL23" s="275"/>
      <c r="BM23" s="275"/>
      <c r="BN23" s="275"/>
      <c r="BO23" s="275"/>
      <c r="BP23" s="276"/>
    </row>
    <row r="24" spans="1:68" s="257" customFormat="1" x14ac:dyDescent="0.2">
      <c r="A24" s="362"/>
      <c r="B24" s="362"/>
      <c r="C24" s="219"/>
      <c r="D24" s="219"/>
      <c r="E24" s="219"/>
      <c r="F24" s="270"/>
      <c r="G24" s="217"/>
      <c r="H24" s="217"/>
      <c r="I24" s="217"/>
      <c r="J24" s="277"/>
      <c r="K24" s="262"/>
      <c r="L24" s="217"/>
      <c r="M24" s="217"/>
      <c r="N24" s="217"/>
      <c r="O24" s="277"/>
      <c r="P24" s="278"/>
      <c r="Q24" s="277"/>
      <c r="R24" s="277"/>
      <c r="S24" s="277"/>
      <c r="T24" s="277"/>
      <c r="U24" s="277"/>
      <c r="V24" s="277"/>
      <c r="W24" s="258" t="s">
        <v>326</v>
      </c>
      <c r="X24" s="262"/>
      <c r="Y24" s="217"/>
      <c r="Z24" s="277"/>
      <c r="AA24" s="277"/>
      <c r="AB24" s="277"/>
      <c r="AC24" s="277"/>
      <c r="AD24" s="262"/>
      <c r="AE24" s="271"/>
      <c r="AF24" s="277"/>
      <c r="AG24" s="279"/>
      <c r="AH24" s="279"/>
      <c r="AI24" s="279"/>
      <c r="AJ24" s="256" t="e">
        <f t="shared" si="13"/>
        <v>#DIV/0!</v>
      </c>
      <c r="AK24" s="256"/>
      <c r="AL24" s="256"/>
      <c r="AM24" s="424" t="e">
        <f t="shared" si="14"/>
        <v>#DIV/0!</v>
      </c>
      <c r="AN24" s="425" t="e">
        <f t="shared" si="15"/>
        <v>#DIV/0!</v>
      </c>
      <c r="AO24" s="279"/>
      <c r="AP24" s="279"/>
      <c r="AQ24" s="279"/>
      <c r="AR24" s="256" t="e">
        <f t="shared" si="12"/>
        <v>#DIV/0!</v>
      </c>
      <c r="AS24" s="256"/>
      <c r="AT24" s="256"/>
      <c r="AU24" s="427" t="e">
        <f t="shared" si="16"/>
        <v>#DIV/0!</v>
      </c>
      <c r="AV24" s="427" t="e">
        <f t="shared" si="17"/>
        <v>#DIV/0!</v>
      </c>
      <c r="AW24" s="279"/>
      <c r="AX24" s="279"/>
      <c r="AY24" s="279"/>
      <c r="AZ24" s="256" t="e">
        <f t="shared" si="18"/>
        <v>#DIV/0!</v>
      </c>
      <c r="BA24" s="256"/>
      <c r="BB24" s="256"/>
      <c r="BC24" s="427" t="e">
        <f t="shared" si="19"/>
        <v>#DIV/0!</v>
      </c>
      <c r="BD24" s="428" t="e">
        <f t="shared" si="20"/>
        <v>#DIV/0!</v>
      </c>
      <c r="BE24" s="272" t="e">
        <f t="shared" si="21"/>
        <v>#DIV/0!</v>
      </c>
      <c r="BF24" s="273"/>
      <c r="BG24" s="273"/>
      <c r="BH24" s="280"/>
      <c r="BI24" s="503"/>
      <c r="BJ24" s="275"/>
      <c r="BK24" s="275"/>
      <c r="BL24" s="275"/>
      <c r="BM24" s="275"/>
      <c r="BN24" s="275"/>
      <c r="BO24" s="275"/>
      <c r="BP24" s="276"/>
    </row>
    <row r="25" spans="1:68" s="257" customFormat="1" x14ac:dyDescent="0.2">
      <c r="A25" s="362"/>
      <c r="B25" s="362"/>
      <c r="C25" s="219"/>
      <c r="D25" s="219"/>
      <c r="E25" s="219"/>
      <c r="F25" s="270"/>
      <c r="G25" s="217"/>
      <c r="H25" s="217"/>
      <c r="I25" s="217"/>
      <c r="J25" s="277"/>
      <c r="K25" s="262"/>
      <c r="L25" s="217"/>
      <c r="M25" s="217"/>
      <c r="N25" s="217"/>
      <c r="O25" s="277"/>
      <c r="P25" s="278"/>
      <c r="Q25" s="277"/>
      <c r="R25" s="277"/>
      <c r="S25" s="277"/>
      <c r="T25" s="277"/>
      <c r="U25" s="277"/>
      <c r="V25" s="277"/>
      <c r="W25" s="258" t="s">
        <v>326</v>
      </c>
      <c r="X25" s="262"/>
      <c r="Y25" s="217"/>
      <c r="Z25" s="277"/>
      <c r="AA25" s="277"/>
      <c r="AB25" s="277"/>
      <c r="AC25" s="277"/>
      <c r="AD25" s="262"/>
      <c r="AE25" s="271"/>
      <c r="AF25" s="277"/>
      <c r="AG25" s="279"/>
      <c r="AH25" s="279"/>
      <c r="AI25" s="279"/>
      <c r="AJ25" s="256" t="e">
        <f t="shared" si="13"/>
        <v>#DIV/0!</v>
      </c>
      <c r="AK25" s="256"/>
      <c r="AL25" s="256"/>
      <c r="AM25" s="424" t="e">
        <f t="shared" si="14"/>
        <v>#DIV/0!</v>
      </c>
      <c r="AN25" s="425" t="e">
        <f t="shared" si="15"/>
        <v>#DIV/0!</v>
      </c>
      <c r="AO25" s="279"/>
      <c r="AP25" s="279"/>
      <c r="AQ25" s="279"/>
      <c r="AR25" s="256" t="e">
        <f t="shared" si="12"/>
        <v>#DIV/0!</v>
      </c>
      <c r="AS25" s="256"/>
      <c r="AT25" s="256"/>
      <c r="AU25" s="427" t="e">
        <f t="shared" si="16"/>
        <v>#DIV/0!</v>
      </c>
      <c r="AV25" s="427" t="e">
        <f t="shared" si="17"/>
        <v>#DIV/0!</v>
      </c>
      <c r="AW25" s="279"/>
      <c r="AX25" s="279"/>
      <c r="AY25" s="279"/>
      <c r="AZ25" s="256" t="e">
        <f t="shared" si="18"/>
        <v>#DIV/0!</v>
      </c>
      <c r="BA25" s="256"/>
      <c r="BB25" s="256"/>
      <c r="BC25" s="427" t="e">
        <f t="shared" si="19"/>
        <v>#DIV/0!</v>
      </c>
      <c r="BD25" s="428" t="e">
        <f t="shared" si="20"/>
        <v>#DIV/0!</v>
      </c>
      <c r="BE25" s="272" t="e">
        <f t="shared" si="21"/>
        <v>#DIV/0!</v>
      </c>
      <c r="BF25" s="273"/>
      <c r="BG25" s="273"/>
      <c r="BH25" s="280"/>
      <c r="BI25" s="503"/>
      <c r="BJ25" s="275"/>
      <c r="BK25" s="275"/>
      <c r="BL25" s="275"/>
      <c r="BM25" s="275"/>
      <c r="BN25" s="275"/>
      <c r="BO25" s="275"/>
      <c r="BP25" s="276"/>
    </row>
    <row r="26" spans="1:68" s="257" customFormat="1" x14ac:dyDescent="0.2">
      <c r="A26" s="364"/>
      <c r="B26" s="364"/>
      <c r="C26" s="220"/>
      <c r="D26" s="220"/>
      <c r="E26" s="220"/>
      <c r="F26" s="282"/>
      <c r="G26" s="217"/>
      <c r="H26" s="217"/>
      <c r="I26" s="217"/>
      <c r="J26" s="277"/>
      <c r="K26" s="262"/>
      <c r="L26" s="217"/>
      <c r="M26" s="217"/>
      <c r="N26" s="217"/>
      <c r="O26" s="277"/>
      <c r="P26" s="278"/>
      <c r="Q26" s="277"/>
      <c r="R26" s="277"/>
      <c r="S26" s="277"/>
      <c r="T26" s="277"/>
      <c r="U26" s="277"/>
      <c r="V26" s="277"/>
      <c r="W26" s="258" t="s">
        <v>326</v>
      </c>
      <c r="X26" s="262"/>
      <c r="Y26" s="217"/>
      <c r="Z26" s="277"/>
      <c r="AA26" s="277"/>
      <c r="AB26" s="277"/>
      <c r="AC26" s="277"/>
      <c r="AD26" s="262"/>
      <c r="AE26" s="271"/>
      <c r="AF26" s="277" t="s">
        <v>109</v>
      </c>
      <c r="AG26" s="279"/>
      <c r="AH26" s="279"/>
      <c r="AI26" s="279"/>
      <c r="AJ26" s="256" t="e">
        <f>AVERAGE(AG26:AI26)</f>
        <v>#DIV/0!</v>
      </c>
      <c r="AK26" s="256"/>
      <c r="AL26" s="256"/>
      <c r="AM26" s="424" t="e">
        <f t="shared" si="14"/>
        <v>#DIV/0!</v>
      </c>
      <c r="AN26" s="425" t="e">
        <f t="shared" si="15"/>
        <v>#DIV/0!</v>
      </c>
      <c r="AO26" s="279"/>
      <c r="AP26" s="279"/>
      <c r="AQ26" s="279"/>
      <c r="AR26" s="256" t="e">
        <f t="shared" si="12"/>
        <v>#DIV/0!</v>
      </c>
      <c r="AS26" s="256"/>
      <c r="AT26" s="256"/>
      <c r="AU26" s="427" t="e">
        <f t="shared" si="16"/>
        <v>#DIV/0!</v>
      </c>
      <c r="AV26" s="427" t="e">
        <f t="shared" si="17"/>
        <v>#DIV/0!</v>
      </c>
      <c r="AW26" s="279"/>
      <c r="AX26" s="279"/>
      <c r="AY26" s="279"/>
      <c r="AZ26" s="256" t="e">
        <f t="shared" si="18"/>
        <v>#DIV/0!</v>
      </c>
      <c r="BA26" s="256"/>
      <c r="BB26" s="256"/>
      <c r="BC26" s="427" t="e">
        <f t="shared" si="19"/>
        <v>#DIV/0!</v>
      </c>
      <c r="BD26" s="428" t="e">
        <f t="shared" si="20"/>
        <v>#DIV/0!</v>
      </c>
      <c r="BE26" s="272" t="e">
        <f t="shared" si="21"/>
        <v>#DIV/0!</v>
      </c>
      <c r="BF26" s="273"/>
      <c r="BG26" s="273"/>
      <c r="BH26" s="280"/>
      <c r="BI26" s="503"/>
      <c r="BJ26" s="275"/>
      <c r="BK26" s="275"/>
      <c r="BL26" s="275"/>
      <c r="BM26" s="275"/>
      <c r="BN26" s="275"/>
      <c r="BO26" s="275"/>
      <c r="BP26" s="276"/>
    </row>
    <row r="27" spans="1:68" s="257" customFormat="1" x14ac:dyDescent="0.2">
      <c r="A27" s="364"/>
      <c r="B27" s="364"/>
      <c r="C27" s="220"/>
      <c r="D27" s="220"/>
      <c r="E27" s="220"/>
      <c r="F27" s="282"/>
      <c r="G27" s="217"/>
      <c r="H27" s="217"/>
      <c r="I27" s="217"/>
      <c r="J27" s="277"/>
      <c r="K27" s="262"/>
      <c r="L27" s="217"/>
      <c r="M27" s="217"/>
      <c r="N27" s="217"/>
      <c r="O27" s="277"/>
      <c r="P27" s="278"/>
      <c r="Q27" s="277"/>
      <c r="R27" s="277"/>
      <c r="S27" s="277"/>
      <c r="T27" s="277"/>
      <c r="U27" s="277"/>
      <c r="V27" s="277"/>
      <c r="W27" s="258" t="s">
        <v>326</v>
      </c>
      <c r="X27" s="262"/>
      <c r="Y27" s="217"/>
      <c r="Z27" s="277"/>
      <c r="AA27" s="277"/>
      <c r="AB27" s="277"/>
      <c r="AC27" s="277"/>
      <c r="AD27" s="262"/>
      <c r="AE27" s="271"/>
      <c r="AF27" s="277"/>
      <c r="AG27" s="279"/>
      <c r="AH27" s="279"/>
      <c r="AI27" s="279"/>
      <c r="AJ27" s="256" t="e">
        <f t="shared" ref="AJ27" si="25">AVERAGE(AG27:AI27)</f>
        <v>#DIV/0!</v>
      </c>
      <c r="AK27" s="256"/>
      <c r="AL27" s="256"/>
      <c r="AM27" s="424" t="e">
        <f t="shared" si="14"/>
        <v>#DIV/0!</v>
      </c>
      <c r="AN27" s="425" t="e">
        <f t="shared" si="15"/>
        <v>#DIV/0!</v>
      </c>
      <c r="AO27" s="279"/>
      <c r="AP27" s="279"/>
      <c r="AQ27" s="279"/>
      <c r="AR27" s="256" t="e">
        <f t="shared" si="12"/>
        <v>#DIV/0!</v>
      </c>
      <c r="AS27" s="256"/>
      <c r="AT27" s="256"/>
      <c r="AU27" s="427" t="e">
        <f t="shared" si="16"/>
        <v>#DIV/0!</v>
      </c>
      <c r="AV27" s="427" t="e">
        <f t="shared" si="17"/>
        <v>#DIV/0!</v>
      </c>
      <c r="AW27" s="279"/>
      <c r="AX27" s="279"/>
      <c r="AY27" s="279"/>
      <c r="AZ27" s="256" t="e">
        <f t="shared" si="18"/>
        <v>#DIV/0!</v>
      </c>
      <c r="BA27" s="256"/>
      <c r="BB27" s="256"/>
      <c r="BC27" s="427" t="e">
        <f t="shared" si="19"/>
        <v>#DIV/0!</v>
      </c>
      <c r="BD27" s="428" t="e">
        <f t="shared" si="20"/>
        <v>#DIV/0!</v>
      </c>
      <c r="BE27" s="272" t="e">
        <f t="shared" si="21"/>
        <v>#DIV/0!</v>
      </c>
      <c r="BF27" s="273"/>
      <c r="BG27" s="273"/>
      <c r="BH27" s="280"/>
      <c r="BI27" s="504"/>
      <c r="BJ27" s="275"/>
      <c r="BK27" s="275"/>
      <c r="BL27" s="275"/>
      <c r="BM27" s="275"/>
      <c r="BN27" s="275"/>
      <c r="BO27" s="275"/>
      <c r="BP27" s="276"/>
    </row>
    <row r="28" spans="1:68" s="257" customFormat="1" x14ac:dyDescent="0.2">
      <c r="A28" s="365"/>
      <c r="B28" s="365"/>
      <c r="C28" s="284"/>
      <c r="D28" s="284"/>
      <c r="E28" s="284"/>
      <c r="F28" s="285"/>
      <c r="G28" s="286"/>
      <c r="H28" s="286"/>
      <c r="I28" s="286"/>
      <c r="J28" s="287"/>
      <c r="K28" s="259"/>
      <c r="L28" s="286"/>
      <c r="M28" s="286"/>
      <c r="N28" s="286"/>
      <c r="O28" s="287"/>
      <c r="P28" s="288"/>
      <c r="Q28" s="287"/>
      <c r="R28" s="287"/>
      <c r="S28" s="287"/>
      <c r="T28" s="287"/>
      <c r="U28" s="287"/>
      <c r="V28" s="287"/>
      <c r="W28" s="259"/>
      <c r="X28" s="259"/>
      <c r="Y28" s="286"/>
      <c r="Z28" s="287"/>
      <c r="AA28" s="287"/>
      <c r="AB28" s="287"/>
      <c r="AC28" s="287"/>
      <c r="AD28" s="259"/>
      <c r="AE28" s="289"/>
      <c r="AF28" s="287"/>
      <c r="AG28" s="290"/>
      <c r="AH28" s="290"/>
      <c r="AI28" s="287"/>
      <c r="AJ28" s="291"/>
      <c r="AK28" s="291"/>
      <c r="AL28" s="291"/>
      <c r="AM28" s="292"/>
      <c r="AN28" s="299"/>
      <c r="AO28" s="287"/>
      <c r="AP28" s="287"/>
      <c r="AQ28" s="287"/>
      <c r="AR28" s="291"/>
      <c r="AS28" s="291"/>
      <c r="AT28" s="291"/>
      <c r="AU28" s="293"/>
      <c r="AV28" s="293"/>
      <c r="AW28" s="287"/>
      <c r="AX28" s="287"/>
      <c r="AY28" s="287"/>
      <c r="AZ28" s="291"/>
      <c r="BA28" s="291"/>
      <c r="BB28" s="291"/>
      <c r="BC28" s="294"/>
      <c r="BD28" s="294"/>
      <c r="BE28" s="293"/>
      <c r="BF28" s="295"/>
      <c r="BG28" s="295"/>
      <c r="BH28" s="296"/>
      <c r="BI28" s="297"/>
      <c r="BJ28" s="298"/>
      <c r="BK28" s="298"/>
      <c r="BL28" s="298"/>
      <c r="BM28" s="298"/>
      <c r="BN28" s="298"/>
      <c r="BO28" s="298"/>
      <c r="BP28" s="297"/>
    </row>
    <row r="29" spans="1:68" s="257" customFormat="1" x14ac:dyDescent="0.2">
      <c r="A29" s="366"/>
      <c r="B29" s="366"/>
      <c r="C29" s="219"/>
      <c r="D29" s="219"/>
      <c r="E29" s="219"/>
      <c r="F29" s="300"/>
      <c r="G29" s="301"/>
      <c r="H29" s="301"/>
      <c r="I29" s="301"/>
      <c r="J29" s="302"/>
      <c r="K29" s="263"/>
      <c r="L29" s="301"/>
      <c r="M29" s="301"/>
      <c r="N29" s="301"/>
      <c r="O29" s="302"/>
      <c r="P29" s="303"/>
      <c r="Q29" s="302"/>
      <c r="R29" s="302"/>
      <c r="S29" s="302"/>
      <c r="T29" s="302"/>
      <c r="U29" s="302"/>
      <c r="V29" s="302"/>
      <c r="W29" s="258"/>
      <c r="X29" s="263"/>
      <c r="Y29" s="301"/>
      <c r="Z29" s="302"/>
      <c r="AA29" s="302"/>
      <c r="AB29" s="302"/>
      <c r="AC29" s="302"/>
      <c r="AD29" s="263"/>
      <c r="AE29" s="305"/>
      <c r="AF29" s="302"/>
      <c r="AG29" s="139"/>
      <c r="AH29" s="139"/>
      <c r="AI29" s="139"/>
      <c r="AJ29" s="256"/>
      <c r="AK29" s="306"/>
      <c r="AL29" s="306"/>
      <c r="AM29" s="307"/>
      <c r="AN29" s="308"/>
      <c r="AO29" s="139"/>
      <c r="AP29" s="139"/>
      <c r="AQ29" s="139"/>
      <c r="AR29" s="306"/>
      <c r="AS29" s="306"/>
      <c r="AT29" s="306"/>
      <c r="AU29" s="309"/>
      <c r="AV29" s="309"/>
      <c r="AW29" s="139"/>
      <c r="AX29" s="139"/>
      <c r="AY29" s="139"/>
      <c r="AZ29" s="306"/>
      <c r="BA29" s="306"/>
      <c r="BB29" s="306"/>
      <c r="BC29" s="310"/>
      <c r="BD29" s="310"/>
      <c r="BE29" s="309"/>
      <c r="BF29" s="311"/>
      <c r="BG29" s="311"/>
      <c r="BH29" s="312"/>
      <c r="BI29" s="313"/>
      <c r="BJ29" s="314"/>
      <c r="BK29" s="314"/>
      <c r="BL29" s="314"/>
      <c r="BM29" s="314"/>
      <c r="BN29" s="314"/>
      <c r="BO29" s="314"/>
      <c r="BP29" s="313"/>
    </row>
    <row r="30" spans="1:68" s="257" customFormat="1" x14ac:dyDescent="0.2">
      <c r="A30" s="366"/>
      <c r="B30" s="366"/>
      <c r="C30" s="219"/>
      <c r="D30" s="219"/>
      <c r="E30" s="219"/>
      <c r="F30" s="300"/>
      <c r="G30" s="301"/>
      <c r="H30" s="301"/>
      <c r="I30" s="301"/>
      <c r="J30" s="302"/>
      <c r="K30" s="263"/>
      <c r="L30" s="301"/>
      <c r="M30" s="301"/>
      <c r="N30" s="301"/>
      <c r="O30" s="302"/>
      <c r="P30" s="303"/>
      <c r="Q30" s="302"/>
      <c r="R30" s="302"/>
      <c r="S30" s="302"/>
      <c r="T30" s="302"/>
      <c r="U30" s="302"/>
      <c r="V30" s="302"/>
      <c r="W30" s="258"/>
      <c r="X30" s="263"/>
      <c r="Y30" s="301"/>
      <c r="Z30" s="302"/>
      <c r="AA30" s="302"/>
      <c r="AB30" s="302"/>
      <c r="AC30" s="302"/>
      <c r="AD30" s="263"/>
      <c r="AE30" s="305"/>
      <c r="AF30" s="302"/>
      <c r="AG30" s="139"/>
      <c r="AH30" s="139"/>
      <c r="AI30" s="139"/>
      <c r="AJ30" s="256"/>
      <c r="AK30" s="306"/>
      <c r="AL30" s="306"/>
      <c r="AM30" s="307"/>
      <c r="AN30" s="308"/>
      <c r="AO30" s="139"/>
      <c r="AP30" s="139"/>
      <c r="AQ30" s="139"/>
      <c r="AR30" s="306"/>
      <c r="AS30" s="306"/>
      <c r="AT30" s="306"/>
      <c r="AU30" s="309"/>
      <c r="AV30" s="309"/>
      <c r="AW30" s="139"/>
      <c r="AX30" s="139"/>
      <c r="AY30" s="139"/>
      <c r="AZ30" s="306"/>
      <c r="BA30" s="306"/>
      <c r="BB30" s="306"/>
      <c r="BC30" s="310"/>
      <c r="BD30" s="310"/>
      <c r="BE30" s="309"/>
      <c r="BF30" s="311"/>
      <c r="BG30" s="311"/>
      <c r="BH30" s="312"/>
      <c r="BI30" s="313"/>
      <c r="BJ30" s="314"/>
      <c r="BK30" s="314"/>
      <c r="BL30" s="314"/>
      <c r="BM30" s="314"/>
      <c r="BN30" s="314"/>
      <c r="BO30" s="314"/>
      <c r="BP30" s="313"/>
    </row>
    <row r="31" spans="1:68" s="257" customFormat="1" x14ac:dyDescent="0.2">
      <c r="A31" s="366"/>
      <c r="B31" s="366"/>
      <c r="C31" s="219"/>
      <c r="D31" s="219"/>
      <c r="E31" s="219"/>
      <c r="F31" s="300"/>
      <c r="G31" s="301"/>
      <c r="H31" s="301"/>
      <c r="I31" s="301"/>
      <c r="J31" s="302"/>
      <c r="K31" s="263"/>
      <c r="L31" s="301"/>
      <c r="M31" s="301"/>
      <c r="N31" s="301"/>
      <c r="O31" s="302"/>
      <c r="P31" s="303"/>
      <c r="Q31" s="302"/>
      <c r="R31" s="302"/>
      <c r="S31" s="302"/>
      <c r="T31" s="302"/>
      <c r="U31" s="302"/>
      <c r="V31" s="302"/>
      <c r="W31" s="258"/>
      <c r="X31" s="263"/>
      <c r="Y31" s="301"/>
      <c r="Z31" s="302"/>
      <c r="AA31" s="302"/>
      <c r="AB31" s="302"/>
      <c r="AC31" s="302"/>
      <c r="AD31" s="263"/>
      <c r="AE31" s="305"/>
      <c r="AF31" s="302"/>
      <c r="AG31" s="139"/>
      <c r="AH31" s="139"/>
      <c r="AI31" s="139"/>
      <c r="AJ31" s="256"/>
      <c r="AK31" s="306"/>
      <c r="AL31" s="306"/>
      <c r="AM31" s="307"/>
      <c r="AN31" s="308"/>
      <c r="AO31" s="139"/>
      <c r="AP31" s="139"/>
      <c r="AQ31" s="139"/>
      <c r="AR31" s="306"/>
      <c r="AS31" s="306"/>
      <c r="AT31" s="306"/>
      <c r="AU31" s="309"/>
      <c r="AV31" s="309"/>
      <c r="AW31" s="139"/>
      <c r="AX31" s="139"/>
      <c r="AY31" s="139"/>
      <c r="AZ31" s="306"/>
      <c r="BA31" s="306"/>
      <c r="BB31" s="306"/>
      <c r="BC31" s="310"/>
      <c r="BD31" s="310"/>
      <c r="BE31" s="309"/>
      <c r="BF31" s="311"/>
      <c r="BG31" s="311"/>
      <c r="BH31" s="312"/>
      <c r="BI31" s="313"/>
      <c r="BJ31" s="314"/>
      <c r="BK31" s="314"/>
      <c r="BL31" s="314"/>
      <c r="BM31" s="314"/>
      <c r="BN31" s="314"/>
      <c r="BO31" s="314"/>
      <c r="BP31" s="313"/>
    </row>
    <row r="32" spans="1:68" s="257" customFormat="1" x14ac:dyDescent="0.2">
      <c r="A32" s="366"/>
      <c r="B32" s="366"/>
      <c r="C32" s="219"/>
      <c r="D32" s="219"/>
      <c r="E32" s="219"/>
      <c r="F32" s="300"/>
      <c r="G32" s="301"/>
      <c r="H32" s="301"/>
      <c r="I32" s="301"/>
      <c r="J32" s="302"/>
      <c r="K32" s="263"/>
      <c r="L32" s="301"/>
      <c r="M32" s="301"/>
      <c r="N32" s="301"/>
      <c r="O32" s="302"/>
      <c r="P32" s="303"/>
      <c r="Q32" s="302"/>
      <c r="R32" s="302"/>
      <c r="S32" s="302"/>
      <c r="T32" s="302"/>
      <c r="U32" s="302"/>
      <c r="V32" s="302"/>
      <c r="W32" s="258"/>
      <c r="X32" s="263"/>
      <c r="Y32" s="301"/>
      <c r="Z32" s="302"/>
      <c r="AA32" s="302"/>
      <c r="AB32" s="302"/>
      <c r="AC32" s="302"/>
      <c r="AD32" s="263"/>
      <c r="AE32" s="305"/>
      <c r="AF32" s="302"/>
      <c r="AG32" s="139"/>
      <c r="AH32" s="139"/>
      <c r="AI32" s="139"/>
      <c r="AJ32" s="256"/>
      <c r="AK32" s="306"/>
      <c r="AL32" s="306"/>
      <c r="AM32" s="307"/>
      <c r="AN32" s="308"/>
      <c r="AO32" s="139"/>
      <c r="AP32" s="139"/>
      <c r="AQ32" s="139"/>
      <c r="AR32" s="306"/>
      <c r="AS32" s="306"/>
      <c r="AT32" s="306"/>
      <c r="AU32" s="309"/>
      <c r="AV32" s="309"/>
      <c r="AW32" s="139"/>
      <c r="AX32" s="139"/>
      <c r="AY32" s="139"/>
      <c r="AZ32" s="306"/>
      <c r="BA32" s="306"/>
      <c r="BB32" s="306"/>
      <c r="BC32" s="310"/>
      <c r="BD32" s="310"/>
      <c r="BE32" s="309"/>
      <c r="BF32" s="311"/>
      <c r="BG32" s="311"/>
      <c r="BH32" s="312"/>
      <c r="BI32" s="313"/>
      <c r="BJ32" s="314"/>
      <c r="BK32" s="314"/>
      <c r="BL32" s="314"/>
      <c r="BM32" s="314"/>
      <c r="BN32" s="314"/>
      <c r="BO32" s="314"/>
      <c r="BP32" s="313"/>
    </row>
    <row r="33" spans="1:68" s="257" customFormat="1" x14ac:dyDescent="0.2">
      <c r="A33" s="366"/>
      <c r="B33" s="366"/>
      <c r="C33" s="219"/>
      <c r="D33" s="219"/>
      <c r="E33" s="219"/>
      <c r="F33" s="300"/>
      <c r="G33" s="301"/>
      <c r="H33" s="301"/>
      <c r="I33" s="301"/>
      <c r="J33" s="302"/>
      <c r="K33" s="263"/>
      <c r="L33" s="301"/>
      <c r="M33" s="301"/>
      <c r="N33" s="301"/>
      <c r="O33" s="302"/>
      <c r="P33" s="303"/>
      <c r="Q33" s="302"/>
      <c r="R33" s="302"/>
      <c r="S33" s="302"/>
      <c r="T33" s="302"/>
      <c r="U33" s="302"/>
      <c r="V33" s="302"/>
      <c r="W33" s="258"/>
      <c r="X33" s="263"/>
      <c r="Y33" s="301"/>
      <c r="Z33" s="302"/>
      <c r="AA33" s="302"/>
      <c r="AB33" s="302"/>
      <c r="AC33" s="302"/>
      <c r="AD33" s="263"/>
      <c r="AE33" s="305"/>
      <c r="AF33" s="302"/>
      <c r="AG33" s="139"/>
      <c r="AH33" s="139"/>
      <c r="AI33" s="139"/>
      <c r="AJ33" s="256"/>
      <c r="AK33" s="306"/>
      <c r="AL33" s="306"/>
      <c r="AM33" s="307"/>
      <c r="AN33" s="308"/>
      <c r="AO33" s="139"/>
      <c r="AP33" s="139"/>
      <c r="AQ33" s="139"/>
      <c r="AR33" s="306"/>
      <c r="AS33" s="306"/>
      <c r="AT33" s="306"/>
      <c r="AU33" s="309"/>
      <c r="AV33" s="309"/>
      <c r="AW33" s="139"/>
      <c r="AX33" s="139"/>
      <c r="AY33" s="139"/>
      <c r="AZ33" s="306"/>
      <c r="BA33" s="306"/>
      <c r="BB33" s="306"/>
      <c r="BC33" s="310"/>
      <c r="BD33" s="310"/>
      <c r="BE33" s="309"/>
      <c r="BF33" s="311"/>
      <c r="BG33" s="311"/>
      <c r="BH33" s="312"/>
      <c r="BI33" s="313"/>
      <c r="BJ33" s="314"/>
      <c r="BK33" s="314"/>
      <c r="BL33" s="314"/>
      <c r="BM33" s="314"/>
      <c r="BN33" s="314"/>
      <c r="BO33" s="314"/>
      <c r="BP33" s="313"/>
    </row>
    <row r="34" spans="1:68" s="257" customFormat="1" x14ac:dyDescent="0.2">
      <c r="A34" s="366"/>
      <c r="B34" s="366"/>
      <c r="C34" s="219"/>
      <c r="D34" s="219"/>
      <c r="E34" s="219"/>
      <c r="F34" s="300"/>
      <c r="G34" s="301"/>
      <c r="H34" s="301"/>
      <c r="I34" s="301"/>
      <c r="J34" s="302"/>
      <c r="K34" s="263"/>
      <c r="L34" s="301"/>
      <c r="M34" s="301"/>
      <c r="N34" s="301"/>
      <c r="O34" s="302"/>
      <c r="P34" s="303"/>
      <c r="Q34" s="302"/>
      <c r="R34" s="302"/>
      <c r="S34" s="302"/>
      <c r="T34" s="302"/>
      <c r="U34" s="302"/>
      <c r="V34" s="302"/>
      <c r="W34" s="258"/>
      <c r="X34" s="263"/>
      <c r="Y34" s="301"/>
      <c r="Z34" s="302"/>
      <c r="AA34" s="302"/>
      <c r="AB34" s="302"/>
      <c r="AC34" s="302"/>
      <c r="AD34" s="263"/>
      <c r="AE34" s="305"/>
      <c r="AF34" s="302"/>
      <c r="AG34" s="139"/>
      <c r="AH34" s="139"/>
      <c r="AI34" s="139"/>
      <c r="AJ34" s="256"/>
      <c r="AK34" s="306"/>
      <c r="AL34" s="306"/>
      <c r="AM34" s="307"/>
      <c r="AN34" s="308"/>
      <c r="AO34" s="139"/>
      <c r="AP34" s="139"/>
      <c r="AQ34" s="139"/>
      <c r="AR34" s="306"/>
      <c r="AS34" s="306"/>
      <c r="AT34" s="306"/>
      <c r="AU34" s="309"/>
      <c r="AV34" s="309"/>
      <c r="AW34" s="139"/>
      <c r="AX34" s="139"/>
      <c r="AY34" s="139"/>
      <c r="AZ34" s="306"/>
      <c r="BA34" s="306"/>
      <c r="BB34" s="306"/>
      <c r="BC34" s="310"/>
      <c r="BD34" s="310"/>
      <c r="BE34" s="309"/>
      <c r="BF34" s="311"/>
      <c r="BG34" s="311"/>
      <c r="BH34" s="312"/>
      <c r="BI34" s="313"/>
      <c r="BJ34" s="314"/>
      <c r="BK34" s="314"/>
      <c r="BL34" s="314"/>
      <c r="BM34" s="314"/>
      <c r="BN34" s="314"/>
      <c r="BO34" s="314"/>
      <c r="BP34" s="313"/>
    </row>
    <row r="35" spans="1:68" s="257" customFormat="1" x14ac:dyDescent="0.2">
      <c r="A35" s="366"/>
      <c r="B35" s="366"/>
      <c r="C35" s="219"/>
      <c r="D35" s="219"/>
      <c r="E35" s="219"/>
      <c r="F35" s="300"/>
      <c r="G35" s="301"/>
      <c r="H35" s="301"/>
      <c r="I35" s="301"/>
      <c r="J35" s="302"/>
      <c r="K35" s="263"/>
      <c r="L35" s="301"/>
      <c r="M35" s="301"/>
      <c r="N35" s="301"/>
      <c r="O35" s="302"/>
      <c r="P35" s="303"/>
      <c r="Q35" s="302"/>
      <c r="R35" s="302"/>
      <c r="S35" s="302"/>
      <c r="T35" s="302"/>
      <c r="U35" s="302"/>
      <c r="V35" s="302"/>
      <c r="W35" s="258"/>
      <c r="X35" s="263"/>
      <c r="Y35" s="301"/>
      <c r="Z35" s="302"/>
      <c r="AA35" s="302"/>
      <c r="AB35" s="302"/>
      <c r="AC35" s="302"/>
      <c r="AD35" s="263"/>
      <c r="AE35" s="305"/>
      <c r="AF35" s="302"/>
      <c r="AG35" s="139"/>
      <c r="AH35" s="139"/>
      <c r="AI35" s="139"/>
      <c r="AJ35" s="256"/>
      <c r="AK35" s="306"/>
      <c r="AL35" s="306"/>
      <c r="AM35" s="307"/>
      <c r="AN35" s="308"/>
      <c r="AO35" s="139"/>
      <c r="AP35" s="139"/>
      <c r="AQ35" s="139"/>
      <c r="AR35" s="306"/>
      <c r="AS35" s="306"/>
      <c r="AT35" s="306"/>
      <c r="AU35" s="309"/>
      <c r="AV35" s="309"/>
      <c r="AW35" s="139"/>
      <c r="AX35" s="139"/>
      <c r="AY35" s="139"/>
      <c r="AZ35" s="306"/>
      <c r="BA35" s="306"/>
      <c r="BB35" s="306"/>
      <c r="BC35" s="310"/>
      <c r="BD35" s="310"/>
      <c r="BE35" s="309"/>
      <c r="BF35" s="311"/>
      <c r="BG35" s="311"/>
      <c r="BH35" s="312"/>
      <c r="BI35" s="313"/>
      <c r="BJ35" s="314"/>
      <c r="BK35" s="314"/>
      <c r="BL35" s="314"/>
      <c r="BM35" s="314"/>
      <c r="BN35" s="314"/>
      <c r="BO35" s="314"/>
      <c r="BP35" s="313"/>
    </row>
    <row r="36" spans="1:68" s="257" customFormat="1" x14ac:dyDescent="0.2">
      <c r="A36" s="366"/>
      <c r="B36" s="366"/>
      <c r="C36" s="219"/>
      <c r="D36" s="219"/>
      <c r="E36" s="219"/>
      <c r="F36" s="300"/>
      <c r="G36" s="301"/>
      <c r="H36" s="301"/>
      <c r="I36" s="301"/>
      <c r="J36" s="302"/>
      <c r="K36" s="263"/>
      <c r="L36" s="301"/>
      <c r="M36" s="301"/>
      <c r="N36" s="301"/>
      <c r="O36" s="302"/>
      <c r="P36" s="303"/>
      <c r="Q36" s="302"/>
      <c r="R36" s="302"/>
      <c r="S36" s="302"/>
      <c r="T36" s="302"/>
      <c r="U36" s="302"/>
      <c r="V36" s="302"/>
      <c r="W36" s="258"/>
      <c r="X36" s="263"/>
      <c r="Y36" s="301"/>
      <c r="Z36" s="302"/>
      <c r="AA36" s="302"/>
      <c r="AB36" s="302"/>
      <c r="AC36" s="302"/>
      <c r="AD36" s="263"/>
      <c r="AE36" s="305"/>
      <c r="AF36" s="302"/>
      <c r="AG36" s="139"/>
      <c r="AH36" s="139"/>
      <c r="AI36" s="139"/>
      <c r="AJ36" s="256"/>
      <c r="AK36" s="306"/>
      <c r="AL36" s="306"/>
      <c r="AM36" s="307"/>
      <c r="AN36" s="308"/>
      <c r="AO36" s="139"/>
      <c r="AP36" s="139"/>
      <c r="AQ36" s="139"/>
      <c r="AR36" s="306"/>
      <c r="AS36" s="306"/>
      <c r="AT36" s="306"/>
      <c r="AU36" s="309"/>
      <c r="AV36" s="309"/>
      <c r="AW36" s="139"/>
      <c r="AX36" s="139"/>
      <c r="AY36" s="139"/>
      <c r="AZ36" s="306"/>
      <c r="BA36" s="306"/>
      <c r="BB36" s="306"/>
      <c r="BC36" s="310"/>
      <c r="BD36" s="310"/>
      <c r="BE36" s="309"/>
      <c r="BF36" s="311"/>
      <c r="BG36" s="311"/>
      <c r="BH36" s="312"/>
      <c r="BI36" s="313"/>
      <c r="BJ36" s="314"/>
      <c r="BK36" s="314"/>
      <c r="BL36" s="314"/>
      <c r="BM36" s="314"/>
      <c r="BN36" s="314"/>
      <c r="BO36" s="314"/>
      <c r="BP36" s="313"/>
    </row>
    <row r="37" spans="1:68" s="257" customFormat="1" x14ac:dyDescent="0.2">
      <c r="A37" s="367"/>
      <c r="B37" s="367"/>
      <c r="C37" s="220"/>
      <c r="D37" s="220"/>
      <c r="E37" s="220"/>
      <c r="F37" s="315"/>
      <c r="G37" s="301"/>
      <c r="H37" s="301"/>
      <c r="I37" s="301"/>
      <c r="J37" s="302"/>
      <c r="K37" s="263"/>
      <c r="L37" s="301"/>
      <c r="M37" s="301"/>
      <c r="N37" s="301"/>
      <c r="O37" s="302"/>
      <c r="P37" s="303"/>
      <c r="Q37" s="302"/>
      <c r="R37" s="302"/>
      <c r="S37" s="302"/>
      <c r="T37" s="302"/>
      <c r="U37" s="302"/>
      <c r="V37" s="302"/>
      <c r="W37" s="258"/>
      <c r="X37" s="263"/>
      <c r="Y37" s="301"/>
      <c r="Z37" s="302"/>
      <c r="AA37" s="302"/>
      <c r="AB37" s="302"/>
      <c r="AC37" s="302"/>
      <c r="AD37" s="263"/>
      <c r="AE37" s="305"/>
      <c r="AF37" s="302"/>
      <c r="AG37" s="139"/>
      <c r="AH37" s="139"/>
      <c r="AI37" s="139"/>
      <c r="AJ37" s="256"/>
      <c r="AK37" s="306"/>
      <c r="AL37" s="306"/>
      <c r="AM37" s="307"/>
      <c r="AN37" s="308"/>
      <c r="AO37" s="139"/>
      <c r="AP37" s="139"/>
      <c r="AQ37" s="139"/>
      <c r="AR37" s="306"/>
      <c r="AS37" s="306"/>
      <c r="AT37" s="306"/>
      <c r="AU37" s="309"/>
      <c r="AV37" s="309"/>
      <c r="AW37" s="139"/>
      <c r="AX37" s="139"/>
      <c r="AY37" s="139"/>
      <c r="AZ37" s="306"/>
      <c r="BA37" s="306"/>
      <c r="BB37" s="306"/>
      <c r="BC37" s="310"/>
      <c r="BD37" s="310"/>
      <c r="BE37" s="309"/>
      <c r="BF37" s="311"/>
      <c r="BG37" s="311"/>
      <c r="BH37" s="312"/>
      <c r="BI37" s="313"/>
      <c r="BJ37" s="314"/>
      <c r="BK37" s="314"/>
      <c r="BL37" s="314"/>
      <c r="BM37" s="314"/>
      <c r="BN37" s="314"/>
      <c r="BO37" s="314"/>
      <c r="BP37" s="313"/>
    </row>
    <row r="38" spans="1:68" s="257" customFormat="1" x14ac:dyDescent="0.2">
      <c r="A38" s="367"/>
      <c r="B38" s="367"/>
      <c r="C38" s="220"/>
      <c r="D38" s="220"/>
      <c r="E38" s="220"/>
      <c r="F38" s="315"/>
      <c r="G38" s="301"/>
      <c r="H38" s="301"/>
      <c r="I38" s="301"/>
      <c r="J38" s="302"/>
      <c r="K38" s="263"/>
      <c r="L38" s="301"/>
      <c r="M38" s="301"/>
      <c r="N38" s="301"/>
      <c r="O38" s="302"/>
      <c r="P38" s="303"/>
      <c r="Q38" s="302"/>
      <c r="R38" s="302"/>
      <c r="S38" s="302"/>
      <c r="T38" s="302"/>
      <c r="U38" s="302"/>
      <c r="V38" s="302"/>
      <c r="W38" s="258"/>
      <c r="X38" s="263"/>
      <c r="Y38" s="301"/>
      <c r="Z38" s="302"/>
      <c r="AA38" s="302"/>
      <c r="AB38" s="302"/>
      <c r="AC38" s="302"/>
      <c r="AD38" s="263"/>
      <c r="AE38" s="305"/>
      <c r="AF38" s="302"/>
      <c r="AG38" s="139"/>
      <c r="AH38" s="139"/>
      <c r="AI38" s="139"/>
      <c r="AJ38" s="256"/>
      <c r="AK38" s="306"/>
      <c r="AL38" s="306"/>
      <c r="AM38" s="316"/>
      <c r="AN38" s="308"/>
      <c r="AO38" s="139"/>
      <c r="AP38" s="139"/>
      <c r="AQ38" s="139"/>
      <c r="AR38" s="306"/>
      <c r="AS38" s="306"/>
      <c r="AT38" s="306"/>
      <c r="AU38" s="309"/>
      <c r="AV38" s="309"/>
      <c r="AW38" s="139"/>
      <c r="AX38" s="139"/>
      <c r="AY38" s="139"/>
      <c r="AZ38" s="306"/>
      <c r="BA38" s="306"/>
      <c r="BB38" s="306"/>
      <c r="BC38" s="310"/>
      <c r="BD38" s="310"/>
      <c r="BE38" s="309"/>
      <c r="BF38" s="311"/>
      <c r="BG38" s="311"/>
      <c r="BH38" s="312"/>
      <c r="BI38" s="313"/>
      <c r="BJ38" s="314"/>
      <c r="BK38" s="314"/>
      <c r="BL38" s="314"/>
      <c r="BM38" s="314"/>
      <c r="BN38" s="314"/>
      <c r="BO38" s="314"/>
      <c r="BP38" s="313"/>
    </row>
    <row r="39" spans="1:68" s="257" customFormat="1" x14ac:dyDescent="0.2">
      <c r="A39" s="365"/>
      <c r="B39" s="365"/>
      <c r="C39" s="284"/>
      <c r="D39" s="284"/>
      <c r="E39" s="284"/>
      <c r="F39" s="285"/>
      <c r="G39" s="286"/>
      <c r="H39" s="286"/>
      <c r="I39" s="286"/>
      <c r="J39" s="287"/>
      <c r="K39" s="259"/>
      <c r="L39" s="286"/>
      <c r="M39" s="286"/>
      <c r="N39" s="286"/>
      <c r="O39" s="287"/>
      <c r="P39" s="288"/>
      <c r="Q39" s="287"/>
      <c r="R39" s="287"/>
      <c r="S39" s="287"/>
      <c r="T39" s="287"/>
      <c r="U39" s="287"/>
      <c r="V39" s="287"/>
      <c r="W39" s="259"/>
      <c r="X39" s="259"/>
      <c r="Y39" s="286"/>
      <c r="Z39" s="287"/>
      <c r="AA39" s="287"/>
      <c r="AB39" s="287"/>
      <c r="AC39" s="287"/>
      <c r="AD39" s="259"/>
      <c r="AE39" s="289"/>
      <c r="AF39" s="287"/>
      <c r="AG39" s="290"/>
      <c r="AH39" s="290"/>
      <c r="AI39" s="287"/>
      <c r="AJ39" s="291"/>
      <c r="AK39" s="291"/>
      <c r="AL39" s="291"/>
      <c r="AM39" s="292"/>
      <c r="AN39" s="290"/>
      <c r="AO39" s="287"/>
      <c r="AP39" s="287"/>
      <c r="AQ39" s="287"/>
      <c r="AR39" s="291"/>
      <c r="AS39" s="291"/>
      <c r="AT39" s="291"/>
      <c r="AU39" s="293"/>
      <c r="AV39" s="293"/>
      <c r="AW39" s="287"/>
      <c r="AX39" s="287"/>
      <c r="AY39" s="287"/>
      <c r="AZ39" s="291"/>
      <c r="BA39" s="291"/>
      <c r="BB39" s="291"/>
      <c r="BC39" s="294"/>
      <c r="BD39" s="294"/>
      <c r="BE39" s="293"/>
      <c r="BF39" s="295"/>
      <c r="BG39" s="295"/>
      <c r="BH39" s="296"/>
      <c r="BI39" s="297"/>
      <c r="BJ39" s="298"/>
      <c r="BK39" s="298"/>
      <c r="BL39" s="298"/>
      <c r="BM39" s="298"/>
      <c r="BN39" s="298"/>
      <c r="BO39" s="298"/>
      <c r="BP39" s="297"/>
    </row>
    <row r="40" spans="1:68" s="257" customFormat="1" x14ac:dyDescent="0.2">
      <c r="A40" s="366"/>
      <c r="B40" s="366"/>
      <c r="C40" s="219"/>
      <c r="D40" s="219"/>
      <c r="E40" s="219"/>
      <c r="F40" s="300"/>
      <c r="G40" s="301"/>
      <c r="H40" s="301"/>
      <c r="I40" s="301"/>
      <c r="J40" s="317"/>
      <c r="K40" s="263"/>
      <c r="L40" s="301"/>
      <c r="M40" s="301"/>
      <c r="N40" s="301"/>
      <c r="O40" s="302"/>
      <c r="P40" s="303"/>
      <c r="Q40" s="302"/>
      <c r="R40" s="302"/>
      <c r="S40" s="302"/>
      <c r="T40" s="302"/>
      <c r="U40" s="302"/>
      <c r="V40" s="302"/>
      <c r="W40" s="263"/>
      <c r="X40" s="263"/>
      <c r="Y40" s="301"/>
      <c r="Z40" s="302"/>
      <c r="AA40" s="302"/>
      <c r="AB40" s="302"/>
      <c r="AC40" s="302"/>
      <c r="AD40" s="263"/>
      <c r="AE40" s="305"/>
      <c r="AF40" s="302"/>
      <c r="AG40" s="139"/>
      <c r="AH40" s="139"/>
      <c r="AI40" s="139"/>
      <c r="AJ40" s="256"/>
      <c r="AK40" s="306"/>
      <c r="AL40" s="306"/>
      <c r="AM40" s="307"/>
      <c r="AN40" s="308"/>
      <c r="AO40" s="139"/>
      <c r="AP40" s="139"/>
      <c r="AQ40" s="139"/>
      <c r="AR40" s="306"/>
      <c r="AS40" s="306"/>
      <c r="AT40" s="306"/>
      <c r="AU40" s="309"/>
      <c r="AV40" s="309"/>
      <c r="AW40" s="139"/>
      <c r="AX40" s="139"/>
      <c r="AY40" s="139"/>
      <c r="AZ40" s="306"/>
      <c r="BA40" s="306"/>
      <c r="BB40" s="306"/>
      <c r="BC40" s="310"/>
      <c r="BD40" s="310"/>
      <c r="BE40" s="309"/>
      <c r="BF40" s="311"/>
      <c r="BG40" s="311"/>
      <c r="BH40" s="312"/>
      <c r="BI40" s="313"/>
      <c r="BJ40" s="314"/>
      <c r="BK40" s="314"/>
      <c r="BL40" s="314"/>
      <c r="BM40" s="314"/>
      <c r="BN40" s="314"/>
      <c r="BO40" s="314"/>
      <c r="BP40" s="313"/>
    </row>
    <row r="41" spans="1:68" s="257" customFormat="1" x14ac:dyDescent="0.2">
      <c r="A41" s="366"/>
      <c r="B41" s="366"/>
      <c r="C41" s="219"/>
      <c r="D41" s="219"/>
      <c r="E41" s="219"/>
      <c r="F41" s="300"/>
      <c r="G41" s="301"/>
      <c r="H41" s="301"/>
      <c r="I41" s="301"/>
      <c r="J41" s="302"/>
      <c r="K41" s="263"/>
      <c r="L41" s="301"/>
      <c r="M41" s="301"/>
      <c r="N41" s="301"/>
      <c r="O41" s="302"/>
      <c r="P41" s="303"/>
      <c r="Q41" s="302"/>
      <c r="R41" s="302"/>
      <c r="S41" s="302"/>
      <c r="T41" s="302"/>
      <c r="U41" s="302"/>
      <c r="V41" s="302"/>
      <c r="W41" s="263"/>
      <c r="X41" s="263"/>
      <c r="Y41" s="301"/>
      <c r="Z41" s="302"/>
      <c r="AA41" s="302"/>
      <c r="AB41" s="302"/>
      <c r="AC41" s="302"/>
      <c r="AD41" s="263"/>
      <c r="AE41" s="305"/>
      <c r="AF41" s="302"/>
      <c r="AG41" s="139"/>
      <c r="AH41" s="139"/>
      <c r="AI41" s="139"/>
      <c r="AJ41" s="256"/>
      <c r="AK41" s="306"/>
      <c r="AL41" s="306"/>
      <c r="AM41" s="307"/>
      <c r="AN41" s="308"/>
      <c r="AO41" s="139"/>
      <c r="AP41" s="139"/>
      <c r="AQ41" s="139"/>
      <c r="AR41" s="306"/>
      <c r="AS41" s="306"/>
      <c r="AT41" s="306"/>
      <c r="AU41" s="309"/>
      <c r="AV41" s="309"/>
      <c r="AW41" s="139"/>
      <c r="AX41" s="139"/>
      <c r="AY41" s="139"/>
      <c r="AZ41" s="306"/>
      <c r="BA41" s="306"/>
      <c r="BB41" s="306"/>
      <c r="BC41" s="310"/>
      <c r="BD41" s="310"/>
      <c r="BE41" s="309"/>
      <c r="BF41" s="311"/>
      <c r="BG41" s="311"/>
      <c r="BH41" s="312"/>
      <c r="BI41" s="313"/>
      <c r="BJ41" s="314"/>
      <c r="BK41" s="314"/>
      <c r="BL41" s="314"/>
      <c r="BM41" s="314"/>
      <c r="BN41" s="314"/>
      <c r="BO41" s="314"/>
      <c r="BP41" s="313"/>
    </row>
    <row r="42" spans="1:68" s="257" customFormat="1" x14ac:dyDescent="0.2">
      <c r="A42" s="366"/>
      <c r="B42" s="366"/>
      <c r="C42" s="219"/>
      <c r="D42" s="219"/>
      <c r="E42" s="219"/>
      <c r="F42" s="300"/>
      <c r="G42" s="301"/>
      <c r="H42" s="301"/>
      <c r="I42" s="301"/>
      <c r="J42" s="302"/>
      <c r="K42" s="263"/>
      <c r="L42" s="301"/>
      <c r="M42" s="301"/>
      <c r="N42" s="301"/>
      <c r="O42" s="302"/>
      <c r="P42" s="303"/>
      <c r="Q42" s="302"/>
      <c r="R42" s="302"/>
      <c r="S42" s="302"/>
      <c r="T42" s="302"/>
      <c r="U42" s="302"/>
      <c r="V42" s="302"/>
      <c r="W42" s="263"/>
      <c r="X42" s="263"/>
      <c r="Y42" s="301"/>
      <c r="Z42" s="302"/>
      <c r="AA42" s="302"/>
      <c r="AB42" s="302"/>
      <c r="AC42" s="302"/>
      <c r="AD42" s="263"/>
      <c r="AE42" s="305"/>
      <c r="AF42" s="302"/>
      <c r="AG42" s="139"/>
      <c r="AH42" s="139"/>
      <c r="AI42" s="139"/>
      <c r="AJ42" s="256"/>
      <c r="AK42" s="306"/>
      <c r="AL42" s="306"/>
      <c r="AM42" s="307"/>
      <c r="AN42" s="308"/>
      <c r="AO42" s="139"/>
      <c r="AP42" s="139"/>
      <c r="AQ42" s="139"/>
      <c r="AR42" s="306"/>
      <c r="AS42" s="306"/>
      <c r="AT42" s="306"/>
      <c r="AU42" s="309"/>
      <c r="AV42" s="309"/>
      <c r="AW42" s="139"/>
      <c r="AX42" s="139"/>
      <c r="AY42" s="139"/>
      <c r="AZ42" s="306"/>
      <c r="BA42" s="306"/>
      <c r="BB42" s="306"/>
      <c r="BC42" s="310"/>
      <c r="BD42" s="310"/>
      <c r="BE42" s="309"/>
      <c r="BF42" s="311"/>
      <c r="BG42" s="311"/>
      <c r="BH42" s="312"/>
      <c r="BI42" s="313"/>
      <c r="BJ42" s="314"/>
      <c r="BK42" s="314"/>
      <c r="BL42" s="314"/>
      <c r="BM42" s="314"/>
      <c r="BN42" s="314"/>
      <c r="BO42" s="314"/>
      <c r="BP42" s="313"/>
    </row>
    <row r="43" spans="1:68" s="257" customFormat="1" x14ac:dyDescent="0.2">
      <c r="A43" s="366"/>
      <c r="B43" s="366"/>
      <c r="C43" s="219"/>
      <c r="D43" s="219"/>
      <c r="E43" s="219"/>
      <c r="F43" s="300"/>
      <c r="G43" s="301"/>
      <c r="H43" s="301"/>
      <c r="I43" s="301"/>
      <c r="J43" s="302"/>
      <c r="K43" s="263"/>
      <c r="L43" s="301"/>
      <c r="M43" s="301"/>
      <c r="N43" s="301"/>
      <c r="O43" s="302"/>
      <c r="P43" s="303"/>
      <c r="Q43" s="302"/>
      <c r="R43" s="302"/>
      <c r="S43" s="302"/>
      <c r="T43" s="302"/>
      <c r="U43" s="302"/>
      <c r="V43" s="302"/>
      <c r="W43" s="263"/>
      <c r="X43" s="263"/>
      <c r="Y43" s="301"/>
      <c r="Z43" s="302"/>
      <c r="AA43" s="302"/>
      <c r="AB43" s="302"/>
      <c r="AC43" s="302"/>
      <c r="AD43" s="263"/>
      <c r="AE43" s="305"/>
      <c r="AF43" s="302"/>
      <c r="AG43" s="139"/>
      <c r="AH43" s="139"/>
      <c r="AI43" s="139"/>
      <c r="AJ43" s="256"/>
      <c r="AK43" s="306"/>
      <c r="AL43" s="306"/>
      <c r="AM43" s="307"/>
      <c r="AN43" s="308"/>
      <c r="AO43" s="139"/>
      <c r="AP43" s="139"/>
      <c r="AQ43" s="139"/>
      <c r="AR43" s="306"/>
      <c r="AS43" s="306"/>
      <c r="AT43" s="306"/>
      <c r="AU43" s="309"/>
      <c r="AV43" s="309"/>
      <c r="AW43" s="139"/>
      <c r="AX43" s="139"/>
      <c r="AY43" s="139"/>
      <c r="AZ43" s="306"/>
      <c r="BA43" s="306"/>
      <c r="BB43" s="306"/>
      <c r="BC43" s="310"/>
      <c r="BD43" s="310"/>
      <c r="BE43" s="309"/>
      <c r="BF43" s="311"/>
      <c r="BG43" s="311"/>
      <c r="BH43" s="312"/>
      <c r="BI43" s="313"/>
      <c r="BJ43" s="314"/>
      <c r="BK43" s="314"/>
      <c r="BL43" s="314"/>
      <c r="BM43" s="314"/>
      <c r="BN43" s="314"/>
      <c r="BO43" s="314"/>
      <c r="BP43" s="313"/>
    </row>
    <row r="44" spans="1:68" s="257" customFormat="1" x14ac:dyDescent="0.2">
      <c r="A44" s="366"/>
      <c r="B44" s="366"/>
      <c r="C44" s="219"/>
      <c r="D44" s="219"/>
      <c r="E44" s="219"/>
      <c r="F44" s="300"/>
      <c r="G44" s="301"/>
      <c r="H44" s="301"/>
      <c r="I44" s="301"/>
      <c r="J44" s="302"/>
      <c r="K44" s="263"/>
      <c r="L44" s="301"/>
      <c r="M44" s="301"/>
      <c r="N44" s="301"/>
      <c r="O44" s="302"/>
      <c r="P44" s="303"/>
      <c r="Q44" s="302"/>
      <c r="R44" s="302"/>
      <c r="S44" s="302"/>
      <c r="T44" s="302"/>
      <c r="U44" s="302"/>
      <c r="V44" s="302"/>
      <c r="W44" s="263"/>
      <c r="X44" s="263"/>
      <c r="Y44" s="301"/>
      <c r="Z44" s="302"/>
      <c r="AA44" s="302"/>
      <c r="AB44" s="302"/>
      <c r="AC44" s="302"/>
      <c r="AD44" s="263"/>
      <c r="AE44" s="305"/>
      <c r="AF44" s="302"/>
      <c r="AG44" s="139"/>
      <c r="AH44" s="139"/>
      <c r="AI44" s="139"/>
      <c r="AJ44" s="256"/>
      <c r="AK44" s="306"/>
      <c r="AL44" s="306"/>
      <c r="AM44" s="307"/>
      <c r="AN44" s="308"/>
      <c r="AO44" s="139"/>
      <c r="AP44" s="139"/>
      <c r="AQ44" s="139"/>
      <c r="AR44" s="306"/>
      <c r="AS44" s="306"/>
      <c r="AT44" s="306"/>
      <c r="AU44" s="309"/>
      <c r="AV44" s="309"/>
      <c r="AW44" s="139"/>
      <c r="AX44" s="139"/>
      <c r="AY44" s="139"/>
      <c r="AZ44" s="306"/>
      <c r="BA44" s="306"/>
      <c r="BB44" s="306"/>
      <c r="BC44" s="310"/>
      <c r="BD44" s="310"/>
      <c r="BE44" s="309"/>
      <c r="BF44" s="311"/>
      <c r="BG44" s="311"/>
      <c r="BH44" s="312"/>
      <c r="BI44" s="313"/>
      <c r="BJ44" s="314"/>
      <c r="BK44" s="314"/>
      <c r="BL44" s="314"/>
      <c r="BM44" s="314"/>
      <c r="BN44" s="314"/>
      <c r="BO44" s="314"/>
      <c r="BP44" s="313"/>
    </row>
    <row r="45" spans="1:68" s="257" customFormat="1" x14ac:dyDescent="0.2">
      <c r="A45" s="366"/>
      <c r="B45" s="366"/>
      <c r="C45" s="219"/>
      <c r="D45" s="219"/>
      <c r="E45" s="219"/>
      <c r="F45" s="300"/>
      <c r="G45" s="301"/>
      <c r="H45" s="301"/>
      <c r="I45" s="301"/>
      <c r="J45" s="302"/>
      <c r="K45" s="263"/>
      <c r="L45" s="301"/>
      <c r="M45" s="301"/>
      <c r="N45" s="301"/>
      <c r="O45" s="302"/>
      <c r="P45" s="303"/>
      <c r="Q45" s="302"/>
      <c r="R45" s="302"/>
      <c r="S45" s="302"/>
      <c r="T45" s="302"/>
      <c r="U45" s="302"/>
      <c r="V45" s="302"/>
      <c r="W45" s="263"/>
      <c r="X45" s="263"/>
      <c r="Y45" s="301"/>
      <c r="Z45" s="302"/>
      <c r="AA45" s="302"/>
      <c r="AB45" s="302"/>
      <c r="AC45" s="302"/>
      <c r="AD45" s="263"/>
      <c r="AE45" s="305"/>
      <c r="AF45" s="302"/>
      <c r="AG45" s="139"/>
      <c r="AH45" s="139"/>
      <c r="AI45" s="139"/>
      <c r="AJ45" s="306"/>
      <c r="AK45" s="306"/>
      <c r="AL45" s="306"/>
      <c r="AM45" s="307"/>
      <c r="AN45" s="308"/>
      <c r="AO45" s="139"/>
      <c r="AP45" s="139"/>
      <c r="AQ45" s="139"/>
      <c r="AR45" s="306"/>
      <c r="AS45" s="306"/>
      <c r="AT45" s="306"/>
      <c r="AU45" s="309"/>
      <c r="AV45" s="309"/>
      <c r="AW45" s="139"/>
      <c r="AX45" s="139"/>
      <c r="AY45" s="139"/>
      <c r="AZ45" s="306"/>
      <c r="BA45" s="306"/>
      <c r="BB45" s="306"/>
      <c r="BC45" s="310"/>
      <c r="BD45" s="310"/>
      <c r="BE45" s="309"/>
      <c r="BF45" s="311"/>
      <c r="BG45" s="311"/>
      <c r="BH45" s="312"/>
      <c r="BI45" s="313"/>
      <c r="BJ45" s="314"/>
      <c r="BK45" s="314"/>
      <c r="BL45" s="314"/>
      <c r="BM45" s="314"/>
      <c r="BN45" s="314"/>
      <c r="BO45" s="314"/>
      <c r="BP45" s="313"/>
    </row>
    <row r="46" spans="1:68" s="257" customFormat="1" x14ac:dyDescent="0.2">
      <c r="A46" s="366"/>
      <c r="B46" s="366"/>
      <c r="C46" s="219"/>
      <c r="D46" s="219"/>
      <c r="E46" s="219"/>
      <c r="F46" s="300"/>
      <c r="G46" s="301"/>
      <c r="H46" s="301"/>
      <c r="I46" s="301"/>
      <c r="J46" s="302"/>
      <c r="K46" s="263"/>
      <c r="L46" s="301"/>
      <c r="M46" s="301"/>
      <c r="N46" s="301"/>
      <c r="O46" s="302"/>
      <c r="P46" s="303"/>
      <c r="Q46" s="302"/>
      <c r="R46" s="302"/>
      <c r="S46" s="302"/>
      <c r="T46" s="302"/>
      <c r="U46" s="302"/>
      <c r="V46" s="302"/>
      <c r="W46" s="263"/>
      <c r="X46" s="263"/>
      <c r="Y46" s="301"/>
      <c r="Z46" s="302"/>
      <c r="AA46" s="302"/>
      <c r="AB46" s="302"/>
      <c r="AC46" s="302"/>
      <c r="AD46" s="263"/>
      <c r="AE46" s="305"/>
      <c r="AF46" s="302"/>
      <c r="AG46" s="139"/>
      <c r="AH46" s="139"/>
      <c r="AI46" s="139"/>
      <c r="AJ46" s="306"/>
      <c r="AK46" s="306"/>
      <c r="AL46" s="306"/>
      <c r="AM46" s="307"/>
      <c r="AN46" s="308"/>
      <c r="AO46" s="139"/>
      <c r="AP46" s="139"/>
      <c r="AQ46" s="139"/>
      <c r="AR46" s="306"/>
      <c r="AS46" s="306"/>
      <c r="AT46" s="306"/>
      <c r="AU46" s="309"/>
      <c r="AV46" s="309"/>
      <c r="AW46" s="139"/>
      <c r="AX46" s="139"/>
      <c r="AY46" s="139"/>
      <c r="AZ46" s="306"/>
      <c r="BA46" s="306"/>
      <c r="BB46" s="306"/>
      <c r="BC46" s="310"/>
      <c r="BD46" s="310"/>
      <c r="BE46" s="309"/>
      <c r="BF46" s="311"/>
      <c r="BG46" s="311"/>
      <c r="BH46" s="312"/>
      <c r="BI46" s="313"/>
      <c r="BJ46" s="314"/>
      <c r="BK46" s="314"/>
      <c r="BL46" s="314"/>
      <c r="BM46" s="314"/>
      <c r="BN46" s="314"/>
      <c r="BO46" s="314"/>
      <c r="BP46" s="313"/>
    </row>
    <row r="47" spans="1:68" s="257" customFormat="1" x14ac:dyDescent="0.2">
      <c r="A47" s="366"/>
      <c r="B47" s="366"/>
      <c r="C47" s="219"/>
      <c r="D47" s="219"/>
      <c r="E47" s="219"/>
      <c r="F47" s="300"/>
      <c r="G47" s="301"/>
      <c r="H47" s="301"/>
      <c r="I47" s="301"/>
      <c r="J47" s="302"/>
      <c r="K47" s="263"/>
      <c r="L47" s="301"/>
      <c r="M47" s="301"/>
      <c r="N47" s="301"/>
      <c r="O47" s="302"/>
      <c r="P47" s="303"/>
      <c r="Q47" s="302"/>
      <c r="R47" s="302"/>
      <c r="S47" s="302"/>
      <c r="T47" s="302"/>
      <c r="U47" s="302"/>
      <c r="V47" s="302"/>
      <c r="W47" s="263"/>
      <c r="X47" s="263"/>
      <c r="Y47" s="301"/>
      <c r="Z47" s="302"/>
      <c r="AA47" s="302"/>
      <c r="AB47" s="302"/>
      <c r="AC47" s="302"/>
      <c r="AD47" s="263"/>
      <c r="AE47" s="305"/>
      <c r="AF47" s="302"/>
      <c r="AG47" s="139"/>
      <c r="AH47" s="139"/>
      <c r="AI47" s="139"/>
      <c r="AJ47" s="306"/>
      <c r="AK47" s="306"/>
      <c r="AL47" s="306"/>
      <c r="AM47" s="307"/>
      <c r="AN47" s="308"/>
      <c r="AO47" s="139"/>
      <c r="AP47" s="139"/>
      <c r="AQ47" s="139"/>
      <c r="AR47" s="306"/>
      <c r="AS47" s="306"/>
      <c r="AT47" s="306"/>
      <c r="AU47" s="309"/>
      <c r="AV47" s="309"/>
      <c r="AW47" s="139"/>
      <c r="AX47" s="139"/>
      <c r="AY47" s="139"/>
      <c r="AZ47" s="306"/>
      <c r="BA47" s="306"/>
      <c r="BB47" s="306"/>
      <c r="BC47" s="310"/>
      <c r="BD47" s="310"/>
      <c r="BE47" s="309"/>
      <c r="BF47" s="311"/>
      <c r="BG47" s="311"/>
      <c r="BH47" s="312"/>
      <c r="BI47" s="313"/>
      <c r="BJ47" s="314"/>
      <c r="BK47" s="314"/>
      <c r="BL47" s="314"/>
      <c r="BM47" s="314"/>
      <c r="BN47" s="314"/>
      <c r="BO47" s="314"/>
      <c r="BP47" s="313"/>
    </row>
    <row r="48" spans="1:68" s="257" customFormat="1" x14ac:dyDescent="0.2">
      <c r="A48" s="367"/>
      <c r="B48" s="367"/>
      <c r="C48" s="220"/>
      <c r="D48" s="220"/>
      <c r="E48" s="220"/>
      <c r="F48" s="315"/>
      <c r="G48" s="301"/>
      <c r="H48" s="301"/>
      <c r="I48" s="301"/>
      <c r="J48" s="302"/>
      <c r="K48" s="263"/>
      <c r="L48" s="301"/>
      <c r="M48" s="301"/>
      <c r="N48" s="301"/>
      <c r="O48" s="302"/>
      <c r="P48" s="303"/>
      <c r="Q48" s="302"/>
      <c r="R48" s="302"/>
      <c r="S48" s="302"/>
      <c r="T48" s="302"/>
      <c r="U48" s="302"/>
      <c r="V48" s="302"/>
      <c r="W48" s="263"/>
      <c r="X48" s="263"/>
      <c r="Y48" s="301"/>
      <c r="Z48" s="302"/>
      <c r="AA48" s="302"/>
      <c r="AB48" s="302"/>
      <c r="AC48" s="302"/>
      <c r="AD48" s="263"/>
      <c r="AE48" s="305"/>
      <c r="AF48" s="302"/>
      <c r="AG48" s="139"/>
      <c r="AH48" s="139"/>
      <c r="AI48" s="139"/>
      <c r="AJ48" s="306"/>
      <c r="AK48" s="306"/>
      <c r="AL48" s="306"/>
      <c r="AM48" s="307"/>
      <c r="AN48" s="308"/>
      <c r="AO48" s="139"/>
      <c r="AP48" s="139"/>
      <c r="AQ48" s="139"/>
      <c r="AR48" s="306"/>
      <c r="AS48" s="306"/>
      <c r="AT48" s="306"/>
      <c r="AU48" s="309"/>
      <c r="AV48" s="309"/>
      <c r="AW48" s="139"/>
      <c r="AX48" s="139"/>
      <c r="AY48" s="139"/>
      <c r="AZ48" s="306"/>
      <c r="BA48" s="306"/>
      <c r="BB48" s="306"/>
      <c r="BC48" s="310"/>
      <c r="BD48" s="310"/>
      <c r="BE48" s="309"/>
      <c r="BF48" s="311"/>
      <c r="BG48" s="311"/>
      <c r="BH48" s="312"/>
      <c r="BI48" s="313"/>
      <c r="BJ48" s="314"/>
      <c r="BK48" s="314"/>
      <c r="BL48" s="314"/>
      <c r="BM48" s="314"/>
      <c r="BN48" s="314"/>
      <c r="BO48" s="314"/>
      <c r="BP48" s="313"/>
    </row>
    <row r="49" spans="1:68" s="257" customFormat="1" x14ac:dyDescent="0.2">
      <c r="A49" s="367"/>
      <c r="B49" s="367"/>
      <c r="C49" s="220"/>
      <c r="D49" s="220"/>
      <c r="E49" s="220"/>
      <c r="F49" s="315"/>
      <c r="G49" s="301"/>
      <c r="H49" s="301"/>
      <c r="I49" s="301"/>
      <c r="J49" s="302"/>
      <c r="K49" s="263"/>
      <c r="L49" s="301"/>
      <c r="M49" s="301"/>
      <c r="N49" s="301"/>
      <c r="O49" s="302"/>
      <c r="P49" s="303"/>
      <c r="Q49" s="302"/>
      <c r="R49" s="302"/>
      <c r="S49" s="302"/>
      <c r="T49" s="302"/>
      <c r="U49" s="302"/>
      <c r="V49" s="302"/>
      <c r="W49" s="263"/>
      <c r="X49" s="263"/>
      <c r="Y49" s="301"/>
      <c r="Z49" s="302"/>
      <c r="AA49" s="302"/>
      <c r="AB49" s="302"/>
      <c r="AC49" s="302"/>
      <c r="AD49" s="263"/>
      <c r="AE49" s="305"/>
      <c r="AF49" s="302"/>
      <c r="AG49" s="139"/>
      <c r="AH49" s="139"/>
      <c r="AI49" s="139"/>
      <c r="AJ49" s="306"/>
      <c r="AK49" s="306"/>
      <c r="AL49" s="306"/>
      <c r="AM49" s="307"/>
      <c r="AN49" s="308"/>
      <c r="AO49" s="139"/>
      <c r="AP49" s="139"/>
      <c r="AQ49" s="139"/>
      <c r="AR49" s="306"/>
      <c r="AS49" s="306"/>
      <c r="AT49" s="306"/>
      <c r="AU49" s="309"/>
      <c r="AV49" s="309"/>
      <c r="AW49" s="139"/>
      <c r="AX49" s="139"/>
      <c r="AY49" s="139"/>
      <c r="AZ49" s="306"/>
      <c r="BA49" s="306"/>
      <c r="BB49" s="306"/>
      <c r="BC49" s="310"/>
      <c r="BD49" s="310"/>
      <c r="BE49" s="309"/>
      <c r="BF49" s="311"/>
      <c r="BG49" s="311"/>
      <c r="BH49" s="312"/>
      <c r="BI49" s="313"/>
      <c r="BJ49" s="314"/>
      <c r="BK49" s="314"/>
      <c r="BL49" s="314"/>
      <c r="BM49" s="314"/>
      <c r="BN49" s="314"/>
      <c r="BO49" s="314"/>
      <c r="BP49" s="313"/>
    </row>
    <row r="50" spans="1:68" s="257" customFormat="1" x14ac:dyDescent="0.2">
      <c r="A50" s="376"/>
      <c r="B50" s="376"/>
      <c r="C50" s="377"/>
      <c r="D50" s="377"/>
      <c r="E50" s="377"/>
      <c r="F50" s="378"/>
      <c r="G50" s="379"/>
      <c r="H50" s="379"/>
      <c r="I50" s="379"/>
      <c r="J50" s="318"/>
      <c r="K50" s="380"/>
      <c r="L50" s="379"/>
      <c r="M50" s="379"/>
      <c r="N50" s="379"/>
      <c r="O50" s="318"/>
      <c r="P50" s="381"/>
      <c r="Q50" s="318"/>
      <c r="R50" s="318"/>
      <c r="S50" s="318"/>
      <c r="T50" s="318"/>
      <c r="U50" s="318"/>
      <c r="V50" s="318"/>
      <c r="W50" s="380"/>
      <c r="X50" s="380"/>
      <c r="Y50" s="379"/>
      <c r="Z50" s="318"/>
      <c r="AA50" s="318"/>
      <c r="AB50" s="318"/>
      <c r="AC50" s="318"/>
      <c r="AD50" s="380"/>
      <c r="AE50" s="382"/>
      <c r="AF50" s="318"/>
      <c r="AG50" s="319"/>
      <c r="AH50" s="319"/>
      <c r="AI50" s="318"/>
      <c r="AJ50" s="383"/>
      <c r="AK50" s="383"/>
      <c r="AL50" s="383"/>
      <c r="AM50" s="384"/>
      <c r="AN50" s="391"/>
      <c r="AO50" s="318"/>
      <c r="AP50" s="318"/>
      <c r="AQ50" s="318"/>
      <c r="AR50" s="383"/>
      <c r="AS50" s="383"/>
      <c r="AT50" s="383"/>
      <c r="AU50" s="385"/>
      <c r="AV50" s="385"/>
      <c r="AW50" s="318"/>
      <c r="AX50" s="318"/>
      <c r="AY50" s="318"/>
      <c r="AZ50" s="383"/>
      <c r="BA50" s="383"/>
      <c r="BB50" s="383"/>
      <c r="BC50" s="386"/>
      <c r="BD50" s="386"/>
      <c r="BE50" s="385"/>
      <c r="BF50" s="387"/>
      <c r="BG50" s="387"/>
      <c r="BH50" s="388"/>
      <c r="BI50" s="389"/>
      <c r="BJ50" s="390"/>
      <c r="BK50" s="390"/>
      <c r="BL50" s="390"/>
      <c r="BM50" s="390"/>
      <c r="BN50" s="390"/>
      <c r="BO50" s="390"/>
      <c r="BP50" s="389"/>
    </row>
    <row r="51" spans="1:68" s="375" customFormat="1" ht="14" x14ac:dyDescent="0.2">
      <c r="A51" s="367"/>
      <c r="B51" s="367"/>
      <c r="C51" s="220"/>
      <c r="D51" s="220"/>
      <c r="E51" s="220"/>
      <c r="F51" s="342"/>
      <c r="G51" s="302"/>
      <c r="H51" s="302"/>
      <c r="I51" s="302"/>
      <c r="J51" s="302"/>
      <c r="K51" s="263"/>
      <c r="L51" s="302"/>
      <c r="M51" s="302"/>
      <c r="N51" s="302"/>
      <c r="O51" s="302"/>
      <c r="P51" s="303"/>
      <c r="Q51" s="302"/>
      <c r="R51" s="302"/>
      <c r="S51" s="302"/>
      <c r="T51" s="302"/>
      <c r="U51" s="302"/>
      <c r="V51" s="302"/>
      <c r="W51" s="263"/>
      <c r="X51" s="263"/>
      <c r="Y51" s="302"/>
      <c r="Z51" s="302"/>
      <c r="AA51" s="302"/>
      <c r="AB51" s="302"/>
      <c r="AC51" s="302"/>
      <c r="AD51" s="263"/>
      <c r="AE51" s="396"/>
      <c r="AF51" s="302"/>
      <c r="AG51" s="397"/>
      <c r="AH51" s="397"/>
      <c r="AI51" s="302"/>
      <c r="AJ51" s="139"/>
      <c r="AK51" s="139"/>
      <c r="AL51" s="139"/>
      <c r="AM51" s="343"/>
      <c r="AN51" s="308"/>
      <c r="AO51" s="302"/>
      <c r="AP51" s="302"/>
      <c r="AQ51" s="302"/>
      <c r="AR51" s="139"/>
      <c r="AS51" s="139"/>
      <c r="AT51" s="139"/>
      <c r="AU51" s="398"/>
      <c r="AV51" s="398"/>
      <c r="AW51" s="302"/>
      <c r="AX51" s="302"/>
      <c r="AY51" s="302"/>
      <c r="AZ51" s="139"/>
      <c r="BA51" s="139"/>
      <c r="BB51" s="139"/>
      <c r="BC51" s="399"/>
      <c r="BD51" s="399"/>
      <c r="BE51" s="398"/>
      <c r="BF51" s="398"/>
      <c r="BG51" s="398"/>
      <c r="BH51" s="302"/>
      <c r="BI51" s="351"/>
      <c r="BJ51" s="351"/>
      <c r="BK51" s="351"/>
      <c r="BL51" s="351"/>
      <c r="BM51" s="351"/>
      <c r="BN51" s="351"/>
      <c r="BO51" s="351"/>
      <c r="BP51" s="351"/>
    </row>
    <row r="52" spans="1:68" s="375" customFormat="1" x14ac:dyDescent="0.2">
      <c r="A52" s="367"/>
      <c r="B52" s="367"/>
      <c r="C52" s="220"/>
      <c r="D52" s="220"/>
      <c r="E52" s="220"/>
      <c r="F52" s="342"/>
      <c r="G52" s="302"/>
      <c r="H52" s="302"/>
      <c r="I52" s="302"/>
      <c r="J52" s="302"/>
      <c r="K52" s="263"/>
      <c r="L52" s="302"/>
      <c r="M52" s="302"/>
      <c r="N52" s="302"/>
      <c r="O52" s="302"/>
      <c r="P52" s="303"/>
      <c r="Q52" s="302"/>
      <c r="R52" s="302"/>
      <c r="S52" s="302"/>
      <c r="T52" s="302"/>
      <c r="U52" s="302"/>
      <c r="V52" s="302"/>
      <c r="W52" s="263"/>
      <c r="X52" s="263"/>
      <c r="Y52" s="302"/>
      <c r="Z52" s="302"/>
      <c r="AA52" s="302"/>
      <c r="AB52" s="302"/>
      <c r="AC52" s="302"/>
      <c r="AD52" s="263"/>
      <c r="AE52" s="396"/>
      <c r="AF52" s="302"/>
      <c r="AG52" s="139"/>
      <c r="AH52" s="139"/>
      <c r="AI52" s="302"/>
      <c r="AJ52" s="139"/>
      <c r="AK52" s="139"/>
      <c r="AL52" s="139"/>
      <c r="AM52" s="343"/>
      <c r="AN52" s="308"/>
      <c r="AO52" s="302"/>
      <c r="AP52" s="302"/>
      <c r="AQ52" s="302"/>
      <c r="AR52" s="139"/>
      <c r="AS52" s="139"/>
      <c r="AT52" s="139"/>
      <c r="AU52" s="398"/>
      <c r="AV52" s="398"/>
      <c r="AW52" s="302"/>
      <c r="AX52" s="302"/>
      <c r="AY52" s="302"/>
      <c r="AZ52" s="139"/>
      <c r="BA52" s="139"/>
      <c r="BB52" s="139"/>
      <c r="BC52" s="399"/>
      <c r="BD52" s="399"/>
      <c r="BE52" s="398"/>
      <c r="BF52" s="398"/>
      <c r="BG52" s="398"/>
      <c r="BH52" s="302"/>
      <c r="BI52" s="351"/>
      <c r="BJ52" s="351"/>
      <c r="BK52" s="351"/>
      <c r="BL52" s="351"/>
      <c r="BM52" s="351"/>
      <c r="BN52" s="351"/>
      <c r="BO52" s="351"/>
      <c r="BP52" s="351"/>
    </row>
    <row r="53" spans="1:68" s="375" customFormat="1" ht="14" x14ac:dyDescent="0.2">
      <c r="A53" s="367"/>
      <c r="B53" s="367"/>
      <c r="C53" s="220"/>
      <c r="D53" s="220"/>
      <c r="E53" s="220"/>
      <c r="F53" s="342"/>
      <c r="G53" s="302"/>
      <c r="H53" s="302"/>
      <c r="I53" s="302"/>
      <c r="J53" s="302"/>
      <c r="K53" s="263"/>
      <c r="L53" s="302"/>
      <c r="M53" s="302"/>
      <c r="N53" s="302"/>
      <c r="O53" s="302"/>
      <c r="P53" s="303"/>
      <c r="Q53" s="302"/>
      <c r="R53" s="400"/>
      <c r="S53" s="400"/>
      <c r="T53" s="400"/>
      <c r="U53" s="400"/>
      <c r="V53" s="400"/>
      <c r="W53" s="263"/>
      <c r="X53" s="263"/>
      <c r="Y53" s="302"/>
      <c r="Z53" s="302"/>
      <c r="AA53" s="302"/>
      <c r="AB53" s="302"/>
      <c r="AC53" s="302"/>
      <c r="AD53" s="263"/>
      <c r="AE53" s="396"/>
      <c r="AF53" s="302"/>
      <c r="AG53" s="139"/>
      <c r="AH53" s="139"/>
      <c r="AI53" s="302"/>
      <c r="AJ53" s="139"/>
      <c r="AK53" s="139"/>
      <c r="AL53" s="139"/>
      <c r="AM53" s="343"/>
      <c r="AN53" s="308"/>
      <c r="AO53" s="302"/>
      <c r="AP53" s="302"/>
      <c r="AQ53" s="302"/>
      <c r="AR53" s="139"/>
      <c r="AS53" s="139"/>
      <c r="AT53" s="139"/>
      <c r="AU53" s="398"/>
      <c r="AV53" s="398"/>
      <c r="AW53" s="302"/>
      <c r="AX53" s="139"/>
      <c r="AY53" s="302"/>
      <c r="AZ53" s="139"/>
      <c r="BA53" s="139"/>
      <c r="BB53" s="139"/>
      <c r="BC53" s="399"/>
      <c r="BD53" s="399"/>
      <c r="BE53" s="398"/>
      <c r="BF53" s="398"/>
      <c r="BG53" s="398"/>
      <c r="BH53" s="302"/>
      <c r="BI53" s="351"/>
      <c r="BJ53" s="351"/>
      <c r="BK53" s="351"/>
      <c r="BL53" s="351"/>
      <c r="BM53" s="351"/>
      <c r="BN53" s="351"/>
      <c r="BO53" s="351"/>
      <c r="BP53" s="351"/>
    </row>
    <row r="54" spans="1:68" s="375" customFormat="1" x14ac:dyDescent="0.2">
      <c r="A54" s="367"/>
      <c r="B54" s="367"/>
      <c r="C54" s="220"/>
      <c r="D54" s="220"/>
      <c r="E54" s="220"/>
      <c r="F54" s="342"/>
      <c r="G54" s="302"/>
      <c r="H54" s="302"/>
      <c r="I54" s="302"/>
      <c r="J54" s="302"/>
      <c r="K54" s="263"/>
      <c r="L54" s="302"/>
      <c r="M54" s="302"/>
      <c r="N54" s="302"/>
      <c r="O54" s="302"/>
      <c r="P54" s="303"/>
      <c r="Q54" s="302"/>
      <c r="R54" s="302"/>
      <c r="S54" s="302"/>
      <c r="T54" s="302"/>
      <c r="U54" s="302"/>
      <c r="V54" s="302"/>
      <c r="W54" s="263"/>
      <c r="X54" s="263"/>
      <c r="Y54" s="302"/>
      <c r="Z54" s="302"/>
      <c r="AA54" s="302"/>
      <c r="AB54" s="302"/>
      <c r="AC54" s="302"/>
      <c r="AD54" s="263"/>
      <c r="AE54" s="396"/>
      <c r="AF54" s="302"/>
      <c r="AG54" s="139"/>
      <c r="AH54" s="139"/>
      <c r="AI54" s="302"/>
      <c r="AJ54" s="139"/>
      <c r="AK54" s="139"/>
      <c r="AL54" s="139"/>
      <c r="AM54" s="343"/>
      <c r="AN54" s="308"/>
      <c r="AO54" s="302"/>
      <c r="AP54" s="302"/>
      <c r="AQ54" s="302"/>
      <c r="AR54" s="139"/>
      <c r="AS54" s="139"/>
      <c r="AT54" s="139"/>
      <c r="AU54" s="398"/>
      <c r="AV54" s="398"/>
      <c r="AW54" s="302"/>
      <c r="AX54" s="302"/>
      <c r="AY54" s="302"/>
      <c r="AZ54" s="139"/>
      <c r="BA54" s="139"/>
      <c r="BB54" s="139"/>
      <c r="BC54" s="399"/>
      <c r="BD54" s="399"/>
      <c r="BE54" s="398"/>
      <c r="BF54" s="398"/>
      <c r="BG54" s="398"/>
      <c r="BH54" s="302"/>
      <c r="BI54" s="351"/>
      <c r="BJ54" s="351"/>
      <c r="BK54" s="351"/>
      <c r="BL54" s="351"/>
      <c r="BM54" s="351"/>
      <c r="BN54" s="351"/>
      <c r="BO54" s="351"/>
      <c r="BP54" s="351"/>
    </row>
    <row r="55" spans="1:68" s="375" customFormat="1" x14ac:dyDescent="0.2">
      <c r="A55" s="367"/>
      <c r="B55" s="367"/>
      <c r="C55" s="220"/>
      <c r="D55" s="220"/>
      <c r="E55" s="220"/>
      <c r="F55" s="342"/>
      <c r="G55" s="302"/>
      <c r="H55" s="302"/>
      <c r="I55" s="302"/>
      <c r="J55" s="302"/>
      <c r="K55" s="263"/>
      <c r="L55" s="302"/>
      <c r="M55" s="302"/>
      <c r="N55" s="302"/>
      <c r="O55" s="302"/>
      <c r="P55" s="303"/>
      <c r="Q55" s="302"/>
      <c r="R55" s="302"/>
      <c r="S55" s="302"/>
      <c r="T55" s="302"/>
      <c r="U55" s="302"/>
      <c r="V55" s="302"/>
      <c r="W55" s="263"/>
      <c r="X55" s="263"/>
      <c r="Y55" s="302"/>
      <c r="Z55" s="302"/>
      <c r="AA55" s="302"/>
      <c r="AB55" s="302"/>
      <c r="AC55" s="302"/>
      <c r="AD55" s="263"/>
      <c r="AE55" s="396"/>
      <c r="AF55" s="302"/>
      <c r="AG55" s="139"/>
      <c r="AH55" s="139"/>
      <c r="AI55" s="302"/>
      <c r="AJ55" s="139"/>
      <c r="AK55" s="139"/>
      <c r="AL55" s="139"/>
      <c r="AM55" s="343"/>
      <c r="AN55" s="308"/>
      <c r="AO55" s="139"/>
      <c r="AP55" s="302"/>
      <c r="AQ55" s="302"/>
      <c r="AR55" s="139"/>
      <c r="AS55" s="139"/>
      <c r="AT55" s="139"/>
      <c r="AU55" s="398"/>
      <c r="AV55" s="398"/>
      <c r="AW55" s="302"/>
      <c r="AX55" s="139"/>
      <c r="AY55" s="302"/>
      <c r="AZ55" s="139"/>
      <c r="BA55" s="139"/>
      <c r="BB55" s="139"/>
      <c r="BC55" s="399"/>
      <c r="BD55" s="399"/>
      <c r="BE55" s="398"/>
      <c r="BF55" s="398"/>
      <c r="BG55" s="398"/>
      <c r="BH55" s="302"/>
      <c r="BI55" s="351"/>
      <c r="BJ55" s="351"/>
      <c r="BK55" s="351"/>
      <c r="BL55" s="351"/>
      <c r="BM55" s="351"/>
      <c r="BN55" s="351"/>
      <c r="BO55" s="351"/>
      <c r="BP55" s="351"/>
    </row>
    <row r="56" spans="1:68" s="257" customFormat="1" x14ac:dyDescent="0.2">
      <c r="A56" s="366"/>
      <c r="B56" s="366"/>
      <c r="C56" s="219"/>
      <c r="D56" s="219"/>
      <c r="E56" s="219"/>
      <c r="F56" s="300"/>
      <c r="G56" s="301"/>
      <c r="H56" s="301"/>
      <c r="I56" s="301"/>
      <c r="J56" s="301"/>
      <c r="K56" s="267"/>
      <c r="L56" s="301"/>
      <c r="M56" s="301"/>
      <c r="N56" s="301"/>
      <c r="O56" s="301"/>
      <c r="P56" s="392"/>
      <c r="Q56" s="301"/>
      <c r="R56" s="301"/>
      <c r="S56" s="301"/>
      <c r="T56" s="301"/>
      <c r="U56" s="301"/>
      <c r="V56" s="301"/>
      <c r="W56" s="267"/>
      <c r="X56" s="267"/>
      <c r="Y56" s="301"/>
      <c r="Z56" s="301"/>
      <c r="AA56" s="301"/>
      <c r="AB56" s="301"/>
      <c r="AC56" s="301"/>
      <c r="AD56" s="267"/>
      <c r="AE56" s="305"/>
      <c r="AF56" s="301"/>
      <c r="AG56" s="306"/>
      <c r="AH56" s="306"/>
      <c r="AI56" s="301"/>
      <c r="AJ56" s="306"/>
      <c r="AK56" s="306"/>
      <c r="AL56" s="306"/>
      <c r="AM56" s="307"/>
      <c r="AN56" s="393"/>
      <c r="AO56" s="306"/>
      <c r="AP56" s="301"/>
      <c r="AQ56" s="301"/>
      <c r="AR56" s="306"/>
      <c r="AS56" s="306"/>
      <c r="AT56" s="306"/>
      <c r="AU56" s="309"/>
      <c r="AV56" s="309"/>
      <c r="AW56" s="301"/>
      <c r="AX56" s="301"/>
      <c r="AY56" s="301"/>
      <c r="AZ56" s="306"/>
      <c r="BA56" s="306"/>
      <c r="BB56" s="306"/>
      <c r="BC56" s="310"/>
      <c r="BD56" s="310"/>
      <c r="BE56" s="309"/>
      <c r="BF56" s="311"/>
      <c r="BG56" s="311"/>
      <c r="BH56" s="336"/>
      <c r="BI56" s="394"/>
      <c r="BJ56" s="395"/>
      <c r="BK56" s="395"/>
      <c r="BL56" s="395"/>
      <c r="BM56" s="395"/>
      <c r="BN56" s="395"/>
      <c r="BO56" s="395"/>
      <c r="BP56" s="394"/>
    </row>
    <row r="57" spans="1:68" s="257" customFormat="1" x14ac:dyDescent="0.2">
      <c r="A57" s="366"/>
      <c r="B57" s="366"/>
      <c r="C57" s="219"/>
      <c r="D57" s="219"/>
      <c r="E57" s="219"/>
      <c r="F57" s="300"/>
      <c r="G57" s="301"/>
      <c r="H57" s="301"/>
      <c r="I57" s="301"/>
      <c r="J57" s="302"/>
      <c r="K57" s="263"/>
      <c r="L57" s="301"/>
      <c r="M57" s="301"/>
      <c r="N57" s="301"/>
      <c r="O57" s="302"/>
      <c r="P57" s="303"/>
      <c r="Q57" s="302"/>
      <c r="R57" s="302"/>
      <c r="S57" s="302"/>
      <c r="T57" s="302"/>
      <c r="U57" s="302"/>
      <c r="V57" s="302"/>
      <c r="W57" s="263"/>
      <c r="X57" s="263"/>
      <c r="Y57" s="301"/>
      <c r="Z57" s="302"/>
      <c r="AA57" s="302"/>
      <c r="AB57" s="302"/>
      <c r="AC57" s="302"/>
      <c r="AD57" s="263"/>
      <c r="AE57" s="305"/>
      <c r="AF57" s="302"/>
      <c r="AG57" s="139"/>
      <c r="AH57" s="139"/>
      <c r="AI57" s="302"/>
      <c r="AJ57" s="306"/>
      <c r="AK57" s="306"/>
      <c r="AL57" s="306"/>
      <c r="AM57" s="307"/>
      <c r="AN57" s="308"/>
      <c r="AO57" s="139"/>
      <c r="AP57" s="139"/>
      <c r="AQ57" s="302"/>
      <c r="AR57" s="306"/>
      <c r="AS57" s="306"/>
      <c r="AT57" s="306"/>
      <c r="AU57" s="309"/>
      <c r="AV57" s="309"/>
      <c r="AW57" s="302"/>
      <c r="AX57" s="302"/>
      <c r="AY57" s="302"/>
      <c r="AZ57" s="306"/>
      <c r="BA57" s="306"/>
      <c r="BB57" s="306"/>
      <c r="BC57" s="310"/>
      <c r="BD57" s="310"/>
      <c r="BE57" s="309"/>
      <c r="BF57" s="311"/>
      <c r="BG57" s="311"/>
      <c r="BH57" s="312"/>
      <c r="BI57" s="313"/>
      <c r="BJ57" s="314"/>
      <c r="BK57" s="314"/>
      <c r="BL57" s="314"/>
      <c r="BM57" s="314"/>
      <c r="BN57" s="314"/>
      <c r="BO57" s="314"/>
      <c r="BP57" s="313"/>
    </row>
    <row r="58" spans="1:68" s="257" customFormat="1" x14ac:dyDescent="0.2">
      <c r="A58" s="366"/>
      <c r="B58" s="366"/>
      <c r="C58" s="219"/>
      <c r="D58" s="219"/>
      <c r="E58" s="219"/>
      <c r="F58" s="300"/>
      <c r="G58" s="301"/>
      <c r="H58" s="301"/>
      <c r="I58" s="301"/>
      <c r="J58" s="302"/>
      <c r="K58" s="263"/>
      <c r="L58" s="301"/>
      <c r="M58" s="301"/>
      <c r="N58" s="301"/>
      <c r="O58" s="302"/>
      <c r="P58" s="303"/>
      <c r="Q58" s="302"/>
      <c r="R58" s="302"/>
      <c r="S58" s="302"/>
      <c r="T58" s="302"/>
      <c r="U58" s="302"/>
      <c r="V58" s="302"/>
      <c r="W58" s="263"/>
      <c r="X58" s="263"/>
      <c r="Y58" s="301"/>
      <c r="Z58" s="302"/>
      <c r="AA58" s="302"/>
      <c r="AB58" s="302"/>
      <c r="AC58" s="302"/>
      <c r="AD58" s="263"/>
      <c r="AE58" s="305"/>
      <c r="AF58" s="302"/>
      <c r="AG58" s="139"/>
      <c r="AH58" s="139"/>
      <c r="AI58" s="302"/>
      <c r="AJ58" s="306"/>
      <c r="AK58" s="306"/>
      <c r="AL58" s="306"/>
      <c r="AM58" s="307"/>
      <c r="AN58" s="308"/>
      <c r="AO58" s="139"/>
      <c r="AP58" s="302"/>
      <c r="AQ58" s="302"/>
      <c r="AR58" s="306"/>
      <c r="AS58" s="306"/>
      <c r="AT58" s="306"/>
      <c r="AU58" s="309"/>
      <c r="AV58" s="309"/>
      <c r="AW58" s="302"/>
      <c r="AX58" s="302"/>
      <c r="AY58" s="302"/>
      <c r="AZ58" s="306"/>
      <c r="BA58" s="306"/>
      <c r="BB58" s="306"/>
      <c r="BC58" s="310"/>
      <c r="BD58" s="310"/>
      <c r="BE58" s="309"/>
      <c r="BF58" s="311"/>
      <c r="BG58" s="311"/>
      <c r="BH58" s="312"/>
      <c r="BI58" s="313"/>
      <c r="BJ58" s="314"/>
      <c r="BK58" s="314"/>
      <c r="BL58" s="314"/>
      <c r="BM58" s="314"/>
      <c r="BN58" s="314"/>
      <c r="BO58" s="314"/>
      <c r="BP58" s="313"/>
    </row>
    <row r="59" spans="1:68" s="257" customFormat="1" x14ac:dyDescent="0.2">
      <c r="A59" s="366"/>
      <c r="B59" s="366"/>
      <c r="C59" s="220"/>
      <c r="D59" s="220"/>
      <c r="E59" s="220"/>
      <c r="F59" s="315"/>
      <c r="G59" s="301"/>
      <c r="H59" s="301"/>
      <c r="I59" s="301"/>
      <c r="J59" s="302"/>
      <c r="K59" s="263"/>
      <c r="L59" s="301"/>
      <c r="M59" s="301"/>
      <c r="N59" s="301"/>
      <c r="O59" s="302"/>
      <c r="P59" s="303"/>
      <c r="Q59" s="302"/>
      <c r="R59" s="302"/>
      <c r="S59" s="302"/>
      <c r="T59" s="302"/>
      <c r="U59" s="302"/>
      <c r="V59" s="302"/>
      <c r="W59" s="263"/>
      <c r="X59" s="263"/>
      <c r="Y59" s="301"/>
      <c r="Z59" s="302"/>
      <c r="AA59" s="302"/>
      <c r="AB59" s="302"/>
      <c r="AC59" s="302"/>
      <c r="AD59" s="263"/>
      <c r="AE59" s="305"/>
      <c r="AF59" s="302"/>
      <c r="AG59" s="139"/>
      <c r="AH59" s="139"/>
      <c r="AI59" s="302"/>
      <c r="AJ59" s="306"/>
      <c r="AK59" s="306"/>
      <c r="AL59" s="306"/>
      <c r="AM59" s="307"/>
      <c r="AN59" s="308"/>
      <c r="AO59" s="139"/>
      <c r="AP59" s="302"/>
      <c r="AQ59" s="302"/>
      <c r="AR59" s="306"/>
      <c r="AS59" s="306"/>
      <c r="AT59" s="306"/>
      <c r="AU59" s="309"/>
      <c r="AV59" s="309"/>
      <c r="AW59" s="302"/>
      <c r="AX59" s="302"/>
      <c r="AY59" s="302"/>
      <c r="AZ59" s="306"/>
      <c r="BA59" s="306"/>
      <c r="BB59" s="306"/>
      <c r="BC59" s="310"/>
      <c r="BD59" s="310"/>
      <c r="BE59" s="309"/>
      <c r="BF59" s="311"/>
      <c r="BG59" s="311"/>
      <c r="BH59" s="312"/>
      <c r="BI59" s="313"/>
      <c r="BJ59" s="314"/>
      <c r="BK59" s="314"/>
      <c r="BL59" s="314"/>
      <c r="BM59" s="314"/>
      <c r="BN59" s="314"/>
      <c r="BO59" s="314"/>
      <c r="BP59" s="313"/>
    </row>
    <row r="60" spans="1:68" s="257" customFormat="1" x14ac:dyDescent="0.2">
      <c r="A60" s="366"/>
      <c r="B60" s="366"/>
      <c r="C60" s="220"/>
      <c r="D60" s="220"/>
      <c r="E60" s="220"/>
      <c r="F60" s="315"/>
      <c r="G60" s="301"/>
      <c r="H60" s="301"/>
      <c r="I60" s="301"/>
      <c r="J60" s="302"/>
      <c r="K60" s="263"/>
      <c r="L60" s="301"/>
      <c r="M60" s="301"/>
      <c r="N60" s="301"/>
      <c r="O60" s="302"/>
      <c r="P60" s="303"/>
      <c r="Q60" s="302"/>
      <c r="R60" s="302"/>
      <c r="S60" s="302"/>
      <c r="T60" s="302"/>
      <c r="U60" s="302"/>
      <c r="V60" s="302"/>
      <c r="W60" s="263"/>
      <c r="X60" s="263"/>
      <c r="Y60" s="301"/>
      <c r="Z60" s="302"/>
      <c r="AA60" s="302"/>
      <c r="AB60" s="302"/>
      <c r="AC60" s="302"/>
      <c r="AD60" s="263"/>
      <c r="AE60" s="305"/>
      <c r="AF60" s="302"/>
      <c r="AG60" s="139"/>
      <c r="AH60" s="139"/>
      <c r="AI60" s="302"/>
      <c r="AJ60" s="306"/>
      <c r="AK60" s="306"/>
      <c r="AL60" s="306"/>
      <c r="AM60" s="307"/>
      <c r="AN60" s="308"/>
      <c r="AO60" s="302"/>
      <c r="AP60" s="302"/>
      <c r="AQ60" s="302"/>
      <c r="AR60" s="306"/>
      <c r="AS60" s="306"/>
      <c r="AT60" s="306"/>
      <c r="AU60" s="309"/>
      <c r="AV60" s="309"/>
      <c r="AW60" s="302"/>
      <c r="AX60" s="302"/>
      <c r="AY60" s="302"/>
      <c r="AZ60" s="306"/>
      <c r="BA60" s="306"/>
      <c r="BB60" s="306"/>
      <c r="BC60" s="310"/>
      <c r="BD60" s="310"/>
      <c r="BE60" s="309"/>
      <c r="BF60" s="311"/>
      <c r="BG60" s="311"/>
      <c r="BH60" s="312"/>
      <c r="BI60" s="313"/>
      <c r="BJ60" s="314"/>
      <c r="BK60" s="314"/>
      <c r="BL60" s="314"/>
      <c r="BM60" s="314"/>
      <c r="BN60" s="314"/>
      <c r="BO60" s="314"/>
      <c r="BP60" s="313"/>
    </row>
    <row r="61" spans="1:68" s="257" customFormat="1" x14ac:dyDescent="0.2">
      <c r="A61" s="365"/>
      <c r="B61" s="365"/>
      <c r="C61" s="284"/>
      <c r="D61" s="284"/>
      <c r="E61" s="284"/>
      <c r="F61" s="285"/>
      <c r="G61" s="286"/>
      <c r="H61" s="286"/>
      <c r="I61" s="286"/>
      <c r="J61" s="287"/>
      <c r="K61" s="259"/>
      <c r="L61" s="286"/>
      <c r="M61" s="286"/>
      <c r="N61" s="286"/>
      <c r="O61" s="287"/>
      <c r="P61" s="288"/>
      <c r="Q61" s="287"/>
      <c r="R61" s="287"/>
      <c r="S61" s="287"/>
      <c r="T61" s="287"/>
      <c r="U61" s="287"/>
      <c r="V61" s="287"/>
      <c r="W61" s="259"/>
      <c r="X61" s="259"/>
      <c r="Y61" s="286"/>
      <c r="Z61" s="287"/>
      <c r="AA61" s="287"/>
      <c r="AB61" s="287"/>
      <c r="AC61" s="287"/>
      <c r="AD61" s="259"/>
      <c r="AE61" s="289"/>
      <c r="AF61" s="287"/>
      <c r="AG61" s="290"/>
      <c r="AH61" s="290"/>
      <c r="AI61" s="287"/>
      <c r="AJ61" s="290"/>
      <c r="AK61" s="291"/>
      <c r="AL61" s="291"/>
      <c r="AM61" s="292"/>
      <c r="AN61" s="290"/>
      <c r="AO61" s="287"/>
      <c r="AP61" s="287"/>
      <c r="AQ61" s="287"/>
      <c r="AR61" s="290"/>
      <c r="AS61" s="291"/>
      <c r="AT61" s="291"/>
      <c r="AU61" s="293"/>
      <c r="AV61" s="293"/>
      <c r="AW61" s="287"/>
      <c r="AX61" s="287"/>
      <c r="AY61" s="287"/>
      <c r="AZ61" s="290"/>
      <c r="BA61" s="291"/>
      <c r="BB61" s="291"/>
      <c r="BC61" s="294"/>
      <c r="BD61" s="294"/>
      <c r="BE61" s="293"/>
      <c r="BF61" s="295"/>
      <c r="BG61" s="295"/>
      <c r="BH61" s="296"/>
      <c r="BI61" s="297"/>
      <c r="BJ61" s="298"/>
      <c r="BK61" s="298"/>
      <c r="BL61" s="298"/>
      <c r="BM61" s="298"/>
      <c r="BN61" s="298"/>
      <c r="BO61" s="298"/>
      <c r="BP61" s="297"/>
    </row>
    <row r="62" spans="1:68" s="257" customFormat="1" x14ac:dyDescent="0.2">
      <c r="A62" s="366"/>
      <c r="B62" s="366"/>
      <c r="C62" s="219"/>
      <c r="D62" s="219"/>
      <c r="E62" s="219"/>
      <c r="F62" s="300"/>
      <c r="G62" s="301"/>
      <c r="H62" s="301"/>
      <c r="I62" s="301"/>
      <c r="J62" s="302"/>
      <c r="K62" s="263"/>
      <c r="L62" s="301"/>
      <c r="M62" s="301"/>
      <c r="N62" s="301"/>
      <c r="O62" s="302"/>
      <c r="P62" s="303"/>
      <c r="Q62" s="302"/>
      <c r="R62" s="302"/>
      <c r="S62" s="302"/>
      <c r="T62" s="302"/>
      <c r="U62" s="302"/>
      <c r="V62" s="302"/>
      <c r="W62" s="263"/>
      <c r="X62" s="263"/>
      <c r="Y62" s="301"/>
      <c r="Z62" s="302"/>
      <c r="AA62" s="302"/>
      <c r="AB62" s="302"/>
      <c r="AC62" s="302"/>
      <c r="AD62" s="263"/>
      <c r="AE62" s="305"/>
      <c r="AF62" s="302"/>
      <c r="AG62" s="139"/>
      <c r="AH62" s="139"/>
      <c r="AI62" s="302"/>
      <c r="AJ62" s="306"/>
      <c r="AK62" s="306"/>
      <c r="AL62" s="306"/>
      <c r="AM62" s="307"/>
      <c r="AN62" s="139"/>
      <c r="AO62" s="302"/>
      <c r="AP62" s="302"/>
      <c r="AQ62" s="302"/>
      <c r="AR62" s="306"/>
      <c r="AS62" s="306"/>
      <c r="AT62" s="306"/>
      <c r="AU62" s="309"/>
      <c r="AV62" s="309"/>
      <c r="AW62" s="302"/>
      <c r="AX62" s="302"/>
      <c r="AY62" s="302"/>
      <c r="AZ62" s="306"/>
      <c r="BA62" s="306"/>
      <c r="BB62" s="306"/>
      <c r="BC62" s="310"/>
      <c r="BD62" s="310"/>
      <c r="BE62" s="309"/>
      <c r="BF62" s="311"/>
      <c r="BG62" s="311"/>
      <c r="BH62" s="312"/>
      <c r="BI62" s="313"/>
      <c r="BJ62" s="314"/>
      <c r="BK62" s="314"/>
      <c r="BL62" s="314"/>
      <c r="BM62" s="314"/>
      <c r="BN62" s="314"/>
      <c r="BO62" s="314"/>
      <c r="BP62" s="313"/>
    </row>
    <row r="63" spans="1:68" s="257" customFormat="1" x14ac:dyDescent="0.2">
      <c r="A63" s="366"/>
      <c r="B63" s="366"/>
      <c r="C63" s="219"/>
      <c r="D63" s="219"/>
      <c r="E63" s="219"/>
      <c r="F63" s="300"/>
      <c r="G63" s="301"/>
      <c r="H63" s="301"/>
      <c r="I63" s="301"/>
      <c r="J63" s="302"/>
      <c r="K63" s="263"/>
      <c r="L63" s="301"/>
      <c r="M63" s="301"/>
      <c r="N63" s="301"/>
      <c r="O63" s="302"/>
      <c r="P63" s="303"/>
      <c r="Q63" s="302"/>
      <c r="R63" s="302"/>
      <c r="S63" s="302"/>
      <c r="T63" s="302"/>
      <c r="U63" s="302"/>
      <c r="V63" s="302"/>
      <c r="W63" s="263"/>
      <c r="X63" s="263"/>
      <c r="Y63" s="301"/>
      <c r="Z63" s="302"/>
      <c r="AA63" s="302"/>
      <c r="AB63" s="302"/>
      <c r="AC63" s="302"/>
      <c r="AD63" s="263"/>
      <c r="AE63" s="305"/>
      <c r="AF63" s="302"/>
      <c r="AG63" s="139"/>
      <c r="AH63" s="139"/>
      <c r="AI63" s="302"/>
      <c r="AJ63" s="306"/>
      <c r="AK63" s="306"/>
      <c r="AL63" s="306"/>
      <c r="AM63" s="307"/>
      <c r="AN63" s="139"/>
      <c r="AO63" s="302"/>
      <c r="AP63" s="302"/>
      <c r="AQ63" s="302"/>
      <c r="AR63" s="306"/>
      <c r="AS63" s="306"/>
      <c r="AT63" s="306"/>
      <c r="AU63" s="309"/>
      <c r="AV63" s="309"/>
      <c r="AW63" s="302"/>
      <c r="AX63" s="302"/>
      <c r="AY63" s="302"/>
      <c r="AZ63" s="306"/>
      <c r="BA63" s="306"/>
      <c r="BB63" s="306"/>
      <c r="BC63" s="310"/>
      <c r="BD63" s="310"/>
      <c r="BE63" s="309"/>
      <c r="BF63" s="311"/>
      <c r="BG63" s="311"/>
      <c r="BH63" s="312"/>
      <c r="BI63" s="313"/>
      <c r="BJ63" s="314"/>
      <c r="BK63" s="314"/>
      <c r="BL63" s="314"/>
      <c r="BM63" s="314"/>
      <c r="BN63" s="314"/>
      <c r="BO63" s="314"/>
      <c r="BP63" s="313"/>
    </row>
    <row r="64" spans="1:68" s="257" customFormat="1" x14ac:dyDescent="0.2">
      <c r="A64" s="366"/>
      <c r="B64" s="366"/>
      <c r="C64" s="219"/>
      <c r="D64" s="219"/>
      <c r="E64" s="219"/>
      <c r="F64" s="300"/>
      <c r="G64" s="301"/>
      <c r="H64" s="301"/>
      <c r="I64" s="301"/>
      <c r="J64" s="302"/>
      <c r="K64" s="263"/>
      <c r="L64" s="301"/>
      <c r="M64" s="301"/>
      <c r="N64" s="301"/>
      <c r="O64" s="302"/>
      <c r="P64" s="302"/>
      <c r="Q64" s="302"/>
      <c r="R64" s="302"/>
      <c r="S64" s="302"/>
      <c r="T64" s="302"/>
      <c r="U64" s="302"/>
      <c r="V64" s="302"/>
      <c r="W64" s="263"/>
      <c r="X64" s="263"/>
      <c r="Y64" s="301"/>
      <c r="Z64" s="302"/>
      <c r="AA64" s="302"/>
      <c r="AB64" s="302"/>
      <c r="AC64" s="302"/>
      <c r="AD64" s="263"/>
      <c r="AE64" s="305"/>
      <c r="AF64" s="302"/>
      <c r="AG64" s="302"/>
      <c r="AH64" s="302"/>
      <c r="AI64" s="302"/>
      <c r="AJ64" s="306"/>
      <c r="AK64" s="306"/>
      <c r="AL64" s="306"/>
      <c r="AM64" s="307"/>
      <c r="AN64" s="139"/>
      <c r="AO64" s="302"/>
      <c r="AP64" s="302"/>
      <c r="AQ64" s="302"/>
      <c r="AR64" s="306"/>
      <c r="AS64" s="306"/>
      <c r="AT64" s="306"/>
      <c r="AU64" s="309"/>
      <c r="AV64" s="309"/>
      <c r="AW64" s="302"/>
      <c r="AX64" s="302"/>
      <c r="AY64" s="302"/>
      <c r="AZ64" s="306"/>
      <c r="BA64" s="306"/>
      <c r="BB64" s="306"/>
      <c r="BC64" s="310"/>
      <c r="BD64" s="310"/>
      <c r="BE64" s="309"/>
      <c r="BF64" s="311"/>
      <c r="BG64" s="311"/>
      <c r="BH64" s="312"/>
      <c r="BI64" s="313"/>
      <c r="BJ64" s="314"/>
      <c r="BK64" s="314"/>
      <c r="BL64" s="314"/>
      <c r="BM64" s="314"/>
      <c r="BN64" s="314"/>
      <c r="BO64" s="314"/>
      <c r="BP64" s="313"/>
    </row>
    <row r="65" spans="1:68" s="257" customFormat="1" x14ac:dyDescent="0.2">
      <c r="A65" s="366"/>
      <c r="B65" s="366"/>
      <c r="C65" s="219"/>
      <c r="D65" s="219"/>
      <c r="E65" s="219"/>
      <c r="F65" s="300"/>
      <c r="G65" s="301"/>
      <c r="H65" s="301"/>
      <c r="I65" s="301"/>
      <c r="J65" s="302"/>
      <c r="K65" s="263"/>
      <c r="L65" s="301"/>
      <c r="M65" s="301"/>
      <c r="N65" s="301"/>
      <c r="O65" s="302"/>
      <c r="P65" s="302"/>
      <c r="Q65" s="302"/>
      <c r="R65" s="302"/>
      <c r="S65" s="302"/>
      <c r="T65" s="302"/>
      <c r="U65" s="302"/>
      <c r="V65" s="302"/>
      <c r="W65" s="263"/>
      <c r="X65" s="263"/>
      <c r="Y65" s="301"/>
      <c r="Z65" s="302"/>
      <c r="AA65" s="302"/>
      <c r="AB65" s="302"/>
      <c r="AC65" s="302"/>
      <c r="AD65" s="263"/>
      <c r="AE65" s="305"/>
      <c r="AF65" s="302"/>
      <c r="AG65" s="302"/>
      <c r="AH65" s="302"/>
      <c r="AI65" s="302"/>
      <c r="AJ65" s="306"/>
      <c r="AK65" s="306"/>
      <c r="AL65" s="306"/>
      <c r="AM65" s="307"/>
      <c r="AN65" s="139"/>
      <c r="AO65" s="139"/>
      <c r="AP65" s="302"/>
      <c r="AQ65" s="302"/>
      <c r="AR65" s="306"/>
      <c r="AS65" s="306"/>
      <c r="AT65" s="306"/>
      <c r="AU65" s="309"/>
      <c r="AV65" s="309"/>
      <c r="AW65" s="302"/>
      <c r="AX65" s="302"/>
      <c r="AY65" s="302"/>
      <c r="AZ65" s="306"/>
      <c r="BA65" s="306"/>
      <c r="BB65" s="306"/>
      <c r="BC65" s="310"/>
      <c r="BD65" s="310"/>
      <c r="BE65" s="309"/>
      <c r="BF65" s="311"/>
      <c r="BG65" s="311"/>
      <c r="BH65" s="312"/>
      <c r="BI65" s="313"/>
      <c r="BJ65" s="314"/>
      <c r="BK65" s="314"/>
      <c r="BL65" s="314"/>
      <c r="BM65" s="314"/>
      <c r="BN65" s="314"/>
      <c r="BO65" s="314"/>
      <c r="BP65" s="313"/>
    </row>
    <row r="66" spans="1:68" s="257" customFormat="1" x14ac:dyDescent="0.2">
      <c r="A66" s="366"/>
      <c r="B66" s="366"/>
      <c r="C66" s="219"/>
      <c r="D66" s="219"/>
      <c r="E66" s="219"/>
      <c r="F66" s="300"/>
      <c r="G66" s="301"/>
      <c r="H66" s="301"/>
      <c r="I66" s="301"/>
      <c r="J66" s="302"/>
      <c r="K66" s="263"/>
      <c r="L66" s="301"/>
      <c r="M66" s="301"/>
      <c r="N66" s="301"/>
      <c r="O66" s="302"/>
      <c r="P66" s="302"/>
      <c r="Q66" s="302"/>
      <c r="R66" s="302"/>
      <c r="S66" s="302"/>
      <c r="T66" s="302"/>
      <c r="U66" s="302"/>
      <c r="V66" s="302"/>
      <c r="W66" s="263"/>
      <c r="X66" s="263"/>
      <c r="Y66" s="301"/>
      <c r="Z66" s="302"/>
      <c r="AA66" s="302"/>
      <c r="AB66" s="302"/>
      <c r="AC66" s="302"/>
      <c r="AD66" s="263"/>
      <c r="AE66" s="305"/>
      <c r="AF66" s="302"/>
      <c r="AG66" s="139"/>
      <c r="AH66" s="302"/>
      <c r="AI66" s="302"/>
      <c r="AJ66" s="306"/>
      <c r="AK66" s="306"/>
      <c r="AL66" s="306"/>
      <c r="AM66" s="307"/>
      <c r="AN66" s="139"/>
      <c r="AO66" s="302"/>
      <c r="AP66" s="302"/>
      <c r="AQ66" s="302"/>
      <c r="AR66" s="306"/>
      <c r="AS66" s="306"/>
      <c r="AT66" s="306"/>
      <c r="AU66" s="309"/>
      <c r="AV66" s="309"/>
      <c r="AW66" s="302"/>
      <c r="AX66" s="302"/>
      <c r="AY66" s="302"/>
      <c r="AZ66" s="306"/>
      <c r="BA66" s="306"/>
      <c r="BB66" s="306"/>
      <c r="BC66" s="310"/>
      <c r="BD66" s="310"/>
      <c r="BE66" s="309"/>
      <c r="BF66" s="311"/>
      <c r="BG66" s="311"/>
      <c r="BH66" s="312"/>
      <c r="BI66" s="313"/>
      <c r="BJ66" s="314"/>
      <c r="BK66" s="314"/>
      <c r="BL66" s="314"/>
      <c r="BM66" s="314"/>
      <c r="BN66" s="314"/>
      <c r="BO66" s="314"/>
      <c r="BP66" s="313"/>
    </row>
    <row r="67" spans="1:68" s="257" customFormat="1" x14ac:dyDescent="0.2">
      <c r="A67" s="366"/>
      <c r="B67" s="366"/>
      <c r="C67" s="219"/>
      <c r="D67" s="219"/>
      <c r="E67" s="219"/>
      <c r="F67" s="300"/>
      <c r="G67" s="301"/>
      <c r="H67" s="301"/>
      <c r="I67" s="301"/>
      <c r="J67" s="302"/>
      <c r="K67" s="263"/>
      <c r="L67" s="301"/>
      <c r="M67" s="301"/>
      <c r="N67" s="301"/>
      <c r="O67" s="302"/>
      <c r="P67" s="302"/>
      <c r="Q67" s="302"/>
      <c r="R67" s="302"/>
      <c r="S67" s="302"/>
      <c r="T67" s="302"/>
      <c r="U67" s="302"/>
      <c r="V67" s="302"/>
      <c r="W67" s="263"/>
      <c r="X67" s="263"/>
      <c r="Y67" s="301"/>
      <c r="Z67" s="302"/>
      <c r="AA67" s="302"/>
      <c r="AB67" s="302"/>
      <c r="AC67" s="302"/>
      <c r="AD67" s="263"/>
      <c r="AE67" s="305"/>
      <c r="AF67" s="302"/>
      <c r="AG67" s="302"/>
      <c r="AH67" s="302"/>
      <c r="AI67" s="302"/>
      <c r="AJ67" s="306"/>
      <c r="AK67" s="306"/>
      <c r="AL67" s="306"/>
      <c r="AM67" s="307"/>
      <c r="AN67" s="139"/>
      <c r="AO67" s="139"/>
      <c r="AP67" s="302"/>
      <c r="AQ67" s="302"/>
      <c r="AR67" s="306"/>
      <c r="AS67" s="306"/>
      <c r="AT67" s="306"/>
      <c r="AU67" s="309"/>
      <c r="AV67" s="309"/>
      <c r="AW67" s="302"/>
      <c r="AX67" s="302"/>
      <c r="AY67" s="302"/>
      <c r="AZ67" s="306"/>
      <c r="BA67" s="306"/>
      <c r="BB67" s="306"/>
      <c r="BC67" s="310"/>
      <c r="BD67" s="310"/>
      <c r="BE67" s="309"/>
      <c r="BF67" s="311"/>
      <c r="BG67" s="311"/>
      <c r="BH67" s="312"/>
      <c r="BI67" s="313"/>
      <c r="BJ67" s="314"/>
      <c r="BK67" s="314"/>
      <c r="BL67" s="314"/>
      <c r="BM67" s="314"/>
      <c r="BN67" s="314"/>
      <c r="BO67" s="314"/>
      <c r="BP67" s="313"/>
    </row>
    <row r="68" spans="1:68" s="257" customFormat="1" x14ac:dyDescent="0.2">
      <c r="A68" s="366"/>
      <c r="B68" s="366"/>
      <c r="C68" s="219"/>
      <c r="D68" s="219"/>
      <c r="E68" s="219"/>
      <c r="F68" s="300"/>
      <c r="G68" s="301"/>
      <c r="H68" s="301"/>
      <c r="I68" s="301"/>
      <c r="J68" s="302"/>
      <c r="K68" s="263"/>
      <c r="L68" s="301"/>
      <c r="M68" s="301"/>
      <c r="N68" s="301"/>
      <c r="O68" s="302"/>
      <c r="P68" s="302"/>
      <c r="Q68" s="302"/>
      <c r="R68" s="302"/>
      <c r="S68" s="302"/>
      <c r="T68" s="302"/>
      <c r="U68" s="302"/>
      <c r="V68" s="302"/>
      <c r="W68" s="263"/>
      <c r="X68" s="263"/>
      <c r="Y68" s="301"/>
      <c r="Z68" s="302"/>
      <c r="AA68" s="302"/>
      <c r="AB68" s="302"/>
      <c r="AC68" s="302"/>
      <c r="AD68" s="263"/>
      <c r="AE68" s="305"/>
      <c r="AF68" s="302"/>
      <c r="AG68" s="302"/>
      <c r="AH68" s="302"/>
      <c r="AI68" s="302"/>
      <c r="AJ68" s="306"/>
      <c r="AK68" s="306"/>
      <c r="AL68" s="306"/>
      <c r="AM68" s="307"/>
      <c r="AN68" s="139"/>
      <c r="AO68" s="302"/>
      <c r="AP68" s="302"/>
      <c r="AQ68" s="302"/>
      <c r="AR68" s="306"/>
      <c r="AS68" s="306"/>
      <c r="AT68" s="306"/>
      <c r="AU68" s="309"/>
      <c r="AV68" s="309"/>
      <c r="AW68" s="302"/>
      <c r="AX68" s="302"/>
      <c r="AY68" s="302"/>
      <c r="AZ68" s="306"/>
      <c r="BA68" s="306"/>
      <c r="BB68" s="306"/>
      <c r="BC68" s="310"/>
      <c r="BD68" s="310"/>
      <c r="BE68" s="309"/>
      <c r="BF68" s="311"/>
      <c r="BG68" s="311"/>
      <c r="BH68" s="312"/>
      <c r="BI68" s="313"/>
      <c r="BJ68" s="314"/>
      <c r="BK68" s="314"/>
      <c r="BL68" s="314"/>
      <c r="BM68" s="314"/>
      <c r="BN68" s="314"/>
      <c r="BO68" s="314"/>
      <c r="BP68" s="313"/>
    </row>
    <row r="69" spans="1:68" s="257" customFormat="1" x14ac:dyDescent="0.2">
      <c r="A69" s="366"/>
      <c r="B69" s="366"/>
      <c r="C69" s="219"/>
      <c r="D69" s="219"/>
      <c r="E69" s="219"/>
      <c r="F69" s="300"/>
      <c r="G69" s="301"/>
      <c r="H69" s="301"/>
      <c r="I69" s="301"/>
      <c r="J69" s="302"/>
      <c r="K69" s="263"/>
      <c r="L69" s="301"/>
      <c r="M69" s="301"/>
      <c r="N69" s="301"/>
      <c r="O69" s="302"/>
      <c r="P69" s="302"/>
      <c r="Q69" s="139"/>
      <c r="R69" s="302"/>
      <c r="S69" s="302"/>
      <c r="T69" s="302"/>
      <c r="U69" s="302"/>
      <c r="V69" s="302"/>
      <c r="W69" s="263"/>
      <c r="X69" s="263"/>
      <c r="Y69" s="301"/>
      <c r="Z69" s="302"/>
      <c r="AA69" s="302"/>
      <c r="AB69" s="302"/>
      <c r="AC69" s="302"/>
      <c r="AD69" s="263"/>
      <c r="AE69" s="305"/>
      <c r="AF69" s="302"/>
      <c r="AG69" s="139"/>
      <c r="AH69" s="302"/>
      <c r="AI69" s="302"/>
      <c r="AJ69" s="306"/>
      <c r="AK69" s="306"/>
      <c r="AL69" s="306"/>
      <c r="AM69" s="307"/>
      <c r="AN69" s="139"/>
      <c r="AO69" s="302"/>
      <c r="AP69" s="302"/>
      <c r="AQ69" s="302"/>
      <c r="AR69" s="306"/>
      <c r="AS69" s="306"/>
      <c r="AT69" s="306"/>
      <c r="AU69" s="309"/>
      <c r="AV69" s="309"/>
      <c r="AW69" s="302"/>
      <c r="AX69" s="302"/>
      <c r="AY69" s="302"/>
      <c r="AZ69" s="306"/>
      <c r="BA69" s="306"/>
      <c r="BB69" s="306"/>
      <c r="BC69" s="310"/>
      <c r="BD69" s="310"/>
      <c r="BE69" s="309"/>
      <c r="BF69" s="311"/>
      <c r="BG69" s="311"/>
      <c r="BH69" s="312"/>
      <c r="BI69" s="313"/>
      <c r="BJ69" s="314"/>
      <c r="BK69" s="314"/>
      <c r="BL69" s="314"/>
      <c r="BM69" s="314"/>
      <c r="BN69" s="314"/>
      <c r="BO69" s="314"/>
      <c r="BP69" s="313"/>
    </row>
    <row r="70" spans="1:68" s="257" customFormat="1" x14ac:dyDescent="0.2">
      <c r="A70" s="368"/>
      <c r="B70" s="368"/>
      <c r="C70" s="220"/>
      <c r="D70" s="220"/>
      <c r="E70" s="220"/>
      <c r="F70" s="315"/>
      <c r="G70" s="322"/>
      <c r="H70" s="322"/>
      <c r="I70" s="322"/>
      <c r="J70" s="323"/>
      <c r="K70" s="264"/>
      <c r="L70" s="301"/>
      <c r="M70" s="322"/>
      <c r="N70" s="322"/>
      <c r="O70" s="323"/>
      <c r="P70" s="323"/>
      <c r="Q70" s="323"/>
      <c r="R70" s="323"/>
      <c r="S70" s="323"/>
      <c r="T70" s="323"/>
      <c r="U70" s="323"/>
      <c r="V70" s="323"/>
      <c r="W70" s="263"/>
      <c r="X70" s="264"/>
      <c r="Y70" s="301"/>
      <c r="Z70" s="323"/>
      <c r="AA70" s="323"/>
      <c r="AB70" s="323"/>
      <c r="AC70" s="323"/>
      <c r="AD70" s="264"/>
      <c r="AE70" s="305"/>
      <c r="AF70" s="323"/>
      <c r="AG70" s="323"/>
      <c r="AH70" s="323"/>
      <c r="AI70" s="323"/>
      <c r="AJ70" s="306"/>
      <c r="AK70" s="306"/>
      <c r="AL70" s="306"/>
      <c r="AM70" s="307"/>
      <c r="AN70" s="139"/>
      <c r="AO70" s="323"/>
      <c r="AP70" s="323"/>
      <c r="AQ70" s="323"/>
      <c r="AR70" s="306"/>
      <c r="AS70" s="306"/>
      <c r="AT70" s="306"/>
      <c r="AU70" s="309"/>
      <c r="AV70" s="309"/>
      <c r="AW70" s="323"/>
      <c r="AX70" s="323"/>
      <c r="AY70" s="323"/>
      <c r="AZ70" s="306"/>
      <c r="BA70" s="306"/>
      <c r="BB70" s="306"/>
      <c r="BC70" s="310"/>
      <c r="BD70" s="310"/>
      <c r="BE70" s="309"/>
      <c r="BF70" s="324"/>
      <c r="BG70" s="324"/>
      <c r="BH70" s="325"/>
      <c r="BI70" s="313"/>
      <c r="BJ70" s="314"/>
      <c r="BK70" s="314"/>
      <c r="BL70" s="314"/>
      <c r="BM70" s="314"/>
      <c r="BN70" s="314"/>
      <c r="BO70" s="314"/>
      <c r="BP70" s="313"/>
    </row>
    <row r="71" spans="1:68" s="257" customFormat="1" x14ac:dyDescent="0.2">
      <c r="A71" s="369"/>
      <c r="B71" s="369"/>
      <c r="C71" s="326"/>
      <c r="D71" s="326"/>
      <c r="E71" s="326"/>
      <c r="F71" s="327"/>
      <c r="G71" s="328"/>
      <c r="H71" s="328"/>
      <c r="I71" s="328"/>
      <c r="J71" s="328"/>
      <c r="K71" s="265"/>
      <c r="L71" s="328"/>
      <c r="M71" s="328"/>
      <c r="N71" s="328"/>
      <c r="O71" s="328"/>
      <c r="P71" s="328"/>
      <c r="Q71" s="328"/>
      <c r="R71" s="328"/>
      <c r="S71" s="328"/>
      <c r="T71" s="328"/>
      <c r="U71" s="328"/>
      <c r="V71" s="328"/>
      <c r="W71" s="265"/>
      <c r="X71" s="265"/>
      <c r="Y71" s="328"/>
      <c r="Z71" s="328"/>
      <c r="AA71" s="328"/>
      <c r="AB71" s="328"/>
      <c r="AC71" s="328"/>
      <c r="AD71" s="265"/>
      <c r="AE71" s="289"/>
      <c r="AF71" s="328"/>
      <c r="AG71" s="328"/>
      <c r="AH71" s="328"/>
      <c r="AI71" s="328"/>
      <c r="AJ71" s="328"/>
      <c r="AK71" s="328"/>
      <c r="AL71" s="328"/>
      <c r="AM71" s="328"/>
      <c r="AN71" s="328"/>
      <c r="AO71" s="328"/>
      <c r="AP71" s="328"/>
      <c r="AQ71" s="328"/>
      <c r="AR71" s="328"/>
      <c r="AS71" s="328"/>
      <c r="AT71" s="328"/>
      <c r="AU71" s="329"/>
      <c r="AV71" s="293"/>
      <c r="AW71" s="328"/>
      <c r="AX71" s="328"/>
      <c r="AY71" s="328"/>
      <c r="AZ71" s="328"/>
      <c r="BA71" s="328"/>
      <c r="BB71" s="328"/>
      <c r="BC71" s="330"/>
      <c r="BD71" s="294"/>
      <c r="BE71" s="293"/>
      <c r="BF71" s="331"/>
      <c r="BG71" s="331"/>
      <c r="BH71" s="328"/>
      <c r="BI71" s="297"/>
      <c r="BJ71" s="298"/>
      <c r="BK71" s="298"/>
      <c r="BL71" s="298"/>
      <c r="BM71" s="298"/>
      <c r="BN71" s="298"/>
      <c r="BO71" s="298"/>
      <c r="BP71" s="297"/>
    </row>
    <row r="72" spans="1:68" s="257" customFormat="1" x14ac:dyDescent="0.2">
      <c r="A72" s="370"/>
      <c r="B72" s="370"/>
      <c r="C72" s="219"/>
      <c r="D72" s="219"/>
      <c r="E72" s="219"/>
      <c r="F72" s="332"/>
      <c r="G72" s="321"/>
      <c r="H72" s="321"/>
      <c r="I72" s="321"/>
      <c r="J72" s="321"/>
      <c r="K72" s="266"/>
      <c r="L72" s="301"/>
      <c r="M72" s="321"/>
      <c r="N72" s="321"/>
      <c r="O72" s="321"/>
      <c r="P72" s="321"/>
      <c r="Q72" s="321"/>
      <c r="R72" s="321"/>
      <c r="S72" s="321"/>
      <c r="T72" s="321"/>
      <c r="U72" s="321"/>
      <c r="V72" s="321"/>
      <c r="W72" s="266"/>
      <c r="X72" s="266"/>
      <c r="Y72" s="301"/>
      <c r="Z72" s="321"/>
      <c r="AA72" s="321"/>
      <c r="AB72" s="321"/>
      <c r="AC72" s="321"/>
      <c r="AD72" s="266"/>
      <c r="AE72" s="305"/>
      <c r="AF72" s="321"/>
      <c r="AG72" s="333"/>
      <c r="AH72" s="333"/>
      <c r="AI72" s="333"/>
      <c r="AJ72" s="306"/>
      <c r="AK72" s="306"/>
      <c r="AL72" s="306"/>
      <c r="AM72" s="307"/>
      <c r="AN72" s="333"/>
      <c r="AO72" s="333"/>
      <c r="AP72" s="333"/>
      <c r="AQ72" s="333"/>
      <c r="AR72" s="306"/>
      <c r="AS72" s="306"/>
      <c r="AT72" s="306"/>
      <c r="AU72" s="309"/>
      <c r="AV72" s="309"/>
      <c r="AW72" s="333"/>
      <c r="AX72" s="333"/>
      <c r="AY72" s="333"/>
      <c r="AZ72" s="306"/>
      <c r="BA72" s="306"/>
      <c r="BB72" s="306"/>
      <c r="BC72" s="310"/>
      <c r="BD72" s="310"/>
      <c r="BE72" s="309"/>
      <c r="BF72" s="334"/>
      <c r="BG72" s="334"/>
      <c r="BH72" s="335"/>
      <c r="BI72" s="313"/>
      <c r="BJ72" s="314"/>
      <c r="BK72" s="314"/>
      <c r="BL72" s="314"/>
      <c r="BM72" s="314"/>
      <c r="BN72" s="314"/>
      <c r="BO72" s="314"/>
      <c r="BP72" s="313"/>
    </row>
    <row r="73" spans="1:68" s="257" customFormat="1" x14ac:dyDescent="0.2">
      <c r="A73" s="371"/>
      <c r="B73" s="371"/>
      <c r="C73" s="219"/>
      <c r="D73" s="219"/>
      <c r="E73" s="219"/>
      <c r="F73" s="332"/>
      <c r="G73" s="321"/>
      <c r="H73" s="321"/>
      <c r="I73" s="321"/>
      <c r="J73" s="321"/>
      <c r="K73" s="266"/>
      <c r="L73" s="301"/>
      <c r="M73" s="321"/>
      <c r="N73" s="321"/>
      <c r="O73" s="321"/>
      <c r="P73" s="321"/>
      <c r="Q73" s="321"/>
      <c r="R73" s="321"/>
      <c r="S73" s="321"/>
      <c r="T73" s="321"/>
      <c r="U73" s="321"/>
      <c r="V73" s="321"/>
      <c r="W73" s="266"/>
      <c r="X73" s="266"/>
      <c r="Y73" s="301"/>
      <c r="Z73" s="321"/>
      <c r="AA73" s="321"/>
      <c r="AB73" s="321"/>
      <c r="AC73" s="321"/>
      <c r="AD73" s="266"/>
      <c r="AE73" s="305"/>
      <c r="AF73" s="321"/>
      <c r="AG73" s="333"/>
      <c r="AH73" s="333"/>
      <c r="AI73" s="333"/>
      <c r="AJ73" s="306"/>
      <c r="AK73" s="306"/>
      <c r="AL73" s="306"/>
      <c r="AM73" s="307"/>
      <c r="AN73" s="333"/>
      <c r="AO73" s="333"/>
      <c r="AP73" s="333"/>
      <c r="AQ73" s="333"/>
      <c r="AR73" s="306"/>
      <c r="AS73" s="306"/>
      <c r="AT73" s="306"/>
      <c r="AU73" s="309"/>
      <c r="AV73" s="309"/>
      <c r="AW73" s="333"/>
      <c r="AX73" s="333"/>
      <c r="AY73" s="333"/>
      <c r="AZ73" s="306"/>
      <c r="BA73" s="306"/>
      <c r="BB73" s="306"/>
      <c r="BC73" s="310"/>
      <c r="BD73" s="310"/>
      <c r="BE73" s="309"/>
      <c r="BF73" s="334"/>
      <c r="BG73" s="334"/>
      <c r="BH73" s="335"/>
      <c r="BI73" s="313"/>
      <c r="BJ73" s="314"/>
      <c r="BK73" s="314"/>
      <c r="BL73" s="314"/>
      <c r="BM73" s="314"/>
      <c r="BN73" s="314"/>
      <c r="BO73" s="314"/>
      <c r="BP73" s="313"/>
    </row>
    <row r="74" spans="1:68" s="257" customFormat="1" x14ac:dyDescent="0.2">
      <c r="A74" s="371"/>
      <c r="B74" s="371"/>
      <c r="C74" s="219"/>
      <c r="D74" s="219"/>
      <c r="E74" s="219"/>
      <c r="F74" s="332"/>
      <c r="G74" s="321"/>
      <c r="H74" s="321"/>
      <c r="I74" s="321"/>
      <c r="J74" s="321"/>
      <c r="K74" s="266"/>
      <c r="L74" s="301"/>
      <c r="M74" s="321"/>
      <c r="N74" s="321"/>
      <c r="O74" s="321"/>
      <c r="P74" s="321"/>
      <c r="Q74" s="333"/>
      <c r="R74" s="321"/>
      <c r="S74" s="321"/>
      <c r="T74" s="321"/>
      <c r="U74" s="321"/>
      <c r="V74" s="321"/>
      <c r="W74" s="266"/>
      <c r="X74" s="266"/>
      <c r="Y74" s="301"/>
      <c r="Z74" s="321"/>
      <c r="AA74" s="321"/>
      <c r="AB74" s="321"/>
      <c r="AC74" s="321"/>
      <c r="AD74" s="266"/>
      <c r="AE74" s="305"/>
      <c r="AF74" s="321"/>
      <c r="AG74" s="333"/>
      <c r="AH74" s="333"/>
      <c r="AI74" s="333"/>
      <c r="AJ74" s="306"/>
      <c r="AK74" s="306"/>
      <c r="AL74" s="306"/>
      <c r="AM74" s="307"/>
      <c r="AN74" s="333"/>
      <c r="AO74" s="333"/>
      <c r="AP74" s="333"/>
      <c r="AQ74" s="333"/>
      <c r="AR74" s="306"/>
      <c r="AS74" s="306"/>
      <c r="AT74" s="306"/>
      <c r="AU74" s="309"/>
      <c r="AV74" s="309"/>
      <c r="AW74" s="333"/>
      <c r="AX74" s="333"/>
      <c r="AY74" s="333"/>
      <c r="AZ74" s="306"/>
      <c r="BA74" s="306"/>
      <c r="BB74" s="306"/>
      <c r="BC74" s="310"/>
      <c r="BD74" s="310"/>
      <c r="BE74" s="309"/>
      <c r="BF74" s="334"/>
      <c r="BG74" s="334"/>
      <c r="BH74" s="335"/>
      <c r="BI74" s="313"/>
      <c r="BJ74" s="314"/>
      <c r="BK74" s="314"/>
      <c r="BL74" s="314"/>
      <c r="BM74" s="314"/>
      <c r="BN74" s="314"/>
      <c r="BO74" s="314"/>
      <c r="BP74" s="313"/>
    </row>
    <row r="75" spans="1:68" s="257" customFormat="1" x14ac:dyDescent="0.2">
      <c r="A75" s="371"/>
      <c r="B75" s="371"/>
      <c r="C75" s="219"/>
      <c r="D75" s="219"/>
      <c r="E75" s="219"/>
      <c r="F75" s="332"/>
      <c r="G75" s="321"/>
      <c r="H75" s="321"/>
      <c r="I75" s="321"/>
      <c r="J75" s="321"/>
      <c r="K75" s="266"/>
      <c r="L75" s="301"/>
      <c r="M75" s="321"/>
      <c r="N75" s="321"/>
      <c r="O75" s="321"/>
      <c r="P75" s="321"/>
      <c r="Q75" s="321"/>
      <c r="R75" s="321"/>
      <c r="S75" s="321"/>
      <c r="T75" s="321"/>
      <c r="U75" s="321"/>
      <c r="V75" s="321"/>
      <c r="W75" s="266"/>
      <c r="X75" s="266"/>
      <c r="Y75" s="301"/>
      <c r="Z75" s="321"/>
      <c r="AA75" s="321"/>
      <c r="AB75" s="321"/>
      <c r="AC75" s="321"/>
      <c r="AD75" s="266"/>
      <c r="AE75" s="305"/>
      <c r="AF75" s="321"/>
      <c r="AG75" s="333"/>
      <c r="AH75" s="333"/>
      <c r="AI75" s="333"/>
      <c r="AJ75" s="306"/>
      <c r="AK75" s="306"/>
      <c r="AL75" s="306"/>
      <c r="AM75" s="307"/>
      <c r="AN75" s="333"/>
      <c r="AO75" s="333"/>
      <c r="AP75" s="333"/>
      <c r="AQ75" s="333"/>
      <c r="AR75" s="306"/>
      <c r="AS75" s="306"/>
      <c r="AT75" s="306"/>
      <c r="AU75" s="309"/>
      <c r="AV75" s="309"/>
      <c r="AW75" s="333"/>
      <c r="AX75" s="333"/>
      <c r="AY75" s="333"/>
      <c r="AZ75" s="306"/>
      <c r="BA75" s="306"/>
      <c r="BB75" s="306"/>
      <c r="BC75" s="310"/>
      <c r="BD75" s="310"/>
      <c r="BE75" s="309"/>
      <c r="BF75" s="334"/>
      <c r="BG75" s="334"/>
      <c r="BH75" s="335"/>
      <c r="BI75" s="313"/>
      <c r="BJ75" s="314"/>
      <c r="BK75" s="314"/>
      <c r="BL75" s="314"/>
      <c r="BM75" s="314"/>
      <c r="BN75" s="314"/>
      <c r="BO75" s="314"/>
      <c r="BP75" s="313"/>
    </row>
    <row r="76" spans="1:68" s="257" customFormat="1" x14ac:dyDescent="0.2">
      <c r="A76" s="371"/>
      <c r="B76" s="371"/>
      <c r="C76" s="219"/>
      <c r="D76" s="219"/>
      <c r="E76" s="219"/>
      <c r="F76" s="332"/>
      <c r="G76" s="321"/>
      <c r="H76" s="321"/>
      <c r="I76" s="321"/>
      <c r="J76" s="321"/>
      <c r="K76" s="266"/>
      <c r="L76" s="301"/>
      <c r="M76" s="321"/>
      <c r="N76" s="321"/>
      <c r="O76" s="321"/>
      <c r="P76" s="321"/>
      <c r="Q76" s="321"/>
      <c r="R76" s="321"/>
      <c r="S76" s="321"/>
      <c r="T76" s="321"/>
      <c r="U76" s="321"/>
      <c r="V76" s="321"/>
      <c r="W76" s="266"/>
      <c r="X76" s="266"/>
      <c r="Y76" s="301"/>
      <c r="Z76" s="321"/>
      <c r="AA76" s="321"/>
      <c r="AB76" s="321"/>
      <c r="AC76" s="321"/>
      <c r="AD76" s="266"/>
      <c r="AE76" s="305"/>
      <c r="AF76" s="321"/>
      <c r="AG76" s="333"/>
      <c r="AH76" s="333"/>
      <c r="AI76" s="333"/>
      <c r="AJ76" s="306"/>
      <c r="AK76" s="306"/>
      <c r="AL76" s="306"/>
      <c r="AM76" s="307"/>
      <c r="AN76" s="333"/>
      <c r="AO76" s="333"/>
      <c r="AP76" s="333"/>
      <c r="AQ76" s="333"/>
      <c r="AR76" s="306"/>
      <c r="AS76" s="306"/>
      <c r="AT76" s="306"/>
      <c r="AU76" s="309"/>
      <c r="AV76" s="309"/>
      <c r="AW76" s="333"/>
      <c r="AX76" s="333"/>
      <c r="AY76" s="333"/>
      <c r="AZ76" s="306"/>
      <c r="BA76" s="306"/>
      <c r="BB76" s="306"/>
      <c r="BC76" s="310"/>
      <c r="BD76" s="310"/>
      <c r="BE76" s="309"/>
      <c r="BF76" s="334"/>
      <c r="BG76" s="334"/>
      <c r="BH76" s="335"/>
      <c r="BI76" s="313"/>
      <c r="BJ76" s="314"/>
      <c r="BK76" s="314"/>
      <c r="BL76" s="314"/>
      <c r="BM76" s="314"/>
      <c r="BN76" s="314"/>
      <c r="BO76" s="314"/>
      <c r="BP76" s="313"/>
    </row>
    <row r="77" spans="1:68" s="257" customFormat="1" x14ac:dyDescent="0.2">
      <c r="A77" s="371"/>
      <c r="B77" s="371"/>
      <c r="C77" s="219"/>
      <c r="D77" s="219"/>
      <c r="E77" s="219"/>
      <c r="F77" s="300"/>
      <c r="G77" s="301"/>
      <c r="H77" s="301"/>
      <c r="I77" s="301"/>
      <c r="J77" s="301"/>
      <c r="K77" s="267"/>
      <c r="L77" s="301"/>
      <c r="M77" s="301"/>
      <c r="N77" s="301"/>
      <c r="O77" s="301"/>
      <c r="P77" s="301"/>
      <c r="Q77" s="301"/>
      <c r="R77" s="301"/>
      <c r="S77" s="301"/>
      <c r="T77" s="301"/>
      <c r="U77" s="301"/>
      <c r="V77" s="301"/>
      <c r="W77" s="266"/>
      <c r="X77" s="267"/>
      <c r="Y77" s="301"/>
      <c r="Z77" s="301"/>
      <c r="AA77" s="301"/>
      <c r="AB77" s="301"/>
      <c r="AC77" s="301"/>
      <c r="AD77" s="267"/>
      <c r="AE77" s="305"/>
      <c r="AF77" s="301"/>
      <c r="AG77" s="306"/>
      <c r="AH77" s="306"/>
      <c r="AI77" s="306"/>
      <c r="AJ77" s="306"/>
      <c r="AK77" s="306"/>
      <c r="AL77" s="306"/>
      <c r="AM77" s="307"/>
      <c r="AN77" s="333"/>
      <c r="AO77" s="306"/>
      <c r="AP77" s="306"/>
      <c r="AQ77" s="306"/>
      <c r="AR77" s="306"/>
      <c r="AS77" s="306"/>
      <c r="AT77" s="306"/>
      <c r="AU77" s="309"/>
      <c r="AV77" s="309"/>
      <c r="AW77" s="306"/>
      <c r="AX77" s="306"/>
      <c r="AY77" s="306"/>
      <c r="AZ77" s="306"/>
      <c r="BA77" s="306"/>
      <c r="BB77" s="306"/>
      <c r="BC77" s="310"/>
      <c r="BD77" s="310"/>
      <c r="BE77" s="309"/>
      <c r="BF77" s="311"/>
      <c r="BG77" s="311"/>
      <c r="BH77" s="336"/>
      <c r="BI77" s="313"/>
      <c r="BJ77" s="314"/>
      <c r="BK77" s="314"/>
      <c r="BL77" s="314"/>
      <c r="BM77" s="314"/>
      <c r="BN77" s="314"/>
      <c r="BO77" s="314"/>
      <c r="BP77" s="313"/>
    </row>
    <row r="78" spans="1:68" s="257" customFormat="1" x14ac:dyDescent="0.2">
      <c r="A78" s="371"/>
      <c r="B78" s="371"/>
      <c r="C78" s="219"/>
      <c r="D78" s="219"/>
      <c r="E78" s="219"/>
      <c r="F78" s="300"/>
      <c r="G78" s="301"/>
      <c r="H78" s="301"/>
      <c r="I78" s="301"/>
      <c r="J78" s="301"/>
      <c r="K78" s="267"/>
      <c r="L78" s="301"/>
      <c r="M78" s="301"/>
      <c r="N78" s="301"/>
      <c r="O78" s="301"/>
      <c r="P78" s="302"/>
      <c r="Q78" s="139"/>
      <c r="R78" s="302"/>
      <c r="S78" s="302"/>
      <c r="T78" s="302"/>
      <c r="U78" s="301"/>
      <c r="V78" s="301"/>
      <c r="W78" s="266"/>
      <c r="X78" s="267"/>
      <c r="Y78" s="301"/>
      <c r="Z78" s="301"/>
      <c r="AA78" s="301"/>
      <c r="AB78" s="301"/>
      <c r="AC78" s="301"/>
      <c r="AD78" s="263"/>
      <c r="AE78" s="305"/>
      <c r="AF78" s="301"/>
      <c r="AG78" s="139"/>
      <c r="AH78" s="139"/>
      <c r="AI78" s="139"/>
      <c r="AJ78" s="306"/>
      <c r="AK78" s="306"/>
      <c r="AL78" s="306"/>
      <c r="AM78" s="307"/>
      <c r="AN78" s="333"/>
      <c r="AO78" s="139"/>
      <c r="AP78" s="139"/>
      <c r="AQ78" s="139"/>
      <c r="AR78" s="306"/>
      <c r="AS78" s="306"/>
      <c r="AT78" s="306"/>
      <c r="AU78" s="309"/>
      <c r="AV78" s="309"/>
      <c r="AW78" s="139"/>
      <c r="AX78" s="139"/>
      <c r="AY78" s="139"/>
      <c r="AZ78" s="306"/>
      <c r="BA78" s="306"/>
      <c r="BB78" s="306"/>
      <c r="BC78" s="310"/>
      <c r="BD78" s="310"/>
      <c r="BE78" s="309"/>
      <c r="BF78" s="311"/>
      <c r="BG78" s="311"/>
      <c r="BH78" s="312"/>
      <c r="BI78" s="313"/>
      <c r="BJ78" s="314"/>
      <c r="BK78" s="314"/>
      <c r="BL78" s="314"/>
      <c r="BM78" s="314"/>
      <c r="BN78" s="314"/>
      <c r="BO78" s="314"/>
      <c r="BP78" s="313"/>
    </row>
    <row r="79" spans="1:68" s="257" customFormat="1" x14ac:dyDescent="0.2">
      <c r="A79" s="371"/>
      <c r="B79" s="371"/>
      <c r="C79" s="219"/>
      <c r="D79" s="219"/>
      <c r="E79" s="219"/>
      <c r="F79" s="300"/>
      <c r="G79" s="301"/>
      <c r="H79" s="301"/>
      <c r="I79" s="301"/>
      <c r="J79" s="301"/>
      <c r="K79" s="267"/>
      <c r="L79" s="301"/>
      <c r="M79" s="301"/>
      <c r="N79" s="301"/>
      <c r="O79" s="301"/>
      <c r="P79" s="139"/>
      <c r="Q79" s="302"/>
      <c r="R79" s="302"/>
      <c r="S79" s="302"/>
      <c r="T79" s="302"/>
      <c r="U79" s="301"/>
      <c r="V79" s="301"/>
      <c r="W79" s="266"/>
      <c r="X79" s="267"/>
      <c r="Y79" s="301"/>
      <c r="Z79" s="301"/>
      <c r="AA79" s="301"/>
      <c r="AB79" s="301"/>
      <c r="AC79" s="301"/>
      <c r="AD79" s="263"/>
      <c r="AE79" s="305"/>
      <c r="AF79" s="301"/>
      <c r="AG79" s="139"/>
      <c r="AH79" s="139"/>
      <c r="AI79" s="139"/>
      <c r="AJ79" s="306"/>
      <c r="AK79" s="306"/>
      <c r="AL79" s="306"/>
      <c r="AM79" s="307"/>
      <c r="AN79" s="333"/>
      <c r="AO79" s="139"/>
      <c r="AP79" s="139"/>
      <c r="AQ79" s="139"/>
      <c r="AR79" s="306"/>
      <c r="AS79" s="306"/>
      <c r="AT79" s="306"/>
      <c r="AU79" s="309"/>
      <c r="AV79" s="309"/>
      <c r="AW79" s="139"/>
      <c r="AX79" s="139"/>
      <c r="AY79" s="139"/>
      <c r="AZ79" s="306"/>
      <c r="BA79" s="306"/>
      <c r="BB79" s="306"/>
      <c r="BC79" s="310"/>
      <c r="BD79" s="310"/>
      <c r="BE79" s="309"/>
      <c r="BF79" s="311"/>
      <c r="BG79" s="311"/>
      <c r="BH79" s="312"/>
      <c r="BI79" s="313"/>
      <c r="BJ79" s="314"/>
      <c r="BK79" s="314"/>
      <c r="BL79" s="314"/>
      <c r="BM79" s="314"/>
      <c r="BN79" s="314"/>
      <c r="BO79" s="314"/>
      <c r="BP79" s="313"/>
    </row>
    <row r="80" spans="1:68" s="257" customFormat="1" x14ac:dyDescent="0.2">
      <c r="A80" s="371"/>
      <c r="B80" s="371"/>
      <c r="C80" s="220"/>
      <c r="D80" s="220"/>
      <c r="E80" s="220"/>
      <c r="F80" s="315"/>
      <c r="G80" s="301"/>
      <c r="H80" s="301"/>
      <c r="I80" s="301"/>
      <c r="J80" s="301"/>
      <c r="K80" s="267"/>
      <c r="L80" s="301"/>
      <c r="M80" s="301"/>
      <c r="N80" s="301"/>
      <c r="O80" s="301"/>
      <c r="P80" s="302"/>
      <c r="Q80" s="302"/>
      <c r="R80" s="302"/>
      <c r="S80" s="302"/>
      <c r="T80" s="302"/>
      <c r="U80" s="301"/>
      <c r="V80" s="301"/>
      <c r="W80" s="266"/>
      <c r="X80" s="267"/>
      <c r="Y80" s="301"/>
      <c r="Z80" s="301"/>
      <c r="AA80" s="301"/>
      <c r="AB80" s="301"/>
      <c r="AC80" s="301"/>
      <c r="AD80" s="263"/>
      <c r="AE80" s="305"/>
      <c r="AF80" s="301"/>
      <c r="AG80" s="139"/>
      <c r="AH80" s="139"/>
      <c r="AI80" s="139"/>
      <c r="AJ80" s="306"/>
      <c r="AK80" s="306"/>
      <c r="AL80" s="306"/>
      <c r="AM80" s="307"/>
      <c r="AN80" s="333"/>
      <c r="AO80" s="139"/>
      <c r="AP80" s="139"/>
      <c r="AQ80" s="139"/>
      <c r="AR80" s="306"/>
      <c r="AS80" s="306"/>
      <c r="AT80" s="306"/>
      <c r="AU80" s="309"/>
      <c r="AV80" s="309"/>
      <c r="AW80" s="139"/>
      <c r="AX80" s="139"/>
      <c r="AY80" s="139"/>
      <c r="AZ80" s="306"/>
      <c r="BA80" s="306"/>
      <c r="BB80" s="306"/>
      <c r="BC80" s="310"/>
      <c r="BD80" s="310"/>
      <c r="BE80" s="309"/>
      <c r="BF80" s="311"/>
      <c r="BG80" s="311"/>
      <c r="BH80" s="312"/>
      <c r="BI80" s="313"/>
      <c r="BJ80" s="314"/>
      <c r="BK80" s="314"/>
      <c r="BL80" s="314"/>
      <c r="BM80" s="314"/>
      <c r="BN80" s="314"/>
      <c r="BO80" s="314"/>
      <c r="BP80" s="313"/>
    </row>
    <row r="81" spans="1:68" s="257" customFormat="1" x14ac:dyDescent="0.2">
      <c r="A81" s="372"/>
      <c r="B81" s="372"/>
      <c r="C81" s="220"/>
      <c r="D81" s="220"/>
      <c r="E81" s="220"/>
      <c r="F81" s="315"/>
      <c r="G81" s="301"/>
      <c r="H81" s="301"/>
      <c r="I81" s="301"/>
      <c r="J81" s="301"/>
      <c r="K81" s="267"/>
      <c r="L81" s="301"/>
      <c r="M81" s="301"/>
      <c r="N81" s="301"/>
      <c r="O81" s="301"/>
      <c r="P81" s="302"/>
      <c r="Q81" s="302"/>
      <c r="R81" s="302"/>
      <c r="S81" s="302"/>
      <c r="T81" s="302"/>
      <c r="U81" s="301"/>
      <c r="V81" s="301"/>
      <c r="W81" s="266"/>
      <c r="X81" s="267"/>
      <c r="Y81" s="301"/>
      <c r="Z81" s="301"/>
      <c r="AA81" s="301"/>
      <c r="AB81" s="301"/>
      <c r="AC81" s="301"/>
      <c r="AD81" s="263"/>
      <c r="AE81" s="305"/>
      <c r="AF81" s="301"/>
      <c r="AG81" s="139"/>
      <c r="AH81" s="139"/>
      <c r="AI81" s="139"/>
      <c r="AJ81" s="306"/>
      <c r="AK81" s="306"/>
      <c r="AL81" s="306"/>
      <c r="AM81" s="307"/>
      <c r="AN81" s="333"/>
      <c r="AO81" s="139"/>
      <c r="AP81" s="139"/>
      <c r="AQ81" s="139"/>
      <c r="AR81" s="306"/>
      <c r="AS81" s="306"/>
      <c r="AT81" s="306"/>
      <c r="AU81" s="309"/>
      <c r="AV81" s="309"/>
      <c r="AW81" s="139"/>
      <c r="AX81" s="139"/>
      <c r="AY81" s="139"/>
      <c r="AZ81" s="306"/>
      <c r="BA81" s="306"/>
      <c r="BB81" s="306"/>
      <c r="BC81" s="310"/>
      <c r="BD81" s="310"/>
      <c r="BE81" s="309"/>
      <c r="BF81" s="311"/>
      <c r="BG81" s="311"/>
      <c r="BH81" s="312"/>
      <c r="BI81" s="313"/>
      <c r="BJ81" s="314"/>
      <c r="BK81" s="314"/>
      <c r="BL81" s="314"/>
      <c r="BM81" s="314"/>
      <c r="BN81" s="314"/>
      <c r="BO81" s="314"/>
      <c r="BP81" s="313"/>
    </row>
    <row r="82" spans="1:68" s="257" customFormat="1" ht="12.75" customHeight="1" x14ac:dyDescent="0.2">
      <c r="A82" s="365"/>
      <c r="B82" s="365"/>
      <c r="C82" s="284"/>
      <c r="D82" s="284"/>
      <c r="E82" s="284"/>
      <c r="F82" s="285"/>
      <c r="G82" s="286"/>
      <c r="H82" s="286"/>
      <c r="I82" s="286"/>
      <c r="J82" s="286"/>
      <c r="K82" s="268"/>
      <c r="L82" s="286"/>
      <c r="M82" s="286"/>
      <c r="N82" s="286"/>
      <c r="O82" s="286"/>
      <c r="P82" s="287"/>
      <c r="Q82" s="287"/>
      <c r="R82" s="287"/>
      <c r="S82" s="287"/>
      <c r="T82" s="287"/>
      <c r="U82" s="286"/>
      <c r="V82" s="286"/>
      <c r="W82" s="259"/>
      <c r="X82" s="268"/>
      <c r="Y82" s="286"/>
      <c r="Z82" s="286"/>
      <c r="AA82" s="286"/>
      <c r="AB82" s="286"/>
      <c r="AC82" s="286"/>
      <c r="AD82" s="268"/>
      <c r="AE82" s="289"/>
      <c r="AF82" s="286"/>
      <c r="AG82" s="290"/>
      <c r="AH82" s="290"/>
      <c r="AI82" s="290"/>
      <c r="AJ82" s="290"/>
      <c r="AK82" s="290"/>
      <c r="AL82" s="290"/>
      <c r="AM82" s="290"/>
      <c r="AN82" s="290"/>
      <c r="AO82" s="290"/>
      <c r="AP82" s="290"/>
      <c r="AQ82" s="290"/>
      <c r="AR82" s="290"/>
      <c r="AS82" s="290"/>
      <c r="AT82" s="290"/>
      <c r="AU82" s="337"/>
      <c r="AV82" s="293"/>
      <c r="AW82" s="290"/>
      <c r="AX82" s="290"/>
      <c r="AY82" s="290"/>
      <c r="AZ82" s="290"/>
      <c r="BA82" s="290"/>
      <c r="BB82" s="290"/>
      <c r="BC82" s="338"/>
      <c r="BD82" s="294"/>
      <c r="BE82" s="293"/>
      <c r="BF82" s="339"/>
      <c r="BG82" s="339"/>
      <c r="BH82" s="340"/>
      <c r="BI82" s="297"/>
      <c r="BJ82" s="298"/>
      <c r="BK82" s="298"/>
      <c r="BL82" s="298"/>
      <c r="BM82" s="298"/>
      <c r="BN82" s="298"/>
      <c r="BO82" s="298"/>
      <c r="BP82" s="297"/>
    </row>
    <row r="83" spans="1:68" s="257" customFormat="1" x14ac:dyDescent="0.2">
      <c r="A83" s="366"/>
      <c r="B83" s="366"/>
      <c r="C83" s="219"/>
      <c r="D83" s="219"/>
      <c r="E83" s="219"/>
      <c r="F83" s="300"/>
      <c r="G83" s="301"/>
      <c r="H83" s="301"/>
      <c r="I83" s="301"/>
      <c r="J83" s="302"/>
      <c r="K83" s="263"/>
      <c r="L83" s="301"/>
      <c r="M83" s="301"/>
      <c r="N83" s="301"/>
      <c r="O83" s="302"/>
      <c r="P83" s="303"/>
      <c r="Q83" s="302"/>
      <c r="R83" s="302"/>
      <c r="S83" s="302"/>
      <c r="T83" s="302"/>
      <c r="U83" s="302"/>
      <c r="V83" s="302"/>
      <c r="W83" s="263"/>
      <c r="X83" s="263"/>
      <c r="Y83" s="301"/>
      <c r="Z83" s="302"/>
      <c r="AA83" s="302"/>
      <c r="AB83" s="302"/>
      <c r="AC83" s="302"/>
      <c r="AD83" s="263"/>
      <c r="AE83" s="305"/>
      <c r="AF83" s="302"/>
      <c r="AG83" s="139"/>
      <c r="AH83" s="139"/>
      <c r="AI83" s="139"/>
      <c r="AJ83" s="306"/>
      <c r="AK83" s="306"/>
      <c r="AL83" s="306"/>
      <c r="AM83" s="307"/>
      <c r="AN83" s="308"/>
      <c r="AO83" s="139"/>
      <c r="AP83" s="139"/>
      <c r="AQ83" s="139"/>
      <c r="AR83" s="306"/>
      <c r="AS83" s="306"/>
      <c r="AT83" s="306"/>
      <c r="AU83" s="309"/>
      <c r="AV83" s="309"/>
      <c r="AW83" s="139"/>
      <c r="AX83" s="139"/>
      <c r="AY83" s="139"/>
      <c r="AZ83" s="306"/>
      <c r="BA83" s="306"/>
      <c r="BB83" s="306"/>
      <c r="BC83" s="310"/>
      <c r="BD83" s="310"/>
      <c r="BE83" s="309"/>
      <c r="BF83" s="311"/>
      <c r="BG83" s="311"/>
      <c r="BH83" s="312"/>
      <c r="BI83" s="313"/>
      <c r="BJ83" s="314"/>
      <c r="BK83" s="314"/>
      <c r="BL83" s="314"/>
      <c r="BM83" s="314"/>
      <c r="BN83" s="314"/>
      <c r="BO83" s="314"/>
      <c r="BP83" s="313"/>
    </row>
    <row r="84" spans="1:68" s="257" customFormat="1" x14ac:dyDescent="0.2">
      <c r="A84" s="366"/>
      <c r="B84" s="366"/>
      <c r="C84" s="219"/>
      <c r="D84" s="219"/>
      <c r="E84" s="219"/>
      <c r="F84" s="300"/>
      <c r="G84" s="301"/>
      <c r="H84" s="301"/>
      <c r="I84" s="301"/>
      <c r="J84" s="302"/>
      <c r="K84" s="263"/>
      <c r="L84" s="301"/>
      <c r="M84" s="301"/>
      <c r="N84" s="301"/>
      <c r="O84" s="302"/>
      <c r="P84" s="303"/>
      <c r="Q84" s="302"/>
      <c r="R84" s="302"/>
      <c r="S84" s="302"/>
      <c r="T84" s="302"/>
      <c r="U84" s="302"/>
      <c r="V84" s="302"/>
      <c r="W84" s="263"/>
      <c r="X84" s="263"/>
      <c r="Y84" s="301"/>
      <c r="Z84" s="302"/>
      <c r="AA84" s="302"/>
      <c r="AB84" s="302"/>
      <c r="AC84" s="302"/>
      <c r="AD84" s="263"/>
      <c r="AE84" s="305"/>
      <c r="AF84" s="302"/>
      <c r="AG84" s="139"/>
      <c r="AH84" s="139"/>
      <c r="AI84" s="139"/>
      <c r="AJ84" s="306"/>
      <c r="AK84" s="306"/>
      <c r="AL84" s="306"/>
      <c r="AM84" s="307"/>
      <c r="AN84" s="308"/>
      <c r="AO84" s="139"/>
      <c r="AP84" s="139"/>
      <c r="AQ84" s="139"/>
      <c r="AR84" s="306"/>
      <c r="AS84" s="306"/>
      <c r="AT84" s="306"/>
      <c r="AU84" s="309"/>
      <c r="AV84" s="309"/>
      <c r="AW84" s="139"/>
      <c r="AX84" s="139"/>
      <c r="AY84" s="139"/>
      <c r="AZ84" s="306"/>
      <c r="BA84" s="306"/>
      <c r="BB84" s="306"/>
      <c r="BC84" s="310"/>
      <c r="BD84" s="310"/>
      <c r="BE84" s="309"/>
      <c r="BF84" s="311"/>
      <c r="BG84" s="311"/>
      <c r="BH84" s="312"/>
      <c r="BI84" s="313"/>
      <c r="BJ84" s="314"/>
      <c r="BK84" s="314"/>
      <c r="BL84" s="314"/>
      <c r="BM84" s="314"/>
      <c r="BN84" s="314"/>
      <c r="BO84" s="314"/>
      <c r="BP84" s="313"/>
    </row>
    <row r="85" spans="1:68" s="257" customFormat="1" x14ac:dyDescent="0.2">
      <c r="A85" s="366"/>
      <c r="B85" s="366"/>
      <c r="C85" s="219"/>
      <c r="D85" s="219"/>
      <c r="E85" s="219"/>
      <c r="F85" s="300"/>
      <c r="G85" s="301"/>
      <c r="H85" s="301"/>
      <c r="I85" s="301"/>
      <c r="J85" s="302"/>
      <c r="K85" s="263"/>
      <c r="L85" s="301"/>
      <c r="M85" s="301"/>
      <c r="N85" s="301"/>
      <c r="O85" s="302"/>
      <c r="P85" s="303"/>
      <c r="Q85" s="302"/>
      <c r="R85" s="302"/>
      <c r="S85" s="302"/>
      <c r="T85" s="302"/>
      <c r="U85" s="302"/>
      <c r="V85" s="302"/>
      <c r="W85" s="263"/>
      <c r="X85" s="263"/>
      <c r="Y85" s="301"/>
      <c r="Z85" s="302"/>
      <c r="AA85" s="302"/>
      <c r="AB85" s="302"/>
      <c r="AC85" s="302"/>
      <c r="AD85" s="263"/>
      <c r="AE85" s="305"/>
      <c r="AF85" s="302"/>
      <c r="AG85" s="139"/>
      <c r="AH85" s="139"/>
      <c r="AI85" s="139"/>
      <c r="AJ85" s="306"/>
      <c r="AK85" s="306"/>
      <c r="AL85" s="306"/>
      <c r="AM85" s="307"/>
      <c r="AN85" s="308"/>
      <c r="AO85" s="139"/>
      <c r="AP85" s="139"/>
      <c r="AQ85" s="139"/>
      <c r="AR85" s="306"/>
      <c r="AS85" s="306"/>
      <c r="AT85" s="306"/>
      <c r="AU85" s="309"/>
      <c r="AV85" s="309"/>
      <c r="AW85" s="139"/>
      <c r="AX85" s="139"/>
      <c r="AY85" s="139"/>
      <c r="AZ85" s="306"/>
      <c r="BA85" s="306"/>
      <c r="BB85" s="306"/>
      <c r="BC85" s="310"/>
      <c r="BD85" s="310"/>
      <c r="BE85" s="309"/>
      <c r="BF85" s="311"/>
      <c r="BG85" s="311"/>
      <c r="BH85" s="312"/>
      <c r="BI85" s="313"/>
      <c r="BJ85" s="314"/>
      <c r="BK85" s="314"/>
      <c r="BL85" s="314"/>
      <c r="BM85" s="314"/>
      <c r="BN85" s="314"/>
      <c r="BO85" s="314"/>
      <c r="BP85" s="313"/>
    </row>
    <row r="86" spans="1:68" s="257" customFormat="1" x14ac:dyDescent="0.2">
      <c r="A86" s="366"/>
      <c r="B86" s="366"/>
      <c r="C86" s="219"/>
      <c r="D86" s="219"/>
      <c r="E86" s="219"/>
      <c r="F86" s="300"/>
      <c r="G86" s="301"/>
      <c r="H86" s="301"/>
      <c r="I86" s="301"/>
      <c r="J86" s="302"/>
      <c r="K86" s="263"/>
      <c r="L86" s="301"/>
      <c r="M86" s="301"/>
      <c r="N86" s="301"/>
      <c r="O86" s="302"/>
      <c r="P86" s="303"/>
      <c r="Q86" s="302"/>
      <c r="R86" s="302"/>
      <c r="S86" s="302"/>
      <c r="T86" s="302"/>
      <c r="U86" s="302"/>
      <c r="V86" s="302"/>
      <c r="W86" s="263"/>
      <c r="X86" s="263"/>
      <c r="Y86" s="301"/>
      <c r="Z86" s="302"/>
      <c r="AA86" s="302"/>
      <c r="AB86" s="302"/>
      <c r="AC86" s="302"/>
      <c r="AD86" s="263"/>
      <c r="AE86" s="305"/>
      <c r="AF86" s="302"/>
      <c r="AG86" s="139"/>
      <c r="AH86" s="139"/>
      <c r="AI86" s="139"/>
      <c r="AJ86" s="306"/>
      <c r="AK86" s="306"/>
      <c r="AL86" s="306"/>
      <c r="AM86" s="307"/>
      <c r="AN86" s="308"/>
      <c r="AO86" s="139"/>
      <c r="AP86" s="139"/>
      <c r="AQ86" s="139"/>
      <c r="AR86" s="306"/>
      <c r="AS86" s="306"/>
      <c r="AT86" s="306"/>
      <c r="AU86" s="309"/>
      <c r="AV86" s="309"/>
      <c r="AW86" s="139"/>
      <c r="AX86" s="139"/>
      <c r="AY86" s="139"/>
      <c r="AZ86" s="306"/>
      <c r="BA86" s="306"/>
      <c r="BB86" s="306"/>
      <c r="BC86" s="310"/>
      <c r="BD86" s="310"/>
      <c r="BE86" s="309"/>
      <c r="BF86" s="311"/>
      <c r="BG86" s="311"/>
      <c r="BH86" s="312"/>
      <c r="BI86" s="313"/>
      <c r="BJ86" s="314"/>
      <c r="BK86" s="314"/>
      <c r="BL86" s="314"/>
      <c r="BM86" s="314"/>
      <c r="BN86" s="314"/>
      <c r="BO86" s="314"/>
      <c r="BP86" s="313"/>
    </row>
    <row r="87" spans="1:68" s="257" customFormat="1" x14ac:dyDescent="0.2">
      <c r="A87" s="366"/>
      <c r="B87" s="366"/>
      <c r="C87" s="219"/>
      <c r="D87" s="219"/>
      <c r="E87" s="219"/>
      <c r="F87" s="300"/>
      <c r="G87" s="301"/>
      <c r="H87" s="301"/>
      <c r="I87" s="301"/>
      <c r="J87" s="302"/>
      <c r="K87" s="263"/>
      <c r="L87" s="301"/>
      <c r="M87" s="301"/>
      <c r="N87" s="301"/>
      <c r="O87" s="302"/>
      <c r="P87" s="303"/>
      <c r="Q87" s="302"/>
      <c r="R87" s="302"/>
      <c r="S87" s="302"/>
      <c r="T87" s="302"/>
      <c r="U87" s="302"/>
      <c r="V87" s="302"/>
      <c r="W87" s="263"/>
      <c r="X87" s="263"/>
      <c r="Y87" s="301"/>
      <c r="Z87" s="302"/>
      <c r="AA87" s="302"/>
      <c r="AB87" s="302"/>
      <c r="AC87" s="302"/>
      <c r="AD87" s="263"/>
      <c r="AE87" s="305"/>
      <c r="AF87" s="302"/>
      <c r="AG87" s="139"/>
      <c r="AH87" s="139"/>
      <c r="AI87" s="139"/>
      <c r="AJ87" s="306"/>
      <c r="AK87" s="306"/>
      <c r="AL87" s="306"/>
      <c r="AM87" s="307"/>
      <c r="AN87" s="308"/>
      <c r="AO87" s="139"/>
      <c r="AP87" s="139"/>
      <c r="AQ87" s="139"/>
      <c r="AR87" s="306"/>
      <c r="AS87" s="306"/>
      <c r="AT87" s="306"/>
      <c r="AU87" s="309"/>
      <c r="AV87" s="309"/>
      <c r="AW87" s="139"/>
      <c r="AX87" s="139"/>
      <c r="AY87" s="139"/>
      <c r="AZ87" s="306"/>
      <c r="BA87" s="306"/>
      <c r="BB87" s="306"/>
      <c r="BC87" s="310"/>
      <c r="BD87" s="310"/>
      <c r="BE87" s="309"/>
      <c r="BF87" s="311"/>
      <c r="BG87" s="311"/>
      <c r="BH87" s="312"/>
      <c r="BI87" s="313"/>
      <c r="BJ87" s="314"/>
      <c r="BK87" s="314"/>
      <c r="BL87" s="314"/>
      <c r="BM87" s="314"/>
      <c r="BN87" s="314"/>
      <c r="BO87" s="314"/>
      <c r="BP87" s="313"/>
    </row>
    <row r="88" spans="1:68" s="257" customFormat="1" x14ac:dyDescent="0.2">
      <c r="A88" s="366"/>
      <c r="B88" s="366"/>
      <c r="C88" s="219"/>
      <c r="D88" s="219"/>
      <c r="E88" s="219"/>
      <c r="F88" s="300"/>
      <c r="G88" s="301"/>
      <c r="H88" s="301"/>
      <c r="I88" s="301"/>
      <c r="J88" s="302"/>
      <c r="K88" s="263"/>
      <c r="L88" s="301"/>
      <c r="M88" s="301"/>
      <c r="N88" s="301"/>
      <c r="O88" s="302"/>
      <c r="P88" s="303"/>
      <c r="Q88" s="302"/>
      <c r="R88" s="302"/>
      <c r="S88" s="302"/>
      <c r="T88" s="302"/>
      <c r="U88" s="302"/>
      <c r="V88" s="302"/>
      <c r="W88" s="263"/>
      <c r="X88" s="263"/>
      <c r="Y88" s="301"/>
      <c r="Z88" s="302"/>
      <c r="AA88" s="302"/>
      <c r="AB88" s="302"/>
      <c r="AC88" s="302"/>
      <c r="AD88" s="263"/>
      <c r="AE88" s="305"/>
      <c r="AF88" s="302"/>
      <c r="AG88" s="139"/>
      <c r="AH88" s="139"/>
      <c r="AI88" s="139"/>
      <c r="AJ88" s="306"/>
      <c r="AK88" s="306"/>
      <c r="AL88" s="306"/>
      <c r="AM88" s="307"/>
      <c r="AN88" s="308"/>
      <c r="AO88" s="139"/>
      <c r="AP88" s="139"/>
      <c r="AQ88" s="139"/>
      <c r="AR88" s="306"/>
      <c r="AS88" s="306"/>
      <c r="AT88" s="306"/>
      <c r="AU88" s="309"/>
      <c r="AV88" s="309"/>
      <c r="AW88" s="139"/>
      <c r="AX88" s="139"/>
      <c r="AY88" s="139"/>
      <c r="AZ88" s="306"/>
      <c r="BA88" s="306"/>
      <c r="BB88" s="306"/>
      <c r="BC88" s="310"/>
      <c r="BD88" s="310"/>
      <c r="BE88" s="309"/>
      <c r="BF88" s="311"/>
      <c r="BG88" s="311"/>
      <c r="BH88" s="312"/>
      <c r="BI88" s="313"/>
      <c r="BJ88" s="314"/>
      <c r="BK88" s="314"/>
      <c r="BL88" s="314"/>
      <c r="BM88" s="314"/>
      <c r="BN88" s="314"/>
      <c r="BO88" s="314"/>
      <c r="BP88" s="313"/>
    </row>
    <row r="89" spans="1:68" s="257" customFormat="1" x14ac:dyDescent="0.2">
      <c r="A89" s="366"/>
      <c r="B89" s="366"/>
      <c r="C89" s="219"/>
      <c r="D89" s="219"/>
      <c r="E89" s="219"/>
      <c r="F89" s="300"/>
      <c r="G89" s="301"/>
      <c r="H89" s="301"/>
      <c r="I89" s="301"/>
      <c r="J89" s="302"/>
      <c r="K89" s="263"/>
      <c r="L89" s="301"/>
      <c r="M89" s="301"/>
      <c r="N89" s="301"/>
      <c r="O89" s="302"/>
      <c r="P89" s="303"/>
      <c r="Q89" s="302"/>
      <c r="R89" s="302"/>
      <c r="S89" s="302"/>
      <c r="T89" s="302"/>
      <c r="U89" s="302"/>
      <c r="V89" s="302"/>
      <c r="W89" s="263"/>
      <c r="X89" s="263"/>
      <c r="Y89" s="301"/>
      <c r="Z89" s="302"/>
      <c r="AA89" s="302"/>
      <c r="AB89" s="302"/>
      <c r="AC89" s="302"/>
      <c r="AD89" s="263"/>
      <c r="AE89" s="305"/>
      <c r="AF89" s="302"/>
      <c r="AG89" s="139"/>
      <c r="AH89" s="139"/>
      <c r="AI89" s="139"/>
      <c r="AJ89" s="306"/>
      <c r="AK89" s="306"/>
      <c r="AL89" s="306"/>
      <c r="AM89" s="307"/>
      <c r="AN89" s="308"/>
      <c r="AO89" s="139"/>
      <c r="AP89" s="139"/>
      <c r="AQ89" s="139"/>
      <c r="AR89" s="306"/>
      <c r="AS89" s="306"/>
      <c r="AT89" s="306"/>
      <c r="AU89" s="309"/>
      <c r="AV89" s="309"/>
      <c r="AW89" s="139"/>
      <c r="AX89" s="139"/>
      <c r="AY89" s="139"/>
      <c r="AZ89" s="306"/>
      <c r="BA89" s="306"/>
      <c r="BB89" s="306"/>
      <c r="BC89" s="310"/>
      <c r="BD89" s="310"/>
      <c r="BE89" s="309"/>
      <c r="BF89" s="311"/>
      <c r="BG89" s="311"/>
      <c r="BH89" s="312"/>
      <c r="BI89" s="313"/>
      <c r="BJ89" s="314"/>
      <c r="BK89" s="314"/>
      <c r="BL89" s="314"/>
      <c r="BM89" s="314"/>
      <c r="BN89" s="314"/>
      <c r="BO89" s="314"/>
      <c r="BP89" s="313"/>
    </row>
    <row r="90" spans="1:68" s="257" customFormat="1" x14ac:dyDescent="0.2">
      <c r="A90" s="366"/>
      <c r="B90" s="366"/>
      <c r="C90" s="219"/>
      <c r="D90" s="219"/>
      <c r="E90" s="219"/>
      <c r="F90" s="300"/>
      <c r="G90" s="301"/>
      <c r="H90" s="301"/>
      <c r="I90" s="301"/>
      <c r="J90" s="302"/>
      <c r="K90" s="263"/>
      <c r="L90" s="301"/>
      <c r="M90" s="301"/>
      <c r="N90" s="301"/>
      <c r="O90" s="302"/>
      <c r="P90" s="303"/>
      <c r="Q90" s="302"/>
      <c r="R90" s="302"/>
      <c r="S90" s="302"/>
      <c r="T90" s="302"/>
      <c r="U90" s="302"/>
      <c r="V90" s="302"/>
      <c r="W90" s="263"/>
      <c r="X90" s="263"/>
      <c r="Y90" s="301"/>
      <c r="Z90" s="302"/>
      <c r="AA90" s="302"/>
      <c r="AB90" s="302"/>
      <c r="AC90" s="302"/>
      <c r="AD90" s="263"/>
      <c r="AE90" s="305"/>
      <c r="AF90" s="302"/>
      <c r="AG90" s="139"/>
      <c r="AH90" s="139"/>
      <c r="AI90" s="139"/>
      <c r="AJ90" s="306"/>
      <c r="AK90" s="306"/>
      <c r="AL90" s="306"/>
      <c r="AM90" s="307"/>
      <c r="AN90" s="308"/>
      <c r="AO90" s="139"/>
      <c r="AP90" s="139"/>
      <c r="AQ90" s="139"/>
      <c r="AR90" s="306"/>
      <c r="AS90" s="306"/>
      <c r="AT90" s="306"/>
      <c r="AU90" s="309"/>
      <c r="AV90" s="309"/>
      <c r="AW90" s="139"/>
      <c r="AX90" s="139"/>
      <c r="AY90" s="139"/>
      <c r="AZ90" s="306"/>
      <c r="BA90" s="306"/>
      <c r="BB90" s="306"/>
      <c r="BC90" s="310"/>
      <c r="BD90" s="310"/>
      <c r="BE90" s="309"/>
      <c r="BF90" s="311"/>
      <c r="BG90" s="311"/>
      <c r="BH90" s="312"/>
      <c r="BI90" s="313"/>
      <c r="BJ90" s="314"/>
      <c r="BK90" s="314"/>
      <c r="BL90" s="314"/>
      <c r="BM90" s="314"/>
      <c r="BN90" s="314"/>
      <c r="BO90" s="314"/>
      <c r="BP90" s="313"/>
    </row>
    <row r="91" spans="1:68" s="257" customFormat="1" x14ac:dyDescent="0.2">
      <c r="A91" s="366"/>
      <c r="B91" s="366"/>
      <c r="C91" s="220"/>
      <c r="D91" s="220"/>
      <c r="E91" s="220"/>
      <c r="F91" s="315"/>
      <c r="G91" s="301"/>
      <c r="H91" s="301"/>
      <c r="I91" s="301"/>
      <c r="J91" s="302"/>
      <c r="K91" s="263"/>
      <c r="L91" s="301"/>
      <c r="M91" s="301"/>
      <c r="N91" s="301"/>
      <c r="O91" s="302"/>
      <c r="P91" s="303"/>
      <c r="Q91" s="302"/>
      <c r="R91" s="302"/>
      <c r="S91" s="302"/>
      <c r="T91" s="302"/>
      <c r="U91" s="302"/>
      <c r="V91" s="302"/>
      <c r="W91" s="263"/>
      <c r="X91" s="263"/>
      <c r="Y91" s="301"/>
      <c r="Z91" s="302"/>
      <c r="AA91" s="302"/>
      <c r="AB91" s="302"/>
      <c r="AC91" s="302"/>
      <c r="AD91" s="263"/>
      <c r="AE91" s="305"/>
      <c r="AF91" s="302"/>
      <c r="AG91" s="139"/>
      <c r="AH91" s="139"/>
      <c r="AI91" s="139"/>
      <c r="AJ91" s="306"/>
      <c r="AK91" s="306"/>
      <c r="AL91" s="306"/>
      <c r="AM91" s="307"/>
      <c r="AN91" s="308"/>
      <c r="AO91" s="139"/>
      <c r="AP91" s="139"/>
      <c r="AQ91" s="139"/>
      <c r="AR91" s="306"/>
      <c r="AS91" s="306"/>
      <c r="AT91" s="306"/>
      <c r="AU91" s="309"/>
      <c r="AV91" s="309"/>
      <c r="AW91" s="139"/>
      <c r="AX91" s="139"/>
      <c r="AY91" s="139"/>
      <c r="AZ91" s="306"/>
      <c r="BA91" s="306"/>
      <c r="BB91" s="306"/>
      <c r="BC91" s="310"/>
      <c r="BD91" s="310"/>
      <c r="BE91" s="309"/>
      <c r="BF91" s="311"/>
      <c r="BG91" s="311"/>
      <c r="BH91" s="312"/>
      <c r="BI91" s="313"/>
      <c r="BJ91" s="314"/>
      <c r="BK91" s="314"/>
      <c r="BL91" s="314"/>
      <c r="BM91" s="314"/>
      <c r="BN91" s="314"/>
      <c r="BO91" s="314"/>
      <c r="BP91" s="313"/>
    </row>
    <row r="92" spans="1:68" s="257" customFormat="1" x14ac:dyDescent="0.2">
      <c r="A92" s="366"/>
      <c r="B92" s="366"/>
      <c r="C92" s="220"/>
      <c r="D92" s="220"/>
      <c r="E92" s="220"/>
      <c r="F92" s="315"/>
      <c r="G92" s="301"/>
      <c r="H92" s="301"/>
      <c r="I92" s="301"/>
      <c r="J92" s="302"/>
      <c r="K92" s="263"/>
      <c r="L92" s="301"/>
      <c r="M92" s="301"/>
      <c r="N92" s="301"/>
      <c r="O92" s="302"/>
      <c r="P92" s="303"/>
      <c r="Q92" s="302"/>
      <c r="R92" s="302"/>
      <c r="S92" s="302"/>
      <c r="T92" s="302"/>
      <c r="U92" s="302"/>
      <c r="V92" s="302"/>
      <c r="W92" s="263"/>
      <c r="X92" s="263"/>
      <c r="Y92" s="301"/>
      <c r="Z92" s="302"/>
      <c r="AA92" s="302"/>
      <c r="AB92" s="302"/>
      <c r="AC92" s="302"/>
      <c r="AD92" s="263"/>
      <c r="AE92" s="305"/>
      <c r="AF92" s="302"/>
      <c r="AG92" s="139"/>
      <c r="AH92" s="139"/>
      <c r="AI92" s="139"/>
      <c r="AJ92" s="306"/>
      <c r="AK92" s="306"/>
      <c r="AL92" s="306"/>
      <c r="AM92" s="316"/>
      <c r="AN92" s="308"/>
      <c r="AO92" s="139"/>
      <c r="AP92" s="139"/>
      <c r="AQ92" s="139"/>
      <c r="AR92" s="306"/>
      <c r="AS92" s="306"/>
      <c r="AT92" s="306"/>
      <c r="AU92" s="309"/>
      <c r="AV92" s="309"/>
      <c r="AW92" s="139"/>
      <c r="AX92" s="139"/>
      <c r="AY92" s="139"/>
      <c r="AZ92" s="306"/>
      <c r="BA92" s="306"/>
      <c r="BB92" s="306"/>
      <c r="BC92" s="310"/>
      <c r="BD92" s="310"/>
      <c r="BE92" s="309"/>
      <c r="BF92" s="311"/>
      <c r="BG92" s="311"/>
      <c r="BH92" s="312"/>
      <c r="BI92" s="313"/>
      <c r="BJ92" s="314"/>
      <c r="BK92" s="314"/>
      <c r="BL92" s="314"/>
      <c r="BM92" s="314"/>
      <c r="BN92" s="314"/>
      <c r="BO92" s="314"/>
      <c r="BP92" s="313"/>
    </row>
    <row r="93" spans="1:68" s="257" customFormat="1" x14ac:dyDescent="0.2">
      <c r="A93" s="365"/>
      <c r="B93" s="365"/>
      <c r="C93" s="284"/>
      <c r="D93" s="284"/>
      <c r="E93" s="284"/>
      <c r="F93" s="285"/>
      <c r="G93" s="286"/>
      <c r="H93" s="286"/>
      <c r="I93" s="286"/>
      <c r="J93" s="287"/>
      <c r="K93" s="259"/>
      <c r="L93" s="286"/>
      <c r="M93" s="286"/>
      <c r="N93" s="286"/>
      <c r="O93" s="287"/>
      <c r="P93" s="288"/>
      <c r="Q93" s="287"/>
      <c r="R93" s="287"/>
      <c r="S93" s="287"/>
      <c r="T93" s="287"/>
      <c r="U93" s="287"/>
      <c r="V93" s="287"/>
      <c r="W93" s="259"/>
      <c r="X93" s="259"/>
      <c r="Y93" s="286"/>
      <c r="Z93" s="287"/>
      <c r="AA93" s="287"/>
      <c r="AB93" s="287"/>
      <c r="AC93" s="287"/>
      <c r="AD93" s="259"/>
      <c r="AE93" s="289"/>
      <c r="AF93" s="287"/>
      <c r="AG93" s="290"/>
      <c r="AH93" s="290"/>
      <c r="AI93" s="287"/>
      <c r="AJ93" s="291"/>
      <c r="AK93" s="291"/>
      <c r="AL93" s="291"/>
      <c r="AM93" s="292"/>
      <c r="AN93" s="290"/>
      <c r="AO93" s="287"/>
      <c r="AP93" s="287"/>
      <c r="AQ93" s="287"/>
      <c r="AR93" s="291"/>
      <c r="AS93" s="291"/>
      <c r="AT93" s="291"/>
      <c r="AU93" s="293"/>
      <c r="AV93" s="293"/>
      <c r="AW93" s="287"/>
      <c r="AX93" s="287"/>
      <c r="AY93" s="287"/>
      <c r="AZ93" s="291"/>
      <c r="BA93" s="291"/>
      <c r="BB93" s="291"/>
      <c r="BC93" s="294"/>
      <c r="BD93" s="294"/>
      <c r="BE93" s="293"/>
      <c r="BF93" s="295"/>
      <c r="BG93" s="295"/>
      <c r="BH93" s="296"/>
      <c r="BI93" s="297"/>
      <c r="BJ93" s="298"/>
      <c r="BK93" s="298"/>
      <c r="BL93" s="298"/>
      <c r="BM93" s="298"/>
      <c r="BN93" s="298"/>
      <c r="BO93" s="298"/>
      <c r="BP93" s="297"/>
    </row>
    <row r="94" spans="1:68" s="257" customFormat="1" x14ac:dyDescent="0.2">
      <c r="A94" s="366"/>
      <c r="B94" s="366"/>
      <c r="C94" s="219"/>
      <c r="D94" s="219"/>
      <c r="E94" s="219"/>
      <c r="F94" s="300"/>
      <c r="G94" s="301"/>
      <c r="H94" s="301"/>
      <c r="I94" s="301"/>
      <c r="J94" s="302"/>
      <c r="K94" s="263"/>
      <c r="L94" s="301"/>
      <c r="M94" s="301"/>
      <c r="N94" s="301"/>
      <c r="O94" s="302"/>
      <c r="P94" s="303"/>
      <c r="Q94" s="302"/>
      <c r="R94" s="302"/>
      <c r="S94" s="302"/>
      <c r="T94" s="302"/>
      <c r="U94" s="302"/>
      <c r="V94" s="302"/>
      <c r="W94" s="263"/>
      <c r="X94" s="263"/>
      <c r="Y94" s="301"/>
      <c r="Z94" s="302"/>
      <c r="AA94" s="302"/>
      <c r="AB94" s="302"/>
      <c r="AC94" s="302"/>
      <c r="AD94" s="263"/>
      <c r="AE94" s="305"/>
      <c r="AF94" s="302"/>
      <c r="AG94" s="139"/>
      <c r="AH94" s="139"/>
      <c r="AI94" s="139"/>
      <c r="AJ94" s="306"/>
      <c r="AK94" s="306"/>
      <c r="AL94" s="306"/>
      <c r="AM94" s="307"/>
      <c r="AN94" s="308"/>
      <c r="AO94" s="139"/>
      <c r="AP94" s="139"/>
      <c r="AQ94" s="139"/>
      <c r="AR94" s="306"/>
      <c r="AS94" s="306"/>
      <c r="AT94" s="306"/>
      <c r="AU94" s="309"/>
      <c r="AV94" s="309"/>
      <c r="AW94" s="139"/>
      <c r="AX94" s="139"/>
      <c r="AY94" s="139"/>
      <c r="AZ94" s="306"/>
      <c r="BA94" s="306"/>
      <c r="BB94" s="306"/>
      <c r="BC94" s="310"/>
      <c r="BD94" s="310"/>
      <c r="BE94" s="309"/>
      <c r="BF94" s="311"/>
      <c r="BG94" s="311"/>
      <c r="BH94" s="312"/>
      <c r="BI94" s="313"/>
      <c r="BJ94" s="314"/>
      <c r="BK94" s="314"/>
      <c r="BL94" s="314"/>
      <c r="BM94" s="314"/>
      <c r="BN94" s="314"/>
      <c r="BO94" s="314"/>
      <c r="BP94" s="313"/>
    </row>
    <row r="95" spans="1:68" s="257" customFormat="1" x14ac:dyDescent="0.2">
      <c r="A95" s="366"/>
      <c r="B95" s="366"/>
      <c r="C95" s="219"/>
      <c r="D95" s="219"/>
      <c r="E95" s="219"/>
      <c r="F95" s="300"/>
      <c r="G95" s="301"/>
      <c r="H95" s="301"/>
      <c r="I95" s="301"/>
      <c r="J95" s="302"/>
      <c r="K95" s="263"/>
      <c r="L95" s="301"/>
      <c r="M95" s="301"/>
      <c r="N95" s="301"/>
      <c r="O95" s="302"/>
      <c r="P95" s="303"/>
      <c r="Q95" s="302"/>
      <c r="R95" s="302"/>
      <c r="S95" s="302"/>
      <c r="T95" s="302"/>
      <c r="U95" s="302"/>
      <c r="V95" s="302"/>
      <c r="W95" s="263"/>
      <c r="X95" s="263"/>
      <c r="Y95" s="301"/>
      <c r="Z95" s="302"/>
      <c r="AA95" s="302"/>
      <c r="AB95" s="302"/>
      <c r="AC95" s="302"/>
      <c r="AD95" s="263"/>
      <c r="AE95" s="305"/>
      <c r="AF95" s="302"/>
      <c r="AG95" s="139"/>
      <c r="AH95" s="139"/>
      <c r="AI95" s="139"/>
      <c r="AJ95" s="306"/>
      <c r="AK95" s="306"/>
      <c r="AL95" s="306"/>
      <c r="AM95" s="307"/>
      <c r="AN95" s="308"/>
      <c r="AO95" s="139"/>
      <c r="AP95" s="139"/>
      <c r="AQ95" s="139"/>
      <c r="AR95" s="306"/>
      <c r="AS95" s="306"/>
      <c r="AT95" s="306"/>
      <c r="AU95" s="309"/>
      <c r="AV95" s="309"/>
      <c r="AW95" s="139"/>
      <c r="AX95" s="139"/>
      <c r="AY95" s="139"/>
      <c r="AZ95" s="306"/>
      <c r="BA95" s="306"/>
      <c r="BB95" s="306"/>
      <c r="BC95" s="310"/>
      <c r="BD95" s="310"/>
      <c r="BE95" s="309"/>
      <c r="BF95" s="311"/>
      <c r="BG95" s="311"/>
      <c r="BH95" s="312"/>
      <c r="BI95" s="313"/>
      <c r="BJ95" s="314"/>
      <c r="BK95" s="314"/>
      <c r="BL95" s="314"/>
      <c r="BM95" s="314"/>
      <c r="BN95" s="314"/>
      <c r="BO95" s="314"/>
      <c r="BP95" s="313"/>
    </row>
    <row r="96" spans="1:68" s="257" customFormat="1" x14ac:dyDescent="0.2">
      <c r="A96" s="366"/>
      <c r="B96" s="366"/>
      <c r="C96" s="219"/>
      <c r="D96" s="219"/>
      <c r="E96" s="219"/>
      <c r="F96" s="300"/>
      <c r="G96" s="301"/>
      <c r="H96" s="301"/>
      <c r="I96" s="301"/>
      <c r="J96" s="302"/>
      <c r="K96" s="263"/>
      <c r="L96" s="301"/>
      <c r="M96" s="301"/>
      <c r="N96" s="301"/>
      <c r="O96" s="302"/>
      <c r="P96" s="303"/>
      <c r="Q96" s="302"/>
      <c r="R96" s="302"/>
      <c r="S96" s="302"/>
      <c r="T96" s="302"/>
      <c r="U96" s="302"/>
      <c r="V96" s="302"/>
      <c r="W96" s="263"/>
      <c r="X96" s="263"/>
      <c r="Y96" s="301"/>
      <c r="Z96" s="302"/>
      <c r="AA96" s="302"/>
      <c r="AB96" s="302"/>
      <c r="AC96" s="302"/>
      <c r="AD96" s="263"/>
      <c r="AE96" s="305"/>
      <c r="AF96" s="302"/>
      <c r="AG96" s="139"/>
      <c r="AH96" s="139"/>
      <c r="AI96" s="139"/>
      <c r="AJ96" s="306"/>
      <c r="AK96" s="306"/>
      <c r="AL96" s="306"/>
      <c r="AM96" s="307"/>
      <c r="AN96" s="308"/>
      <c r="AO96" s="139"/>
      <c r="AP96" s="139"/>
      <c r="AQ96" s="139"/>
      <c r="AR96" s="306"/>
      <c r="AS96" s="306"/>
      <c r="AT96" s="306"/>
      <c r="AU96" s="309"/>
      <c r="AV96" s="309"/>
      <c r="AW96" s="139"/>
      <c r="AX96" s="139"/>
      <c r="AY96" s="139"/>
      <c r="AZ96" s="306"/>
      <c r="BA96" s="306"/>
      <c r="BB96" s="306"/>
      <c r="BC96" s="310"/>
      <c r="BD96" s="310"/>
      <c r="BE96" s="309"/>
      <c r="BF96" s="311"/>
      <c r="BG96" s="311"/>
      <c r="BH96" s="312"/>
      <c r="BI96" s="313"/>
      <c r="BJ96" s="314"/>
      <c r="BK96" s="314"/>
      <c r="BL96" s="314"/>
      <c r="BM96" s="314"/>
      <c r="BN96" s="314"/>
      <c r="BO96" s="314"/>
      <c r="BP96" s="313"/>
    </row>
    <row r="97" spans="1:68" s="257" customFormat="1" x14ac:dyDescent="0.2">
      <c r="A97" s="366"/>
      <c r="B97" s="366"/>
      <c r="C97" s="219"/>
      <c r="D97" s="219"/>
      <c r="E97" s="219"/>
      <c r="F97" s="300"/>
      <c r="G97" s="301"/>
      <c r="H97" s="301"/>
      <c r="I97" s="301"/>
      <c r="J97" s="302"/>
      <c r="K97" s="263"/>
      <c r="L97" s="301"/>
      <c r="M97" s="301"/>
      <c r="N97" s="301"/>
      <c r="O97" s="302"/>
      <c r="P97" s="303"/>
      <c r="Q97" s="302"/>
      <c r="R97" s="302"/>
      <c r="S97" s="302"/>
      <c r="T97" s="302"/>
      <c r="U97" s="302"/>
      <c r="V97" s="302"/>
      <c r="W97" s="263"/>
      <c r="X97" s="263"/>
      <c r="Y97" s="301"/>
      <c r="Z97" s="302"/>
      <c r="AA97" s="302"/>
      <c r="AB97" s="302"/>
      <c r="AC97" s="302"/>
      <c r="AD97" s="263"/>
      <c r="AE97" s="305"/>
      <c r="AF97" s="302"/>
      <c r="AG97" s="139"/>
      <c r="AH97" s="139"/>
      <c r="AI97" s="139"/>
      <c r="AJ97" s="306"/>
      <c r="AK97" s="306"/>
      <c r="AL97" s="306"/>
      <c r="AM97" s="307"/>
      <c r="AN97" s="308"/>
      <c r="AO97" s="139"/>
      <c r="AP97" s="139"/>
      <c r="AQ97" s="139"/>
      <c r="AR97" s="306"/>
      <c r="AS97" s="306"/>
      <c r="AT97" s="306"/>
      <c r="AU97" s="309"/>
      <c r="AV97" s="309"/>
      <c r="AW97" s="139"/>
      <c r="AX97" s="139"/>
      <c r="AY97" s="139"/>
      <c r="AZ97" s="306"/>
      <c r="BA97" s="306"/>
      <c r="BB97" s="306"/>
      <c r="BC97" s="310"/>
      <c r="BD97" s="310"/>
      <c r="BE97" s="309"/>
      <c r="BF97" s="311"/>
      <c r="BG97" s="311"/>
      <c r="BH97" s="312"/>
      <c r="BI97" s="313"/>
      <c r="BJ97" s="314"/>
      <c r="BK97" s="314"/>
      <c r="BL97" s="314"/>
      <c r="BM97" s="314"/>
      <c r="BN97" s="314"/>
      <c r="BO97" s="314"/>
      <c r="BP97" s="313"/>
    </row>
    <row r="98" spans="1:68" s="257" customFormat="1" x14ac:dyDescent="0.2">
      <c r="A98" s="366"/>
      <c r="B98" s="366"/>
      <c r="C98" s="219"/>
      <c r="D98" s="219"/>
      <c r="E98" s="219"/>
      <c r="F98" s="300"/>
      <c r="G98" s="301"/>
      <c r="H98" s="301"/>
      <c r="I98" s="301"/>
      <c r="J98" s="302"/>
      <c r="K98" s="263"/>
      <c r="L98" s="301"/>
      <c r="M98" s="301"/>
      <c r="N98" s="301"/>
      <c r="O98" s="302"/>
      <c r="P98" s="303"/>
      <c r="Q98" s="302"/>
      <c r="R98" s="302"/>
      <c r="S98" s="302"/>
      <c r="T98" s="302"/>
      <c r="U98" s="302"/>
      <c r="V98" s="302"/>
      <c r="W98" s="263"/>
      <c r="X98" s="263"/>
      <c r="Y98" s="301"/>
      <c r="Z98" s="302"/>
      <c r="AA98" s="302"/>
      <c r="AB98" s="302"/>
      <c r="AC98" s="302"/>
      <c r="AD98" s="263"/>
      <c r="AE98" s="305"/>
      <c r="AF98" s="302"/>
      <c r="AG98" s="139"/>
      <c r="AH98" s="139"/>
      <c r="AI98" s="139"/>
      <c r="AJ98" s="306"/>
      <c r="AK98" s="306"/>
      <c r="AL98" s="306"/>
      <c r="AM98" s="307"/>
      <c r="AN98" s="308"/>
      <c r="AO98" s="139"/>
      <c r="AP98" s="139"/>
      <c r="AQ98" s="139"/>
      <c r="AR98" s="306"/>
      <c r="AS98" s="306"/>
      <c r="AT98" s="306"/>
      <c r="AU98" s="309"/>
      <c r="AV98" s="309"/>
      <c r="AW98" s="139"/>
      <c r="AX98" s="139"/>
      <c r="AY98" s="139"/>
      <c r="AZ98" s="306"/>
      <c r="BA98" s="306"/>
      <c r="BB98" s="306"/>
      <c r="BC98" s="310"/>
      <c r="BD98" s="310"/>
      <c r="BE98" s="309"/>
      <c r="BF98" s="311"/>
      <c r="BG98" s="311"/>
      <c r="BH98" s="312"/>
      <c r="BI98" s="313"/>
      <c r="BJ98" s="314"/>
      <c r="BK98" s="314"/>
      <c r="BL98" s="314"/>
      <c r="BM98" s="314"/>
      <c r="BN98" s="314"/>
      <c r="BO98" s="314"/>
      <c r="BP98" s="313"/>
    </row>
    <row r="99" spans="1:68" s="257" customFormat="1" x14ac:dyDescent="0.2">
      <c r="A99" s="366"/>
      <c r="B99" s="366"/>
      <c r="C99" s="219"/>
      <c r="D99" s="219"/>
      <c r="E99" s="219"/>
      <c r="F99" s="300"/>
      <c r="G99" s="301"/>
      <c r="H99" s="301"/>
      <c r="I99" s="301"/>
      <c r="J99" s="302"/>
      <c r="K99" s="263"/>
      <c r="L99" s="301"/>
      <c r="M99" s="301"/>
      <c r="N99" s="301"/>
      <c r="O99" s="302"/>
      <c r="P99" s="303"/>
      <c r="Q99" s="302"/>
      <c r="R99" s="302"/>
      <c r="S99" s="302"/>
      <c r="T99" s="302"/>
      <c r="U99" s="302"/>
      <c r="V99" s="302"/>
      <c r="W99" s="263"/>
      <c r="X99" s="263"/>
      <c r="Y99" s="301"/>
      <c r="Z99" s="302"/>
      <c r="AA99" s="302"/>
      <c r="AB99" s="302"/>
      <c r="AC99" s="302"/>
      <c r="AD99" s="263"/>
      <c r="AE99" s="305"/>
      <c r="AF99" s="302"/>
      <c r="AG99" s="139"/>
      <c r="AH99" s="139"/>
      <c r="AI99" s="139"/>
      <c r="AJ99" s="306"/>
      <c r="AK99" s="306"/>
      <c r="AL99" s="306"/>
      <c r="AM99" s="307"/>
      <c r="AN99" s="308"/>
      <c r="AO99" s="139"/>
      <c r="AP99" s="139"/>
      <c r="AQ99" s="139"/>
      <c r="AR99" s="306"/>
      <c r="AS99" s="306"/>
      <c r="AT99" s="306"/>
      <c r="AU99" s="309"/>
      <c r="AV99" s="309"/>
      <c r="AW99" s="139"/>
      <c r="AX99" s="139"/>
      <c r="AY99" s="139"/>
      <c r="AZ99" s="306"/>
      <c r="BA99" s="306"/>
      <c r="BB99" s="306"/>
      <c r="BC99" s="310"/>
      <c r="BD99" s="310"/>
      <c r="BE99" s="309"/>
      <c r="BF99" s="311"/>
      <c r="BG99" s="311"/>
      <c r="BH99" s="312"/>
      <c r="BI99" s="313"/>
      <c r="BJ99" s="314"/>
      <c r="BK99" s="314"/>
      <c r="BL99" s="314"/>
      <c r="BM99" s="314"/>
      <c r="BN99" s="314"/>
      <c r="BO99" s="314"/>
      <c r="BP99" s="313"/>
    </row>
    <row r="100" spans="1:68" s="257" customFormat="1" x14ac:dyDescent="0.2">
      <c r="A100" s="366"/>
      <c r="B100" s="366"/>
      <c r="C100" s="219"/>
      <c r="D100" s="219"/>
      <c r="E100" s="219"/>
      <c r="F100" s="300"/>
      <c r="G100" s="301"/>
      <c r="H100" s="301"/>
      <c r="I100" s="301"/>
      <c r="J100" s="302"/>
      <c r="K100" s="263"/>
      <c r="L100" s="301"/>
      <c r="M100" s="301"/>
      <c r="N100" s="301"/>
      <c r="O100" s="302"/>
      <c r="P100" s="303"/>
      <c r="Q100" s="302"/>
      <c r="R100" s="302"/>
      <c r="S100" s="302"/>
      <c r="T100" s="302"/>
      <c r="U100" s="302"/>
      <c r="V100" s="302"/>
      <c r="W100" s="263"/>
      <c r="X100" s="263"/>
      <c r="Y100" s="301"/>
      <c r="Z100" s="302"/>
      <c r="AA100" s="302"/>
      <c r="AB100" s="302"/>
      <c r="AC100" s="302"/>
      <c r="AD100" s="263"/>
      <c r="AE100" s="305"/>
      <c r="AF100" s="302"/>
      <c r="AG100" s="139"/>
      <c r="AH100" s="139"/>
      <c r="AI100" s="139"/>
      <c r="AJ100" s="306"/>
      <c r="AK100" s="306"/>
      <c r="AL100" s="306"/>
      <c r="AM100" s="307"/>
      <c r="AN100" s="308"/>
      <c r="AO100" s="139"/>
      <c r="AP100" s="139"/>
      <c r="AQ100" s="139"/>
      <c r="AR100" s="306"/>
      <c r="AS100" s="306"/>
      <c r="AT100" s="306"/>
      <c r="AU100" s="309"/>
      <c r="AV100" s="309"/>
      <c r="AW100" s="139"/>
      <c r="AX100" s="139"/>
      <c r="AY100" s="139"/>
      <c r="AZ100" s="306"/>
      <c r="BA100" s="306"/>
      <c r="BB100" s="306"/>
      <c r="BC100" s="310"/>
      <c r="BD100" s="310"/>
      <c r="BE100" s="309"/>
      <c r="BF100" s="311"/>
      <c r="BG100" s="311"/>
      <c r="BH100" s="312"/>
      <c r="BI100" s="313"/>
      <c r="BJ100" s="314"/>
      <c r="BK100" s="314"/>
      <c r="BL100" s="314"/>
      <c r="BM100" s="314"/>
      <c r="BN100" s="314"/>
      <c r="BO100" s="314"/>
      <c r="BP100" s="313"/>
    </row>
    <row r="101" spans="1:68" s="257" customFormat="1" x14ac:dyDescent="0.2">
      <c r="A101" s="366"/>
      <c r="B101" s="366"/>
      <c r="C101" s="219"/>
      <c r="D101" s="219"/>
      <c r="E101" s="219"/>
      <c r="F101" s="300"/>
      <c r="G101" s="301"/>
      <c r="H101" s="301"/>
      <c r="I101" s="301"/>
      <c r="J101" s="302"/>
      <c r="K101" s="263"/>
      <c r="L101" s="301"/>
      <c r="M101" s="301"/>
      <c r="N101" s="301"/>
      <c r="O101" s="302"/>
      <c r="P101" s="303"/>
      <c r="Q101" s="302"/>
      <c r="R101" s="302"/>
      <c r="S101" s="302"/>
      <c r="T101" s="302"/>
      <c r="U101" s="302"/>
      <c r="V101" s="302"/>
      <c r="W101" s="263"/>
      <c r="X101" s="263"/>
      <c r="Y101" s="301"/>
      <c r="Z101" s="302"/>
      <c r="AA101" s="302"/>
      <c r="AB101" s="302"/>
      <c r="AC101" s="302"/>
      <c r="AD101" s="263"/>
      <c r="AE101" s="305"/>
      <c r="AF101" s="302"/>
      <c r="AG101" s="139"/>
      <c r="AH101" s="139"/>
      <c r="AI101" s="139"/>
      <c r="AJ101" s="306"/>
      <c r="AK101" s="306"/>
      <c r="AL101" s="306"/>
      <c r="AM101" s="307"/>
      <c r="AN101" s="308"/>
      <c r="AO101" s="139"/>
      <c r="AP101" s="139"/>
      <c r="AQ101" s="139"/>
      <c r="AR101" s="306"/>
      <c r="AS101" s="306"/>
      <c r="AT101" s="306"/>
      <c r="AU101" s="309"/>
      <c r="AV101" s="309"/>
      <c r="AW101" s="139"/>
      <c r="AX101" s="139"/>
      <c r="AY101" s="139"/>
      <c r="AZ101" s="306"/>
      <c r="BA101" s="306"/>
      <c r="BB101" s="306"/>
      <c r="BC101" s="310"/>
      <c r="BD101" s="310"/>
      <c r="BE101" s="309"/>
      <c r="BF101" s="311"/>
      <c r="BG101" s="311"/>
      <c r="BH101" s="312"/>
      <c r="BI101" s="313"/>
      <c r="BJ101" s="314"/>
      <c r="BK101" s="314"/>
      <c r="BL101" s="314"/>
      <c r="BM101" s="314"/>
      <c r="BN101" s="314"/>
      <c r="BO101" s="314"/>
      <c r="BP101" s="313"/>
    </row>
    <row r="102" spans="1:68" s="257" customFormat="1" x14ac:dyDescent="0.2">
      <c r="A102" s="366"/>
      <c r="B102" s="366"/>
      <c r="C102" s="220"/>
      <c r="D102" s="220"/>
      <c r="E102" s="220"/>
      <c r="F102" s="315"/>
      <c r="G102" s="301"/>
      <c r="H102" s="301"/>
      <c r="I102" s="301"/>
      <c r="J102" s="302"/>
      <c r="K102" s="263"/>
      <c r="L102" s="301"/>
      <c r="M102" s="301"/>
      <c r="N102" s="301"/>
      <c r="O102" s="302"/>
      <c r="P102" s="303"/>
      <c r="Q102" s="302"/>
      <c r="R102" s="302"/>
      <c r="S102" s="302"/>
      <c r="T102" s="302"/>
      <c r="U102" s="302"/>
      <c r="V102" s="302"/>
      <c r="W102" s="263"/>
      <c r="X102" s="263"/>
      <c r="Y102" s="301"/>
      <c r="Z102" s="302"/>
      <c r="AA102" s="302"/>
      <c r="AB102" s="302"/>
      <c r="AC102" s="302"/>
      <c r="AD102" s="263"/>
      <c r="AE102" s="305"/>
      <c r="AF102" s="302"/>
      <c r="AG102" s="139"/>
      <c r="AH102" s="139"/>
      <c r="AI102" s="139"/>
      <c r="AJ102" s="306"/>
      <c r="AK102" s="306"/>
      <c r="AL102" s="306"/>
      <c r="AM102" s="307"/>
      <c r="AN102" s="308"/>
      <c r="AO102" s="139"/>
      <c r="AP102" s="139"/>
      <c r="AQ102" s="139"/>
      <c r="AR102" s="306"/>
      <c r="AS102" s="306"/>
      <c r="AT102" s="306"/>
      <c r="AU102" s="309"/>
      <c r="AV102" s="309"/>
      <c r="AW102" s="139"/>
      <c r="AX102" s="139"/>
      <c r="AY102" s="139"/>
      <c r="AZ102" s="306"/>
      <c r="BA102" s="306"/>
      <c r="BB102" s="306"/>
      <c r="BC102" s="310"/>
      <c r="BD102" s="310"/>
      <c r="BE102" s="309"/>
      <c r="BF102" s="311"/>
      <c r="BG102" s="311"/>
      <c r="BH102" s="312"/>
      <c r="BI102" s="313"/>
      <c r="BJ102" s="314"/>
      <c r="BK102" s="314"/>
      <c r="BL102" s="314"/>
      <c r="BM102" s="314"/>
      <c r="BN102" s="314"/>
      <c r="BO102" s="314"/>
      <c r="BP102" s="313"/>
    </row>
    <row r="103" spans="1:68" s="257" customFormat="1" x14ac:dyDescent="0.2">
      <c r="A103" s="366"/>
      <c r="B103" s="366"/>
      <c r="C103" s="220"/>
      <c r="D103" s="220"/>
      <c r="E103" s="220"/>
      <c r="F103" s="315"/>
      <c r="G103" s="301"/>
      <c r="H103" s="301"/>
      <c r="I103" s="301"/>
      <c r="J103" s="302"/>
      <c r="K103" s="263"/>
      <c r="L103" s="301"/>
      <c r="M103" s="301"/>
      <c r="N103" s="301"/>
      <c r="O103" s="302"/>
      <c r="P103" s="303"/>
      <c r="Q103" s="302"/>
      <c r="R103" s="302"/>
      <c r="S103" s="302"/>
      <c r="T103" s="302"/>
      <c r="U103" s="302"/>
      <c r="V103" s="302"/>
      <c r="W103" s="263"/>
      <c r="X103" s="263"/>
      <c r="Y103" s="301"/>
      <c r="Z103" s="302"/>
      <c r="AA103" s="302"/>
      <c r="AB103" s="302"/>
      <c r="AC103" s="302"/>
      <c r="AD103" s="263"/>
      <c r="AE103" s="305"/>
      <c r="AF103" s="302"/>
      <c r="AG103" s="139"/>
      <c r="AH103" s="139"/>
      <c r="AI103" s="139"/>
      <c r="AJ103" s="306"/>
      <c r="AK103" s="306"/>
      <c r="AL103" s="306"/>
      <c r="AM103" s="316"/>
      <c r="AN103" s="308"/>
      <c r="AO103" s="139"/>
      <c r="AP103" s="139"/>
      <c r="AQ103" s="139"/>
      <c r="AR103" s="306"/>
      <c r="AS103" s="306"/>
      <c r="AT103" s="306"/>
      <c r="AU103" s="309"/>
      <c r="AV103" s="309"/>
      <c r="AW103" s="139"/>
      <c r="AX103" s="139"/>
      <c r="AY103" s="139"/>
      <c r="AZ103" s="306"/>
      <c r="BA103" s="306"/>
      <c r="BB103" s="306"/>
      <c r="BC103" s="310"/>
      <c r="BD103" s="310"/>
      <c r="BE103" s="309"/>
      <c r="BF103" s="311"/>
      <c r="BG103" s="311"/>
      <c r="BH103" s="312"/>
      <c r="BI103" s="313"/>
      <c r="BJ103" s="314"/>
      <c r="BK103" s="314"/>
      <c r="BL103" s="314"/>
      <c r="BM103" s="314"/>
      <c r="BN103" s="314"/>
      <c r="BO103" s="314"/>
      <c r="BP103" s="313"/>
    </row>
    <row r="104" spans="1:68" s="257" customFormat="1" x14ac:dyDescent="0.2">
      <c r="A104" s="365"/>
      <c r="B104" s="365"/>
      <c r="C104" s="284"/>
      <c r="D104" s="284"/>
      <c r="E104" s="284"/>
      <c r="F104" s="285"/>
      <c r="G104" s="286"/>
      <c r="H104" s="286"/>
      <c r="I104" s="286"/>
      <c r="J104" s="287"/>
      <c r="K104" s="259"/>
      <c r="L104" s="286"/>
      <c r="M104" s="286"/>
      <c r="N104" s="286"/>
      <c r="O104" s="287"/>
      <c r="P104" s="288"/>
      <c r="Q104" s="287"/>
      <c r="R104" s="287"/>
      <c r="S104" s="287"/>
      <c r="T104" s="287"/>
      <c r="U104" s="287"/>
      <c r="V104" s="287"/>
      <c r="W104" s="259"/>
      <c r="X104" s="259"/>
      <c r="Y104" s="286"/>
      <c r="Z104" s="287"/>
      <c r="AA104" s="287"/>
      <c r="AB104" s="287"/>
      <c r="AC104" s="287"/>
      <c r="AD104" s="259"/>
      <c r="AE104" s="289"/>
      <c r="AF104" s="287"/>
      <c r="AG104" s="290"/>
      <c r="AH104" s="290"/>
      <c r="AI104" s="287"/>
      <c r="AJ104" s="291"/>
      <c r="AK104" s="291"/>
      <c r="AL104" s="291"/>
      <c r="AM104" s="292"/>
      <c r="AN104" s="290"/>
      <c r="AO104" s="287"/>
      <c r="AP104" s="287"/>
      <c r="AQ104" s="287"/>
      <c r="AR104" s="291"/>
      <c r="AS104" s="291"/>
      <c r="AT104" s="291"/>
      <c r="AU104" s="293"/>
      <c r="AV104" s="293"/>
      <c r="AW104" s="287"/>
      <c r="AX104" s="287"/>
      <c r="AY104" s="287"/>
      <c r="AZ104" s="291"/>
      <c r="BA104" s="291"/>
      <c r="BB104" s="291"/>
      <c r="BC104" s="294"/>
      <c r="BD104" s="294"/>
      <c r="BE104" s="293"/>
      <c r="BF104" s="295"/>
      <c r="BG104" s="295"/>
      <c r="BH104" s="296"/>
      <c r="BI104" s="297"/>
      <c r="BJ104" s="298"/>
      <c r="BK104" s="298"/>
      <c r="BL104" s="298"/>
      <c r="BM104" s="298"/>
      <c r="BN104" s="298"/>
      <c r="BO104" s="298"/>
      <c r="BP104" s="297"/>
    </row>
    <row r="105" spans="1:68" s="257" customFormat="1" x14ac:dyDescent="0.2">
      <c r="A105" s="366"/>
      <c r="B105" s="366"/>
      <c r="C105" s="219"/>
      <c r="D105" s="219"/>
      <c r="E105" s="219"/>
      <c r="F105" s="300"/>
      <c r="G105" s="301"/>
      <c r="H105" s="301"/>
      <c r="I105" s="301"/>
      <c r="J105" s="302"/>
      <c r="K105" s="263"/>
      <c r="L105" s="301"/>
      <c r="M105" s="301"/>
      <c r="N105" s="301"/>
      <c r="O105" s="302"/>
      <c r="P105" s="303"/>
      <c r="Q105" s="302"/>
      <c r="R105" s="302"/>
      <c r="S105" s="302"/>
      <c r="T105" s="302"/>
      <c r="U105" s="302"/>
      <c r="V105" s="302"/>
      <c r="W105" s="263"/>
      <c r="X105" s="263"/>
      <c r="Y105" s="301"/>
      <c r="Z105" s="302"/>
      <c r="AA105" s="302"/>
      <c r="AB105" s="302"/>
      <c r="AC105" s="302"/>
      <c r="AD105" s="263"/>
      <c r="AE105" s="305"/>
      <c r="AF105" s="302"/>
      <c r="AG105" s="139"/>
      <c r="AH105" s="139"/>
      <c r="AI105" s="139"/>
      <c r="AJ105" s="306"/>
      <c r="AK105" s="306"/>
      <c r="AL105" s="306"/>
      <c r="AM105" s="307"/>
      <c r="AN105" s="308"/>
      <c r="AO105" s="139"/>
      <c r="AP105" s="139"/>
      <c r="AQ105" s="139"/>
      <c r="AR105" s="306"/>
      <c r="AS105" s="306"/>
      <c r="AT105" s="306"/>
      <c r="AU105" s="309"/>
      <c r="AV105" s="309"/>
      <c r="AW105" s="139"/>
      <c r="AX105" s="139"/>
      <c r="AY105" s="139"/>
      <c r="AZ105" s="306"/>
      <c r="BA105" s="306"/>
      <c r="BB105" s="306"/>
      <c r="BC105" s="310"/>
      <c r="BD105" s="310"/>
      <c r="BE105" s="309"/>
      <c r="BF105" s="311"/>
      <c r="BG105" s="311"/>
      <c r="BH105" s="312"/>
      <c r="BI105" s="313"/>
      <c r="BJ105" s="314"/>
      <c r="BK105" s="314"/>
      <c r="BL105" s="314"/>
      <c r="BM105" s="314"/>
      <c r="BN105" s="314"/>
      <c r="BO105" s="314"/>
      <c r="BP105" s="313"/>
    </row>
    <row r="106" spans="1:68" s="257" customFormat="1" x14ac:dyDescent="0.2">
      <c r="A106" s="366"/>
      <c r="B106" s="366"/>
      <c r="C106" s="219"/>
      <c r="D106" s="219"/>
      <c r="E106" s="219"/>
      <c r="F106" s="300"/>
      <c r="G106" s="301"/>
      <c r="H106" s="301"/>
      <c r="I106" s="301"/>
      <c r="J106" s="302"/>
      <c r="K106" s="263"/>
      <c r="L106" s="301"/>
      <c r="M106" s="301"/>
      <c r="N106" s="301"/>
      <c r="O106" s="302"/>
      <c r="P106" s="303"/>
      <c r="Q106" s="302"/>
      <c r="R106" s="302"/>
      <c r="S106" s="302"/>
      <c r="T106" s="302"/>
      <c r="U106" s="302"/>
      <c r="V106" s="302"/>
      <c r="W106" s="263"/>
      <c r="X106" s="263"/>
      <c r="Y106" s="301"/>
      <c r="Z106" s="302"/>
      <c r="AA106" s="302"/>
      <c r="AB106" s="302"/>
      <c r="AC106" s="302"/>
      <c r="AD106" s="263"/>
      <c r="AE106" s="305"/>
      <c r="AF106" s="302"/>
      <c r="AG106" s="139"/>
      <c r="AH106" s="139"/>
      <c r="AI106" s="139"/>
      <c r="AJ106" s="306"/>
      <c r="AK106" s="306"/>
      <c r="AL106" s="306"/>
      <c r="AM106" s="307"/>
      <c r="AN106" s="308"/>
      <c r="AO106" s="139"/>
      <c r="AP106" s="139"/>
      <c r="AQ106" s="139"/>
      <c r="AR106" s="306"/>
      <c r="AS106" s="306"/>
      <c r="AT106" s="306"/>
      <c r="AU106" s="309"/>
      <c r="AV106" s="309"/>
      <c r="AW106" s="139"/>
      <c r="AX106" s="139"/>
      <c r="AY106" s="139"/>
      <c r="AZ106" s="306"/>
      <c r="BA106" s="306"/>
      <c r="BB106" s="306"/>
      <c r="BC106" s="310"/>
      <c r="BD106" s="310"/>
      <c r="BE106" s="309"/>
      <c r="BF106" s="311"/>
      <c r="BG106" s="311"/>
      <c r="BH106" s="312"/>
      <c r="BI106" s="313"/>
      <c r="BJ106" s="314"/>
      <c r="BK106" s="314"/>
      <c r="BL106" s="314"/>
      <c r="BM106" s="314"/>
      <c r="BN106" s="314"/>
      <c r="BO106" s="314"/>
      <c r="BP106" s="313"/>
    </row>
    <row r="107" spans="1:68" s="257" customFormat="1" x14ac:dyDescent="0.2">
      <c r="A107" s="366"/>
      <c r="B107" s="366"/>
      <c r="C107" s="219"/>
      <c r="D107" s="219"/>
      <c r="E107" s="219"/>
      <c r="F107" s="300"/>
      <c r="G107" s="301"/>
      <c r="H107" s="301"/>
      <c r="I107" s="301"/>
      <c r="J107" s="302"/>
      <c r="K107" s="263"/>
      <c r="L107" s="301"/>
      <c r="M107" s="301"/>
      <c r="N107" s="301"/>
      <c r="O107" s="302"/>
      <c r="P107" s="303"/>
      <c r="Q107" s="302"/>
      <c r="R107" s="302"/>
      <c r="S107" s="302"/>
      <c r="T107" s="302"/>
      <c r="U107" s="302"/>
      <c r="V107" s="302"/>
      <c r="W107" s="263"/>
      <c r="X107" s="263"/>
      <c r="Y107" s="301"/>
      <c r="Z107" s="302"/>
      <c r="AA107" s="302"/>
      <c r="AB107" s="302"/>
      <c r="AC107" s="302"/>
      <c r="AD107" s="263"/>
      <c r="AE107" s="305"/>
      <c r="AF107" s="302"/>
      <c r="AG107" s="139"/>
      <c r="AH107" s="139"/>
      <c r="AI107" s="139"/>
      <c r="AJ107" s="306"/>
      <c r="AK107" s="306"/>
      <c r="AL107" s="306"/>
      <c r="AM107" s="307"/>
      <c r="AN107" s="308"/>
      <c r="AO107" s="139"/>
      <c r="AP107" s="139"/>
      <c r="AQ107" s="139"/>
      <c r="AR107" s="306"/>
      <c r="AS107" s="306"/>
      <c r="AT107" s="306"/>
      <c r="AU107" s="309"/>
      <c r="AV107" s="309"/>
      <c r="AW107" s="139"/>
      <c r="AX107" s="139"/>
      <c r="AY107" s="139"/>
      <c r="AZ107" s="306"/>
      <c r="BA107" s="306"/>
      <c r="BB107" s="306"/>
      <c r="BC107" s="310"/>
      <c r="BD107" s="310"/>
      <c r="BE107" s="309"/>
      <c r="BF107" s="311"/>
      <c r="BG107" s="311"/>
      <c r="BH107" s="312"/>
      <c r="BI107" s="313"/>
      <c r="BJ107" s="314"/>
      <c r="BK107" s="314"/>
      <c r="BL107" s="314"/>
      <c r="BM107" s="314"/>
      <c r="BN107" s="314"/>
      <c r="BO107" s="314"/>
      <c r="BP107" s="313"/>
    </row>
    <row r="108" spans="1:68" s="257" customFormat="1" x14ac:dyDescent="0.2">
      <c r="A108" s="366"/>
      <c r="B108" s="366"/>
      <c r="C108" s="219"/>
      <c r="D108" s="219"/>
      <c r="E108" s="219"/>
      <c r="F108" s="300"/>
      <c r="G108" s="301"/>
      <c r="H108" s="301"/>
      <c r="I108" s="301"/>
      <c r="J108" s="302"/>
      <c r="K108" s="263"/>
      <c r="L108" s="301"/>
      <c r="M108" s="301"/>
      <c r="N108" s="301"/>
      <c r="O108" s="302"/>
      <c r="P108" s="303"/>
      <c r="Q108" s="302"/>
      <c r="R108" s="302"/>
      <c r="S108" s="302"/>
      <c r="T108" s="302"/>
      <c r="U108" s="302"/>
      <c r="V108" s="302"/>
      <c r="W108" s="263"/>
      <c r="X108" s="263"/>
      <c r="Y108" s="301"/>
      <c r="Z108" s="302"/>
      <c r="AA108" s="302"/>
      <c r="AB108" s="302"/>
      <c r="AC108" s="302"/>
      <c r="AD108" s="263"/>
      <c r="AE108" s="305"/>
      <c r="AF108" s="302"/>
      <c r="AG108" s="139"/>
      <c r="AH108" s="139"/>
      <c r="AI108" s="139"/>
      <c r="AJ108" s="306"/>
      <c r="AK108" s="306"/>
      <c r="AL108" s="306"/>
      <c r="AM108" s="307"/>
      <c r="AN108" s="308"/>
      <c r="AO108" s="139"/>
      <c r="AP108" s="139"/>
      <c r="AQ108" s="139"/>
      <c r="AR108" s="306"/>
      <c r="AS108" s="306"/>
      <c r="AT108" s="306"/>
      <c r="AU108" s="309"/>
      <c r="AV108" s="309"/>
      <c r="AW108" s="139"/>
      <c r="AX108" s="139"/>
      <c r="AY108" s="139"/>
      <c r="AZ108" s="306"/>
      <c r="BA108" s="306"/>
      <c r="BB108" s="306"/>
      <c r="BC108" s="310"/>
      <c r="BD108" s="310"/>
      <c r="BE108" s="309"/>
      <c r="BF108" s="311"/>
      <c r="BG108" s="311"/>
      <c r="BH108" s="312"/>
      <c r="BI108" s="313"/>
      <c r="BJ108" s="314"/>
      <c r="BK108" s="314"/>
      <c r="BL108" s="314"/>
      <c r="BM108" s="314"/>
      <c r="BN108" s="314"/>
      <c r="BO108" s="314"/>
      <c r="BP108" s="313"/>
    </row>
    <row r="109" spans="1:68" s="257" customFormat="1" x14ac:dyDescent="0.2">
      <c r="A109" s="366"/>
      <c r="B109" s="366"/>
      <c r="C109" s="219"/>
      <c r="D109" s="219"/>
      <c r="E109" s="219"/>
      <c r="F109" s="300"/>
      <c r="G109" s="301"/>
      <c r="H109" s="301"/>
      <c r="I109" s="301"/>
      <c r="J109" s="302"/>
      <c r="K109" s="263"/>
      <c r="L109" s="301"/>
      <c r="M109" s="301"/>
      <c r="N109" s="301"/>
      <c r="O109" s="302"/>
      <c r="P109" s="303"/>
      <c r="Q109" s="302"/>
      <c r="R109" s="302"/>
      <c r="S109" s="302"/>
      <c r="T109" s="302"/>
      <c r="U109" s="302"/>
      <c r="V109" s="302"/>
      <c r="W109" s="263"/>
      <c r="X109" s="263"/>
      <c r="Y109" s="301"/>
      <c r="Z109" s="302"/>
      <c r="AA109" s="302"/>
      <c r="AB109" s="302"/>
      <c r="AC109" s="302"/>
      <c r="AD109" s="263"/>
      <c r="AE109" s="305"/>
      <c r="AF109" s="302"/>
      <c r="AG109" s="139"/>
      <c r="AH109" s="139"/>
      <c r="AI109" s="139"/>
      <c r="AJ109" s="306"/>
      <c r="AK109" s="306"/>
      <c r="AL109" s="306"/>
      <c r="AM109" s="307"/>
      <c r="AN109" s="308"/>
      <c r="AO109" s="139"/>
      <c r="AP109" s="139"/>
      <c r="AQ109" s="139"/>
      <c r="AR109" s="306"/>
      <c r="AS109" s="306"/>
      <c r="AT109" s="306"/>
      <c r="AU109" s="309"/>
      <c r="AV109" s="309"/>
      <c r="AW109" s="139"/>
      <c r="AX109" s="139"/>
      <c r="AY109" s="139"/>
      <c r="AZ109" s="306"/>
      <c r="BA109" s="306"/>
      <c r="BB109" s="306"/>
      <c r="BC109" s="310"/>
      <c r="BD109" s="310"/>
      <c r="BE109" s="309"/>
      <c r="BF109" s="311"/>
      <c r="BG109" s="311"/>
      <c r="BH109" s="312"/>
      <c r="BI109" s="313"/>
      <c r="BJ109" s="314"/>
      <c r="BK109" s="314"/>
      <c r="BL109" s="314"/>
      <c r="BM109" s="314"/>
      <c r="BN109" s="314"/>
      <c r="BO109" s="314"/>
      <c r="BP109" s="313"/>
    </row>
    <row r="110" spans="1:68" s="257" customFormat="1" x14ac:dyDescent="0.2">
      <c r="A110" s="366"/>
      <c r="B110" s="366"/>
      <c r="C110" s="219"/>
      <c r="D110" s="219"/>
      <c r="E110" s="219"/>
      <c r="F110" s="300"/>
      <c r="G110" s="301"/>
      <c r="H110" s="301"/>
      <c r="I110" s="301"/>
      <c r="J110" s="302"/>
      <c r="K110" s="263"/>
      <c r="L110" s="301"/>
      <c r="M110" s="301"/>
      <c r="N110" s="301"/>
      <c r="O110" s="302"/>
      <c r="P110" s="303"/>
      <c r="Q110" s="302"/>
      <c r="R110" s="302"/>
      <c r="S110" s="302"/>
      <c r="T110" s="302"/>
      <c r="U110" s="302"/>
      <c r="V110" s="302"/>
      <c r="W110" s="263"/>
      <c r="X110" s="263"/>
      <c r="Y110" s="301"/>
      <c r="Z110" s="302"/>
      <c r="AA110" s="302"/>
      <c r="AB110" s="302"/>
      <c r="AC110" s="302"/>
      <c r="AD110" s="263"/>
      <c r="AE110" s="305"/>
      <c r="AF110" s="302"/>
      <c r="AG110" s="139"/>
      <c r="AH110" s="139"/>
      <c r="AI110" s="139"/>
      <c r="AJ110" s="306"/>
      <c r="AK110" s="306"/>
      <c r="AL110" s="306"/>
      <c r="AM110" s="307"/>
      <c r="AN110" s="308"/>
      <c r="AO110" s="139"/>
      <c r="AP110" s="139"/>
      <c r="AQ110" s="139"/>
      <c r="AR110" s="306"/>
      <c r="AS110" s="306"/>
      <c r="AT110" s="306"/>
      <c r="AU110" s="309"/>
      <c r="AV110" s="309"/>
      <c r="AW110" s="139"/>
      <c r="AX110" s="139"/>
      <c r="AY110" s="139"/>
      <c r="AZ110" s="306"/>
      <c r="BA110" s="306"/>
      <c r="BB110" s="306"/>
      <c r="BC110" s="310"/>
      <c r="BD110" s="310"/>
      <c r="BE110" s="309"/>
      <c r="BF110" s="311"/>
      <c r="BG110" s="311"/>
      <c r="BH110" s="312"/>
      <c r="BI110" s="313"/>
      <c r="BJ110" s="314"/>
      <c r="BK110" s="314"/>
      <c r="BL110" s="314"/>
      <c r="BM110" s="314"/>
      <c r="BN110" s="314"/>
      <c r="BO110" s="314"/>
      <c r="BP110" s="313"/>
    </row>
    <row r="111" spans="1:68" s="257" customFormat="1" x14ac:dyDescent="0.2">
      <c r="A111" s="366"/>
      <c r="B111" s="366"/>
      <c r="C111" s="219"/>
      <c r="D111" s="219"/>
      <c r="E111" s="219"/>
      <c r="F111" s="300"/>
      <c r="G111" s="301"/>
      <c r="H111" s="301"/>
      <c r="I111" s="301"/>
      <c r="J111" s="302"/>
      <c r="K111" s="263"/>
      <c r="L111" s="301"/>
      <c r="M111" s="301"/>
      <c r="N111" s="301"/>
      <c r="O111" s="302"/>
      <c r="P111" s="303"/>
      <c r="Q111" s="302"/>
      <c r="R111" s="302"/>
      <c r="S111" s="302"/>
      <c r="T111" s="302"/>
      <c r="U111" s="302"/>
      <c r="V111" s="302"/>
      <c r="W111" s="263"/>
      <c r="X111" s="263"/>
      <c r="Y111" s="301"/>
      <c r="Z111" s="302"/>
      <c r="AA111" s="302"/>
      <c r="AB111" s="302"/>
      <c r="AC111" s="302"/>
      <c r="AD111" s="263"/>
      <c r="AE111" s="305"/>
      <c r="AF111" s="302"/>
      <c r="AG111" s="139"/>
      <c r="AH111" s="139"/>
      <c r="AI111" s="139"/>
      <c r="AJ111" s="306"/>
      <c r="AK111" s="306"/>
      <c r="AL111" s="306"/>
      <c r="AM111" s="307"/>
      <c r="AN111" s="308"/>
      <c r="AO111" s="139"/>
      <c r="AP111" s="139"/>
      <c r="AQ111" s="139"/>
      <c r="AR111" s="306"/>
      <c r="AS111" s="306"/>
      <c r="AT111" s="306"/>
      <c r="AU111" s="309"/>
      <c r="AV111" s="309"/>
      <c r="AW111" s="139"/>
      <c r="AX111" s="139"/>
      <c r="AY111" s="139"/>
      <c r="AZ111" s="306"/>
      <c r="BA111" s="306"/>
      <c r="BB111" s="306"/>
      <c r="BC111" s="310"/>
      <c r="BD111" s="310"/>
      <c r="BE111" s="309"/>
      <c r="BF111" s="311"/>
      <c r="BG111" s="311"/>
      <c r="BH111" s="312"/>
      <c r="BI111" s="313"/>
      <c r="BJ111" s="314"/>
      <c r="BK111" s="314"/>
      <c r="BL111" s="314"/>
      <c r="BM111" s="314"/>
      <c r="BN111" s="314"/>
      <c r="BO111" s="314"/>
      <c r="BP111" s="313"/>
    </row>
    <row r="112" spans="1:68" s="257" customFormat="1" x14ac:dyDescent="0.2">
      <c r="A112" s="366"/>
      <c r="B112" s="366"/>
      <c r="C112" s="219"/>
      <c r="D112" s="219"/>
      <c r="E112" s="219"/>
      <c r="F112" s="300"/>
      <c r="G112" s="301"/>
      <c r="H112" s="301"/>
      <c r="I112" s="301"/>
      <c r="J112" s="302"/>
      <c r="K112" s="263"/>
      <c r="L112" s="301"/>
      <c r="M112" s="301"/>
      <c r="N112" s="301"/>
      <c r="O112" s="302"/>
      <c r="P112" s="303"/>
      <c r="Q112" s="302"/>
      <c r="R112" s="302"/>
      <c r="S112" s="302"/>
      <c r="T112" s="302"/>
      <c r="U112" s="302"/>
      <c r="V112" s="302"/>
      <c r="W112" s="263"/>
      <c r="X112" s="263"/>
      <c r="Y112" s="301"/>
      <c r="Z112" s="302"/>
      <c r="AA112" s="302"/>
      <c r="AB112" s="302"/>
      <c r="AC112" s="302"/>
      <c r="AD112" s="263"/>
      <c r="AE112" s="305"/>
      <c r="AF112" s="302"/>
      <c r="AG112" s="139"/>
      <c r="AH112" s="139"/>
      <c r="AI112" s="139"/>
      <c r="AJ112" s="306"/>
      <c r="AK112" s="306"/>
      <c r="AL112" s="306"/>
      <c r="AM112" s="307"/>
      <c r="AN112" s="308"/>
      <c r="AO112" s="139"/>
      <c r="AP112" s="139"/>
      <c r="AQ112" s="139"/>
      <c r="AR112" s="306"/>
      <c r="AS112" s="306"/>
      <c r="AT112" s="306"/>
      <c r="AU112" s="309"/>
      <c r="AV112" s="309"/>
      <c r="AW112" s="139"/>
      <c r="AX112" s="139"/>
      <c r="AY112" s="139"/>
      <c r="AZ112" s="306"/>
      <c r="BA112" s="306"/>
      <c r="BB112" s="306"/>
      <c r="BC112" s="310"/>
      <c r="BD112" s="310"/>
      <c r="BE112" s="309"/>
      <c r="BF112" s="311"/>
      <c r="BG112" s="311"/>
      <c r="BH112" s="312"/>
      <c r="BI112" s="313"/>
      <c r="BJ112" s="314"/>
      <c r="BK112" s="314"/>
      <c r="BL112" s="314"/>
      <c r="BM112" s="314"/>
      <c r="BN112" s="314"/>
      <c r="BO112" s="314"/>
      <c r="BP112" s="313"/>
    </row>
    <row r="113" spans="1:68" s="257" customFormat="1" x14ac:dyDescent="0.2">
      <c r="A113" s="366"/>
      <c r="B113" s="366"/>
      <c r="C113" s="220"/>
      <c r="D113" s="220"/>
      <c r="E113" s="220"/>
      <c r="F113" s="315"/>
      <c r="G113" s="301"/>
      <c r="H113" s="301"/>
      <c r="I113" s="301"/>
      <c r="J113" s="302"/>
      <c r="K113" s="263"/>
      <c r="L113" s="301"/>
      <c r="M113" s="301"/>
      <c r="N113" s="301"/>
      <c r="O113" s="302"/>
      <c r="P113" s="303"/>
      <c r="Q113" s="302"/>
      <c r="R113" s="302"/>
      <c r="S113" s="302"/>
      <c r="T113" s="302"/>
      <c r="U113" s="302"/>
      <c r="V113" s="302"/>
      <c r="W113" s="263"/>
      <c r="X113" s="263"/>
      <c r="Y113" s="301"/>
      <c r="Z113" s="302"/>
      <c r="AA113" s="302"/>
      <c r="AB113" s="302"/>
      <c r="AC113" s="302"/>
      <c r="AD113" s="263"/>
      <c r="AE113" s="305"/>
      <c r="AF113" s="302"/>
      <c r="AG113" s="139"/>
      <c r="AH113" s="139"/>
      <c r="AI113" s="139"/>
      <c r="AJ113" s="306"/>
      <c r="AK113" s="306"/>
      <c r="AL113" s="306"/>
      <c r="AM113" s="307"/>
      <c r="AN113" s="308"/>
      <c r="AO113" s="139"/>
      <c r="AP113" s="139"/>
      <c r="AQ113" s="139"/>
      <c r="AR113" s="306"/>
      <c r="AS113" s="306"/>
      <c r="AT113" s="306"/>
      <c r="AU113" s="309"/>
      <c r="AV113" s="309"/>
      <c r="AW113" s="139"/>
      <c r="AX113" s="139"/>
      <c r="AY113" s="139"/>
      <c r="AZ113" s="306"/>
      <c r="BA113" s="306"/>
      <c r="BB113" s="306"/>
      <c r="BC113" s="310"/>
      <c r="BD113" s="310"/>
      <c r="BE113" s="309"/>
      <c r="BF113" s="311"/>
      <c r="BG113" s="311"/>
      <c r="BH113" s="312"/>
      <c r="BI113" s="313"/>
      <c r="BJ113" s="314"/>
      <c r="BK113" s="314"/>
      <c r="BL113" s="314"/>
      <c r="BM113" s="314"/>
      <c r="BN113" s="314"/>
      <c r="BO113" s="314"/>
      <c r="BP113" s="313"/>
    </row>
    <row r="114" spans="1:68" s="257" customFormat="1" x14ac:dyDescent="0.2">
      <c r="A114" s="366"/>
      <c r="B114" s="366"/>
      <c r="C114" s="220"/>
      <c r="D114" s="220"/>
      <c r="E114" s="220"/>
      <c r="F114" s="315"/>
      <c r="G114" s="301"/>
      <c r="H114" s="301"/>
      <c r="I114" s="301"/>
      <c r="J114" s="302"/>
      <c r="K114" s="263"/>
      <c r="L114" s="301"/>
      <c r="M114" s="301"/>
      <c r="N114" s="301"/>
      <c r="O114" s="302"/>
      <c r="P114" s="303"/>
      <c r="Q114" s="302"/>
      <c r="R114" s="302"/>
      <c r="S114" s="302"/>
      <c r="T114" s="302"/>
      <c r="U114" s="302"/>
      <c r="V114" s="302"/>
      <c r="W114" s="263"/>
      <c r="X114" s="263"/>
      <c r="Y114" s="301"/>
      <c r="Z114" s="302"/>
      <c r="AA114" s="302"/>
      <c r="AB114" s="302"/>
      <c r="AC114" s="302"/>
      <c r="AD114" s="263"/>
      <c r="AE114" s="305"/>
      <c r="AF114" s="302"/>
      <c r="AG114" s="139"/>
      <c r="AH114" s="139"/>
      <c r="AI114" s="139"/>
      <c r="AJ114" s="306"/>
      <c r="AK114" s="306"/>
      <c r="AL114" s="306"/>
      <c r="AM114" s="316"/>
      <c r="AN114" s="308"/>
      <c r="AO114" s="139"/>
      <c r="AP114" s="139"/>
      <c r="AQ114" s="139"/>
      <c r="AR114" s="306"/>
      <c r="AS114" s="306"/>
      <c r="AT114" s="306"/>
      <c r="AU114" s="309"/>
      <c r="AV114" s="309"/>
      <c r="AW114" s="139"/>
      <c r="AX114" s="139"/>
      <c r="AY114" s="139"/>
      <c r="AZ114" s="306"/>
      <c r="BA114" s="306"/>
      <c r="BB114" s="306"/>
      <c r="BC114" s="310"/>
      <c r="BD114" s="310"/>
      <c r="BE114" s="309"/>
      <c r="BF114" s="311"/>
      <c r="BG114" s="311"/>
      <c r="BH114" s="312"/>
      <c r="BI114" s="313"/>
      <c r="BJ114" s="314"/>
      <c r="BK114" s="314"/>
      <c r="BL114" s="314"/>
      <c r="BM114" s="314"/>
      <c r="BN114" s="314"/>
      <c r="BO114" s="314"/>
      <c r="BP114" s="313"/>
    </row>
    <row r="115" spans="1:68" s="257" customFormat="1" x14ac:dyDescent="0.2">
      <c r="A115" s="365"/>
      <c r="B115" s="365"/>
      <c r="C115" s="284"/>
      <c r="D115" s="284"/>
      <c r="E115" s="284"/>
      <c r="F115" s="285"/>
      <c r="G115" s="286"/>
      <c r="H115" s="286"/>
      <c r="I115" s="286"/>
      <c r="J115" s="287"/>
      <c r="K115" s="259"/>
      <c r="L115" s="286"/>
      <c r="M115" s="286"/>
      <c r="N115" s="286"/>
      <c r="O115" s="287"/>
      <c r="P115" s="288"/>
      <c r="Q115" s="287"/>
      <c r="R115" s="287"/>
      <c r="S115" s="287"/>
      <c r="T115" s="287"/>
      <c r="U115" s="287"/>
      <c r="V115" s="287"/>
      <c r="W115" s="259"/>
      <c r="X115" s="259"/>
      <c r="Y115" s="286"/>
      <c r="Z115" s="287"/>
      <c r="AA115" s="287"/>
      <c r="AB115" s="287"/>
      <c r="AC115" s="287"/>
      <c r="AD115" s="259"/>
      <c r="AE115" s="289"/>
      <c r="AF115" s="287"/>
      <c r="AG115" s="290"/>
      <c r="AH115" s="290"/>
      <c r="AI115" s="287"/>
      <c r="AJ115" s="291"/>
      <c r="AK115" s="291"/>
      <c r="AL115" s="291"/>
      <c r="AM115" s="292"/>
      <c r="AN115" s="290"/>
      <c r="AO115" s="287"/>
      <c r="AP115" s="287"/>
      <c r="AQ115" s="287"/>
      <c r="AR115" s="291"/>
      <c r="AS115" s="291"/>
      <c r="AT115" s="291"/>
      <c r="AU115" s="293"/>
      <c r="AV115" s="293"/>
      <c r="AW115" s="287"/>
      <c r="AX115" s="287"/>
      <c r="AY115" s="287"/>
      <c r="AZ115" s="291"/>
      <c r="BA115" s="291"/>
      <c r="BB115" s="291"/>
      <c r="BC115" s="294"/>
      <c r="BD115" s="294"/>
      <c r="BE115" s="293"/>
      <c r="BF115" s="295"/>
      <c r="BG115" s="295"/>
      <c r="BH115" s="296"/>
      <c r="BI115" s="297"/>
      <c r="BJ115" s="298"/>
      <c r="BK115" s="298"/>
      <c r="BL115" s="298"/>
      <c r="BM115" s="298"/>
      <c r="BN115" s="298"/>
      <c r="BO115" s="298"/>
      <c r="BP115" s="297"/>
    </row>
    <row r="116" spans="1:68" s="257" customFormat="1" x14ac:dyDescent="0.2">
      <c r="A116" s="366"/>
      <c r="B116" s="366"/>
      <c r="C116" s="341"/>
      <c r="D116" s="341"/>
      <c r="E116" s="341"/>
      <c r="F116" s="300"/>
      <c r="G116" s="301"/>
      <c r="H116" s="301"/>
      <c r="I116" s="301"/>
      <c r="J116" s="302"/>
      <c r="K116" s="263"/>
      <c r="L116" s="301"/>
      <c r="M116" s="301"/>
      <c r="N116" s="301"/>
      <c r="O116" s="302"/>
      <c r="P116" s="303"/>
      <c r="Q116" s="302"/>
      <c r="R116" s="302"/>
      <c r="S116" s="302"/>
      <c r="T116" s="302"/>
      <c r="U116" s="302"/>
      <c r="V116" s="302"/>
      <c r="W116" s="263"/>
      <c r="X116" s="263"/>
      <c r="Y116" s="301"/>
      <c r="Z116" s="302"/>
      <c r="AA116" s="302"/>
      <c r="AB116" s="302"/>
      <c r="AC116" s="302"/>
      <c r="AD116" s="263"/>
      <c r="AE116" s="305"/>
      <c r="AF116" s="302"/>
      <c r="AG116" s="139"/>
      <c r="AH116" s="139"/>
      <c r="AI116" s="139"/>
      <c r="AJ116" s="306"/>
      <c r="AK116" s="306"/>
      <c r="AL116" s="306"/>
      <c r="AM116" s="307"/>
      <c r="AN116" s="308"/>
      <c r="AO116" s="139"/>
      <c r="AP116" s="139"/>
      <c r="AQ116" s="139"/>
      <c r="AR116" s="306"/>
      <c r="AS116" s="306"/>
      <c r="AT116" s="306"/>
      <c r="AU116" s="309"/>
      <c r="AV116" s="309"/>
      <c r="AW116" s="139"/>
      <c r="AX116" s="139"/>
      <c r="AY116" s="139"/>
      <c r="AZ116" s="306"/>
      <c r="BA116" s="306"/>
      <c r="BB116" s="306"/>
      <c r="BC116" s="310"/>
      <c r="BD116" s="310"/>
      <c r="BE116" s="309"/>
      <c r="BF116" s="311"/>
      <c r="BG116" s="311"/>
      <c r="BH116" s="312"/>
      <c r="BI116" s="313"/>
      <c r="BJ116" s="314"/>
      <c r="BK116" s="314"/>
      <c r="BL116" s="314"/>
      <c r="BM116" s="314"/>
      <c r="BN116" s="314"/>
      <c r="BO116" s="314"/>
      <c r="BP116" s="313"/>
    </row>
    <row r="117" spans="1:68" s="257" customFormat="1" x14ac:dyDescent="0.2">
      <c r="A117" s="366"/>
      <c r="B117" s="366"/>
      <c r="C117" s="341"/>
      <c r="D117" s="341"/>
      <c r="E117" s="341"/>
      <c r="F117" s="300"/>
      <c r="G117" s="301"/>
      <c r="H117" s="301"/>
      <c r="I117" s="301"/>
      <c r="J117" s="302"/>
      <c r="K117" s="263"/>
      <c r="L117" s="301"/>
      <c r="M117" s="301"/>
      <c r="N117" s="301"/>
      <c r="O117" s="302"/>
      <c r="P117" s="303"/>
      <c r="Q117" s="302"/>
      <c r="R117" s="302"/>
      <c r="S117" s="302"/>
      <c r="T117" s="302"/>
      <c r="U117" s="302"/>
      <c r="V117" s="302"/>
      <c r="W117" s="263"/>
      <c r="X117" s="263"/>
      <c r="Y117" s="301"/>
      <c r="Z117" s="302"/>
      <c r="AA117" s="301"/>
      <c r="AB117" s="301"/>
      <c r="AC117" s="301"/>
      <c r="AD117" s="263"/>
      <c r="AE117" s="305"/>
      <c r="AF117" s="302"/>
      <c r="AG117" s="153"/>
      <c r="AH117" s="153"/>
      <c r="AI117" s="153"/>
      <c r="AJ117" s="306"/>
      <c r="AK117" s="306"/>
      <c r="AL117" s="306"/>
      <c r="AM117" s="307"/>
      <c r="AN117" s="308"/>
      <c r="AO117" s="139"/>
      <c r="AP117" s="139"/>
      <c r="AQ117" s="139"/>
      <c r="AR117" s="306"/>
      <c r="AS117" s="306"/>
      <c r="AT117" s="306"/>
      <c r="AU117" s="309"/>
      <c r="AV117" s="309"/>
      <c r="AW117" s="139"/>
      <c r="AX117" s="139"/>
      <c r="AY117" s="139"/>
      <c r="AZ117" s="306"/>
      <c r="BA117" s="306"/>
      <c r="BB117" s="306"/>
      <c r="BC117" s="310"/>
      <c r="BD117" s="310"/>
      <c r="BE117" s="309"/>
      <c r="BF117" s="311"/>
      <c r="BG117" s="311"/>
      <c r="BH117" s="312"/>
      <c r="BI117" s="313"/>
      <c r="BJ117" s="314"/>
      <c r="BK117" s="314"/>
      <c r="BL117" s="314"/>
      <c r="BM117" s="314"/>
      <c r="BN117" s="314"/>
      <c r="BO117" s="314"/>
      <c r="BP117" s="313"/>
    </row>
    <row r="118" spans="1:68" s="257" customFormat="1" x14ac:dyDescent="0.2">
      <c r="A118" s="366"/>
      <c r="B118" s="366"/>
      <c r="C118" s="341"/>
      <c r="D118" s="341"/>
      <c r="E118" s="341"/>
      <c r="F118" s="300"/>
      <c r="G118" s="301"/>
      <c r="H118" s="301"/>
      <c r="I118" s="301"/>
      <c r="J118" s="302"/>
      <c r="K118" s="263"/>
      <c r="L118" s="301"/>
      <c r="M118" s="301"/>
      <c r="N118" s="301"/>
      <c r="O118" s="302"/>
      <c r="P118" s="303"/>
      <c r="Q118" s="302"/>
      <c r="R118" s="302"/>
      <c r="S118" s="302"/>
      <c r="T118" s="302"/>
      <c r="U118" s="302"/>
      <c r="V118" s="302"/>
      <c r="W118" s="263"/>
      <c r="X118" s="263"/>
      <c r="Y118" s="301"/>
      <c r="Z118" s="302"/>
      <c r="AA118" s="301"/>
      <c r="AB118" s="301"/>
      <c r="AC118" s="301"/>
      <c r="AD118" s="263"/>
      <c r="AE118" s="305"/>
      <c r="AF118" s="302"/>
      <c r="AG118" s="153"/>
      <c r="AH118" s="153"/>
      <c r="AI118" s="153"/>
      <c r="AJ118" s="306"/>
      <c r="AK118" s="306"/>
      <c r="AL118" s="306"/>
      <c r="AM118" s="307"/>
      <c r="AN118" s="308"/>
      <c r="AO118" s="139"/>
      <c r="AP118" s="139"/>
      <c r="AQ118" s="139"/>
      <c r="AR118" s="306"/>
      <c r="AS118" s="306"/>
      <c r="AT118" s="306"/>
      <c r="AU118" s="309"/>
      <c r="AV118" s="309"/>
      <c r="AW118" s="139"/>
      <c r="AX118" s="139"/>
      <c r="AY118" s="139"/>
      <c r="AZ118" s="306"/>
      <c r="BA118" s="306"/>
      <c r="BB118" s="306"/>
      <c r="BC118" s="310"/>
      <c r="BD118" s="310"/>
      <c r="BE118" s="309"/>
      <c r="BF118" s="311"/>
      <c r="BG118" s="311"/>
      <c r="BH118" s="312"/>
      <c r="BI118" s="313"/>
      <c r="BJ118" s="314"/>
      <c r="BK118" s="314"/>
      <c r="BL118" s="314"/>
      <c r="BM118" s="314"/>
      <c r="BN118" s="314"/>
      <c r="BO118" s="314"/>
      <c r="BP118" s="313"/>
    </row>
    <row r="119" spans="1:68" s="257" customFormat="1" x14ac:dyDescent="0.2">
      <c r="A119" s="366"/>
      <c r="B119" s="366"/>
      <c r="C119" s="341"/>
      <c r="D119" s="341"/>
      <c r="E119" s="341"/>
      <c r="F119" s="300"/>
      <c r="G119" s="301"/>
      <c r="H119" s="301"/>
      <c r="I119" s="301"/>
      <c r="J119" s="302"/>
      <c r="K119" s="263"/>
      <c r="L119" s="301"/>
      <c r="M119" s="301"/>
      <c r="N119" s="301"/>
      <c r="O119" s="302"/>
      <c r="P119" s="303"/>
      <c r="Q119" s="302"/>
      <c r="R119" s="302"/>
      <c r="S119" s="302"/>
      <c r="T119" s="302"/>
      <c r="U119" s="302"/>
      <c r="V119" s="302"/>
      <c r="W119" s="263"/>
      <c r="X119" s="263"/>
      <c r="Y119" s="301"/>
      <c r="Z119" s="302"/>
      <c r="AA119" s="301"/>
      <c r="AB119" s="301"/>
      <c r="AC119" s="301"/>
      <c r="AD119" s="263"/>
      <c r="AE119" s="305"/>
      <c r="AF119" s="302"/>
      <c r="AG119" s="153"/>
      <c r="AH119" s="153"/>
      <c r="AI119" s="153"/>
      <c r="AJ119" s="306"/>
      <c r="AK119" s="306"/>
      <c r="AL119" s="306"/>
      <c r="AM119" s="307"/>
      <c r="AN119" s="308"/>
      <c r="AO119" s="139"/>
      <c r="AP119" s="139"/>
      <c r="AQ119" s="139"/>
      <c r="AR119" s="306"/>
      <c r="AS119" s="306"/>
      <c r="AT119" s="306"/>
      <c r="AU119" s="309"/>
      <c r="AV119" s="309"/>
      <c r="AW119" s="139"/>
      <c r="AX119" s="139"/>
      <c r="AY119" s="139"/>
      <c r="AZ119" s="306"/>
      <c r="BA119" s="306"/>
      <c r="BB119" s="306"/>
      <c r="BC119" s="310"/>
      <c r="BD119" s="310"/>
      <c r="BE119" s="309"/>
      <c r="BF119" s="311"/>
      <c r="BG119" s="311"/>
      <c r="BH119" s="312"/>
      <c r="BI119" s="313"/>
      <c r="BJ119" s="314"/>
      <c r="BK119" s="314"/>
      <c r="BL119" s="314"/>
      <c r="BM119" s="314"/>
      <c r="BN119" s="314"/>
      <c r="BO119" s="314"/>
      <c r="BP119" s="313"/>
    </row>
    <row r="120" spans="1:68" s="257" customFormat="1" x14ac:dyDescent="0.2">
      <c r="A120" s="366"/>
      <c r="B120" s="366"/>
      <c r="C120" s="341"/>
      <c r="D120" s="341"/>
      <c r="E120" s="341"/>
      <c r="F120" s="300"/>
      <c r="G120" s="301"/>
      <c r="H120" s="301"/>
      <c r="I120" s="301"/>
      <c r="J120" s="302"/>
      <c r="K120" s="263"/>
      <c r="L120" s="301"/>
      <c r="M120" s="301"/>
      <c r="N120" s="301"/>
      <c r="O120" s="302"/>
      <c r="P120" s="303"/>
      <c r="Q120" s="302"/>
      <c r="R120" s="302"/>
      <c r="S120" s="302"/>
      <c r="T120" s="302"/>
      <c r="U120" s="302"/>
      <c r="V120" s="302"/>
      <c r="W120" s="263"/>
      <c r="X120" s="263"/>
      <c r="Y120" s="301"/>
      <c r="Z120" s="302"/>
      <c r="AA120" s="301"/>
      <c r="AB120" s="301"/>
      <c r="AC120" s="301"/>
      <c r="AD120" s="263"/>
      <c r="AE120" s="305"/>
      <c r="AF120" s="302"/>
      <c r="AG120" s="153"/>
      <c r="AH120" s="153"/>
      <c r="AI120" s="153"/>
      <c r="AJ120" s="306"/>
      <c r="AK120" s="306"/>
      <c r="AL120" s="306"/>
      <c r="AM120" s="307"/>
      <c r="AN120" s="308"/>
      <c r="AO120" s="139"/>
      <c r="AP120" s="139"/>
      <c r="AQ120" s="139"/>
      <c r="AR120" s="306"/>
      <c r="AS120" s="306"/>
      <c r="AT120" s="306"/>
      <c r="AU120" s="309"/>
      <c r="AV120" s="309"/>
      <c r="AW120" s="139"/>
      <c r="AX120" s="139"/>
      <c r="AY120" s="139"/>
      <c r="AZ120" s="306"/>
      <c r="BA120" s="306"/>
      <c r="BB120" s="306"/>
      <c r="BC120" s="310"/>
      <c r="BD120" s="310"/>
      <c r="BE120" s="309"/>
      <c r="BF120" s="311"/>
      <c r="BG120" s="311"/>
      <c r="BH120" s="312"/>
      <c r="BI120" s="313"/>
      <c r="BJ120" s="314"/>
      <c r="BK120" s="314"/>
      <c r="BL120" s="314"/>
      <c r="BM120" s="314"/>
      <c r="BN120" s="314"/>
      <c r="BO120" s="314"/>
      <c r="BP120" s="313"/>
    </row>
    <row r="121" spans="1:68" s="257" customFormat="1" x14ac:dyDescent="0.2">
      <c r="A121" s="366"/>
      <c r="B121" s="366"/>
      <c r="C121" s="341"/>
      <c r="D121" s="341"/>
      <c r="E121" s="341"/>
      <c r="F121" s="300"/>
      <c r="G121" s="301"/>
      <c r="H121" s="301"/>
      <c r="I121" s="301"/>
      <c r="J121" s="302"/>
      <c r="K121" s="263"/>
      <c r="L121" s="301"/>
      <c r="M121" s="301"/>
      <c r="N121" s="301"/>
      <c r="O121" s="302"/>
      <c r="P121" s="303"/>
      <c r="Q121" s="302"/>
      <c r="R121" s="302"/>
      <c r="S121" s="302"/>
      <c r="T121" s="302"/>
      <c r="U121" s="302"/>
      <c r="V121" s="302"/>
      <c r="W121" s="263"/>
      <c r="X121" s="263"/>
      <c r="Y121" s="301"/>
      <c r="Z121" s="302"/>
      <c r="AA121" s="301"/>
      <c r="AB121" s="301"/>
      <c r="AC121" s="301"/>
      <c r="AD121" s="263"/>
      <c r="AE121" s="305"/>
      <c r="AF121" s="302"/>
      <c r="AG121" s="153"/>
      <c r="AH121" s="153"/>
      <c r="AI121" s="153"/>
      <c r="AJ121" s="306"/>
      <c r="AK121" s="306"/>
      <c r="AL121" s="306"/>
      <c r="AM121" s="307"/>
      <c r="AN121" s="308"/>
      <c r="AO121" s="139"/>
      <c r="AP121" s="139"/>
      <c r="AQ121" s="139"/>
      <c r="AR121" s="306"/>
      <c r="AS121" s="306"/>
      <c r="AT121" s="306"/>
      <c r="AU121" s="309"/>
      <c r="AV121" s="309"/>
      <c r="AW121" s="139"/>
      <c r="AX121" s="139"/>
      <c r="AY121" s="139"/>
      <c r="AZ121" s="306"/>
      <c r="BA121" s="306"/>
      <c r="BB121" s="306"/>
      <c r="BC121" s="310"/>
      <c r="BD121" s="310"/>
      <c r="BE121" s="309"/>
      <c r="BF121" s="311"/>
      <c r="BG121" s="311"/>
      <c r="BH121" s="312"/>
      <c r="BI121" s="313"/>
      <c r="BJ121" s="314"/>
      <c r="BK121" s="314"/>
      <c r="BL121" s="314"/>
      <c r="BM121" s="314"/>
      <c r="BN121" s="314"/>
      <c r="BO121" s="314"/>
      <c r="BP121" s="313"/>
    </row>
    <row r="122" spans="1:68" s="257" customFormat="1" x14ac:dyDescent="0.2">
      <c r="A122" s="366"/>
      <c r="B122" s="366"/>
      <c r="C122" s="341"/>
      <c r="D122" s="341"/>
      <c r="E122" s="341"/>
      <c r="F122" s="300"/>
      <c r="G122" s="301"/>
      <c r="H122" s="301"/>
      <c r="I122" s="301"/>
      <c r="J122" s="302"/>
      <c r="K122" s="263"/>
      <c r="L122" s="301"/>
      <c r="M122" s="301"/>
      <c r="N122" s="301"/>
      <c r="O122" s="302"/>
      <c r="P122" s="303"/>
      <c r="Q122" s="302"/>
      <c r="R122" s="302"/>
      <c r="S122" s="302"/>
      <c r="T122" s="302"/>
      <c r="U122" s="302"/>
      <c r="V122" s="302"/>
      <c r="W122" s="263"/>
      <c r="X122" s="263"/>
      <c r="Y122" s="301"/>
      <c r="Z122" s="302"/>
      <c r="AA122" s="301"/>
      <c r="AB122" s="301"/>
      <c r="AC122" s="301"/>
      <c r="AD122" s="263"/>
      <c r="AE122" s="305"/>
      <c r="AF122" s="302"/>
      <c r="AG122" s="153"/>
      <c r="AH122" s="153"/>
      <c r="AI122" s="153"/>
      <c r="AJ122" s="306"/>
      <c r="AK122" s="306"/>
      <c r="AL122" s="306"/>
      <c r="AM122" s="307"/>
      <c r="AN122" s="308"/>
      <c r="AO122" s="139"/>
      <c r="AP122" s="139"/>
      <c r="AQ122" s="139"/>
      <c r="AR122" s="306"/>
      <c r="AS122" s="306"/>
      <c r="AT122" s="306"/>
      <c r="AU122" s="309"/>
      <c r="AV122" s="309"/>
      <c r="AW122" s="139"/>
      <c r="AX122" s="139"/>
      <c r="AY122" s="139"/>
      <c r="AZ122" s="306"/>
      <c r="BA122" s="306"/>
      <c r="BB122" s="306"/>
      <c r="BC122" s="310"/>
      <c r="BD122" s="310"/>
      <c r="BE122" s="309"/>
      <c r="BF122" s="311"/>
      <c r="BG122" s="311"/>
      <c r="BH122" s="312"/>
      <c r="BI122" s="313"/>
      <c r="BJ122" s="314"/>
      <c r="BK122" s="314"/>
      <c r="BL122" s="314"/>
      <c r="BM122" s="314"/>
      <c r="BN122" s="314"/>
      <c r="BO122" s="314"/>
      <c r="BP122" s="313"/>
    </row>
    <row r="123" spans="1:68" s="257" customFormat="1" x14ac:dyDescent="0.2">
      <c r="A123" s="366"/>
      <c r="B123" s="366"/>
      <c r="C123" s="341"/>
      <c r="D123" s="341"/>
      <c r="E123" s="341"/>
      <c r="F123" s="300"/>
      <c r="G123" s="301"/>
      <c r="H123" s="301"/>
      <c r="I123" s="301"/>
      <c r="J123" s="302"/>
      <c r="K123" s="263"/>
      <c r="L123" s="301"/>
      <c r="M123" s="301"/>
      <c r="N123" s="301"/>
      <c r="O123" s="302"/>
      <c r="P123" s="303"/>
      <c r="Q123" s="302"/>
      <c r="R123" s="302"/>
      <c r="S123" s="302"/>
      <c r="T123" s="302"/>
      <c r="U123" s="302"/>
      <c r="V123" s="302"/>
      <c r="W123" s="263"/>
      <c r="X123" s="263"/>
      <c r="Y123" s="301"/>
      <c r="Z123" s="302"/>
      <c r="AA123" s="301"/>
      <c r="AB123" s="301"/>
      <c r="AC123" s="301"/>
      <c r="AD123" s="263"/>
      <c r="AE123" s="305"/>
      <c r="AF123" s="302"/>
      <c r="AG123" s="153"/>
      <c r="AH123" s="153"/>
      <c r="AI123" s="153"/>
      <c r="AJ123" s="306"/>
      <c r="AK123" s="306"/>
      <c r="AL123" s="306"/>
      <c r="AM123" s="307"/>
      <c r="AN123" s="308"/>
      <c r="AO123" s="139"/>
      <c r="AP123" s="139"/>
      <c r="AQ123" s="139"/>
      <c r="AR123" s="306"/>
      <c r="AS123" s="306"/>
      <c r="AT123" s="306"/>
      <c r="AU123" s="309"/>
      <c r="AV123" s="309"/>
      <c r="AW123" s="139"/>
      <c r="AX123" s="139"/>
      <c r="AY123" s="139"/>
      <c r="AZ123" s="306"/>
      <c r="BA123" s="306"/>
      <c r="BB123" s="306"/>
      <c r="BC123" s="310"/>
      <c r="BD123" s="310"/>
      <c r="BE123" s="309"/>
      <c r="BF123" s="311"/>
      <c r="BG123" s="311"/>
      <c r="BH123" s="312"/>
      <c r="BI123" s="313"/>
      <c r="BJ123" s="314"/>
      <c r="BK123" s="314"/>
      <c r="BL123" s="314"/>
      <c r="BM123" s="314"/>
      <c r="BN123" s="314"/>
      <c r="BO123" s="314"/>
      <c r="BP123" s="313"/>
    </row>
    <row r="124" spans="1:68" s="257" customFormat="1" x14ac:dyDescent="0.2">
      <c r="A124" s="366"/>
      <c r="B124" s="366"/>
      <c r="C124" s="341"/>
      <c r="D124" s="341"/>
      <c r="E124" s="341"/>
      <c r="F124" s="300"/>
      <c r="G124" s="301"/>
      <c r="H124" s="301"/>
      <c r="I124" s="301"/>
      <c r="J124" s="302"/>
      <c r="K124" s="263"/>
      <c r="L124" s="301"/>
      <c r="M124" s="301"/>
      <c r="N124" s="301"/>
      <c r="O124" s="302"/>
      <c r="P124" s="303"/>
      <c r="Q124" s="302"/>
      <c r="R124" s="302"/>
      <c r="S124" s="302"/>
      <c r="T124" s="302"/>
      <c r="U124" s="302"/>
      <c r="V124" s="302"/>
      <c r="W124" s="263"/>
      <c r="X124" s="263"/>
      <c r="Y124" s="301"/>
      <c r="Z124" s="302"/>
      <c r="AA124" s="301"/>
      <c r="AB124" s="301"/>
      <c r="AC124" s="301"/>
      <c r="AD124" s="263"/>
      <c r="AE124" s="305"/>
      <c r="AF124" s="302"/>
      <c r="AG124" s="153"/>
      <c r="AH124" s="153"/>
      <c r="AI124" s="153"/>
      <c r="AJ124" s="306"/>
      <c r="AK124" s="306"/>
      <c r="AL124" s="306"/>
      <c r="AM124" s="307"/>
      <c r="AN124" s="308"/>
      <c r="AO124" s="139"/>
      <c r="AP124" s="139"/>
      <c r="AQ124" s="139"/>
      <c r="AR124" s="306"/>
      <c r="AS124" s="306"/>
      <c r="AT124" s="306"/>
      <c r="AU124" s="309"/>
      <c r="AV124" s="309"/>
      <c r="AW124" s="139"/>
      <c r="AX124" s="139"/>
      <c r="AY124" s="139"/>
      <c r="AZ124" s="306"/>
      <c r="BA124" s="306"/>
      <c r="BB124" s="306"/>
      <c r="BC124" s="310"/>
      <c r="BD124" s="310"/>
      <c r="BE124" s="309"/>
      <c r="BF124" s="311"/>
      <c r="BG124" s="311"/>
      <c r="BH124" s="312"/>
      <c r="BI124" s="313"/>
      <c r="BJ124" s="314"/>
      <c r="BK124" s="314"/>
      <c r="BL124" s="314"/>
      <c r="BM124" s="314"/>
      <c r="BN124" s="314"/>
      <c r="BO124" s="314"/>
      <c r="BP124" s="313"/>
    </row>
    <row r="125" spans="1:68" s="257" customFormat="1" x14ac:dyDescent="0.2">
      <c r="A125" s="366"/>
      <c r="B125" s="366"/>
      <c r="C125" s="341"/>
      <c r="D125" s="341"/>
      <c r="E125" s="341"/>
      <c r="F125" s="300"/>
      <c r="G125" s="301"/>
      <c r="H125" s="301"/>
      <c r="I125" s="301"/>
      <c r="J125" s="302"/>
      <c r="K125" s="263"/>
      <c r="L125" s="301"/>
      <c r="M125" s="301"/>
      <c r="N125" s="301"/>
      <c r="O125" s="302"/>
      <c r="P125" s="303"/>
      <c r="Q125" s="302"/>
      <c r="R125" s="302"/>
      <c r="S125" s="302"/>
      <c r="T125" s="302"/>
      <c r="U125" s="302"/>
      <c r="V125" s="302"/>
      <c r="W125" s="263"/>
      <c r="X125" s="263"/>
      <c r="Y125" s="301"/>
      <c r="Z125" s="302"/>
      <c r="AA125" s="301"/>
      <c r="AB125" s="301"/>
      <c r="AC125" s="301"/>
      <c r="AD125" s="263"/>
      <c r="AE125" s="305"/>
      <c r="AF125" s="302"/>
      <c r="AG125" s="153"/>
      <c r="AH125" s="153"/>
      <c r="AI125" s="153"/>
      <c r="AJ125" s="306"/>
      <c r="AK125" s="306"/>
      <c r="AL125" s="306"/>
      <c r="AM125" s="307"/>
      <c r="AN125" s="308"/>
      <c r="AO125" s="139"/>
      <c r="AP125" s="139"/>
      <c r="AQ125" s="139"/>
      <c r="AR125" s="306"/>
      <c r="AS125" s="306"/>
      <c r="AT125" s="306"/>
      <c r="AU125" s="309"/>
      <c r="AV125" s="309"/>
      <c r="AW125" s="139"/>
      <c r="AX125" s="139"/>
      <c r="AY125" s="139"/>
      <c r="AZ125" s="306"/>
      <c r="BA125" s="306"/>
      <c r="BB125" s="306"/>
      <c r="BC125" s="310"/>
      <c r="BD125" s="310"/>
      <c r="BE125" s="309"/>
      <c r="BF125" s="311"/>
      <c r="BG125" s="311"/>
      <c r="BH125" s="312"/>
      <c r="BI125" s="313"/>
      <c r="BJ125" s="314"/>
      <c r="BK125" s="314"/>
      <c r="BL125" s="314"/>
      <c r="BM125" s="314"/>
      <c r="BN125" s="314"/>
      <c r="BO125" s="314"/>
      <c r="BP125" s="313"/>
    </row>
    <row r="126" spans="1:68" s="257" customFormat="1" x14ac:dyDescent="0.2">
      <c r="A126" s="366"/>
      <c r="B126" s="366"/>
      <c r="C126" s="341"/>
      <c r="D126" s="341"/>
      <c r="E126" s="341"/>
      <c r="F126" s="315"/>
      <c r="G126" s="301"/>
      <c r="H126" s="301"/>
      <c r="I126" s="301"/>
      <c r="J126" s="302"/>
      <c r="K126" s="263"/>
      <c r="L126" s="301"/>
      <c r="M126" s="301"/>
      <c r="N126" s="301"/>
      <c r="O126" s="302"/>
      <c r="P126" s="303"/>
      <c r="Q126" s="302"/>
      <c r="R126" s="302"/>
      <c r="S126" s="302"/>
      <c r="T126" s="302"/>
      <c r="U126" s="302"/>
      <c r="V126" s="302"/>
      <c r="W126" s="263"/>
      <c r="X126" s="263"/>
      <c r="Y126" s="301"/>
      <c r="Z126" s="302"/>
      <c r="AA126" s="301"/>
      <c r="AB126" s="301"/>
      <c r="AC126" s="301"/>
      <c r="AD126" s="263"/>
      <c r="AE126" s="305"/>
      <c r="AF126" s="302"/>
      <c r="AG126" s="153"/>
      <c r="AH126" s="153"/>
      <c r="AI126" s="153"/>
      <c r="AJ126" s="306"/>
      <c r="AK126" s="306"/>
      <c r="AL126" s="306"/>
      <c r="AM126" s="307"/>
      <c r="AN126" s="308"/>
      <c r="AO126" s="139"/>
      <c r="AP126" s="139"/>
      <c r="AQ126" s="139"/>
      <c r="AR126" s="306"/>
      <c r="AS126" s="306"/>
      <c r="AT126" s="306"/>
      <c r="AU126" s="309"/>
      <c r="AV126" s="309"/>
      <c r="AW126" s="139"/>
      <c r="AX126" s="139"/>
      <c r="AY126" s="139"/>
      <c r="AZ126" s="306"/>
      <c r="BA126" s="306"/>
      <c r="BB126" s="306"/>
      <c r="BC126" s="310"/>
      <c r="BD126" s="310"/>
      <c r="BE126" s="309"/>
      <c r="BF126" s="311"/>
      <c r="BG126" s="311"/>
      <c r="BH126" s="312"/>
      <c r="BI126" s="313"/>
      <c r="BJ126" s="314"/>
      <c r="BK126" s="314"/>
      <c r="BL126" s="314"/>
      <c r="BM126" s="314"/>
      <c r="BN126" s="314"/>
      <c r="BO126" s="314"/>
      <c r="BP126" s="313"/>
    </row>
    <row r="127" spans="1:68" s="257" customFormat="1" x14ac:dyDescent="0.2">
      <c r="A127" s="366"/>
      <c r="B127" s="366"/>
      <c r="C127" s="341"/>
      <c r="D127" s="341"/>
      <c r="E127" s="341"/>
      <c r="F127" s="315"/>
      <c r="G127" s="301"/>
      <c r="H127" s="301"/>
      <c r="I127" s="301"/>
      <c r="J127" s="302"/>
      <c r="K127" s="263"/>
      <c r="L127" s="301"/>
      <c r="M127" s="301"/>
      <c r="N127" s="301"/>
      <c r="O127" s="302"/>
      <c r="P127" s="303"/>
      <c r="Q127" s="302"/>
      <c r="R127" s="302"/>
      <c r="S127" s="302"/>
      <c r="T127" s="302"/>
      <c r="U127" s="302"/>
      <c r="V127" s="302"/>
      <c r="W127" s="263"/>
      <c r="X127" s="263"/>
      <c r="Y127" s="301"/>
      <c r="Z127" s="302"/>
      <c r="AA127" s="301"/>
      <c r="AB127" s="301"/>
      <c r="AC127" s="301"/>
      <c r="AD127" s="263"/>
      <c r="AE127" s="305"/>
      <c r="AF127" s="302"/>
      <c r="AG127" s="153"/>
      <c r="AH127" s="153"/>
      <c r="AI127" s="153"/>
      <c r="AJ127" s="306"/>
      <c r="AK127" s="306"/>
      <c r="AL127" s="306"/>
      <c r="AM127" s="316"/>
      <c r="AN127" s="308"/>
      <c r="AO127" s="139"/>
      <c r="AP127" s="139"/>
      <c r="AQ127" s="139"/>
      <c r="AR127" s="306"/>
      <c r="AS127" s="306"/>
      <c r="AT127" s="306"/>
      <c r="AU127" s="309"/>
      <c r="AV127" s="309"/>
      <c r="AW127" s="139"/>
      <c r="AX127" s="139"/>
      <c r="AY127" s="139"/>
      <c r="AZ127" s="306"/>
      <c r="BA127" s="306"/>
      <c r="BB127" s="306"/>
      <c r="BC127" s="310"/>
      <c r="BD127" s="310"/>
      <c r="BE127" s="309"/>
      <c r="BF127" s="311"/>
      <c r="BG127" s="311"/>
      <c r="BH127" s="312"/>
      <c r="BI127" s="313"/>
      <c r="BJ127" s="314"/>
      <c r="BK127" s="314"/>
      <c r="BL127" s="314"/>
      <c r="BM127" s="314"/>
      <c r="BN127" s="314"/>
      <c r="BO127" s="314"/>
      <c r="BP127" s="313"/>
    </row>
    <row r="128" spans="1:68" s="257" customFormat="1" x14ac:dyDescent="0.2">
      <c r="A128" s="365"/>
      <c r="B128" s="365"/>
      <c r="C128" s="284"/>
      <c r="D128" s="284"/>
      <c r="E128" s="284"/>
      <c r="F128" s="285"/>
      <c r="G128" s="286"/>
      <c r="H128" s="286"/>
      <c r="I128" s="286"/>
      <c r="J128" s="287"/>
      <c r="K128" s="259"/>
      <c r="L128" s="286"/>
      <c r="M128" s="286"/>
      <c r="N128" s="286"/>
      <c r="O128" s="287"/>
      <c r="P128" s="288"/>
      <c r="Q128" s="287"/>
      <c r="R128" s="287"/>
      <c r="S128" s="287"/>
      <c r="T128" s="287"/>
      <c r="U128" s="287"/>
      <c r="V128" s="287"/>
      <c r="W128" s="259"/>
      <c r="X128" s="259"/>
      <c r="Y128" s="286"/>
      <c r="Z128" s="287"/>
      <c r="AA128" s="287"/>
      <c r="AB128" s="287"/>
      <c r="AC128" s="287"/>
      <c r="AD128" s="259"/>
      <c r="AE128" s="289"/>
      <c r="AF128" s="287"/>
      <c r="AG128" s="290"/>
      <c r="AH128" s="290"/>
      <c r="AI128" s="287"/>
      <c r="AJ128" s="291"/>
      <c r="AK128" s="291"/>
      <c r="AL128" s="291"/>
      <c r="AM128" s="292"/>
      <c r="AN128" s="290"/>
      <c r="AO128" s="287"/>
      <c r="AP128" s="287"/>
      <c r="AQ128" s="287"/>
      <c r="AR128" s="291"/>
      <c r="AS128" s="291"/>
      <c r="AT128" s="291"/>
      <c r="AU128" s="293"/>
      <c r="AV128" s="293"/>
      <c r="AW128" s="287"/>
      <c r="AX128" s="287"/>
      <c r="AY128" s="287"/>
      <c r="AZ128" s="291"/>
      <c r="BA128" s="291"/>
      <c r="BB128" s="291"/>
      <c r="BC128" s="294"/>
      <c r="BD128" s="294"/>
      <c r="BE128" s="293"/>
      <c r="BF128" s="295"/>
      <c r="BG128" s="295"/>
      <c r="BH128" s="296"/>
      <c r="BI128" s="297"/>
      <c r="BJ128" s="298"/>
      <c r="BK128" s="298"/>
      <c r="BL128" s="298"/>
      <c r="BM128" s="298"/>
      <c r="BN128" s="298"/>
      <c r="BO128" s="298"/>
      <c r="BP128" s="297"/>
    </row>
    <row r="129" spans="1:68" s="257" customFormat="1" x14ac:dyDescent="0.2">
      <c r="A129" s="366"/>
      <c r="B129" s="366"/>
      <c r="C129" s="341"/>
      <c r="D129" s="341"/>
      <c r="E129" s="341"/>
      <c r="F129" s="300"/>
      <c r="G129" s="301"/>
      <c r="H129" s="301"/>
      <c r="I129" s="301"/>
      <c r="J129" s="302"/>
      <c r="K129" s="263"/>
      <c r="L129" s="301"/>
      <c r="M129" s="301"/>
      <c r="N129" s="301"/>
      <c r="O129" s="302"/>
      <c r="P129" s="303"/>
      <c r="Q129" s="302"/>
      <c r="R129" s="302"/>
      <c r="S129" s="302"/>
      <c r="T129" s="302"/>
      <c r="U129" s="302"/>
      <c r="V129" s="302"/>
      <c r="W129" s="263"/>
      <c r="X129" s="263"/>
      <c r="Y129" s="301"/>
      <c r="Z129" s="302"/>
      <c r="AA129" s="302"/>
      <c r="AB129" s="302"/>
      <c r="AC129" s="302"/>
      <c r="AD129" s="263"/>
      <c r="AE129" s="305"/>
      <c r="AF129" s="302"/>
      <c r="AG129" s="139"/>
      <c r="AH129" s="139"/>
      <c r="AI129" s="139"/>
      <c r="AJ129" s="306"/>
      <c r="AK129" s="306"/>
      <c r="AL129" s="306"/>
      <c r="AM129" s="307"/>
      <c r="AN129" s="308"/>
      <c r="AO129" s="154"/>
      <c r="AP129" s="154"/>
      <c r="AQ129" s="154"/>
      <c r="AR129" s="306"/>
      <c r="AS129" s="306"/>
      <c r="AT129" s="306"/>
      <c r="AU129" s="309"/>
      <c r="AV129" s="309"/>
      <c r="AW129" s="153"/>
      <c r="AX129" s="153"/>
      <c r="AY129" s="153"/>
      <c r="AZ129" s="306"/>
      <c r="BA129" s="306"/>
      <c r="BB129" s="306"/>
      <c r="BC129" s="310"/>
      <c r="BD129" s="310"/>
      <c r="BE129" s="309"/>
      <c r="BF129" s="311"/>
      <c r="BG129" s="311"/>
      <c r="BH129" s="312"/>
      <c r="BI129" s="313"/>
      <c r="BJ129" s="314"/>
      <c r="BK129" s="314"/>
      <c r="BL129" s="314"/>
      <c r="BM129" s="314"/>
      <c r="BN129" s="314"/>
      <c r="BO129" s="314"/>
      <c r="BP129" s="313"/>
    </row>
    <row r="130" spans="1:68" s="257" customFormat="1" x14ac:dyDescent="0.2">
      <c r="A130" s="366"/>
      <c r="B130" s="366"/>
      <c r="C130" s="341"/>
      <c r="D130" s="341"/>
      <c r="E130" s="341"/>
      <c r="F130" s="300"/>
      <c r="G130" s="301"/>
      <c r="H130" s="301"/>
      <c r="I130" s="301"/>
      <c r="J130" s="302"/>
      <c r="K130" s="263"/>
      <c r="L130" s="301"/>
      <c r="M130" s="301"/>
      <c r="N130" s="301"/>
      <c r="O130" s="302"/>
      <c r="P130" s="303"/>
      <c r="Q130" s="302"/>
      <c r="R130" s="302"/>
      <c r="S130" s="302"/>
      <c r="T130" s="302"/>
      <c r="U130" s="302"/>
      <c r="V130" s="302"/>
      <c r="W130" s="263"/>
      <c r="X130" s="263"/>
      <c r="Y130" s="301"/>
      <c r="Z130" s="302"/>
      <c r="AA130" s="301"/>
      <c r="AB130" s="301"/>
      <c r="AC130" s="301"/>
      <c r="AD130" s="263"/>
      <c r="AE130" s="305"/>
      <c r="AF130" s="302"/>
      <c r="AG130" s="153"/>
      <c r="AH130" s="153"/>
      <c r="AI130" s="153"/>
      <c r="AJ130" s="306"/>
      <c r="AK130" s="306"/>
      <c r="AL130" s="306"/>
      <c r="AM130" s="307"/>
      <c r="AN130" s="308"/>
      <c r="AO130" s="154"/>
      <c r="AP130" s="154"/>
      <c r="AQ130" s="154"/>
      <c r="AR130" s="306"/>
      <c r="AS130" s="306"/>
      <c r="AT130" s="306"/>
      <c r="AU130" s="309"/>
      <c r="AV130" s="309"/>
      <c r="AW130" s="153"/>
      <c r="AX130" s="153"/>
      <c r="AY130" s="153"/>
      <c r="AZ130" s="306"/>
      <c r="BA130" s="306"/>
      <c r="BB130" s="306"/>
      <c r="BC130" s="310"/>
      <c r="BD130" s="310"/>
      <c r="BE130" s="309"/>
      <c r="BF130" s="311"/>
      <c r="BG130" s="311"/>
      <c r="BH130" s="312"/>
      <c r="BI130" s="313"/>
      <c r="BJ130" s="314"/>
      <c r="BK130" s="314"/>
      <c r="BL130" s="314"/>
      <c r="BM130" s="314"/>
      <c r="BN130" s="314"/>
      <c r="BO130" s="314"/>
      <c r="BP130" s="313"/>
    </row>
    <row r="131" spans="1:68" s="257" customFormat="1" x14ac:dyDescent="0.2">
      <c r="A131" s="366"/>
      <c r="B131" s="366"/>
      <c r="C131" s="341"/>
      <c r="D131" s="341"/>
      <c r="E131" s="341"/>
      <c r="F131" s="300"/>
      <c r="G131" s="301"/>
      <c r="H131" s="301"/>
      <c r="I131" s="301"/>
      <c r="J131" s="302"/>
      <c r="K131" s="263"/>
      <c r="L131" s="301"/>
      <c r="M131" s="301"/>
      <c r="N131" s="301"/>
      <c r="O131" s="302"/>
      <c r="P131" s="303"/>
      <c r="Q131" s="302"/>
      <c r="R131" s="302"/>
      <c r="S131" s="302"/>
      <c r="T131" s="302"/>
      <c r="U131" s="302"/>
      <c r="V131" s="302"/>
      <c r="W131" s="263"/>
      <c r="X131" s="263"/>
      <c r="Y131" s="301"/>
      <c r="Z131" s="302"/>
      <c r="AA131" s="301"/>
      <c r="AB131" s="301"/>
      <c r="AC131" s="301"/>
      <c r="AD131" s="263"/>
      <c r="AE131" s="305"/>
      <c r="AF131" s="302"/>
      <c r="AG131" s="153"/>
      <c r="AH131" s="153"/>
      <c r="AI131" s="153"/>
      <c r="AJ131" s="306"/>
      <c r="AK131" s="306"/>
      <c r="AL131" s="306"/>
      <c r="AM131" s="307"/>
      <c r="AN131" s="308"/>
      <c r="AO131" s="154"/>
      <c r="AP131" s="154"/>
      <c r="AQ131" s="154"/>
      <c r="AR131" s="306"/>
      <c r="AS131" s="306"/>
      <c r="AT131" s="306"/>
      <c r="AU131" s="309"/>
      <c r="AV131" s="309"/>
      <c r="AW131" s="153"/>
      <c r="AX131" s="153"/>
      <c r="AY131" s="153"/>
      <c r="AZ131" s="306"/>
      <c r="BA131" s="306"/>
      <c r="BB131" s="306"/>
      <c r="BC131" s="310"/>
      <c r="BD131" s="310"/>
      <c r="BE131" s="309"/>
      <c r="BF131" s="311"/>
      <c r="BG131" s="311"/>
      <c r="BH131" s="312"/>
      <c r="BI131" s="313"/>
      <c r="BJ131" s="314"/>
      <c r="BK131" s="314"/>
      <c r="BL131" s="314"/>
      <c r="BM131" s="314"/>
      <c r="BN131" s="314"/>
      <c r="BO131" s="314"/>
      <c r="BP131" s="313"/>
    </row>
    <row r="132" spans="1:68" s="257" customFormat="1" x14ac:dyDescent="0.2">
      <c r="A132" s="366"/>
      <c r="B132" s="366"/>
      <c r="C132" s="341"/>
      <c r="D132" s="341"/>
      <c r="E132" s="341"/>
      <c r="F132" s="300"/>
      <c r="G132" s="301"/>
      <c r="H132" s="301"/>
      <c r="I132" s="301"/>
      <c r="J132" s="302"/>
      <c r="K132" s="263"/>
      <c r="L132" s="301"/>
      <c r="M132" s="301"/>
      <c r="N132" s="301"/>
      <c r="O132" s="302"/>
      <c r="P132" s="303"/>
      <c r="Q132" s="302"/>
      <c r="R132" s="302"/>
      <c r="S132" s="302"/>
      <c r="T132" s="302"/>
      <c r="U132" s="302"/>
      <c r="V132" s="302"/>
      <c r="W132" s="263"/>
      <c r="X132" s="263"/>
      <c r="Y132" s="301"/>
      <c r="Z132" s="302"/>
      <c r="AA132" s="301"/>
      <c r="AB132" s="301"/>
      <c r="AC132" s="301"/>
      <c r="AD132" s="263"/>
      <c r="AE132" s="305"/>
      <c r="AF132" s="302"/>
      <c r="AG132" s="153"/>
      <c r="AH132" s="153"/>
      <c r="AI132" s="153"/>
      <c r="AJ132" s="306"/>
      <c r="AK132" s="306"/>
      <c r="AL132" s="306"/>
      <c r="AM132" s="307"/>
      <c r="AN132" s="308"/>
      <c r="AO132" s="154"/>
      <c r="AP132" s="154"/>
      <c r="AQ132" s="154"/>
      <c r="AR132" s="306"/>
      <c r="AS132" s="306"/>
      <c r="AT132" s="306"/>
      <c r="AU132" s="309"/>
      <c r="AV132" s="309"/>
      <c r="AW132" s="153"/>
      <c r="AX132" s="153"/>
      <c r="AY132" s="153"/>
      <c r="AZ132" s="306"/>
      <c r="BA132" s="306"/>
      <c r="BB132" s="306"/>
      <c r="BC132" s="310"/>
      <c r="BD132" s="310"/>
      <c r="BE132" s="309"/>
      <c r="BF132" s="311"/>
      <c r="BG132" s="311"/>
      <c r="BH132" s="312"/>
      <c r="BI132" s="313"/>
      <c r="BJ132" s="314"/>
      <c r="BK132" s="314"/>
      <c r="BL132" s="314"/>
      <c r="BM132" s="314"/>
      <c r="BN132" s="314"/>
      <c r="BO132" s="314"/>
      <c r="BP132" s="313"/>
    </row>
    <row r="133" spans="1:68" s="257" customFormat="1" x14ac:dyDescent="0.2">
      <c r="A133" s="366"/>
      <c r="B133" s="366"/>
      <c r="C133" s="341"/>
      <c r="D133" s="341"/>
      <c r="E133" s="341"/>
      <c r="F133" s="300"/>
      <c r="G133" s="301"/>
      <c r="H133" s="301"/>
      <c r="I133" s="301"/>
      <c r="J133" s="302"/>
      <c r="K133" s="263"/>
      <c r="L133" s="301"/>
      <c r="M133" s="301"/>
      <c r="N133" s="301"/>
      <c r="O133" s="302"/>
      <c r="P133" s="303"/>
      <c r="Q133" s="302"/>
      <c r="R133" s="302"/>
      <c r="S133" s="302"/>
      <c r="T133" s="302"/>
      <c r="U133" s="302"/>
      <c r="V133" s="302"/>
      <c r="W133" s="263"/>
      <c r="X133" s="263"/>
      <c r="Y133" s="301"/>
      <c r="Z133" s="302"/>
      <c r="AA133" s="301"/>
      <c r="AB133" s="301"/>
      <c r="AC133" s="301"/>
      <c r="AD133" s="263"/>
      <c r="AE133" s="305"/>
      <c r="AF133" s="302"/>
      <c r="AG133" s="153"/>
      <c r="AH133" s="153"/>
      <c r="AI133" s="153"/>
      <c r="AJ133" s="306"/>
      <c r="AK133" s="306"/>
      <c r="AL133" s="306"/>
      <c r="AM133" s="307"/>
      <c r="AN133" s="308"/>
      <c r="AO133" s="154"/>
      <c r="AP133" s="154"/>
      <c r="AQ133" s="154"/>
      <c r="AR133" s="306"/>
      <c r="AS133" s="306"/>
      <c r="AT133" s="306"/>
      <c r="AU133" s="309"/>
      <c r="AV133" s="309"/>
      <c r="AW133" s="153"/>
      <c r="AX133" s="153"/>
      <c r="AY133" s="153"/>
      <c r="AZ133" s="306"/>
      <c r="BA133" s="306"/>
      <c r="BB133" s="306"/>
      <c r="BC133" s="310"/>
      <c r="BD133" s="310"/>
      <c r="BE133" s="309"/>
      <c r="BF133" s="311"/>
      <c r="BG133" s="311"/>
      <c r="BH133" s="312"/>
      <c r="BI133" s="313"/>
      <c r="BJ133" s="314"/>
      <c r="BK133" s="314"/>
      <c r="BL133" s="314"/>
      <c r="BM133" s="314"/>
      <c r="BN133" s="314"/>
      <c r="BO133" s="314"/>
      <c r="BP133" s="313"/>
    </row>
    <row r="134" spans="1:68" s="257" customFormat="1" x14ac:dyDescent="0.2">
      <c r="A134" s="366"/>
      <c r="B134" s="366"/>
      <c r="C134" s="341"/>
      <c r="D134" s="341"/>
      <c r="E134" s="341"/>
      <c r="F134" s="300"/>
      <c r="G134" s="301"/>
      <c r="H134" s="301"/>
      <c r="I134" s="301"/>
      <c r="J134" s="302"/>
      <c r="K134" s="263"/>
      <c r="L134" s="301"/>
      <c r="M134" s="301"/>
      <c r="N134" s="301"/>
      <c r="O134" s="302"/>
      <c r="P134" s="303"/>
      <c r="Q134" s="302"/>
      <c r="R134" s="302"/>
      <c r="S134" s="302"/>
      <c r="T134" s="302"/>
      <c r="U134" s="302"/>
      <c r="V134" s="302"/>
      <c r="W134" s="263"/>
      <c r="X134" s="263"/>
      <c r="Y134" s="301"/>
      <c r="Z134" s="302"/>
      <c r="AA134" s="301"/>
      <c r="AB134" s="301"/>
      <c r="AC134" s="301"/>
      <c r="AD134" s="263"/>
      <c r="AE134" s="305"/>
      <c r="AF134" s="302"/>
      <c r="AG134" s="153"/>
      <c r="AH134" s="153"/>
      <c r="AI134" s="153"/>
      <c r="AJ134" s="306"/>
      <c r="AK134" s="306"/>
      <c r="AL134" s="306"/>
      <c r="AM134" s="307"/>
      <c r="AN134" s="308"/>
      <c r="AO134" s="154"/>
      <c r="AP134" s="154"/>
      <c r="AQ134" s="154"/>
      <c r="AR134" s="306"/>
      <c r="AS134" s="306"/>
      <c r="AT134" s="306"/>
      <c r="AU134" s="309"/>
      <c r="AV134" s="309"/>
      <c r="AW134" s="153"/>
      <c r="AX134" s="153"/>
      <c r="AY134" s="153"/>
      <c r="AZ134" s="306"/>
      <c r="BA134" s="306"/>
      <c r="BB134" s="306"/>
      <c r="BC134" s="310"/>
      <c r="BD134" s="310"/>
      <c r="BE134" s="309"/>
      <c r="BF134" s="311"/>
      <c r="BG134" s="311"/>
      <c r="BH134" s="312"/>
      <c r="BI134" s="313"/>
      <c r="BJ134" s="314"/>
      <c r="BK134" s="314"/>
      <c r="BL134" s="314"/>
      <c r="BM134" s="314"/>
      <c r="BN134" s="314"/>
      <c r="BO134" s="314"/>
      <c r="BP134" s="313"/>
    </row>
    <row r="135" spans="1:68" s="257" customFormat="1" x14ac:dyDescent="0.2">
      <c r="A135" s="366"/>
      <c r="B135" s="366"/>
      <c r="C135" s="341"/>
      <c r="D135" s="341"/>
      <c r="E135" s="341"/>
      <c r="F135" s="300"/>
      <c r="G135" s="301"/>
      <c r="H135" s="301"/>
      <c r="I135" s="301"/>
      <c r="J135" s="302"/>
      <c r="K135" s="263"/>
      <c r="L135" s="301"/>
      <c r="M135" s="301"/>
      <c r="N135" s="301"/>
      <c r="O135" s="302"/>
      <c r="P135" s="303"/>
      <c r="Q135" s="302"/>
      <c r="R135" s="302"/>
      <c r="S135" s="302"/>
      <c r="T135" s="302"/>
      <c r="U135" s="302"/>
      <c r="V135" s="302"/>
      <c r="W135" s="263"/>
      <c r="X135" s="263"/>
      <c r="Y135" s="301"/>
      <c r="Z135" s="302"/>
      <c r="AA135" s="301"/>
      <c r="AB135" s="301"/>
      <c r="AC135" s="301"/>
      <c r="AD135" s="263"/>
      <c r="AE135" s="305"/>
      <c r="AF135" s="302"/>
      <c r="AG135" s="153"/>
      <c r="AH135" s="153"/>
      <c r="AI135" s="153"/>
      <c r="AJ135" s="306"/>
      <c r="AK135" s="306"/>
      <c r="AL135" s="306"/>
      <c r="AM135" s="307"/>
      <c r="AN135" s="308"/>
      <c r="AO135" s="154"/>
      <c r="AP135" s="154"/>
      <c r="AQ135" s="154"/>
      <c r="AR135" s="306"/>
      <c r="AS135" s="306"/>
      <c r="AT135" s="306"/>
      <c r="AU135" s="309"/>
      <c r="AV135" s="309"/>
      <c r="AW135" s="153"/>
      <c r="AX135" s="153"/>
      <c r="AY135" s="153"/>
      <c r="AZ135" s="306"/>
      <c r="BA135" s="306"/>
      <c r="BB135" s="306"/>
      <c r="BC135" s="310"/>
      <c r="BD135" s="310"/>
      <c r="BE135" s="309"/>
      <c r="BF135" s="311"/>
      <c r="BG135" s="311"/>
      <c r="BH135" s="312"/>
      <c r="BI135" s="313"/>
      <c r="BJ135" s="314"/>
      <c r="BK135" s="314"/>
      <c r="BL135" s="314"/>
      <c r="BM135" s="314"/>
      <c r="BN135" s="314"/>
      <c r="BO135" s="314"/>
      <c r="BP135" s="313"/>
    </row>
    <row r="136" spans="1:68" s="257" customFormat="1" x14ac:dyDescent="0.2">
      <c r="A136" s="366"/>
      <c r="B136" s="366"/>
      <c r="C136" s="341"/>
      <c r="D136" s="341"/>
      <c r="E136" s="341"/>
      <c r="F136" s="300"/>
      <c r="G136" s="301"/>
      <c r="H136" s="301"/>
      <c r="I136" s="301"/>
      <c r="J136" s="302"/>
      <c r="K136" s="263"/>
      <c r="L136" s="301"/>
      <c r="M136" s="301"/>
      <c r="N136" s="301"/>
      <c r="O136" s="302"/>
      <c r="P136" s="303"/>
      <c r="Q136" s="302"/>
      <c r="R136" s="302"/>
      <c r="S136" s="302"/>
      <c r="T136" s="302"/>
      <c r="U136" s="302"/>
      <c r="V136" s="302"/>
      <c r="W136" s="263"/>
      <c r="X136" s="263"/>
      <c r="Y136" s="301"/>
      <c r="Z136" s="302"/>
      <c r="AA136" s="301"/>
      <c r="AB136" s="301"/>
      <c r="AC136" s="301"/>
      <c r="AD136" s="263"/>
      <c r="AE136" s="305"/>
      <c r="AF136" s="302"/>
      <c r="AG136" s="153"/>
      <c r="AH136" s="153"/>
      <c r="AI136" s="153"/>
      <c r="AJ136" s="306"/>
      <c r="AK136" s="306"/>
      <c r="AL136" s="306"/>
      <c r="AM136" s="307"/>
      <c r="AN136" s="308"/>
      <c r="AO136" s="154"/>
      <c r="AP136" s="154"/>
      <c r="AQ136" s="154"/>
      <c r="AR136" s="306"/>
      <c r="AS136" s="306"/>
      <c r="AT136" s="306"/>
      <c r="AU136" s="309"/>
      <c r="AV136" s="309"/>
      <c r="AW136" s="153"/>
      <c r="AX136" s="153"/>
      <c r="AY136" s="153"/>
      <c r="AZ136" s="306"/>
      <c r="BA136" s="306"/>
      <c r="BB136" s="306"/>
      <c r="BC136" s="310"/>
      <c r="BD136" s="310"/>
      <c r="BE136" s="309"/>
      <c r="BF136" s="311"/>
      <c r="BG136" s="311"/>
      <c r="BH136" s="312"/>
      <c r="BI136" s="313"/>
      <c r="BJ136" s="314"/>
      <c r="BK136" s="314"/>
      <c r="BL136" s="314"/>
      <c r="BM136" s="314"/>
      <c r="BN136" s="314"/>
      <c r="BO136" s="314"/>
      <c r="BP136" s="313"/>
    </row>
    <row r="137" spans="1:68" s="257" customFormat="1" x14ac:dyDescent="0.2">
      <c r="A137" s="366"/>
      <c r="B137" s="366"/>
      <c r="C137" s="341"/>
      <c r="D137" s="341"/>
      <c r="E137" s="341"/>
      <c r="F137" s="315"/>
      <c r="G137" s="301"/>
      <c r="H137" s="301"/>
      <c r="I137" s="301"/>
      <c r="J137" s="302"/>
      <c r="K137" s="263"/>
      <c r="L137" s="301"/>
      <c r="M137" s="301"/>
      <c r="N137" s="301"/>
      <c r="O137" s="302"/>
      <c r="P137" s="303"/>
      <c r="Q137" s="302"/>
      <c r="R137" s="302"/>
      <c r="S137" s="302"/>
      <c r="T137" s="302"/>
      <c r="U137" s="302"/>
      <c r="V137" s="302"/>
      <c r="W137" s="263"/>
      <c r="X137" s="263"/>
      <c r="Y137" s="301"/>
      <c r="Z137" s="302"/>
      <c r="AA137" s="301"/>
      <c r="AB137" s="301"/>
      <c r="AC137" s="301"/>
      <c r="AD137" s="263"/>
      <c r="AE137" s="305"/>
      <c r="AF137" s="302"/>
      <c r="AG137" s="153"/>
      <c r="AH137" s="153"/>
      <c r="AI137" s="153"/>
      <c r="AJ137" s="306"/>
      <c r="AK137" s="306"/>
      <c r="AL137" s="306"/>
      <c r="AM137" s="307"/>
      <c r="AN137" s="308"/>
      <c r="AO137" s="154"/>
      <c r="AP137" s="154"/>
      <c r="AQ137" s="154"/>
      <c r="AR137" s="306"/>
      <c r="AS137" s="306"/>
      <c r="AT137" s="306"/>
      <c r="AU137" s="309"/>
      <c r="AV137" s="309"/>
      <c r="AW137" s="153"/>
      <c r="AX137" s="153"/>
      <c r="AY137" s="153"/>
      <c r="AZ137" s="306"/>
      <c r="BA137" s="306"/>
      <c r="BB137" s="306"/>
      <c r="BC137" s="310"/>
      <c r="BD137" s="310"/>
      <c r="BE137" s="309"/>
      <c r="BF137" s="311"/>
      <c r="BG137" s="311"/>
      <c r="BH137" s="312"/>
      <c r="BI137" s="313"/>
      <c r="BJ137" s="314"/>
      <c r="BK137" s="314"/>
      <c r="BL137" s="314"/>
      <c r="BM137" s="314"/>
      <c r="BN137" s="314"/>
      <c r="BO137" s="314"/>
      <c r="BP137" s="313"/>
    </row>
    <row r="138" spans="1:68" s="257" customFormat="1" x14ac:dyDescent="0.2">
      <c r="A138" s="366"/>
      <c r="B138" s="366"/>
      <c r="C138" s="341"/>
      <c r="D138" s="341"/>
      <c r="E138" s="341"/>
      <c r="F138" s="315"/>
      <c r="G138" s="301"/>
      <c r="H138" s="301"/>
      <c r="I138" s="301"/>
      <c r="J138" s="302"/>
      <c r="K138" s="263"/>
      <c r="L138" s="301"/>
      <c r="M138" s="301"/>
      <c r="N138" s="301"/>
      <c r="O138" s="302"/>
      <c r="P138" s="303"/>
      <c r="Q138" s="302"/>
      <c r="R138" s="302"/>
      <c r="S138" s="302"/>
      <c r="T138" s="302"/>
      <c r="U138" s="302"/>
      <c r="V138" s="302"/>
      <c r="W138" s="263"/>
      <c r="X138" s="263"/>
      <c r="Y138" s="301"/>
      <c r="Z138" s="302"/>
      <c r="AA138" s="301"/>
      <c r="AB138" s="301"/>
      <c r="AC138" s="301"/>
      <c r="AD138" s="263"/>
      <c r="AE138" s="305"/>
      <c r="AF138" s="302"/>
      <c r="AG138" s="153"/>
      <c r="AH138" s="153"/>
      <c r="AI138" s="153"/>
      <c r="AJ138" s="306"/>
      <c r="AK138" s="306"/>
      <c r="AL138" s="306"/>
      <c r="AM138" s="316"/>
      <c r="AN138" s="308"/>
      <c r="AO138" s="154"/>
      <c r="AP138" s="154"/>
      <c r="AQ138" s="154"/>
      <c r="AR138" s="306"/>
      <c r="AS138" s="306"/>
      <c r="AT138" s="306"/>
      <c r="AU138" s="309"/>
      <c r="AV138" s="309"/>
      <c r="AW138" s="153"/>
      <c r="AX138" s="153"/>
      <c r="AY138" s="153"/>
      <c r="AZ138" s="306"/>
      <c r="BA138" s="306"/>
      <c r="BB138" s="306"/>
      <c r="BC138" s="310"/>
      <c r="BD138" s="310"/>
      <c r="BE138" s="309"/>
      <c r="BF138" s="311"/>
      <c r="BG138" s="311"/>
      <c r="BH138" s="312"/>
      <c r="BI138" s="313"/>
      <c r="BJ138" s="314"/>
      <c r="BK138" s="314"/>
      <c r="BL138" s="314"/>
      <c r="BM138" s="314"/>
      <c r="BN138" s="314"/>
      <c r="BO138" s="314"/>
      <c r="BP138" s="313"/>
    </row>
    <row r="139" spans="1:68" s="257" customFormat="1" x14ac:dyDescent="0.2">
      <c r="A139" s="365"/>
      <c r="B139" s="365"/>
      <c r="C139" s="284"/>
      <c r="D139" s="284"/>
      <c r="E139" s="284"/>
      <c r="F139" s="285"/>
      <c r="G139" s="286"/>
      <c r="H139" s="286"/>
      <c r="I139" s="286"/>
      <c r="J139" s="287"/>
      <c r="K139" s="259"/>
      <c r="L139" s="286"/>
      <c r="M139" s="286"/>
      <c r="N139" s="286"/>
      <c r="O139" s="287"/>
      <c r="P139" s="288"/>
      <c r="Q139" s="287"/>
      <c r="R139" s="287"/>
      <c r="S139" s="287"/>
      <c r="T139" s="287"/>
      <c r="U139" s="287"/>
      <c r="V139" s="287"/>
      <c r="W139" s="259"/>
      <c r="X139" s="259"/>
      <c r="Y139" s="286"/>
      <c r="Z139" s="287"/>
      <c r="AA139" s="287"/>
      <c r="AB139" s="287"/>
      <c r="AC139" s="287"/>
      <c r="AD139" s="259"/>
      <c r="AE139" s="289"/>
      <c r="AF139" s="287"/>
      <c r="AG139" s="290"/>
      <c r="AH139" s="290"/>
      <c r="AI139" s="287"/>
      <c r="AJ139" s="291"/>
      <c r="AK139" s="291"/>
      <c r="AL139" s="291"/>
      <c r="AM139" s="292"/>
      <c r="AN139" s="290"/>
      <c r="AO139" s="287"/>
      <c r="AP139" s="287"/>
      <c r="AQ139" s="287"/>
      <c r="AR139" s="291"/>
      <c r="AS139" s="291"/>
      <c r="AT139" s="291"/>
      <c r="AU139" s="293"/>
      <c r="AV139" s="293"/>
      <c r="AW139" s="287"/>
      <c r="AX139" s="287"/>
      <c r="AY139" s="287"/>
      <c r="AZ139" s="291"/>
      <c r="BA139" s="291"/>
      <c r="BB139" s="291"/>
      <c r="BC139" s="294"/>
      <c r="BD139" s="294"/>
      <c r="BE139" s="293"/>
      <c r="BF139" s="295"/>
      <c r="BG139" s="295"/>
      <c r="BH139" s="296"/>
      <c r="BI139" s="297"/>
      <c r="BJ139" s="298"/>
      <c r="BK139" s="298"/>
      <c r="BL139" s="298"/>
      <c r="BM139" s="298"/>
      <c r="BN139" s="298"/>
      <c r="BO139" s="298"/>
      <c r="BP139" s="297"/>
    </row>
    <row r="140" spans="1:68" s="257" customFormat="1" x14ac:dyDescent="0.2">
      <c r="A140" s="366"/>
      <c r="B140" s="366"/>
      <c r="C140" s="341"/>
      <c r="D140" s="341"/>
      <c r="E140" s="341"/>
      <c r="F140" s="300"/>
      <c r="G140" s="301"/>
      <c r="H140" s="301"/>
      <c r="I140" s="301"/>
      <c r="J140" s="302"/>
      <c r="K140" s="263"/>
      <c r="L140" s="301"/>
      <c r="M140" s="301"/>
      <c r="N140" s="301"/>
      <c r="O140" s="302"/>
      <c r="P140" s="303"/>
      <c r="Q140" s="302"/>
      <c r="R140" s="302"/>
      <c r="S140" s="302"/>
      <c r="T140" s="302"/>
      <c r="U140" s="302"/>
      <c r="V140" s="302"/>
      <c r="W140" s="263"/>
      <c r="X140" s="263"/>
      <c r="Y140" s="301"/>
      <c r="Z140" s="302"/>
      <c r="AA140" s="302"/>
      <c r="AB140" s="302"/>
      <c r="AC140" s="302"/>
      <c r="AD140" s="263"/>
      <c r="AE140" s="305"/>
      <c r="AF140" s="302"/>
      <c r="AG140" s="139"/>
      <c r="AH140" s="139"/>
      <c r="AI140" s="139"/>
      <c r="AJ140" s="306"/>
      <c r="AK140" s="306"/>
      <c r="AL140" s="306"/>
      <c r="AM140" s="307"/>
      <c r="AN140" s="308"/>
      <c r="AO140" s="154"/>
      <c r="AP140" s="154"/>
      <c r="AQ140" s="154"/>
      <c r="AR140" s="306"/>
      <c r="AS140" s="306"/>
      <c r="AT140" s="306"/>
      <c r="AU140" s="309"/>
      <c r="AV140" s="309"/>
      <c r="AW140" s="153"/>
      <c r="AX140" s="153"/>
      <c r="AY140" s="153"/>
      <c r="AZ140" s="306"/>
      <c r="BA140" s="306"/>
      <c r="BB140" s="306"/>
      <c r="BC140" s="310"/>
      <c r="BD140" s="310"/>
      <c r="BE140" s="309"/>
      <c r="BF140" s="311"/>
      <c r="BG140" s="311"/>
      <c r="BH140" s="312"/>
      <c r="BI140" s="313"/>
      <c r="BJ140" s="314"/>
      <c r="BK140" s="314"/>
      <c r="BL140" s="314"/>
      <c r="BM140" s="314"/>
      <c r="BN140" s="314"/>
      <c r="BO140" s="314"/>
      <c r="BP140" s="313"/>
    </row>
    <row r="141" spans="1:68" s="257" customFormat="1" x14ac:dyDescent="0.2">
      <c r="A141" s="366"/>
      <c r="B141" s="366"/>
      <c r="C141" s="341"/>
      <c r="D141" s="341"/>
      <c r="E141" s="341"/>
      <c r="F141" s="300"/>
      <c r="G141" s="301"/>
      <c r="H141" s="301"/>
      <c r="I141" s="301"/>
      <c r="J141" s="302"/>
      <c r="K141" s="263"/>
      <c r="L141" s="301"/>
      <c r="M141" s="301"/>
      <c r="N141" s="301"/>
      <c r="O141" s="302"/>
      <c r="P141" s="303"/>
      <c r="Q141" s="302"/>
      <c r="R141" s="302"/>
      <c r="S141" s="302"/>
      <c r="T141" s="302"/>
      <c r="U141" s="302"/>
      <c r="V141" s="302"/>
      <c r="W141" s="263"/>
      <c r="X141" s="263"/>
      <c r="Y141" s="301"/>
      <c r="Z141" s="302"/>
      <c r="AA141" s="301"/>
      <c r="AB141" s="301"/>
      <c r="AC141" s="301"/>
      <c r="AD141" s="263"/>
      <c r="AE141" s="305"/>
      <c r="AF141" s="302"/>
      <c r="AG141" s="153"/>
      <c r="AH141" s="153"/>
      <c r="AI141" s="153"/>
      <c r="AJ141" s="306"/>
      <c r="AK141" s="306"/>
      <c r="AL141" s="306"/>
      <c r="AM141" s="307"/>
      <c r="AN141" s="308"/>
      <c r="AO141" s="154"/>
      <c r="AP141" s="154"/>
      <c r="AQ141" s="154"/>
      <c r="AR141" s="306"/>
      <c r="AS141" s="306"/>
      <c r="AT141" s="306"/>
      <c r="AU141" s="309"/>
      <c r="AV141" s="309"/>
      <c r="AW141" s="139"/>
      <c r="AX141" s="139"/>
      <c r="AY141" s="139"/>
      <c r="AZ141" s="306"/>
      <c r="BA141" s="306"/>
      <c r="BB141" s="306"/>
      <c r="BC141" s="310"/>
      <c r="BD141" s="310"/>
      <c r="BE141" s="309"/>
      <c r="BF141" s="311"/>
      <c r="BG141" s="311"/>
      <c r="BH141" s="312"/>
      <c r="BI141" s="313"/>
      <c r="BJ141" s="314"/>
      <c r="BK141" s="314"/>
      <c r="BL141" s="314"/>
      <c r="BM141" s="314"/>
      <c r="BN141" s="314"/>
      <c r="BO141" s="314"/>
      <c r="BP141" s="313"/>
    </row>
    <row r="142" spans="1:68" s="257" customFormat="1" x14ac:dyDescent="0.2">
      <c r="A142" s="366"/>
      <c r="B142" s="366"/>
      <c r="C142" s="341"/>
      <c r="D142" s="341"/>
      <c r="E142" s="341"/>
      <c r="F142" s="300"/>
      <c r="G142" s="301"/>
      <c r="H142" s="301"/>
      <c r="I142" s="301"/>
      <c r="J142" s="302"/>
      <c r="K142" s="263"/>
      <c r="L142" s="301"/>
      <c r="M142" s="301"/>
      <c r="N142" s="301"/>
      <c r="O142" s="302"/>
      <c r="P142" s="303"/>
      <c r="Q142" s="302"/>
      <c r="R142" s="302"/>
      <c r="S142" s="302"/>
      <c r="T142" s="302"/>
      <c r="U142" s="302"/>
      <c r="V142" s="302"/>
      <c r="W142" s="263"/>
      <c r="X142" s="263"/>
      <c r="Y142" s="301"/>
      <c r="Z142" s="302"/>
      <c r="AA142" s="301"/>
      <c r="AB142" s="301"/>
      <c r="AC142" s="301"/>
      <c r="AD142" s="263"/>
      <c r="AE142" s="305"/>
      <c r="AF142" s="302"/>
      <c r="AG142" s="153"/>
      <c r="AH142" s="153"/>
      <c r="AI142" s="153"/>
      <c r="AJ142" s="306"/>
      <c r="AK142" s="306"/>
      <c r="AL142" s="306"/>
      <c r="AM142" s="307"/>
      <c r="AN142" s="308"/>
      <c r="AO142" s="154"/>
      <c r="AP142" s="154"/>
      <c r="AQ142" s="154"/>
      <c r="AR142" s="306"/>
      <c r="AS142" s="306"/>
      <c r="AT142" s="306"/>
      <c r="AU142" s="309"/>
      <c r="AV142" s="309"/>
      <c r="AW142" s="153"/>
      <c r="AX142" s="153"/>
      <c r="AY142" s="153"/>
      <c r="AZ142" s="306"/>
      <c r="BA142" s="306"/>
      <c r="BB142" s="306"/>
      <c r="BC142" s="310"/>
      <c r="BD142" s="310"/>
      <c r="BE142" s="309"/>
      <c r="BF142" s="311"/>
      <c r="BG142" s="311"/>
      <c r="BH142" s="312"/>
      <c r="BI142" s="313"/>
      <c r="BJ142" s="314"/>
      <c r="BK142" s="314"/>
      <c r="BL142" s="314"/>
      <c r="BM142" s="314"/>
      <c r="BN142" s="314"/>
      <c r="BO142" s="314"/>
      <c r="BP142" s="313"/>
    </row>
    <row r="143" spans="1:68" s="257" customFormat="1" x14ac:dyDescent="0.2">
      <c r="A143" s="366"/>
      <c r="B143" s="366"/>
      <c r="C143" s="341"/>
      <c r="D143" s="341"/>
      <c r="E143" s="341"/>
      <c r="F143" s="300"/>
      <c r="G143" s="301"/>
      <c r="H143" s="301"/>
      <c r="I143" s="301"/>
      <c r="J143" s="302"/>
      <c r="K143" s="263"/>
      <c r="L143" s="301"/>
      <c r="M143" s="301"/>
      <c r="N143" s="301"/>
      <c r="O143" s="302"/>
      <c r="P143" s="303"/>
      <c r="Q143" s="302"/>
      <c r="R143" s="302"/>
      <c r="S143" s="302"/>
      <c r="T143" s="302"/>
      <c r="U143" s="302"/>
      <c r="V143" s="302"/>
      <c r="W143" s="263"/>
      <c r="X143" s="263"/>
      <c r="Y143" s="301"/>
      <c r="Z143" s="302"/>
      <c r="AA143" s="301"/>
      <c r="AB143" s="301"/>
      <c r="AC143" s="301"/>
      <c r="AD143" s="263"/>
      <c r="AE143" s="305"/>
      <c r="AF143" s="302"/>
      <c r="AG143" s="153"/>
      <c r="AH143" s="153"/>
      <c r="AI143" s="153"/>
      <c r="AJ143" s="306"/>
      <c r="AK143" s="306"/>
      <c r="AL143" s="306"/>
      <c r="AM143" s="307"/>
      <c r="AN143" s="308"/>
      <c r="AO143" s="154"/>
      <c r="AP143" s="154"/>
      <c r="AQ143" s="154"/>
      <c r="AR143" s="306"/>
      <c r="AS143" s="306"/>
      <c r="AT143" s="306"/>
      <c r="AU143" s="309"/>
      <c r="AV143" s="309"/>
      <c r="AW143" s="153"/>
      <c r="AX143" s="153"/>
      <c r="AY143" s="153"/>
      <c r="AZ143" s="306"/>
      <c r="BA143" s="306"/>
      <c r="BB143" s="306"/>
      <c r="BC143" s="310"/>
      <c r="BD143" s="310"/>
      <c r="BE143" s="309"/>
      <c r="BF143" s="311"/>
      <c r="BG143" s="311"/>
      <c r="BH143" s="312"/>
      <c r="BI143" s="313"/>
      <c r="BJ143" s="314"/>
      <c r="BK143" s="314"/>
      <c r="BL143" s="314"/>
      <c r="BM143" s="314"/>
      <c r="BN143" s="314"/>
      <c r="BO143" s="314"/>
      <c r="BP143" s="313"/>
    </row>
    <row r="144" spans="1:68" s="257" customFormat="1" x14ac:dyDescent="0.2">
      <c r="A144" s="366"/>
      <c r="B144" s="366"/>
      <c r="C144" s="341"/>
      <c r="D144" s="341"/>
      <c r="E144" s="341"/>
      <c r="F144" s="300"/>
      <c r="G144" s="301"/>
      <c r="H144" s="301"/>
      <c r="I144" s="301"/>
      <c r="J144" s="302"/>
      <c r="K144" s="263"/>
      <c r="L144" s="301"/>
      <c r="M144" s="301"/>
      <c r="N144" s="301"/>
      <c r="O144" s="302"/>
      <c r="P144" s="303"/>
      <c r="Q144" s="302"/>
      <c r="R144" s="302"/>
      <c r="S144" s="302"/>
      <c r="T144" s="302"/>
      <c r="U144" s="302"/>
      <c r="V144" s="302"/>
      <c r="W144" s="263"/>
      <c r="X144" s="263"/>
      <c r="Y144" s="301"/>
      <c r="Z144" s="302"/>
      <c r="AA144" s="301"/>
      <c r="AB144" s="301"/>
      <c r="AC144" s="301"/>
      <c r="AD144" s="263"/>
      <c r="AE144" s="305"/>
      <c r="AF144" s="302"/>
      <c r="AG144" s="153"/>
      <c r="AH144" s="153"/>
      <c r="AI144" s="153"/>
      <c r="AJ144" s="306"/>
      <c r="AK144" s="306"/>
      <c r="AL144" s="306"/>
      <c r="AM144" s="307"/>
      <c r="AN144" s="308"/>
      <c r="AO144" s="154"/>
      <c r="AP144" s="154"/>
      <c r="AQ144" s="154"/>
      <c r="AR144" s="306"/>
      <c r="AS144" s="306"/>
      <c r="AT144" s="306"/>
      <c r="AU144" s="309"/>
      <c r="AV144" s="309"/>
      <c r="AW144" s="153"/>
      <c r="AX144" s="153"/>
      <c r="AY144" s="153"/>
      <c r="AZ144" s="306"/>
      <c r="BA144" s="306"/>
      <c r="BB144" s="306"/>
      <c r="BC144" s="310"/>
      <c r="BD144" s="310"/>
      <c r="BE144" s="309"/>
      <c r="BF144" s="311"/>
      <c r="BG144" s="311"/>
      <c r="BH144" s="312"/>
      <c r="BI144" s="313"/>
      <c r="BJ144" s="314"/>
      <c r="BK144" s="314"/>
      <c r="BL144" s="314"/>
      <c r="BM144" s="314"/>
      <c r="BN144" s="314"/>
      <c r="BO144" s="314"/>
      <c r="BP144" s="313"/>
    </row>
    <row r="145" spans="1:68" s="257" customFormat="1" x14ac:dyDescent="0.2">
      <c r="A145" s="366"/>
      <c r="B145" s="366"/>
      <c r="C145" s="341"/>
      <c r="D145" s="341"/>
      <c r="E145" s="341"/>
      <c r="F145" s="300"/>
      <c r="G145" s="301"/>
      <c r="H145" s="301"/>
      <c r="I145" s="301"/>
      <c r="J145" s="302"/>
      <c r="K145" s="263"/>
      <c r="L145" s="301"/>
      <c r="M145" s="301"/>
      <c r="N145" s="301"/>
      <c r="O145" s="302"/>
      <c r="P145" s="303"/>
      <c r="Q145" s="302"/>
      <c r="R145" s="302"/>
      <c r="S145" s="302"/>
      <c r="T145" s="302"/>
      <c r="U145" s="302"/>
      <c r="V145" s="302"/>
      <c r="W145" s="263"/>
      <c r="X145" s="263"/>
      <c r="Y145" s="301"/>
      <c r="Z145" s="302"/>
      <c r="AA145" s="301"/>
      <c r="AB145" s="301"/>
      <c r="AC145" s="301"/>
      <c r="AD145" s="263"/>
      <c r="AE145" s="305"/>
      <c r="AF145" s="302"/>
      <c r="AG145" s="153"/>
      <c r="AH145" s="153"/>
      <c r="AI145" s="153"/>
      <c r="AJ145" s="306"/>
      <c r="AK145" s="306"/>
      <c r="AL145" s="306"/>
      <c r="AM145" s="307"/>
      <c r="AN145" s="308"/>
      <c r="AO145" s="154"/>
      <c r="AP145" s="154"/>
      <c r="AQ145" s="154"/>
      <c r="AR145" s="306"/>
      <c r="AS145" s="306"/>
      <c r="AT145" s="306"/>
      <c r="AU145" s="309"/>
      <c r="AV145" s="309"/>
      <c r="AW145" s="153"/>
      <c r="AX145" s="153"/>
      <c r="AY145" s="153"/>
      <c r="AZ145" s="306"/>
      <c r="BA145" s="306"/>
      <c r="BB145" s="306"/>
      <c r="BC145" s="310"/>
      <c r="BD145" s="310"/>
      <c r="BE145" s="309"/>
      <c r="BF145" s="311"/>
      <c r="BG145" s="311"/>
      <c r="BH145" s="312"/>
      <c r="BI145" s="313"/>
      <c r="BJ145" s="314"/>
      <c r="BK145" s="314"/>
      <c r="BL145" s="314"/>
      <c r="BM145" s="314"/>
      <c r="BN145" s="314"/>
      <c r="BO145" s="314"/>
      <c r="BP145" s="313"/>
    </row>
    <row r="146" spans="1:68" s="257" customFormat="1" x14ac:dyDescent="0.2">
      <c r="A146" s="366"/>
      <c r="B146" s="366"/>
      <c r="C146" s="341"/>
      <c r="D146" s="341"/>
      <c r="E146" s="341"/>
      <c r="F146" s="300"/>
      <c r="G146" s="301"/>
      <c r="H146" s="301"/>
      <c r="I146" s="301"/>
      <c r="J146" s="302"/>
      <c r="K146" s="263"/>
      <c r="L146" s="301"/>
      <c r="M146" s="301"/>
      <c r="N146" s="301"/>
      <c r="O146" s="302"/>
      <c r="P146" s="303"/>
      <c r="Q146" s="302"/>
      <c r="R146" s="302"/>
      <c r="S146" s="302"/>
      <c r="T146" s="302"/>
      <c r="U146" s="302"/>
      <c r="V146" s="302"/>
      <c r="W146" s="263"/>
      <c r="X146" s="263"/>
      <c r="Y146" s="301"/>
      <c r="Z146" s="302"/>
      <c r="AA146" s="301"/>
      <c r="AB146" s="301"/>
      <c r="AC146" s="301"/>
      <c r="AD146" s="263"/>
      <c r="AE146" s="305"/>
      <c r="AF146" s="302"/>
      <c r="AG146" s="153"/>
      <c r="AH146" s="153"/>
      <c r="AI146" s="153"/>
      <c r="AJ146" s="306"/>
      <c r="AK146" s="306"/>
      <c r="AL146" s="306"/>
      <c r="AM146" s="307"/>
      <c r="AN146" s="308"/>
      <c r="AO146" s="154"/>
      <c r="AP146" s="154"/>
      <c r="AQ146" s="154"/>
      <c r="AR146" s="306"/>
      <c r="AS146" s="306"/>
      <c r="AT146" s="306"/>
      <c r="AU146" s="309"/>
      <c r="AV146" s="309"/>
      <c r="AW146" s="153"/>
      <c r="AX146" s="153"/>
      <c r="AY146" s="153"/>
      <c r="AZ146" s="306"/>
      <c r="BA146" s="306"/>
      <c r="BB146" s="306"/>
      <c r="BC146" s="310"/>
      <c r="BD146" s="310"/>
      <c r="BE146" s="309"/>
      <c r="BF146" s="311"/>
      <c r="BG146" s="311"/>
      <c r="BH146" s="312"/>
      <c r="BI146" s="313"/>
      <c r="BJ146" s="314"/>
      <c r="BK146" s="314"/>
      <c r="BL146" s="314"/>
      <c r="BM146" s="314"/>
      <c r="BN146" s="314"/>
      <c r="BO146" s="314"/>
      <c r="BP146" s="313"/>
    </row>
    <row r="147" spans="1:68" s="257" customFormat="1" x14ac:dyDescent="0.2">
      <c r="A147" s="366"/>
      <c r="B147" s="366"/>
      <c r="C147" s="341"/>
      <c r="D147" s="341"/>
      <c r="E147" s="341"/>
      <c r="F147" s="300"/>
      <c r="G147" s="301"/>
      <c r="H147" s="301"/>
      <c r="I147" s="301"/>
      <c r="J147" s="302"/>
      <c r="K147" s="263"/>
      <c r="L147" s="301"/>
      <c r="M147" s="301"/>
      <c r="N147" s="301"/>
      <c r="O147" s="302"/>
      <c r="P147" s="303"/>
      <c r="Q147" s="302"/>
      <c r="R147" s="302"/>
      <c r="S147" s="302"/>
      <c r="T147" s="302"/>
      <c r="U147" s="302"/>
      <c r="V147" s="302"/>
      <c r="W147" s="263"/>
      <c r="X147" s="263"/>
      <c r="Y147" s="301"/>
      <c r="Z147" s="302"/>
      <c r="AA147" s="301"/>
      <c r="AB147" s="301"/>
      <c r="AC147" s="301"/>
      <c r="AD147" s="263"/>
      <c r="AE147" s="305"/>
      <c r="AF147" s="302"/>
      <c r="AG147" s="153"/>
      <c r="AH147" s="153"/>
      <c r="AI147" s="153"/>
      <c r="AJ147" s="306"/>
      <c r="AK147" s="306"/>
      <c r="AL147" s="306"/>
      <c r="AM147" s="307"/>
      <c r="AN147" s="308"/>
      <c r="AO147" s="154"/>
      <c r="AP147" s="154"/>
      <c r="AQ147" s="154"/>
      <c r="AR147" s="306"/>
      <c r="AS147" s="306"/>
      <c r="AT147" s="306"/>
      <c r="AU147" s="309"/>
      <c r="AV147" s="309"/>
      <c r="AW147" s="153"/>
      <c r="AX147" s="153"/>
      <c r="AY147" s="153"/>
      <c r="AZ147" s="306"/>
      <c r="BA147" s="306"/>
      <c r="BB147" s="306"/>
      <c r="BC147" s="310"/>
      <c r="BD147" s="310"/>
      <c r="BE147" s="309"/>
      <c r="BF147" s="311"/>
      <c r="BG147" s="311"/>
      <c r="BH147" s="312"/>
      <c r="BI147" s="313"/>
      <c r="BJ147" s="314"/>
      <c r="BK147" s="314"/>
      <c r="BL147" s="314"/>
      <c r="BM147" s="314"/>
      <c r="BN147" s="314"/>
      <c r="BO147" s="314"/>
      <c r="BP147" s="313"/>
    </row>
    <row r="148" spans="1:68" s="257" customFormat="1" x14ac:dyDescent="0.2">
      <c r="A148" s="366"/>
      <c r="B148" s="366"/>
      <c r="C148" s="341"/>
      <c r="D148" s="341"/>
      <c r="E148" s="341"/>
      <c r="F148" s="315"/>
      <c r="G148" s="301"/>
      <c r="H148" s="301"/>
      <c r="I148" s="301"/>
      <c r="J148" s="302"/>
      <c r="K148" s="263"/>
      <c r="L148" s="301"/>
      <c r="M148" s="301"/>
      <c r="N148" s="301"/>
      <c r="O148" s="302"/>
      <c r="P148" s="303"/>
      <c r="Q148" s="302"/>
      <c r="R148" s="302"/>
      <c r="S148" s="302"/>
      <c r="T148" s="302"/>
      <c r="U148" s="302"/>
      <c r="V148" s="302"/>
      <c r="W148" s="263"/>
      <c r="X148" s="263"/>
      <c r="Y148" s="301"/>
      <c r="Z148" s="302"/>
      <c r="AA148" s="301"/>
      <c r="AB148" s="301"/>
      <c r="AC148" s="301"/>
      <c r="AD148" s="263"/>
      <c r="AE148" s="305"/>
      <c r="AF148" s="302"/>
      <c r="AG148" s="153"/>
      <c r="AH148" s="153"/>
      <c r="AI148" s="153"/>
      <c r="AJ148" s="306"/>
      <c r="AK148" s="306"/>
      <c r="AL148" s="306"/>
      <c r="AM148" s="307"/>
      <c r="AN148" s="308"/>
      <c r="AO148" s="154"/>
      <c r="AP148" s="154"/>
      <c r="AQ148" s="154"/>
      <c r="AR148" s="306"/>
      <c r="AS148" s="306"/>
      <c r="AT148" s="306"/>
      <c r="AU148" s="309"/>
      <c r="AV148" s="309"/>
      <c r="AW148" s="153"/>
      <c r="AX148" s="153"/>
      <c r="AY148" s="153"/>
      <c r="AZ148" s="306"/>
      <c r="BA148" s="306"/>
      <c r="BB148" s="306"/>
      <c r="BC148" s="310"/>
      <c r="BD148" s="310"/>
      <c r="BE148" s="309"/>
      <c r="BF148" s="311"/>
      <c r="BG148" s="311"/>
      <c r="BH148" s="312"/>
      <c r="BI148" s="313"/>
      <c r="BJ148" s="314"/>
      <c r="BK148" s="314"/>
      <c r="BL148" s="314"/>
      <c r="BM148" s="314"/>
      <c r="BN148" s="314"/>
      <c r="BO148" s="314"/>
      <c r="BP148" s="313"/>
    </row>
    <row r="149" spans="1:68" s="257" customFormat="1" x14ac:dyDescent="0.2">
      <c r="A149" s="366"/>
      <c r="B149" s="366"/>
      <c r="C149" s="341"/>
      <c r="D149" s="341"/>
      <c r="E149" s="341"/>
      <c r="F149" s="315"/>
      <c r="G149" s="301"/>
      <c r="H149" s="301"/>
      <c r="I149" s="301"/>
      <c r="J149" s="302"/>
      <c r="K149" s="263"/>
      <c r="L149" s="301"/>
      <c r="M149" s="301"/>
      <c r="N149" s="301"/>
      <c r="O149" s="302"/>
      <c r="P149" s="303"/>
      <c r="Q149" s="302"/>
      <c r="R149" s="302"/>
      <c r="S149" s="302"/>
      <c r="T149" s="302"/>
      <c r="U149" s="302"/>
      <c r="V149" s="302"/>
      <c r="W149" s="263"/>
      <c r="X149" s="263"/>
      <c r="Y149" s="301"/>
      <c r="Z149" s="302"/>
      <c r="AA149" s="301"/>
      <c r="AB149" s="301"/>
      <c r="AC149" s="301"/>
      <c r="AD149" s="263"/>
      <c r="AE149" s="305"/>
      <c r="AF149" s="302"/>
      <c r="AG149" s="153"/>
      <c r="AH149" s="153"/>
      <c r="AI149" s="153"/>
      <c r="AJ149" s="306"/>
      <c r="AK149" s="306"/>
      <c r="AL149" s="306"/>
      <c r="AM149" s="316"/>
      <c r="AN149" s="308"/>
      <c r="AO149" s="154"/>
      <c r="AP149" s="154"/>
      <c r="AQ149" s="154"/>
      <c r="AR149" s="306"/>
      <c r="AS149" s="306"/>
      <c r="AT149" s="306"/>
      <c r="AU149" s="309"/>
      <c r="AV149" s="309"/>
      <c r="AW149" s="139"/>
      <c r="AX149" s="139"/>
      <c r="AY149" s="139"/>
      <c r="AZ149" s="306"/>
      <c r="BA149" s="306"/>
      <c r="BB149" s="306"/>
      <c r="BC149" s="310"/>
      <c r="BD149" s="310"/>
      <c r="BE149" s="309"/>
      <c r="BF149" s="311"/>
      <c r="BG149" s="311"/>
      <c r="BH149" s="312"/>
      <c r="BI149" s="313"/>
      <c r="BJ149" s="314"/>
      <c r="BK149" s="314"/>
      <c r="BL149" s="314"/>
      <c r="BM149" s="314"/>
      <c r="BN149" s="314"/>
      <c r="BO149" s="314"/>
      <c r="BP149" s="313"/>
    </row>
    <row r="150" spans="1:68" s="257" customFormat="1" x14ac:dyDescent="0.2">
      <c r="A150" s="365"/>
      <c r="B150" s="365"/>
      <c r="C150" s="284"/>
      <c r="D150" s="284"/>
      <c r="E150" s="284"/>
      <c r="F150" s="285"/>
      <c r="G150" s="286"/>
      <c r="H150" s="286"/>
      <c r="I150" s="286"/>
      <c r="J150" s="287"/>
      <c r="K150" s="259"/>
      <c r="L150" s="286"/>
      <c r="M150" s="286"/>
      <c r="N150" s="286"/>
      <c r="O150" s="287"/>
      <c r="P150" s="288"/>
      <c r="Q150" s="287"/>
      <c r="R150" s="287"/>
      <c r="S150" s="287"/>
      <c r="T150" s="287"/>
      <c r="U150" s="287"/>
      <c r="V150" s="287"/>
      <c r="W150" s="283"/>
      <c r="X150" s="259"/>
      <c r="Y150" s="286"/>
      <c r="Z150" s="287"/>
      <c r="AA150" s="287"/>
      <c r="AB150" s="287"/>
      <c r="AC150" s="287"/>
      <c r="AD150" s="259"/>
      <c r="AE150" s="289"/>
      <c r="AF150" s="287"/>
      <c r="AG150" s="290"/>
      <c r="AH150" s="290"/>
      <c r="AI150" s="287"/>
      <c r="AJ150" s="291"/>
      <c r="AK150" s="291"/>
      <c r="AL150" s="291"/>
      <c r="AM150" s="292"/>
      <c r="AN150" s="290"/>
      <c r="AO150" s="287"/>
      <c r="AP150" s="287"/>
      <c r="AQ150" s="287"/>
      <c r="AR150" s="291"/>
      <c r="AS150" s="291"/>
      <c r="AT150" s="291"/>
      <c r="AU150" s="293"/>
      <c r="AV150" s="293"/>
      <c r="AW150" s="287"/>
      <c r="AX150" s="287"/>
      <c r="AY150" s="287"/>
      <c r="AZ150" s="291"/>
      <c r="BA150" s="291"/>
      <c r="BB150" s="291"/>
      <c r="BC150" s="294"/>
      <c r="BD150" s="294"/>
      <c r="BE150" s="293"/>
      <c r="BF150" s="295"/>
      <c r="BG150" s="295"/>
      <c r="BH150" s="296"/>
      <c r="BI150" s="297"/>
      <c r="BJ150" s="298"/>
      <c r="BK150" s="298"/>
      <c r="BL150" s="298"/>
      <c r="BM150" s="298"/>
      <c r="BN150" s="298"/>
      <c r="BO150" s="298"/>
      <c r="BP150" s="297"/>
    </row>
    <row r="151" spans="1:68" s="257" customFormat="1" ht="15" x14ac:dyDescent="0.2">
      <c r="A151" s="367"/>
      <c r="B151" s="367"/>
      <c r="C151" s="315"/>
      <c r="D151" s="315"/>
      <c r="E151" s="315"/>
      <c r="F151" s="342"/>
      <c r="G151" s="302"/>
      <c r="H151" s="302"/>
      <c r="I151" s="302"/>
      <c r="J151" s="302"/>
      <c r="K151" s="263"/>
      <c r="L151" s="302"/>
      <c r="M151" s="302"/>
      <c r="N151" s="302"/>
      <c r="O151" s="302"/>
      <c r="P151" s="302"/>
      <c r="Q151" s="302"/>
      <c r="R151" s="302"/>
      <c r="S151" s="302"/>
      <c r="T151" s="302"/>
      <c r="U151" s="302"/>
      <c r="V151" s="302"/>
      <c r="W151" s="304"/>
      <c r="X151" s="263"/>
      <c r="Y151" s="302"/>
      <c r="Z151" s="302"/>
      <c r="AA151" s="302"/>
      <c r="AB151" s="302"/>
      <c r="AC151" s="302"/>
      <c r="AD151" s="263"/>
      <c r="AE151" s="302"/>
      <c r="AF151" s="302"/>
      <c r="AG151" s="139"/>
      <c r="AH151" s="302"/>
      <c r="AI151" s="302"/>
      <c r="AJ151" s="139"/>
      <c r="AK151" s="139"/>
      <c r="AL151" s="139"/>
      <c r="AM151" s="343"/>
      <c r="AN151" s="139"/>
      <c r="AO151" s="302"/>
      <c r="AP151" s="344"/>
      <c r="AQ151" s="302"/>
      <c r="AR151" s="139"/>
      <c r="AS151" s="139"/>
      <c r="AT151" s="139"/>
      <c r="AU151" s="345"/>
      <c r="AV151" s="346"/>
      <c r="AW151" s="302"/>
      <c r="AX151" s="302"/>
      <c r="AY151" s="302"/>
      <c r="AZ151" s="139"/>
      <c r="BA151" s="139"/>
      <c r="BB151" s="139"/>
      <c r="BC151" s="302"/>
      <c r="BD151" s="343"/>
      <c r="BE151" s="347"/>
      <c r="BF151" s="348"/>
      <c r="BG151" s="348"/>
      <c r="BH151" s="349"/>
      <c r="BI151" s="313"/>
      <c r="BJ151" s="314"/>
      <c r="BK151" s="314"/>
      <c r="BL151" s="314"/>
      <c r="BM151" s="314"/>
      <c r="BN151" s="314"/>
      <c r="BO151" s="314"/>
      <c r="BP151" s="313"/>
    </row>
    <row r="152" spans="1:68" s="257" customFormat="1" ht="15" x14ac:dyDescent="0.2">
      <c r="A152" s="367"/>
      <c r="B152" s="367"/>
      <c r="C152" s="315"/>
      <c r="D152" s="315"/>
      <c r="E152" s="315"/>
      <c r="F152" s="342"/>
      <c r="G152" s="302"/>
      <c r="H152" s="302"/>
      <c r="I152" s="302"/>
      <c r="J152" s="302"/>
      <c r="K152" s="263"/>
      <c r="L152" s="302"/>
      <c r="M152" s="302"/>
      <c r="N152" s="302"/>
      <c r="O152" s="302"/>
      <c r="P152" s="302"/>
      <c r="Q152" s="302"/>
      <c r="R152" s="302"/>
      <c r="S152" s="302"/>
      <c r="T152" s="302"/>
      <c r="U152" s="302"/>
      <c r="V152" s="302"/>
      <c r="W152" s="304"/>
      <c r="X152" s="263"/>
      <c r="Y152" s="302"/>
      <c r="Z152" s="302"/>
      <c r="AA152" s="302"/>
      <c r="AB152" s="302"/>
      <c r="AC152" s="302"/>
      <c r="AD152" s="361"/>
      <c r="AE152" s="312"/>
      <c r="AF152" s="302"/>
      <c r="AG152" s="302"/>
      <c r="AH152" s="302"/>
      <c r="AI152" s="302"/>
      <c r="AJ152" s="139"/>
      <c r="AK152" s="139"/>
      <c r="AL152" s="139"/>
      <c r="AM152" s="343"/>
      <c r="AN152" s="139"/>
      <c r="AO152" s="139"/>
      <c r="AP152" s="302"/>
      <c r="AQ152" s="302"/>
      <c r="AR152" s="139"/>
      <c r="AS152" s="139"/>
      <c r="AT152" s="139"/>
      <c r="AU152" s="345"/>
      <c r="AV152" s="346"/>
      <c r="AW152" s="302"/>
      <c r="AX152" s="302"/>
      <c r="AY152" s="302"/>
      <c r="AZ152" s="139"/>
      <c r="BA152" s="139"/>
      <c r="BB152" s="139"/>
      <c r="BC152" s="302"/>
      <c r="BD152" s="343"/>
      <c r="BE152" s="347"/>
      <c r="BF152" s="348"/>
      <c r="BG152" s="348"/>
      <c r="BH152" s="349"/>
      <c r="BI152" s="313"/>
      <c r="BJ152" s="314"/>
      <c r="BK152" s="314"/>
      <c r="BL152" s="314"/>
      <c r="BM152" s="314"/>
      <c r="BN152" s="314"/>
      <c r="BO152" s="314"/>
      <c r="BP152" s="313"/>
    </row>
    <row r="153" spans="1:68" s="257" customFormat="1" ht="15" x14ac:dyDescent="0.2">
      <c r="A153" s="367"/>
      <c r="B153" s="367"/>
      <c r="C153" s="315"/>
      <c r="D153" s="315"/>
      <c r="E153" s="315"/>
      <c r="F153" s="350"/>
      <c r="G153" s="320"/>
      <c r="H153" s="320"/>
      <c r="I153" s="320"/>
      <c r="J153" s="302"/>
      <c r="K153" s="263"/>
      <c r="L153" s="302"/>
      <c r="M153" s="320"/>
      <c r="N153" s="320"/>
      <c r="O153" s="302"/>
      <c r="P153" s="302"/>
      <c r="Q153" s="302"/>
      <c r="R153" s="302"/>
      <c r="S153" s="302"/>
      <c r="T153" s="302"/>
      <c r="U153" s="302"/>
      <c r="V153" s="302"/>
      <c r="W153" s="304"/>
      <c r="X153" s="263"/>
      <c r="Y153" s="302"/>
      <c r="Z153" s="302"/>
      <c r="AA153" s="302"/>
      <c r="AB153" s="302"/>
      <c r="AC153" s="302"/>
      <c r="AD153" s="361"/>
      <c r="AE153" s="312"/>
      <c r="AF153" s="302"/>
      <c r="AG153" s="302"/>
      <c r="AH153" s="302"/>
      <c r="AI153" s="302"/>
      <c r="AJ153" s="139"/>
      <c r="AK153" s="139"/>
      <c r="AL153" s="139"/>
      <c r="AM153" s="302"/>
      <c r="AN153" s="302"/>
      <c r="AO153" s="139"/>
      <c r="AP153" s="302"/>
      <c r="AQ153" s="302"/>
      <c r="AR153" s="139"/>
      <c r="AS153" s="139"/>
      <c r="AT153" s="139"/>
      <c r="AU153" s="345"/>
      <c r="AV153" s="346"/>
      <c r="AW153" s="302"/>
      <c r="AX153" s="302"/>
      <c r="AY153" s="302"/>
      <c r="AZ153" s="139"/>
      <c r="BA153" s="139"/>
      <c r="BB153" s="139"/>
      <c r="BC153" s="302"/>
      <c r="BD153" s="343"/>
      <c r="BE153" s="351"/>
      <c r="BF153" s="352"/>
      <c r="BG153" s="352"/>
      <c r="BH153" s="353"/>
      <c r="BI153" s="313"/>
      <c r="BJ153" s="314"/>
      <c r="BK153" s="314"/>
      <c r="BL153" s="314"/>
      <c r="BM153" s="314"/>
      <c r="BN153" s="314"/>
      <c r="BO153" s="314"/>
      <c r="BP153" s="313"/>
    </row>
    <row r="154" spans="1:68" s="257" customFormat="1" x14ac:dyDescent="0.2">
      <c r="A154" s="373"/>
      <c r="B154" s="373"/>
      <c r="C154" s="354"/>
      <c r="D154" s="354"/>
      <c r="E154" s="354"/>
      <c r="F154" s="342"/>
      <c r="G154" s="351"/>
      <c r="H154" s="351"/>
      <c r="I154" s="351"/>
      <c r="J154" s="302"/>
      <c r="K154" s="263"/>
      <c r="L154" s="302"/>
      <c r="M154" s="351"/>
      <c r="N154" s="351"/>
      <c r="O154" s="302"/>
      <c r="P154" s="302"/>
      <c r="Q154" s="139"/>
      <c r="R154" s="302"/>
      <c r="S154" s="302"/>
      <c r="T154" s="302"/>
      <c r="U154" s="302"/>
      <c r="V154" s="302"/>
      <c r="W154" s="304"/>
      <c r="X154" s="263"/>
      <c r="Y154" s="302"/>
      <c r="Z154" s="302"/>
      <c r="AA154" s="302"/>
      <c r="AB154" s="302"/>
      <c r="AC154" s="302"/>
      <c r="AD154" s="361"/>
      <c r="AE154" s="312"/>
      <c r="AF154" s="302"/>
      <c r="AG154" s="302"/>
      <c r="AH154" s="302"/>
      <c r="AI154" s="302"/>
      <c r="AJ154" s="139"/>
      <c r="AK154" s="139"/>
      <c r="AL154" s="139"/>
      <c r="AM154" s="343"/>
      <c r="AN154" s="139"/>
      <c r="AO154" s="302"/>
      <c r="AP154" s="302"/>
      <c r="AQ154" s="302"/>
      <c r="AR154" s="139"/>
      <c r="AS154" s="139"/>
      <c r="AT154" s="139"/>
      <c r="AU154" s="345"/>
      <c r="AV154" s="346"/>
      <c r="AW154" s="302"/>
      <c r="AX154" s="302"/>
      <c r="AY154" s="302"/>
      <c r="AZ154" s="139"/>
      <c r="BA154" s="139"/>
      <c r="BB154" s="139"/>
      <c r="BC154" s="302"/>
      <c r="BD154" s="343"/>
      <c r="BE154" s="347"/>
      <c r="BF154" s="355"/>
      <c r="BG154" s="355"/>
      <c r="BH154" s="336"/>
      <c r="BI154" s="313"/>
      <c r="BJ154" s="314"/>
      <c r="BK154" s="314"/>
      <c r="BL154" s="314"/>
      <c r="BM154" s="314"/>
      <c r="BN154" s="314"/>
      <c r="BO154" s="314"/>
      <c r="BP154" s="313"/>
    </row>
    <row r="155" spans="1:68" s="257" customFormat="1" x14ac:dyDescent="0.2">
      <c r="A155" s="367"/>
      <c r="B155" s="367"/>
      <c r="C155" s="315"/>
      <c r="D155" s="315"/>
      <c r="E155" s="315"/>
      <c r="F155" s="342"/>
      <c r="G155" s="351"/>
      <c r="H155" s="351"/>
      <c r="I155" s="351"/>
      <c r="J155" s="302"/>
      <c r="K155" s="263"/>
      <c r="L155" s="302"/>
      <c r="M155" s="351"/>
      <c r="N155" s="351"/>
      <c r="O155" s="302"/>
      <c r="P155" s="302"/>
      <c r="Q155" s="139"/>
      <c r="R155" s="302"/>
      <c r="S155" s="302"/>
      <c r="T155" s="302"/>
      <c r="U155" s="302"/>
      <c r="V155" s="302"/>
      <c r="W155" s="304"/>
      <c r="X155" s="263"/>
      <c r="Y155" s="302"/>
      <c r="Z155" s="302"/>
      <c r="AA155" s="302"/>
      <c r="AB155" s="302"/>
      <c r="AC155" s="302"/>
      <c r="AD155" s="361"/>
      <c r="AE155" s="312"/>
      <c r="AF155" s="302"/>
      <c r="AG155" s="302"/>
      <c r="AH155" s="302"/>
      <c r="AI155" s="302"/>
      <c r="AJ155" s="139"/>
      <c r="AK155" s="139"/>
      <c r="AL155" s="139"/>
      <c r="AM155" s="343"/>
      <c r="AN155" s="139"/>
      <c r="AO155" s="302"/>
      <c r="AP155" s="302"/>
      <c r="AQ155" s="302"/>
      <c r="AR155" s="139"/>
      <c r="AS155" s="139"/>
      <c r="AT155" s="139"/>
      <c r="AU155" s="345"/>
      <c r="AV155" s="346"/>
      <c r="AW155" s="302"/>
      <c r="AX155" s="302"/>
      <c r="AY155" s="302"/>
      <c r="AZ155" s="139"/>
      <c r="BA155" s="139"/>
      <c r="BB155" s="139"/>
      <c r="BC155" s="302"/>
      <c r="BD155" s="343"/>
      <c r="BE155" s="347"/>
      <c r="BF155" s="348"/>
      <c r="BG155" s="348"/>
      <c r="BH155" s="312"/>
      <c r="BI155" s="313"/>
      <c r="BJ155" s="314"/>
      <c r="BK155" s="314"/>
      <c r="BL155" s="314"/>
      <c r="BM155" s="314"/>
      <c r="BN155" s="314"/>
      <c r="BO155" s="314"/>
      <c r="BP155" s="313"/>
    </row>
    <row r="156" spans="1:68" s="257" customFormat="1" x14ac:dyDescent="0.2">
      <c r="A156" s="367"/>
      <c r="B156" s="367"/>
      <c r="C156" s="315"/>
      <c r="D156" s="315"/>
      <c r="E156" s="315"/>
      <c r="F156" s="342"/>
      <c r="G156" s="351"/>
      <c r="H156" s="351"/>
      <c r="I156" s="351"/>
      <c r="J156" s="302"/>
      <c r="K156" s="263"/>
      <c r="L156" s="302"/>
      <c r="M156" s="351"/>
      <c r="N156" s="351"/>
      <c r="O156" s="302"/>
      <c r="P156" s="302"/>
      <c r="Q156" s="302"/>
      <c r="R156" s="302"/>
      <c r="S156" s="302"/>
      <c r="T156" s="302"/>
      <c r="U156" s="302"/>
      <c r="V156" s="302"/>
      <c r="W156" s="304"/>
      <c r="X156" s="263"/>
      <c r="Y156" s="302"/>
      <c r="Z156" s="302"/>
      <c r="AA156" s="302"/>
      <c r="AB156" s="302"/>
      <c r="AC156" s="302"/>
      <c r="AD156" s="361"/>
      <c r="AE156" s="312"/>
      <c r="AF156" s="302"/>
      <c r="AG156" s="302"/>
      <c r="AH156" s="302"/>
      <c r="AI156" s="302"/>
      <c r="AJ156" s="139"/>
      <c r="AK156" s="139"/>
      <c r="AL156" s="139"/>
      <c r="AM156" s="343"/>
      <c r="AN156" s="139"/>
      <c r="AO156" s="302"/>
      <c r="AP156" s="302"/>
      <c r="AQ156" s="302"/>
      <c r="AR156" s="139"/>
      <c r="AS156" s="139"/>
      <c r="AT156" s="139"/>
      <c r="AU156" s="345"/>
      <c r="AV156" s="346"/>
      <c r="AW156" s="302"/>
      <c r="AX156" s="302"/>
      <c r="AY156" s="302"/>
      <c r="AZ156" s="139"/>
      <c r="BA156" s="139"/>
      <c r="BB156" s="139"/>
      <c r="BC156" s="302"/>
      <c r="BD156" s="343"/>
      <c r="BE156" s="347"/>
      <c r="BF156" s="348"/>
      <c r="BG156" s="348"/>
      <c r="BH156" s="312"/>
      <c r="BI156" s="313"/>
      <c r="BJ156" s="314"/>
      <c r="BK156" s="314"/>
      <c r="BL156" s="314"/>
      <c r="BM156" s="314"/>
      <c r="BN156" s="314"/>
      <c r="BO156" s="314"/>
      <c r="BP156" s="313"/>
    </row>
    <row r="157" spans="1:68" s="257" customFormat="1" x14ac:dyDescent="0.2">
      <c r="A157" s="367"/>
      <c r="B157" s="367"/>
      <c r="C157" s="315"/>
      <c r="D157" s="315"/>
      <c r="E157" s="315"/>
      <c r="F157" s="342"/>
      <c r="G157" s="351"/>
      <c r="H157" s="351"/>
      <c r="I157" s="351"/>
      <c r="J157" s="302"/>
      <c r="K157" s="263"/>
      <c r="L157" s="302"/>
      <c r="M157" s="351"/>
      <c r="N157" s="351"/>
      <c r="O157" s="302"/>
      <c r="P157" s="302"/>
      <c r="Q157" s="302"/>
      <c r="R157" s="302"/>
      <c r="S157" s="302"/>
      <c r="T157" s="302"/>
      <c r="U157" s="302"/>
      <c r="V157" s="302"/>
      <c r="W157" s="304"/>
      <c r="X157" s="263"/>
      <c r="Y157" s="302"/>
      <c r="Z157" s="302"/>
      <c r="AA157" s="302"/>
      <c r="AB157" s="302"/>
      <c r="AC157" s="302"/>
      <c r="AD157" s="361"/>
      <c r="AE157" s="312"/>
      <c r="AF157" s="302"/>
      <c r="AG157" s="302"/>
      <c r="AH157" s="302"/>
      <c r="AI157" s="302"/>
      <c r="AJ157" s="139"/>
      <c r="AK157" s="139"/>
      <c r="AL157" s="139"/>
      <c r="AM157" s="343"/>
      <c r="AN157" s="139"/>
      <c r="AO157" s="302"/>
      <c r="AP157" s="302"/>
      <c r="AQ157" s="302"/>
      <c r="AR157" s="139"/>
      <c r="AS157" s="139"/>
      <c r="AT157" s="139"/>
      <c r="AU157" s="356"/>
      <c r="AV157" s="346"/>
      <c r="AW157" s="302"/>
      <c r="AX157" s="302"/>
      <c r="AY157" s="302"/>
      <c r="AZ157" s="139"/>
      <c r="BA157" s="139"/>
      <c r="BB157" s="139"/>
      <c r="BC157" s="302"/>
      <c r="BD157" s="343"/>
      <c r="BE157" s="347"/>
      <c r="BF157" s="348"/>
      <c r="BG157" s="348"/>
      <c r="BH157" s="312"/>
      <c r="BI157" s="313"/>
      <c r="BJ157" s="314"/>
      <c r="BK157" s="314"/>
      <c r="BL157" s="314"/>
      <c r="BM157" s="314"/>
      <c r="BN157" s="314"/>
      <c r="BO157" s="314"/>
      <c r="BP157" s="313"/>
    </row>
    <row r="158" spans="1:68" s="257" customFormat="1" x14ac:dyDescent="0.2">
      <c r="A158" s="367"/>
      <c r="B158" s="367"/>
      <c r="C158" s="315"/>
      <c r="D158" s="315"/>
      <c r="E158" s="315"/>
      <c r="F158" s="342"/>
      <c r="G158" s="351"/>
      <c r="H158" s="351"/>
      <c r="I158" s="351"/>
      <c r="J158" s="302"/>
      <c r="K158" s="263"/>
      <c r="L158" s="302"/>
      <c r="M158" s="351"/>
      <c r="N158" s="351"/>
      <c r="O158" s="302"/>
      <c r="P158" s="302"/>
      <c r="Q158" s="302"/>
      <c r="R158" s="302"/>
      <c r="S158" s="302"/>
      <c r="T158" s="302"/>
      <c r="U158" s="302"/>
      <c r="V158" s="302"/>
      <c r="W158" s="304"/>
      <c r="X158" s="263"/>
      <c r="Y158" s="302"/>
      <c r="Z158" s="302"/>
      <c r="AA158" s="302"/>
      <c r="AB158" s="302"/>
      <c r="AC158" s="302"/>
      <c r="AD158" s="361"/>
      <c r="AE158" s="312"/>
      <c r="AF158" s="302"/>
      <c r="AG158" s="302"/>
      <c r="AH158" s="302"/>
      <c r="AI158" s="302"/>
      <c r="AJ158" s="139"/>
      <c r="AK158" s="139"/>
      <c r="AL158" s="139"/>
      <c r="AM158" s="343"/>
      <c r="AN158" s="139"/>
      <c r="AO158" s="302"/>
      <c r="AP158" s="302"/>
      <c r="AQ158" s="302"/>
      <c r="AR158" s="139"/>
      <c r="AS158" s="139"/>
      <c r="AT158" s="139"/>
      <c r="AU158" s="345"/>
      <c r="AV158" s="346"/>
      <c r="AW158" s="302"/>
      <c r="AX158" s="302"/>
      <c r="AY158" s="302"/>
      <c r="AZ158" s="139"/>
      <c r="BA158" s="139"/>
      <c r="BB158" s="139"/>
      <c r="BC158" s="302"/>
      <c r="BD158" s="343"/>
      <c r="BE158" s="347"/>
      <c r="BF158" s="348"/>
      <c r="BG158" s="348"/>
      <c r="BH158" s="312"/>
      <c r="BI158" s="313"/>
      <c r="BJ158" s="314"/>
      <c r="BK158" s="314"/>
      <c r="BL158" s="314"/>
      <c r="BM158" s="314"/>
      <c r="BN158" s="314"/>
      <c r="BO158" s="314"/>
      <c r="BP158" s="313"/>
    </row>
    <row r="159" spans="1:68" s="257" customFormat="1" x14ac:dyDescent="0.2">
      <c r="A159" s="367"/>
      <c r="B159" s="367"/>
      <c r="C159" s="315"/>
      <c r="D159" s="315"/>
      <c r="E159" s="357"/>
      <c r="F159" s="342"/>
      <c r="G159" s="351"/>
      <c r="H159" s="351"/>
      <c r="I159" s="351"/>
      <c r="J159" s="302"/>
      <c r="K159" s="263"/>
      <c r="L159" s="302"/>
      <c r="M159" s="351"/>
      <c r="N159" s="351"/>
      <c r="O159" s="302"/>
      <c r="P159" s="302"/>
      <c r="Q159" s="139"/>
      <c r="R159" s="302"/>
      <c r="S159" s="302"/>
      <c r="T159" s="302"/>
      <c r="U159" s="302"/>
      <c r="V159" s="302"/>
      <c r="W159" s="304"/>
      <c r="X159" s="263"/>
      <c r="Y159" s="302"/>
      <c r="Z159" s="302"/>
      <c r="AA159" s="302"/>
      <c r="AB159" s="302"/>
      <c r="AC159" s="302"/>
      <c r="AD159" s="361"/>
      <c r="AE159" s="312"/>
      <c r="AF159" s="302"/>
      <c r="AG159" s="302"/>
      <c r="AH159" s="302"/>
      <c r="AI159" s="302"/>
      <c r="AJ159" s="139"/>
      <c r="AK159" s="139"/>
      <c r="AL159" s="139"/>
      <c r="AM159" s="343"/>
      <c r="AN159" s="139"/>
      <c r="AO159" s="139"/>
      <c r="AP159" s="302"/>
      <c r="AQ159" s="302"/>
      <c r="AR159" s="139"/>
      <c r="AS159" s="139"/>
      <c r="AT159" s="139"/>
      <c r="AU159" s="345"/>
      <c r="AV159" s="346"/>
      <c r="AW159" s="302"/>
      <c r="AX159" s="302"/>
      <c r="AY159" s="302"/>
      <c r="AZ159" s="139"/>
      <c r="BA159" s="139"/>
      <c r="BB159" s="139"/>
      <c r="BC159" s="302"/>
      <c r="BD159" s="343"/>
      <c r="BE159" s="347"/>
      <c r="BF159" s="348"/>
      <c r="BG159" s="348"/>
      <c r="BH159" s="312"/>
      <c r="BI159" s="313"/>
      <c r="BJ159" s="314"/>
      <c r="BK159" s="314"/>
      <c r="BL159" s="314"/>
      <c r="BM159" s="314"/>
      <c r="BN159" s="314"/>
      <c r="BO159" s="314"/>
      <c r="BP159" s="313"/>
    </row>
    <row r="160" spans="1:68" s="257" customFormat="1" x14ac:dyDescent="0.2">
      <c r="A160" s="367"/>
      <c r="B160" s="367"/>
      <c r="C160" s="315"/>
      <c r="D160" s="315"/>
      <c r="E160" s="357"/>
      <c r="F160" s="342"/>
      <c r="G160" s="302"/>
      <c r="H160" s="302"/>
      <c r="I160" s="302"/>
      <c r="J160" s="302"/>
      <c r="K160" s="263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4"/>
      <c r="X160" s="263"/>
      <c r="Y160" s="302"/>
      <c r="Z160" s="302"/>
      <c r="AA160" s="302"/>
      <c r="AB160" s="302"/>
      <c r="AC160" s="302"/>
      <c r="AD160" s="361"/>
      <c r="AE160" s="312"/>
      <c r="AF160" s="302"/>
      <c r="AG160" s="302"/>
      <c r="AH160" s="302"/>
      <c r="AI160" s="302"/>
      <c r="AJ160" s="139"/>
      <c r="AK160" s="139"/>
      <c r="AL160" s="139"/>
      <c r="AM160" s="343"/>
      <c r="AN160" s="139"/>
      <c r="AO160" s="139"/>
      <c r="AP160" s="302"/>
      <c r="AQ160" s="302"/>
      <c r="AR160" s="139"/>
      <c r="AS160" s="139"/>
      <c r="AT160" s="139"/>
      <c r="AU160" s="345"/>
      <c r="AV160" s="346"/>
      <c r="AW160" s="302"/>
      <c r="AX160" s="302"/>
      <c r="AY160" s="302"/>
      <c r="AZ160" s="139"/>
      <c r="BA160" s="139"/>
      <c r="BB160" s="139"/>
      <c r="BC160" s="302"/>
      <c r="BD160" s="343"/>
      <c r="BE160" s="347"/>
      <c r="BF160" s="348"/>
      <c r="BG160" s="348"/>
      <c r="BH160" s="312"/>
      <c r="BI160" s="313"/>
      <c r="BJ160" s="314"/>
      <c r="BK160" s="314"/>
      <c r="BL160" s="314"/>
      <c r="BM160" s="314"/>
      <c r="BN160" s="314"/>
      <c r="BO160" s="314"/>
      <c r="BP160" s="313"/>
    </row>
    <row r="161" spans="1:68" s="257" customFormat="1" x14ac:dyDescent="0.2">
      <c r="A161" s="367"/>
      <c r="B161" s="367"/>
      <c r="C161" s="315"/>
      <c r="D161" s="315"/>
      <c r="E161" s="357"/>
      <c r="F161" s="342"/>
      <c r="G161" s="302"/>
      <c r="H161" s="302"/>
      <c r="I161" s="302"/>
      <c r="J161" s="302"/>
      <c r="K161" s="263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4"/>
      <c r="X161" s="263"/>
      <c r="Y161" s="302"/>
      <c r="Z161" s="302"/>
      <c r="AA161" s="302"/>
      <c r="AB161" s="302"/>
      <c r="AC161" s="302"/>
      <c r="AD161" s="361"/>
      <c r="AE161" s="312"/>
      <c r="AF161" s="302"/>
      <c r="AG161" s="302"/>
      <c r="AH161" s="302"/>
      <c r="AI161" s="302"/>
      <c r="AJ161" s="302"/>
      <c r="AK161" s="302"/>
      <c r="AL161" s="302"/>
      <c r="AM161" s="302"/>
      <c r="AN161" s="302"/>
      <c r="AO161" s="302"/>
      <c r="AP161" s="302"/>
      <c r="AQ161" s="302"/>
      <c r="AR161" s="302"/>
      <c r="AS161" s="302"/>
      <c r="AT161" s="302"/>
      <c r="AU161" s="345"/>
      <c r="AV161" s="346"/>
      <c r="AW161" s="302"/>
      <c r="AX161" s="302"/>
      <c r="AY161" s="302"/>
      <c r="AZ161" s="302"/>
      <c r="BA161" s="302"/>
      <c r="BB161" s="302"/>
      <c r="BC161" s="302"/>
      <c r="BD161" s="343"/>
      <c r="BE161" s="347"/>
      <c r="BF161" s="348"/>
      <c r="BG161" s="348"/>
      <c r="BH161" s="312"/>
      <c r="BI161" s="313"/>
      <c r="BJ161" s="314"/>
      <c r="BK161" s="314"/>
      <c r="BL161" s="314"/>
      <c r="BM161" s="314"/>
      <c r="BN161" s="314"/>
      <c r="BO161" s="314"/>
      <c r="BP161" s="313"/>
    </row>
    <row r="162" spans="1:68" s="257" customFormat="1" x14ac:dyDescent="0.2">
      <c r="A162" s="367"/>
      <c r="B162" s="367"/>
      <c r="C162" s="315"/>
      <c r="D162" s="315"/>
      <c r="E162" s="357"/>
      <c r="F162" s="342"/>
      <c r="G162" s="302"/>
      <c r="H162" s="302"/>
      <c r="I162" s="302"/>
      <c r="J162" s="302"/>
      <c r="K162" s="263"/>
      <c r="L162" s="302"/>
      <c r="M162" s="302"/>
      <c r="N162" s="302"/>
      <c r="O162" s="302"/>
      <c r="P162" s="139"/>
      <c r="Q162" s="302"/>
      <c r="R162" s="302"/>
      <c r="S162" s="302"/>
      <c r="T162" s="302"/>
      <c r="U162" s="302"/>
      <c r="V162" s="302"/>
      <c r="W162" s="304"/>
      <c r="X162" s="263"/>
      <c r="Y162" s="302"/>
      <c r="Z162" s="302"/>
      <c r="AA162" s="302"/>
      <c r="AB162" s="302"/>
      <c r="AC162" s="302"/>
      <c r="AD162" s="361"/>
      <c r="AE162" s="312"/>
      <c r="AF162" s="302"/>
      <c r="AG162" s="302"/>
      <c r="AH162" s="302"/>
      <c r="AI162" s="302"/>
      <c r="AJ162" s="139"/>
      <c r="AK162" s="139"/>
      <c r="AL162" s="139"/>
      <c r="AM162" s="343"/>
      <c r="AN162" s="139"/>
      <c r="AO162" s="302"/>
      <c r="AP162" s="302"/>
      <c r="AQ162" s="302"/>
      <c r="AR162" s="139"/>
      <c r="AS162" s="139"/>
      <c r="AT162" s="139"/>
      <c r="AU162" s="345"/>
      <c r="AV162" s="346"/>
      <c r="AW162" s="302"/>
      <c r="AX162" s="302"/>
      <c r="AY162" s="302"/>
      <c r="AZ162" s="139"/>
      <c r="BA162" s="139"/>
      <c r="BB162" s="139"/>
      <c r="BC162" s="302"/>
      <c r="BD162" s="343"/>
      <c r="BE162" s="347"/>
      <c r="BF162" s="348"/>
      <c r="BG162" s="348"/>
      <c r="BH162" s="312"/>
      <c r="BI162" s="313"/>
      <c r="BJ162" s="314"/>
      <c r="BK162" s="314"/>
      <c r="BL162" s="314"/>
      <c r="BM162" s="314"/>
      <c r="BN162" s="314"/>
      <c r="BO162" s="314"/>
      <c r="BP162" s="313"/>
    </row>
    <row r="163" spans="1:68" s="257" customFormat="1" x14ac:dyDescent="0.2">
      <c r="A163" s="367"/>
      <c r="B163" s="367"/>
      <c r="C163" s="315"/>
      <c r="D163" s="315"/>
      <c r="E163" s="357"/>
      <c r="F163" s="342"/>
      <c r="G163" s="302"/>
      <c r="H163" s="302"/>
      <c r="I163" s="302"/>
      <c r="J163" s="302"/>
      <c r="K163" s="263"/>
      <c r="L163" s="302"/>
      <c r="M163" s="302"/>
      <c r="N163" s="302"/>
      <c r="O163" s="302"/>
      <c r="P163" s="302"/>
      <c r="Q163" s="302"/>
      <c r="R163" s="302"/>
      <c r="S163" s="302"/>
      <c r="T163" s="302"/>
      <c r="U163" s="302"/>
      <c r="V163" s="302"/>
      <c r="W163" s="304"/>
      <c r="X163" s="263"/>
      <c r="Y163" s="302"/>
      <c r="Z163" s="302"/>
      <c r="AA163" s="302"/>
      <c r="AB163" s="302"/>
      <c r="AC163" s="302"/>
      <c r="AD163" s="361"/>
      <c r="AE163" s="312"/>
      <c r="AF163" s="302"/>
      <c r="AG163" s="302"/>
      <c r="AH163" s="302"/>
      <c r="AI163" s="302"/>
      <c r="AJ163" s="139"/>
      <c r="AK163" s="139"/>
      <c r="AL163" s="139"/>
      <c r="AM163" s="343"/>
      <c r="AN163" s="139"/>
      <c r="AO163" s="302"/>
      <c r="AP163" s="302"/>
      <c r="AQ163" s="302"/>
      <c r="AR163" s="139"/>
      <c r="AS163" s="139"/>
      <c r="AT163" s="139"/>
      <c r="AU163" s="345"/>
      <c r="AV163" s="346"/>
      <c r="AW163" s="302"/>
      <c r="AX163" s="302"/>
      <c r="AY163" s="302"/>
      <c r="AZ163" s="139"/>
      <c r="BA163" s="139"/>
      <c r="BB163" s="139"/>
      <c r="BC163" s="302"/>
      <c r="BD163" s="343"/>
      <c r="BE163" s="347"/>
      <c r="BF163" s="348"/>
      <c r="BG163" s="348"/>
      <c r="BH163" s="312"/>
      <c r="BI163" s="313"/>
      <c r="BJ163" s="314"/>
      <c r="BK163" s="314"/>
      <c r="BL163" s="314"/>
      <c r="BM163" s="314"/>
      <c r="BN163" s="314"/>
      <c r="BO163" s="314"/>
      <c r="BP163" s="313"/>
    </row>
    <row r="164" spans="1:68" s="257" customFormat="1" x14ac:dyDescent="0.2">
      <c r="A164" s="367"/>
      <c r="B164" s="367"/>
      <c r="C164" s="315"/>
      <c r="D164" s="315"/>
      <c r="E164" s="357"/>
      <c r="F164" s="342"/>
      <c r="G164" s="302"/>
      <c r="H164" s="302"/>
      <c r="I164" s="302"/>
      <c r="J164" s="302"/>
      <c r="K164" s="263"/>
      <c r="L164" s="302"/>
      <c r="M164" s="302"/>
      <c r="N164" s="302"/>
      <c r="O164" s="302"/>
      <c r="P164" s="302"/>
      <c r="Q164" s="302"/>
      <c r="R164" s="302"/>
      <c r="S164" s="302"/>
      <c r="T164" s="302"/>
      <c r="U164" s="302"/>
      <c r="V164" s="302"/>
      <c r="W164" s="304"/>
      <c r="X164" s="263"/>
      <c r="Y164" s="302"/>
      <c r="Z164" s="302"/>
      <c r="AA164" s="302"/>
      <c r="AB164" s="302"/>
      <c r="AC164" s="302"/>
      <c r="AD164" s="361"/>
      <c r="AE164" s="312"/>
      <c r="AF164" s="302"/>
      <c r="AG164" s="302"/>
      <c r="AH164" s="302"/>
      <c r="AI164" s="302"/>
      <c r="AJ164" s="139"/>
      <c r="AK164" s="139"/>
      <c r="AL164" s="139"/>
      <c r="AM164" s="343"/>
      <c r="AN164" s="139"/>
      <c r="AO164" s="302"/>
      <c r="AP164" s="302"/>
      <c r="AQ164" s="302"/>
      <c r="AR164" s="139"/>
      <c r="AS164" s="139"/>
      <c r="AT164" s="139"/>
      <c r="AU164" s="345"/>
      <c r="AV164" s="346"/>
      <c r="AW164" s="302"/>
      <c r="AX164" s="302"/>
      <c r="AY164" s="302"/>
      <c r="AZ164" s="139"/>
      <c r="BA164" s="139"/>
      <c r="BB164" s="139"/>
      <c r="BC164" s="302"/>
      <c r="BD164" s="343"/>
      <c r="BE164" s="347"/>
      <c r="BF164" s="348"/>
      <c r="BG164" s="348"/>
      <c r="BH164" s="312"/>
      <c r="BI164" s="313"/>
      <c r="BJ164" s="314"/>
      <c r="BK164" s="314"/>
      <c r="BL164" s="314"/>
      <c r="BM164" s="314"/>
      <c r="BN164" s="314"/>
      <c r="BO164" s="314"/>
      <c r="BP164" s="313"/>
    </row>
    <row r="165" spans="1:68" s="257" customFormat="1" x14ac:dyDescent="0.2">
      <c r="A165" s="367"/>
      <c r="B165" s="367"/>
      <c r="C165" s="315"/>
      <c r="D165" s="315"/>
      <c r="E165" s="357"/>
      <c r="F165" s="342"/>
      <c r="G165" s="302"/>
      <c r="H165" s="302"/>
      <c r="I165" s="302"/>
      <c r="J165" s="302"/>
      <c r="K165" s="263"/>
      <c r="L165" s="302"/>
      <c r="M165" s="302"/>
      <c r="N165" s="302"/>
      <c r="O165" s="302"/>
      <c r="P165" s="302"/>
      <c r="Q165" s="302"/>
      <c r="R165" s="302"/>
      <c r="S165" s="302"/>
      <c r="T165" s="302"/>
      <c r="U165" s="302"/>
      <c r="V165" s="302"/>
      <c r="W165" s="304"/>
      <c r="X165" s="263"/>
      <c r="Y165" s="302"/>
      <c r="Z165" s="302"/>
      <c r="AA165" s="302"/>
      <c r="AB165" s="302"/>
      <c r="AC165" s="302"/>
      <c r="AD165" s="361"/>
      <c r="AE165" s="312"/>
      <c r="AF165" s="302"/>
      <c r="AG165" s="139"/>
      <c r="AH165" s="302"/>
      <c r="AI165" s="302"/>
      <c r="AJ165" s="139"/>
      <c r="AK165" s="139"/>
      <c r="AL165" s="139"/>
      <c r="AM165" s="343"/>
      <c r="AN165" s="139"/>
      <c r="AO165" s="302"/>
      <c r="AP165" s="302"/>
      <c r="AQ165" s="302"/>
      <c r="AR165" s="139"/>
      <c r="AS165" s="139"/>
      <c r="AT165" s="139"/>
      <c r="AU165" s="345"/>
      <c r="AV165" s="346"/>
      <c r="AW165" s="302"/>
      <c r="AX165" s="302"/>
      <c r="AY165" s="302"/>
      <c r="AZ165" s="139"/>
      <c r="BA165" s="139"/>
      <c r="BB165" s="139"/>
      <c r="BC165" s="302"/>
      <c r="BD165" s="343"/>
      <c r="BE165" s="347"/>
      <c r="BF165" s="348"/>
      <c r="BG165" s="348"/>
      <c r="BH165" s="312"/>
      <c r="BI165" s="313"/>
      <c r="BJ165" s="314"/>
      <c r="BK165" s="314"/>
      <c r="BL165" s="314"/>
      <c r="BM165" s="314"/>
      <c r="BN165" s="314"/>
      <c r="BO165" s="314"/>
      <c r="BP165" s="313"/>
    </row>
    <row r="166" spans="1:68" s="257" customFormat="1" x14ac:dyDescent="0.2">
      <c r="A166" s="367"/>
      <c r="B166" s="367"/>
      <c r="C166" s="315"/>
      <c r="D166" s="315"/>
      <c r="E166" s="357"/>
      <c r="F166" s="342"/>
      <c r="G166" s="302"/>
      <c r="H166" s="302"/>
      <c r="I166" s="302"/>
      <c r="J166" s="302"/>
      <c r="K166" s="263"/>
      <c r="L166" s="302"/>
      <c r="M166" s="302"/>
      <c r="N166" s="302"/>
      <c r="O166" s="302"/>
      <c r="P166" s="302"/>
      <c r="Q166" s="302"/>
      <c r="R166" s="302"/>
      <c r="S166" s="302"/>
      <c r="T166" s="302"/>
      <c r="U166" s="302"/>
      <c r="V166" s="302"/>
      <c r="W166" s="304"/>
      <c r="X166" s="263"/>
      <c r="Y166" s="302"/>
      <c r="Z166" s="302"/>
      <c r="AA166" s="302"/>
      <c r="AB166" s="302"/>
      <c r="AC166" s="302"/>
      <c r="AD166" s="361"/>
      <c r="AE166" s="312"/>
      <c r="AF166" s="302"/>
      <c r="AG166" s="302"/>
      <c r="AH166" s="302"/>
      <c r="AI166" s="302"/>
      <c r="AJ166" s="139"/>
      <c r="AK166" s="139"/>
      <c r="AL166" s="139"/>
      <c r="AM166" s="343"/>
      <c r="AN166" s="139"/>
      <c r="AO166" s="302"/>
      <c r="AP166" s="302"/>
      <c r="AQ166" s="302"/>
      <c r="AR166" s="139"/>
      <c r="AS166" s="139"/>
      <c r="AT166" s="139"/>
      <c r="AU166" s="345"/>
      <c r="AV166" s="346"/>
      <c r="AW166" s="139"/>
      <c r="AX166" s="302"/>
      <c r="AY166" s="302"/>
      <c r="AZ166" s="139"/>
      <c r="BA166" s="139"/>
      <c r="BB166" s="139"/>
      <c r="BC166" s="302"/>
      <c r="BD166" s="343"/>
      <c r="BE166" s="347"/>
      <c r="BF166" s="348"/>
      <c r="BG166" s="348"/>
      <c r="BH166" s="312"/>
      <c r="BI166" s="313"/>
      <c r="BJ166" s="314"/>
      <c r="BK166" s="314"/>
      <c r="BL166" s="314"/>
      <c r="BM166" s="314"/>
      <c r="BN166" s="314"/>
      <c r="BO166" s="314"/>
      <c r="BP166" s="313"/>
    </row>
    <row r="167" spans="1:68" s="257" customFormat="1" x14ac:dyDescent="0.2">
      <c r="A167" s="367"/>
      <c r="B167" s="367"/>
      <c r="C167" s="315"/>
      <c r="D167" s="315"/>
      <c r="E167" s="357"/>
      <c r="F167" s="342"/>
      <c r="G167" s="302"/>
      <c r="H167" s="302"/>
      <c r="I167" s="302"/>
      <c r="J167" s="302"/>
      <c r="K167" s="263"/>
      <c r="L167" s="302"/>
      <c r="M167" s="302"/>
      <c r="N167" s="302"/>
      <c r="O167" s="302"/>
      <c r="P167" s="302"/>
      <c r="Q167" s="302"/>
      <c r="R167" s="302"/>
      <c r="S167" s="302"/>
      <c r="T167" s="302"/>
      <c r="U167" s="302"/>
      <c r="V167" s="302"/>
      <c r="W167" s="304"/>
      <c r="X167" s="263"/>
      <c r="Y167" s="302"/>
      <c r="Z167" s="302"/>
      <c r="AA167" s="302"/>
      <c r="AB167" s="302"/>
      <c r="AC167" s="302"/>
      <c r="AD167" s="361"/>
      <c r="AE167" s="312"/>
      <c r="AF167" s="302"/>
      <c r="AG167" s="302"/>
      <c r="AH167" s="302"/>
      <c r="AI167" s="302"/>
      <c r="AJ167" s="302"/>
      <c r="AK167" s="302"/>
      <c r="AL167" s="302"/>
      <c r="AM167" s="343"/>
      <c r="AN167" s="302"/>
      <c r="AO167" s="302"/>
      <c r="AP167" s="302"/>
      <c r="AQ167" s="302"/>
      <c r="AR167" s="302"/>
      <c r="AS167" s="302"/>
      <c r="AT167" s="302"/>
      <c r="AU167" s="345"/>
      <c r="AV167" s="346"/>
      <c r="AW167" s="302"/>
      <c r="AX167" s="302"/>
      <c r="AY167" s="302"/>
      <c r="AZ167" s="302"/>
      <c r="BA167" s="302"/>
      <c r="BB167" s="302"/>
      <c r="BC167" s="302"/>
      <c r="BD167" s="343"/>
      <c r="BE167" s="347"/>
      <c r="BF167" s="348"/>
      <c r="BG167" s="348"/>
      <c r="BH167" s="312"/>
      <c r="BI167" s="313"/>
      <c r="BJ167" s="314"/>
      <c r="BK167" s="314"/>
      <c r="BL167" s="314"/>
      <c r="BM167" s="314"/>
      <c r="BN167" s="314"/>
      <c r="BO167" s="314"/>
      <c r="BP167" s="313"/>
    </row>
    <row r="168" spans="1:68" s="257" customFormat="1" x14ac:dyDescent="0.2">
      <c r="A168" s="367"/>
      <c r="B168" s="367"/>
      <c r="C168" s="315"/>
      <c r="D168" s="315"/>
      <c r="E168" s="357"/>
      <c r="F168" s="342"/>
      <c r="G168" s="302"/>
      <c r="H168" s="302"/>
      <c r="I168" s="302"/>
      <c r="J168" s="302"/>
      <c r="K168" s="263"/>
      <c r="L168" s="302"/>
      <c r="M168" s="302"/>
      <c r="N168" s="302"/>
      <c r="O168" s="302"/>
      <c r="P168" s="139"/>
      <c r="Q168" s="302"/>
      <c r="R168" s="302"/>
      <c r="S168" s="302"/>
      <c r="T168" s="302"/>
      <c r="U168" s="302"/>
      <c r="V168" s="302"/>
      <c r="W168" s="304"/>
      <c r="X168" s="263"/>
      <c r="Y168" s="302"/>
      <c r="Z168" s="302"/>
      <c r="AA168" s="302"/>
      <c r="AB168" s="302"/>
      <c r="AC168" s="302"/>
      <c r="AD168" s="361"/>
      <c r="AE168" s="312"/>
      <c r="AF168" s="302"/>
      <c r="AG168" s="302"/>
      <c r="AH168" s="302"/>
      <c r="AI168" s="302"/>
      <c r="AJ168" s="139"/>
      <c r="AK168" s="139"/>
      <c r="AL168" s="139"/>
      <c r="AM168" s="343"/>
      <c r="AN168" s="139"/>
      <c r="AO168" s="302"/>
      <c r="AP168" s="302"/>
      <c r="AQ168" s="302"/>
      <c r="AR168" s="139"/>
      <c r="AS168" s="139"/>
      <c r="AT168" s="139"/>
      <c r="AU168" s="345"/>
      <c r="AV168" s="346"/>
      <c r="AW168" s="302"/>
      <c r="AX168" s="302"/>
      <c r="AY168" s="302"/>
      <c r="AZ168" s="139"/>
      <c r="BA168" s="139"/>
      <c r="BB168" s="139"/>
      <c r="BC168" s="302"/>
      <c r="BD168" s="343"/>
      <c r="BE168" s="347"/>
      <c r="BF168" s="348"/>
      <c r="BG168" s="348"/>
      <c r="BH168" s="312"/>
      <c r="BI168" s="313"/>
      <c r="BJ168" s="314"/>
      <c r="BK168" s="314"/>
      <c r="BL168" s="314"/>
      <c r="BM168" s="314"/>
      <c r="BN168" s="314"/>
      <c r="BO168" s="314"/>
      <c r="BP168" s="313"/>
    </row>
    <row r="169" spans="1:68" s="257" customFormat="1" x14ac:dyDescent="0.2">
      <c r="A169" s="367"/>
      <c r="B169" s="367"/>
      <c r="C169" s="315"/>
      <c r="D169" s="315"/>
      <c r="E169" s="357"/>
      <c r="F169" s="342"/>
      <c r="G169" s="302"/>
      <c r="H169" s="302"/>
      <c r="I169" s="302"/>
      <c r="J169" s="302"/>
      <c r="K169" s="263"/>
      <c r="L169" s="302"/>
      <c r="M169" s="302"/>
      <c r="N169" s="302"/>
      <c r="O169" s="302"/>
      <c r="P169" s="139"/>
      <c r="Q169" s="302"/>
      <c r="R169" s="302"/>
      <c r="S169" s="302"/>
      <c r="T169" s="302"/>
      <c r="U169" s="302"/>
      <c r="V169" s="302"/>
      <c r="W169" s="304"/>
      <c r="X169" s="263"/>
      <c r="Y169" s="302"/>
      <c r="Z169" s="302"/>
      <c r="AA169" s="302"/>
      <c r="AB169" s="302"/>
      <c r="AC169" s="302"/>
      <c r="AD169" s="361"/>
      <c r="AE169" s="312"/>
      <c r="AF169" s="302"/>
      <c r="AG169" s="302"/>
      <c r="AH169" s="302"/>
      <c r="AI169" s="302"/>
      <c r="AJ169" s="139"/>
      <c r="AK169" s="139"/>
      <c r="AL169" s="139"/>
      <c r="AM169" s="343"/>
      <c r="AN169" s="139"/>
      <c r="AO169" s="302"/>
      <c r="AP169" s="302"/>
      <c r="AQ169" s="302"/>
      <c r="AR169" s="139"/>
      <c r="AS169" s="139"/>
      <c r="AT169" s="139"/>
      <c r="AU169" s="345"/>
      <c r="AV169" s="346"/>
      <c r="AW169" s="139"/>
      <c r="AX169" s="302"/>
      <c r="AY169" s="302"/>
      <c r="AZ169" s="139"/>
      <c r="BA169" s="139"/>
      <c r="BB169" s="139"/>
      <c r="BC169" s="302"/>
      <c r="BD169" s="343"/>
      <c r="BE169" s="347"/>
      <c r="BF169" s="348"/>
      <c r="BG169" s="348"/>
      <c r="BH169" s="312"/>
      <c r="BI169" s="313"/>
      <c r="BJ169" s="314"/>
      <c r="BK169" s="314"/>
      <c r="BL169" s="314"/>
      <c r="BM169" s="314"/>
      <c r="BN169" s="314"/>
      <c r="BO169" s="314"/>
      <c r="BP169" s="313"/>
    </row>
    <row r="170" spans="1:68" s="257" customFormat="1" x14ac:dyDescent="0.2">
      <c r="A170" s="367"/>
      <c r="B170" s="367"/>
      <c r="C170" s="315"/>
      <c r="D170" s="315"/>
      <c r="E170" s="357"/>
      <c r="F170" s="342"/>
      <c r="G170" s="302"/>
      <c r="H170" s="302"/>
      <c r="I170" s="302"/>
      <c r="J170" s="302"/>
      <c r="K170" s="263"/>
      <c r="L170" s="302"/>
      <c r="M170" s="302"/>
      <c r="N170" s="302"/>
      <c r="O170" s="302"/>
      <c r="P170" s="139"/>
      <c r="Q170" s="302"/>
      <c r="R170" s="302"/>
      <c r="S170" s="302"/>
      <c r="T170" s="302"/>
      <c r="U170" s="302"/>
      <c r="V170" s="302"/>
      <c r="W170" s="304"/>
      <c r="X170" s="263"/>
      <c r="Y170" s="302"/>
      <c r="Z170" s="302"/>
      <c r="AA170" s="302"/>
      <c r="AB170" s="302"/>
      <c r="AC170" s="302"/>
      <c r="AD170" s="361"/>
      <c r="AE170" s="312"/>
      <c r="AF170" s="302"/>
      <c r="AG170" s="302"/>
      <c r="AH170" s="254"/>
      <c r="AI170" s="302"/>
      <c r="AJ170" s="139"/>
      <c r="AK170" s="139"/>
      <c r="AL170" s="139"/>
      <c r="AM170" s="343"/>
      <c r="AN170" s="139"/>
      <c r="AO170" s="302"/>
      <c r="AP170" s="302"/>
      <c r="AQ170" s="302"/>
      <c r="AR170" s="139"/>
      <c r="AS170" s="139"/>
      <c r="AT170" s="139"/>
      <c r="AU170" s="345"/>
      <c r="AV170" s="346"/>
      <c r="AW170" s="302"/>
      <c r="AX170" s="302"/>
      <c r="AY170" s="302"/>
      <c r="AZ170" s="139"/>
      <c r="BA170" s="139"/>
      <c r="BB170" s="139"/>
      <c r="BC170" s="302"/>
      <c r="BD170" s="343"/>
      <c r="BE170" s="347"/>
      <c r="BF170" s="348"/>
      <c r="BG170" s="348"/>
      <c r="BH170" s="312"/>
      <c r="BI170" s="313"/>
      <c r="BJ170" s="314"/>
      <c r="BK170" s="314"/>
      <c r="BL170" s="314"/>
      <c r="BM170" s="314"/>
      <c r="BN170" s="314"/>
      <c r="BO170" s="314"/>
      <c r="BP170" s="313"/>
    </row>
    <row r="171" spans="1:68" s="257" customFormat="1" x14ac:dyDescent="0.2">
      <c r="A171" s="367"/>
      <c r="B171" s="367"/>
      <c r="C171" s="315"/>
      <c r="D171" s="315"/>
      <c r="E171" s="357"/>
      <c r="F171" s="342"/>
      <c r="G171" s="302"/>
      <c r="H171" s="302"/>
      <c r="I171" s="302"/>
      <c r="J171" s="302"/>
      <c r="K171" s="263"/>
      <c r="L171" s="302"/>
      <c r="M171" s="302"/>
      <c r="N171" s="302"/>
      <c r="O171" s="302"/>
      <c r="P171" s="139"/>
      <c r="Q171" s="302"/>
      <c r="R171" s="302"/>
      <c r="S171" s="302"/>
      <c r="T171" s="302"/>
      <c r="U171" s="302"/>
      <c r="V171" s="302"/>
      <c r="W171" s="304"/>
      <c r="X171" s="263"/>
      <c r="Y171" s="302"/>
      <c r="Z171" s="302"/>
      <c r="AA171" s="302"/>
      <c r="AB171" s="302"/>
      <c r="AC171" s="302"/>
      <c r="AD171" s="361"/>
      <c r="AE171" s="312"/>
      <c r="AF171" s="302"/>
      <c r="AG171" s="139"/>
      <c r="AH171" s="302"/>
      <c r="AI171" s="302"/>
      <c r="AJ171" s="139"/>
      <c r="AK171" s="139"/>
      <c r="AL171" s="139"/>
      <c r="AM171" s="343"/>
      <c r="AN171" s="139"/>
      <c r="AO171" s="302"/>
      <c r="AP171" s="302"/>
      <c r="AQ171" s="302"/>
      <c r="AR171" s="139"/>
      <c r="AS171" s="139"/>
      <c r="AT171" s="139"/>
      <c r="AU171" s="345"/>
      <c r="AV171" s="346"/>
      <c r="AW171" s="302"/>
      <c r="AX171" s="302"/>
      <c r="AY171" s="302"/>
      <c r="AZ171" s="139"/>
      <c r="BA171" s="139"/>
      <c r="BB171" s="139"/>
      <c r="BC171" s="302"/>
      <c r="BD171" s="343"/>
      <c r="BE171" s="347"/>
      <c r="BF171" s="348"/>
      <c r="BG171" s="348"/>
      <c r="BH171" s="312"/>
      <c r="BI171" s="313"/>
      <c r="BJ171" s="314"/>
      <c r="BK171" s="314"/>
      <c r="BL171" s="314"/>
      <c r="BM171" s="314"/>
      <c r="BN171" s="314"/>
      <c r="BO171" s="314"/>
      <c r="BP171" s="313"/>
    </row>
    <row r="172" spans="1:68" s="257" customFormat="1" x14ac:dyDescent="0.2">
      <c r="A172" s="367"/>
      <c r="B172" s="367"/>
      <c r="C172" s="315"/>
      <c r="D172" s="315"/>
      <c r="E172" s="357"/>
      <c r="F172" s="342"/>
      <c r="G172" s="302"/>
      <c r="H172" s="302"/>
      <c r="I172" s="302"/>
      <c r="J172" s="302"/>
      <c r="K172" s="263"/>
      <c r="L172" s="302"/>
      <c r="M172" s="302"/>
      <c r="N172" s="302"/>
      <c r="O172" s="302"/>
      <c r="P172" s="302"/>
      <c r="Q172" s="302"/>
      <c r="R172" s="302"/>
      <c r="S172" s="302"/>
      <c r="T172" s="302"/>
      <c r="U172" s="302"/>
      <c r="V172" s="302"/>
      <c r="W172" s="304"/>
      <c r="X172" s="263"/>
      <c r="Y172" s="302"/>
      <c r="Z172" s="302"/>
      <c r="AA172" s="302"/>
      <c r="AB172" s="302"/>
      <c r="AC172" s="302"/>
      <c r="AD172" s="361"/>
      <c r="AE172" s="312"/>
      <c r="AF172" s="302"/>
      <c r="AG172" s="302"/>
      <c r="AH172" s="302"/>
      <c r="AI172" s="302"/>
      <c r="AJ172" s="139"/>
      <c r="AK172" s="139"/>
      <c r="AL172" s="139"/>
      <c r="AM172" s="343"/>
      <c r="AN172" s="139"/>
      <c r="AO172" s="302"/>
      <c r="AP172" s="302"/>
      <c r="AQ172" s="302"/>
      <c r="AR172" s="139"/>
      <c r="AS172" s="139"/>
      <c r="AT172" s="139"/>
      <c r="AU172" s="345"/>
      <c r="AV172" s="346"/>
      <c r="AW172" s="302"/>
      <c r="AX172" s="302"/>
      <c r="AY172" s="302"/>
      <c r="AZ172" s="139"/>
      <c r="BA172" s="139"/>
      <c r="BB172" s="139"/>
      <c r="BC172" s="302"/>
      <c r="BD172" s="343"/>
      <c r="BE172" s="347"/>
      <c r="BF172" s="348"/>
      <c r="BG172" s="348"/>
      <c r="BH172" s="312"/>
      <c r="BI172" s="313"/>
      <c r="BJ172" s="314"/>
      <c r="BK172" s="314"/>
      <c r="BL172" s="314"/>
      <c r="BM172" s="314"/>
      <c r="BN172" s="314"/>
      <c r="BO172" s="314"/>
      <c r="BP172" s="313"/>
    </row>
    <row r="173" spans="1:68" s="257" customFormat="1" x14ac:dyDescent="0.2">
      <c r="A173" s="367"/>
      <c r="B173" s="367"/>
      <c r="C173" s="315"/>
      <c r="D173" s="315"/>
      <c r="E173" s="357"/>
      <c r="F173" s="342"/>
      <c r="G173" s="302"/>
      <c r="H173" s="302"/>
      <c r="I173" s="302"/>
      <c r="J173" s="302"/>
      <c r="K173" s="263"/>
      <c r="L173" s="302"/>
      <c r="M173" s="302"/>
      <c r="N173" s="302"/>
      <c r="O173" s="302"/>
      <c r="P173" s="358"/>
      <c r="Q173" s="139"/>
      <c r="R173" s="302"/>
      <c r="S173" s="302"/>
      <c r="T173" s="302"/>
      <c r="U173" s="302"/>
      <c r="V173" s="302"/>
      <c r="W173" s="304"/>
      <c r="X173" s="263"/>
      <c r="Y173" s="302"/>
      <c r="Z173" s="302"/>
      <c r="AA173" s="302"/>
      <c r="AB173" s="302"/>
      <c r="AC173" s="302"/>
      <c r="AD173" s="361"/>
      <c r="AE173" s="312"/>
      <c r="AF173" s="302"/>
      <c r="AG173" s="302"/>
      <c r="AH173" s="302"/>
      <c r="AI173" s="302"/>
      <c r="AJ173" s="139"/>
      <c r="AK173" s="139"/>
      <c r="AL173" s="139"/>
      <c r="AM173" s="343"/>
      <c r="AN173" s="139"/>
      <c r="AO173" s="302"/>
      <c r="AP173" s="302"/>
      <c r="AQ173" s="302"/>
      <c r="AR173" s="139"/>
      <c r="AS173" s="139"/>
      <c r="AT173" s="139"/>
      <c r="AU173" s="345"/>
      <c r="AV173" s="346"/>
      <c r="AW173" s="139"/>
      <c r="AX173" s="302"/>
      <c r="AY173" s="302"/>
      <c r="AZ173" s="139"/>
      <c r="BA173" s="139"/>
      <c r="BB173" s="139"/>
      <c r="BC173" s="302"/>
      <c r="BD173" s="343"/>
      <c r="BE173" s="347"/>
      <c r="BF173" s="348"/>
      <c r="BG173" s="348"/>
      <c r="BH173" s="312"/>
      <c r="BI173" s="313"/>
      <c r="BJ173" s="314"/>
      <c r="BK173" s="314"/>
      <c r="BL173" s="314"/>
      <c r="BM173" s="314"/>
      <c r="BN173" s="314"/>
      <c r="BO173" s="314"/>
      <c r="BP173" s="313"/>
    </row>
    <row r="174" spans="1:68" s="257" customFormat="1" x14ac:dyDescent="0.2">
      <c r="A174" s="367"/>
      <c r="B174" s="367"/>
      <c r="C174" s="315"/>
      <c r="D174" s="315"/>
      <c r="E174" s="357"/>
      <c r="F174" s="342"/>
      <c r="G174" s="302"/>
      <c r="H174" s="302"/>
      <c r="I174" s="302"/>
      <c r="J174" s="302"/>
      <c r="K174" s="263"/>
      <c r="L174" s="302"/>
      <c r="M174" s="302"/>
      <c r="N174" s="302"/>
      <c r="O174" s="302"/>
      <c r="P174" s="359"/>
      <c r="Q174" s="139"/>
      <c r="R174" s="302"/>
      <c r="S174" s="302"/>
      <c r="T174" s="302"/>
      <c r="U174" s="302"/>
      <c r="V174" s="302"/>
      <c r="W174" s="304"/>
      <c r="X174" s="263"/>
      <c r="Y174" s="302"/>
      <c r="Z174" s="302"/>
      <c r="AA174" s="302"/>
      <c r="AB174" s="302"/>
      <c r="AC174" s="302"/>
      <c r="AD174" s="361"/>
      <c r="AE174" s="312"/>
      <c r="AF174" s="302"/>
      <c r="AG174" s="302"/>
      <c r="AH174" s="302"/>
      <c r="AI174" s="302"/>
      <c r="AJ174" s="139"/>
      <c r="AK174" s="139"/>
      <c r="AL174" s="139"/>
      <c r="AM174" s="343"/>
      <c r="AN174" s="139"/>
      <c r="AO174" s="302"/>
      <c r="AP174" s="302"/>
      <c r="AQ174" s="302"/>
      <c r="AR174" s="139"/>
      <c r="AS174" s="139"/>
      <c r="AT174" s="139"/>
      <c r="AU174" s="345"/>
      <c r="AV174" s="346"/>
      <c r="AW174" s="302"/>
      <c r="AX174" s="302"/>
      <c r="AY174" s="302"/>
      <c r="AZ174" s="139"/>
      <c r="BA174" s="139"/>
      <c r="BB174" s="139"/>
      <c r="BC174" s="302"/>
      <c r="BD174" s="343"/>
      <c r="BE174" s="347"/>
      <c r="BF174" s="348"/>
      <c r="BG174" s="348"/>
      <c r="BH174" s="312"/>
      <c r="BI174" s="313"/>
      <c r="BJ174" s="314"/>
      <c r="BK174" s="314"/>
      <c r="BL174" s="314"/>
      <c r="BM174" s="314"/>
      <c r="BN174" s="314"/>
      <c r="BO174" s="314"/>
      <c r="BP174" s="313"/>
    </row>
    <row r="175" spans="1:68" s="257" customFormat="1" x14ac:dyDescent="0.2">
      <c r="A175" s="367"/>
      <c r="B175" s="367"/>
      <c r="C175" s="315"/>
      <c r="D175" s="315"/>
      <c r="E175" s="357"/>
      <c r="F175" s="342"/>
      <c r="G175" s="302"/>
      <c r="H175" s="302"/>
      <c r="I175" s="302"/>
      <c r="J175" s="302"/>
      <c r="K175" s="263"/>
      <c r="L175" s="302"/>
      <c r="M175" s="302"/>
      <c r="N175" s="302"/>
      <c r="O175" s="302"/>
      <c r="P175" s="302"/>
      <c r="Q175" s="302"/>
      <c r="R175" s="302"/>
      <c r="S175" s="302"/>
      <c r="T175" s="302"/>
      <c r="U175" s="302"/>
      <c r="V175" s="302"/>
      <c r="W175" s="304"/>
      <c r="X175" s="263"/>
      <c r="Y175" s="302"/>
      <c r="Z175" s="302"/>
      <c r="AA175" s="302"/>
      <c r="AB175" s="302"/>
      <c r="AC175" s="302"/>
      <c r="AD175" s="361"/>
      <c r="AE175" s="312"/>
      <c r="AF175" s="302"/>
      <c r="AG175" s="302"/>
      <c r="AH175" s="302"/>
      <c r="AI175" s="302"/>
      <c r="AJ175" s="139"/>
      <c r="AK175" s="139"/>
      <c r="AL175" s="139"/>
      <c r="AM175" s="343"/>
      <c r="AN175" s="139"/>
      <c r="AO175" s="302"/>
      <c r="AP175" s="302"/>
      <c r="AQ175" s="302"/>
      <c r="AR175" s="139"/>
      <c r="AS175" s="139"/>
      <c r="AT175" s="139"/>
      <c r="AU175" s="345"/>
      <c r="AV175" s="346"/>
      <c r="AW175" s="302"/>
      <c r="AX175" s="302"/>
      <c r="AY175" s="302"/>
      <c r="AZ175" s="139"/>
      <c r="BA175" s="139"/>
      <c r="BB175" s="139"/>
      <c r="BC175" s="302"/>
      <c r="BD175" s="343"/>
      <c r="BE175" s="347"/>
      <c r="BF175" s="348"/>
      <c r="BG175" s="348"/>
      <c r="BH175" s="312"/>
      <c r="BI175" s="313"/>
      <c r="BJ175" s="314"/>
      <c r="BK175" s="314"/>
      <c r="BL175" s="314"/>
      <c r="BM175" s="314"/>
      <c r="BN175" s="314"/>
      <c r="BO175" s="314"/>
      <c r="BP175" s="313"/>
    </row>
    <row r="176" spans="1:68" s="257" customFormat="1" x14ac:dyDescent="0.2">
      <c r="A176" s="367"/>
      <c r="B176" s="367"/>
      <c r="C176" s="315"/>
      <c r="D176" s="315"/>
      <c r="E176" s="357"/>
      <c r="F176" s="342"/>
      <c r="G176" s="302"/>
      <c r="H176" s="302"/>
      <c r="I176" s="302"/>
      <c r="J176" s="302"/>
      <c r="K176" s="263"/>
      <c r="L176" s="302"/>
      <c r="M176" s="302"/>
      <c r="N176" s="302"/>
      <c r="O176" s="302"/>
      <c r="P176" s="302"/>
      <c r="Q176" s="302"/>
      <c r="R176" s="302"/>
      <c r="S176" s="302"/>
      <c r="T176" s="302"/>
      <c r="U176" s="302"/>
      <c r="V176" s="302"/>
      <c r="W176" s="304"/>
      <c r="X176" s="263"/>
      <c r="Y176" s="302"/>
      <c r="Z176" s="302"/>
      <c r="AA176" s="302"/>
      <c r="AB176" s="302"/>
      <c r="AC176" s="302"/>
      <c r="AD176" s="361"/>
      <c r="AE176" s="312"/>
      <c r="AF176" s="302"/>
      <c r="AG176" s="302"/>
      <c r="AH176" s="302"/>
      <c r="AI176" s="302"/>
      <c r="AJ176" s="139"/>
      <c r="AK176" s="139"/>
      <c r="AL176" s="139"/>
      <c r="AM176" s="343"/>
      <c r="AN176" s="139"/>
      <c r="AO176" s="302"/>
      <c r="AP176" s="302"/>
      <c r="AQ176" s="302"/>
      <c r="AR176" s="139"/>
      <c r="AS176" s="139"/>
      <c r="AT176" s="139"/>
      <c r="AU176" s="345"/>
      <c r="AV176" s="346"/>
      <c r="AW176" s="302"/>
      <c r="AX176" s="302"/>
      <c r="AY176" s="302"/>
      <c r="AZ176" s="139"/>
      <c r="BA176" s="139"/>
      <c r="BB176" s="139"/>
      <c r="BC176" s="302"/>
      <c r="BD176" s="343"/>
      <c r="BE176" s="347"/>
      <c r="BF176" s="348"/>
      <c r="BG176" s="348"/>
      <c r="BH176" s="312"/>
      <c r="BI176" s="313"/>
      <c r="BJ176" s="314"/>
      <c r="BK176" s="314"/>
      <c r="BL176" s="314"/>
      <c r="BM176" s="314"/>
      <c r="BN176" s="314"/>
      <c r="BO176" s="314"/>
      <c r="BP176" s="313"/>
    </row>
    <row r="177" spans="1:68" s="257" customFormat="1" x14ac:dyDescent="0.2">
      <c r="A177" s="367"/>
      <c r="B177" s="367"/>
      <c r="C177" s="315"/>
      <c r="D177" s="315"/>
      <c r="E177" s="357"/>
      <c r="F177" s="342"/>
      <c r="G177" s="302"/>
      <c r="H177" s="302"/>
      <c r="I177" s="302"/>
      <c r="J177" s="302"/>
      <c r="K177" s="263"/>
      <c r="L177" s="302"/>
      <c r="M177" s="302"/>
      <c r="N177" s="302"/>
      <c r="O177" s="302"/>
      <c r="P177" s="302"/>
      <c r="Q177" s="302"/>
      <c r="R177" s="302"/>
      <c r="S177" s="302"/>
      <c r="T177" s="302"/>
      <c r="U177" s="302"/>
      <c r="V177" s="302"/>
      <c r="W177" s="304"/>
      <c r="X177" s="263"/>
      <c r="Y177" s="302"/>
      <c r="Z177" s="302"/>
      <c r="AA177" s="302"/>
      <c r="AB177" s="302"/>
      <c r="AC177" s="302"/>
      <c r="AD177" s="361"/>
      <c r="AE177" s="312"/>
      <c r="AF177" s="302"/>
      <c r="AG177" s="302"/>
      <c r="AH177" s="302"/>
      <c r="AI177" s="302"/>
      <c r="AJ177" s="139"/>
      <c r="AK177" s="139"/>
      <c r="AL177" s="139"/>
      <c r="AM177" s="343"/>
      <c r="AN177" s="139"/>
      <c r="AO177" s="302"/>
      <c r="AP177" s="302"/>
      <c r="AQ177" s="302"/>
      <c r="AR177" s="139"/>
      <c r="AS177" s="139"/>
      <c r="AT177" s="139"/>
      <c r="AU177" s="345"/>
      <c r="AV177" s="346"/>
      <c r="AW177" s="302"/>
      <c r="AX177" s="302"/>
      <c r="AY177" s="302"/>
      <c r="AZ177" s="139"/>
      <c r="BA177" s="139"/>
      <c r="BB177" s="139"/>
      <c r="BC177" s="302"/>
      <c r="BD177" s="343"/>
      <c r="BE177" s="347"/>
      <c r="BF177" s="348"/>
      <c r="BG177" s="348"/>
      <c r="BH177" s="312"/>
      <c r="BI177" s="313"/>
      <c r="BJ177" s="314"/>
      <c r="BK177" s="314"/>
      <c r="BL177" s="314"/>
      <c r="BM177" s="314"/>
      <c r="BN177" s="314"/>
      <c r="BO177" s="314"/>
      <c r="BP177" s="313"/>
    </row>
    <row r="178" spans="1:68" s="257" customFormat="1" x14ac:dyDescent="0.2">
      <c r="A178" s="367"/>
      <c r="B178" s="367"/>
      <c r="C178" s="315"/>
      <c r="D178" s="315"/>
      <c r="E178" s="357"/>
      <c r="F178" s="342"/>
      <c r="G178" s="302"/>
      <c r="H178" s="302"/>
      <c r="I178" s="302"/>
      <c r="J178" s="302"/>
      <c r="K178" s="263"/>
      <c r="L178" s="302"/>
      <c r="M178" s="302"/>
      <c r="N178" s="302"/>
      <c r="O178" s="302"/>
      <c r="P178" s="359"/>
      <c r="Q178" s="139"/>
      <c r="R178" s="302"/>
      <c r="S178" s="302"/>
      <c r="T178" s="302"/>
      <c r="U178" s="302"/>
      <c r="V178" s="302"/>
      <c r="W178" s="304"/>
      <c r="X178" s="263"/>
      <c r="Y178" s="302"/>
      <c r="Z178" s="302"/>
      <c r="AA178" s="302"/>
      <c r="AB178" s="302"/>
      <c r="AC178" s="302"/>
      <c r="AD178" s="361"/>
      <c r="AE178" s="312"/>
      <c r="AF178" s="302"/>
      <c r="AG178" s="302"/>
      <c r="AH178" s="302"/>
      <c r="AI178" s="302"/>
      <c r="AJ178" s="139"/>
      <c r="AK178" s="139"/>
      <c r="AL178" s="139"/>
      <c r="AM178" s="343"/>
      <c r="AN178" s="139"/>
      <c r="AO178" s="302"/>
      <c r="AP178" s="302"/>
      <c r="AQ178" s="302"/>
      <c r="AR178" s="139"/>
      <c r="AS178" s="139"/>
      <c r="AT178" s="139"/>
      <c r="AU178" s="345"/>
      <c r="AV178" s="346"/>
      <c r="AW178" s="302"/>
      <c r="AX178" s="302"/>
      <c r="AY178" s="302"/>
      <c r="AZ178" s="139"/>
      <c r="BA178" s="139"/>
      <c r="BB178" s="139"/>
      <c r="BC178" s="302"/>
      <c r="BD178" s="343"/>
      <c r="BE178" s="347"/>
      <c r="BF178" s="348"/>
      <c r="BG178" s="348"/>
      <c r="BH178" s="312"/>
      <c r="BI178" s="313"/>
      <c r="BJ178" s="314"/>
      <c r="BK178" s="314"/>
      <c r="BL178" s="314"/>
      <c r="BM178" s="314"/>
      <c r="BN178" s="314"/>
      <c r="BO178" s="314"/>
      <c r="BP178" s="313"/>
    </row>
    <row r="179" spans="1:68" s="257" customFormat="1" x14ac:dyDescent="0.2">
      <c r="A179" s="367"/>
      <c r="B179" s="367"/>
      <c r="C179" s="315"/>
      <c r="D179" s="315"/>
      <c r="E179" s="357"/>
      <c r="F179" s="342"/>
      <c r="G179" s="302"/>
      <c r="H179" s="302"/>
      <c r="I179" s="302"/>
      <c r="J179" s="302"/>
      <c r="K179" s="263"/>
      <c r="L179" s="302"/>
      <c r="M179" s="302"/>
      <c r="N179" s="302"/>
      <c r="O179" s="302"/>
      <c r="P179" s="302"/>
      <c r="Q179" s="302"/>
      <c r="R179" s="302"/>
      <c r="S179" s="302"/>
      <c r="T179" s="302"/>
      <c r="U179" s="302"/>
      <c r="V179" s="302"/>
      <c r="W179" s="304"/>
      <c r="X179" s="263"/>
      <c r="Y179" s="302"/>
      <c r="Z179" s="302"/>
      <c r="AA179" s="302"/>
      <c r="AB179" s="302"/>
      <c r="AC179" s="302"/>
      <c r="AD179" s="361"/>
      <c r="AE179" s="312"/>
      <c r="AF179" s="302"/>
      <c r="AG179" s="302"/>
      <c r="AH179" s="302"/>
      <c r="AI179" s="302"/>
      <c r="AJ179" s="302"/>
      <c r="AK179" s="302"/>
      <c r="AL179" s="302"/>
      <c r="AM179" s="302"/>
      <c r="AN179" s="302"/>
      <c r="AO179" s="302"/>
      <c r="AP179" s="302"/>
      <c r="AQ179" s="302"/>
      <c r="AR179" s="302"/>
      <c r="AS179" s="302"/>
      <c r="AT179" s="302"/>
      <c r="AU179" s="345"/>
      <c r="AV179" s="345"/>
      <c r="AW179" s="302"/>
      <c r="AX179" s="302"/>
      <c r="AY179" s="302"/>
      <c r="AZ179" s="302"/>
      <c r="BA179" s="302"/>
      <c r="BB179" s="302"/>
      <c r="BC179" s="302"/>
      <c r="BD179" s="343"/>
      <c r="BE179" s="351"/>
      <c r="BF179" s="360"/>
      <c r="BG179" s="360"/>
      <c r="BH179" s="312"/>
      <c r="BI179" s="313"/>
      <c r="BJ179" s="314"/>
      <c r="BK179" s="314"/>
      <c r="BL179" s="314"/>
      <c r="BM179" s="314"/>
      <c r="BN179" s="314"/>
      <c r="BO179" s="314"/>
      <c r="BP179" s="313"/>
    </row>
    <row r="180" spans="1:68" s="257" customFormat="1" x14ac:dyDescent="0.2">
      <c r="A180" s="367"/>
      <c r="B180" s="367"/>
      <c r="C180" s="315"/>
      <c r="D180" s="315"/>
      <c r="E180" s="357"/>
      <c r="F180" s="342"/>
      <c r="G180" s="302"/>
      <c r="H180" s="302"/>
      <c r="I180" s="302"/>
      <c r="J180" s="302"/>
      <c r="K180" s="263"/>
      <c r="L180" s="302"/>
      <c r="M180" s="302"/>
      <c r="N180" s="302"/>
      <c r="O180" s="302"/>
      <c r="P180" s="302"/>
      <c r="Q180" s="302"/>
      <c r="R180" s="302"/>
      <c r="S180" s="302"/>
      <c r="T180" s="302"/>
      <c r="U180" s="302"/>
      <c r="V180" s="302"/>
      <c r="W180" s="304"/>
      <c r="X180" s="263"/>
      <c r="Y180" s="302"/>
      <c r="Z180" s="302"/>
      <c r="AA180" s="302"/>
      <c r="AB180" s="302"/>
      <c r="AC180" s="302"/>
      <c r="AD180" s="361"/>
      <c r="AE180" s="312"/>
      <c r="AF180" s="302"/>
      <c r="AG180" s="302"/>
      <c r="AH180" s="302"/>
      <c r="AI180" s="302"/>
      <c r="AJ180" s="302"/>
      <c r="AK180" s="302"/>
      <c r="AL180" s="302"/>
      <c r="AM180" s="302"/>
      <c r="AN180" s="302"/>
      <c r="AO180" s="302"/>
      <c r="AP180" s="302"/>
      <c r="AQ180" s="302"/>
      <c r="AR180" s="302"/>
      <c r="AS180" s="302"/>
      <c r="AT180" s="302"/>
      <c r="AU180" s="345"/>
      <c r="AV180" s="345"/>
      <c r="AW180" s="302"/>
      <c r="AX180" s="302"/>
      <c r="AY180" s="302"/>
      <c r="AZ180" s="302"/>
      <c r="BA180" s="302"/>
      <c r="BB180" s="302"/>
      <c r="BC180" s="302"/>
      <c r="BD180" s="302"/>
      <c r="BE180" s="351"/>
      <c r="BF180" s="360"/>
      <c r="BG180" s="360"/>
      <c r="BH180" s="312"/>
      <c r="BI180" s="313"/>
      <c r="BJ180" s="314"/>
      <c r="BK180" s="314"/>
      <c r="BL180" s="314"/>
      <c r="BM180" s="314"/>
      <c r="BN180" s="314"/>
      <c r="BO180" s="314"/>
      <c r="BP180" s="313"/>
    </row>
    <row r="181" spans="1:68" s="257" customFormat="1" x14ac:dyDescent="0.2">
      <c r="A181" s="367"/>
      <c r="B181" s="367"/>
      <c r="C181" s="315"/>
      <c r="D181" s="315"/>
      <c r="E181" s="357"/>
      <c r="F181" s="342"/>
      <c r="G181" s="302"/>
      <c r="H181" s="302"/>
      <c r="I181" s="302"/>
      <c r="J181" s="302"/>
      <c r="K181" s="263"/>
      <c r="L181" s="302"/>
      <c r="M181" s="302"/>
      <c r="N181" s="302"/>
      <c r="O181" s="302"/>
      <c r="P181" s="302"/>
      <c r="Q181" s="302"/>
      <c r="R181" s="302"/>
      <c r="S181" s="302"/>
      <c r="T181" s="302"/>
      <c r="U181" s="302"/>
      <c r="V181" s="302"/>
      <c r="W181" s="304"/>
      <c r="X181" s="263"/>
      <c r="Y181" s="302"/>
      <c r="Z181" s="302"/>
      <c r="AA181" s="302"/>
      <c r="AB181" s="302"/>
      <c r="AC181" s="302"/>
      <c r="AD181" s="361"/>
      <c r="AE181" s="312"/>
      <c r="AF181" s="302"/>
      <c r="AG181" s="302"/>
      <c r="AH181" s="302"/>
      <c r="AI181" s="302"/>
      <c r="AJ181" s="302"/>
      <c r="AK181" s="302"/>
      <c r="AL181" s="302"/>
      <c r="AM181" s="302"/>
      <c r="AN181" s="302"/>
      <c r="AO181" s="302"/>
      <c r="AP181" s="302"/>
      <c r="AQ181" s="302"/>
      <c r="AR181" s="302"/>
      <c r="AS181" s="302"/>
      <c r="AT181" s="302"/>
      <c r="AU181" s="345"/>
      <c r="AV181" s="345"/>
      <c r="AW181" s="302"/>
      <c r="AX181" s="302"/>
      <c r="AY181" s="302"/>
      <c r="AZ181" s="302"/>
      <c r="BA181" s="302"/>
      <c r="BB181" s="302"/>
      <c r="BC181" s="302"/>
      <c r="BD181" s="302"/>
      <c r="BE181" s="351"/>
      <c r="BF181" s="360"/>
      <c r="BG181" s="360"/>
      <c r="BH181" s="312"/>
      <c r="BI181" s="313"/>
      <c r="BJ181" s="314"/>
      <c r="BK181" s="314"/>
      <c r="BL181" s="314"/>
      <c r="BM181" s="314"/>
      <c r="BN181" s="314"/>
      <c r="BO181" s="314"/>
      <c r="BP181" s="313"/>
    </row>
    <row r="182" spans="1:68" s="257" customFormat="1" x14ac:dyDescent="0.2">
      <c r="A182" s="367"/>
      <c r="B182" s="367"/>
      <c r="C182" s="315"/>
      <c r="D182" s="315"/>
      <c r="E182" s="357"/>
      <c r="F182" s="342"/>
      <c r="G182" s="302"/>
      <c r="H182" s="302"/>
      <c r="I182" s="302"/>
      <c r="J182" s="302"/>
      <c r="K182" s="263"/>
      <c r="L182" s="302"/>
      <c r="M182" s="302"/>
      <c r="N182" s="302"/>
      <c r="O182" s="302"/>
      <c r="P182" s="302"/>
      <c r="Q182" s="302"/>
      <c r="R182" s="302"/>
      <c r="S182" s="302"/>
      <c r="T182" s="302"/>
      <c r="U182" s="302"/>
      <c r="V182" s="302"/>
      <c r="W182" s="304"/>
      <c r="X182" s="263"/>
      <c r="Y182" s="302"/>
      <c r="Z182" s="302"/>
      <c r="AA182" s="302"/>
      <c r="AB182" s="302"/>
      <c r="AC182" s="302"/>
      <c r="AD182" s="361"/>
      <c r="AE182" s="312"/>
      <c r="AF182" s="302"/>
      <c r="AG182" s="302"/>
      <c r="AH182" s="302"/>
      <c r="AI182" s="302"/>
      <c r="AJ182" s="302"/>
      <c r="AK182" s="302"/>
      <c r="AL182" s="302"/>
      <c r="AM182" s="302"/>
      <c r="AN182" s="302"/>
      <c r="AO182" s="302"/>
      <c r="AP182" s="302"/>
      <c r="AQ182" s="302"/>
      <c r="AR182" s="302"/>
      <c r="AS182" s="302"/>
      <c r="AT182" s="302"/>
      <c r="AU182" s="345"/>
      <c r="AV182" s="345"/>
      <c r="AW182" s="302"/>
      <c r="AX182" s="302"/>
      <c r="AY182" s="302"/>
      <c r="AZ182" s="302"/>
      <c r="BA182" s="302"/>
      <c r="BB182" s="302"/>
      <c r="BC182" s="302"/>
      <c r="BD182" s="302"/>
      <c r="BE182" s="351"/>
      <c r="BF182" s="360"/>
      <c r="BG182" s="360"/>
      <c r="BH182" s="312"/>
      <c r="BI182" s="313"/>
      <c r="BJ182" s="314"/>
      <c r="BK182" s="314"/>
      <c r="BL182" s="314"/>
      <c r="BM182" s="314"/>
      <c r="BN182" s="314"/>
      <c r="BO182" s="314"/>
      <c r="BP182" s="313"/>
    </row>
    <row r="183" spans="1:68" s="257" customFormat="1" x14ac:dyDescent="0.2">
      <c r="A183" s="367"/>
      <c r="B183" s="367"/>
      <c r="C183" s="315"/>
      <c r="D183" s="315"/>
      <c r="E183" s="357"/>
      <c r="F183" s="342"/>
      <c r="G183" s="302"/>
      <c r="H183" s="302"/>
      <c r="I183" s="302"/>
      <c r="J183" s="302"/>
      <c r="K183" s="263"/>
      <c r="L183" s="302"/>
      <c r="M183" s="302"/>
      <c r="N183" s="302"/>
      <c r="O183" s="302"/>
      <c r="P183" s="302"/>
      <c r="Q183" s="302"/>
      <c r="R183" s="302"/>
      <c r="S183" s="302"/>
      <c r="T183" s="302"/>
      <c r="U183" s="302"/>
      <c r="V183" s="302"/>
      <c r="W183" s="304"/>
      <c r="X183" s="263"/>
      <c r="Y183" s="302"/>
      <c r="Z183" s="302"/>
      <c r="AA183" s="302"/>
      <c r="AB183" s="302"/>
      <c r="AC183" s="302"/>
      <c r="AD183" s="361"/>
      <c r="AE183" s="312"/>
      <c r="AF183" s="302"/>
      <c r="AG183" s="302"/>
      <c r="AH183" s="302"/>
      <c r="AI183" s="302"/>
      <c r="AJ183" s="302"/>
      <c r="AK183" s="302"/>
      <c r="AL183" s="302"/>
      <c r="AM183" s="302"/>
      <c r="AN183" s="302"/>
      <c r="AO183" s="302"/>
      <c r="AP183" s="302"/>
      <c r="AQ183" s="302"/>
      <c r="AR183" s="302"/>
      <c r="AS183" s="302"/>
      <c r="AT183" s="302"/>
      <c r="AU183" s="345"/>
      <c r="AV183" s="345"/>
      <c r="AW183" s="302"/>
      <c r="AX183" s="302"/>
      <c r="AY183" s="302"/>
      <c r="AZ183" s="302"/>
      <c r="BA183" s="302"/>
      <c r="BB183" s="302"/>
      <c r="BC183" s="302"/>
      <c r="BD183" s="302"/>
      <c r="BE183" s="351"/>
      <c r="BF183" s="360"/>
      <c r="BG183" s="360"/>
      <c r="BH183" s="312"/>
      <c r="BI183" s="313"/>
      <c r="BJ183" s="314"/>
      <c r="BK183" s="314"/>
      <c r="BL183" s="314"/>
      <c r="BM183" s="314"/>
      <c r="BN183" s="314"/>
      <c r="BO183" s="314"/>
      <c r="BP183" s="313"/>
    </row>
    <row r="184" spans="1:68" s="257" customFormat="1" x14ac:dyDescent="0.2">
      <c r="A184" s="367"/>
      <c r="B184" s="367"/>
      <c r="C184" s="315"/>
      <c r="D184" s="315"/>
      <c r="E184" s="357"/>
      <c r="F184" s="342"/>
      <c r="G184" s="302"/>
      <c r="H184" s="302"/>
      <c r="I184" s="302"/>
      <c r="J184" s="302"/>
      <c r="K184" s="263"/>
      <c r="L184" s="302"/>
      <c r="M184" s="302"/>
      <c r="N184" s="302"/>
      <c r="O184" s="302"/>
      <c r="P184" s="302"/>
      <c r="Q184" s="302"/>
      <c r="R184" s="302"/>
      <c r="S184" s="302"/>
      <c r="T184" s="302"/>
      <c r="U184" s="302"/>
      <c r="V184" s="302"/>
      <c r="W184" s="304"/>
      <c r="X184" s="263"/>
      <c r="Y184" s="302"/>
      <c r="Z184" s="302"/>
      <c r="AA184" s="302"/>
      <c r="AB184" s="302"/>
      <c r="AC184" s="302"/>
      <c r="AD184" s="361"/>
      <c r="AE184" s="312"/>
      <c r="AF184" s="302"/>
      <c r="AG184" s="302"/>
      <c r="AH184" s="302"/>
      <c r="AI184" s="302"/>
      <c r="AJ184" s="302"/>
      <c r="AK184" s="302"/>
      <c r="AL184" s="302"/>
      <c r="AM184" s="302"/>
      <c r="AN184" s="302"/>
      <c r="AO184" s="302"/>
      <c r="AP184" s="302"/>
      <c r="AQ184" s="302"/>
      <c r="AR184" s="302"/>
      <c r="AS184" s="302"/>
      <c r="AT184" s="302"/>
      <c r="AU184" s="345"/>
      <c r="AV184" s="345"/>
      <c r="AW184" s="302"/>
      <c r="AX184" s="302"/>
      <c r="AY184" s="302"/>
      <c r="AZ184" s="302"/>
      <c r="BA184" s="302"/>
      <c r="BB184" s="302"/>
      <c r="BC184" s="302"/>
      <c r="BD184" s="302"/>
      <c r="BE184" s="351"/>
      <c r="BF184" s="360"/>
      <c r="BG184" s="360"/>
      <c r="BH184" s="312"/>
      <c r="BI184" s="313"/>
      <c r="BJ184" s="314"/>
      <c r="BK184" s="314"/>
      <c r="BL184" s="314"/>
      <c r="BM184" s="314"/>
      <c r="BN184" s="314"/>
      <c r="BO184" s="314"/>
      <c r="BP184" s="313"/>
    </row>
    <row r="185" spans="1:68" s="257" customFormat="1" x14ac:dyDescent="0.2">
      <c r="A185" s="367"/>
      <c r="B185" s="367"/>
      <c r="C185" s="315"/>
      <c r="D185" s="315"/>
      <c r="E185" s="357"/>
      <c r="F185" s="342"/>
      <c r="G185" s="302"/>
      <c r="H185" s="302"/>
      <c r="I185" s="302"/>
      <c r="J185" s="302"/>
      <c r="K185" s="263"/>
      <c r="L185" s="302"/>
      <c r="M185" s="302"/>
      <c r="N185" s="302"/>
      <c r="O185" s="302"/>
      <c r="P185" s="302"/>
      <c r="Q185" s="302"/>
      <c r="R185" s="302"/>
      <c r="S185" s="302"/>
      <c r="T185" s="302"/>
      <c r="U185" s="302"/>
      <c r="V185" s="302"/>
      <c r="W185" s="304"/>
      <c r="X185" s="263"/>
      <c r="Y185" s="302"/>
      <c r="Z185" s="302"/>
      <c r="AA185" s="302"/>
      <c r="AB185" s="302"/>
      <c r="AC185" s="302"/>
      <c r="AD185" s="361"/>
      <c r="AE185" s="312"/>
      <c r="AF185" s="302"/>
      <c r="AG185" s="302"/>
      <c r="AH185" s="302"/>
      <c r="AI185" s="302"/>
      <c r="AJ185" s="302"/>
      <c r="AK185" s="302"/>
      <c r="AL185" s="302"/>
      <c r="AM185" s="302"/>
      <c r="AN185" s="302"/>
      <c r="AO185" s="302"/>
      <c r="AP185" s="302"/>
      <c r="AQ185" s="302"/>
      <c r="AR185" s="302"/>
      <c r="AS185" s="302"/>
      <c r="AT185" s="302"/>
      <c r="AU185" s="345"/>
      <c r="AV185" s="345"/>
      <c r="AW185" s="302"/>
      <c r="AX185" s="302"/>
      <c r="AY185" s="302"/>
      <c r="AZ185" s="302"/>
      <c r="BA185" s="302"/>
      <c r="BB185" s="302"/>
      <c r="BC185" s="302"/>
      <c r="BD185" s="302"/>
      <c r="BE185" s="351"/>
      <c r="BF185" s="360"/>
      <c r="BG185" s="360"/>
      <c r="BH185" s="312"/>
      <c r="BI185" s="313"/>
      <c r="BJ185" s="314"/>
      <c r="BK185" s="314"/>
      <c r="BL185" s="314"/>
      <c r="BM185" s="314"/>
      <c r="BN185" s="314"/>
      <c r="BO185" s="314"/>
      <c r="BP185" s="313"/>
    </row>
    <row r="186" spans="1:68" s="257" customFormat="1" x14ac:dyDescent="0.2">
      <c r="A186" s="367"/>
      <c r="B186" s="367"/>
      <c r="C186" s="315"/>
      <c r="D186" s="315"/>
      <c r="E186" s="357"/>
      <c r="F186" s="342"/>
      <c r="G186" s="302"/>
      <c r="H186" s="302"/>
      <c r="I186" s="302"/>
      <c r="J186" s="302"/>
      <c r="K186" s="263"/>
      <c r="L186" s="302"/>
      <c r="M186" s="302"/>
      <c r="N186" s="302"/>
      <c r="O186" s="302"/>
      <c r="P186" s="302"/>
      <c r="Q186" s="302"/>
      <c r="R186" s="302"/>
      <c r="S186" s="302"/>
      <c r="T186" s="302"/>
      <c r="U186" s="302"/>
      <c r="V186" s="302"/>
      <c r="W186" s="304"/>
      <c r="X186" s="263"/>
      <c r="Y186" s="302"/>
      <c r="Z186" s="302"/>
      <c r="AA186" s="302"/>
      <c r="AB186" s="302"/>
      <c r="AC186" s="302"/>
      <c r="AD186" s="361"/>
      <c r="AE186" s="312"/>
      <c r="AF186" s="302"/>
      <c r="AG186" s="302"/>
      <c r="AH186" s="302"/>
      <c r="AI186" s="302"/>
      <c r="AJ186" s="302"/>
      <c r="AK186" s="302"/>
      <c r="AL186" s="302"/>
      <c r="AM186" s="302"/>
      <c r="AN186" s="302"/>
      <c r="AO186" s="302"/>
      <c r="AP186" s="302"/>
      <c r="AQ186" s="302"/>
      <c r="AR186" s="302"/>
      <c r="AS186" s="302"/>
      <c r="AT186" s="302"/>
      <c r="AU186" s="345"/>
      <c r="AV186" s="345"/>
      <c r="AW186" s="302"/>
      <c r="AX186" s="302"/>
      <c r="AY186" s="302"/>
      <c r="AZ186" s="302"/>
      <c r="BA186" s="302"/>
      <c r="BB186" s="302"/>
      <c r="BC186" s="302"/>
      <c r="BD186" s="302"/>
      <c r="BE186" s="351"/>
      <c r="BF186" s="360"/>
      <c r="BG186" s="360"/>
      <c r="BH186" s="312"/>
      <c r="BI186" s="313"/>
      <c r="BJ186" s="314"/>
      <c r="BK186" s="314"/>
      <c r="BL186" s="314"/>
      <c r="BM186" s="314"/>
      <c r="BN186" s="314"/>
      <c r="BO186" s="314"/>
      <c r="BP186" s="313"/>
    </row>
    <row r="187" spans="1:68" s="257" customFormat="1" x14ac:dyDescent="0.2">
      <c r="A187" s="367"/>
      <c r="B187" s="367"/>
      <c r="C187" s="315"/>
      <c r="D187" s="315"/>
      <c r="E187" s="357"/>
      <c r="F187" s="342"/>
      <c r="G187" s="302"/>
      <c r="H187" s="302"/>
      <c r="I187" s="302"/>
      <c r="J187" s="302"/>
      <c r="K187" s="263"/>
      <c r="L187" s="302"/>
      <c r="M187" s="302"/>
      <c r="N187" s="302"/>
      <c r="O187" s="302"/>
      <c r="P187" s="302"/>
      <c r="Q187" s="302"/>
      <c r="R187" s="302"/>
      <c r="S187" s="302"/>
      <c r="T187" s="302"/>
      <c r="U187" s="302"/>
      <c r="V187" s="302"/>
      <c r="W187" s="304"/>
      <c r="X187" s="263"/>
      <c r="Y187" s="302"/>
      <c r="Z187" s="302"/>
      <c r="AA187" s="302"/>
      <c r="AB187" s="302"/>
      <c r="AC187" s="302"/>
      <c r="AD187" s="361"/>
      <c r="AE187" s="312"/>
      <c r="AF187" s="302"/>
      <c r="AG187" s="302"/>
      <c r="AH187" s="302"/>
      <c r="AI187" s="302"/>
      <c r="AJ187" s="302"/>
      <c r="AK187" s="302"/>
      <c r="AL187" s="302"/>
      <c r="AM187" s="302"/>
      <c r="AN187" s="302"/>
      <c r="AO187" s="302"/>
      <c r="AP187" s="302"/>
      <c r="AQ187" s="302"/>
      <c r="AR187" s="302"/>
      <c r="AS187" s="302"/>
      <c r="AT187" s="302"/>
      <c r="AU187" s="345"/>
      <c r="AV187" s="345"/>
      <c r="AW187" s="302"/>
      <c r="AX187" s="302"/>
      <c r="AY187" s="302"/>
      <c r="AZ187" s="302"/>
      <c r="BA187" s="302"/>
      <c r="BB187" s="302"/>
      <c r="BC187" s="302"/>
      <c r="BD187" s="302"/>
      <c r="BE187" s="351"/>
      <c r="BF187" s="360"/>
      <c r="BG187" s="360"/>
      <c r="BH187" s="312"/>
      <c r="BI187" s="313"/>
      <c r="BJ187" s="314"/>
      <c r="BK187" s="314"/>
      <c r="BL187" s="314"/>
      <c r="BM187" s="314"/>
      <c r="BN187" s="314"/>
      <c r="BO187" s="314"/>
      <c r="BP187" s="313"/>
    </row>
    <row r="188" spans="1:68" s="257" customFormat="1" x14ac:dyDescent="0.2">
      <c r="A188" s="367"/>
      <c r="B188" s="367"/>
      <c r="C188" s="315"/>
      <c r="D188" s="315"/>
      <c r="E188" s="357"/>
      <c r="F188" s="342"/>
      <c r="G188" s="302"/>
      <c r="H188" s="302"/>
      <c r="I188" s="302"/>
      <c r="J188" s="302"/>
      <c r="K188" s="263"/>
      <c r="L188" s="302"/>
      <c r="M188" s="302"/>
      <c r="N188" s="302"/>
      <c r="O188" s="302"/>
      <c r="P188" s="302"/>
      <c r="Q188" s="302"/>
      <c r="R188" s="302"/>
      <c r="S188" s="302"/>
      <c r="T188" s="302"/>
      <c r="U188" s="302"/>
      <c r="V188" s="302"/>
      <c r="W188" s="304"/>
      <c r="X188" s="263"/>
      <c r="Y188" s="302"/>
      <c r="Z188" s="302"/>
      <c r="AA188" s="302"/>
      <c r="AB188" s="302"/>
      <c r="AC188" s="302"/>
      <c r="AD188" s="361"/>
      <c r="AE188" s="312"/>
      <c r="AF188" s="302"/>
      <c r="AG188" s="302"/>
      <c r="AH188" s="302"/>
      <c r="AI188" s="302"/>
      <c r="AJ188" s="302"/>
      <c r="AK188" s="302"/>
      <c r="AL188" s="302"/>
      <c r="AM188" s="302"/>
      <c r="AN188" s="302"/>
      <c r="AO188" s="302"/>
      <c r="AP188" s="302"/>
      <c r="AQ188" s="302"/>
      <c r="AR188" s="302"/>
      <c r="AS188" s="302"/>
      <c r="AT188" s="302"/>
      <c r="AU188" s="345"/>
      <c r="AV188" s="345"/>
      <c r="AW188" s="302"/>
      <c r="AX188" s="302"/>
      <c r="AY188" s="302"/>
      <c r="AZ188" s="302"/>
      <c r="BA188" s="302"/>
      <c r="BB188" s="302"/>
      <c r="BC188" s="302"/>
      <c r="BD188" s="302"/>
      <c r="BE188" s="351"/>
      <c r="BF188" s="360"/>
      <c r="BG188" s="360"/>
      <c r="BH188" s="312"/>
      <c r="BI188" s="313"/>
      <c r="BJ188" s="314"/>
      <c r="BK188" s="314"/>
      <c r="BL188" s="314"/>
      <c r="BM188" s="314"/>
      <c r="BN188" s="314"/>
      <c r="BO188" s="314"/>
      <c r="BP188" s="313"/>
    </row>
    <row r="189" spans="1:68" s="257" customFormat="1" x14ac:dyDescent="0.2">
      <c r="A189" s="401"/>
      <c r="B189" s="401"/>
      <c r="C189" s="402"/>
      <c r="D189" s="402"/>
      <c r="E189" s="357"/>
      <c r="F189" s="403"/>
      <c r="G189" s="323"/>
      <c r="H189" s="323"/>
      <c r="I189" s="323"/>
      <c r="J189" s="323"/>
      <c r="K189" s="264"/>
      <c r="L189" s="323"/>
      <c r="M189" s="323"/>
      <c r="N189" s="323"/>
      <c r="O189" s="323"/>
      <c r="P189" s="323"/>
      <c r="Q189" s="323"/>
      <c r="R189" s="323"/>
      <c r="S189" s="323"/>
      <c r="T189" s="323"/>
      <c r="U189" s="323"/>
      <c r="V189" s="323"/>
      <c r="W189" s="322"/>
      <c r="X189" s="264"/>
      <c r="Y189" s="323"/>
      <c r="Z189" s="323"/>
      <c r="AA189" s="323"/>
      <c r="AB189" s="323"/>
      <c r="AC189" s="323"/>
      <c r="AD189" s="404"/>
      <c r="AE189" s="325"/>
      <c r="AF189" s="323"/>
      <c r="AG189" s="323"/>
      <c r="AH189" s="323"/>
      <c r="AI189" s="323"/>
      <c r="AJ189" s="323"/>
      <c r="AK189" s="323"/>
      <c r="AL189" s="323"/>
      <c r="AM189" s="323"/>
      <c r="AN189" s="323"/>
      <c r="AO189" s="323"/>
      <c r="AP189" s="323"/>
      <c r="AQ189" s="323"/>
      <c r="AR189" s="323"/>
      <c r="AS189" s="323"/>
      <c r="AT189" s="323"/>
      <c r="AU189" s="405"/>
      <c r="AV189" s="405"/>
      <c r="AW189" s="323"/>
      <c r="AX189" s="323"/>
      <c r="AY189" s="323"/>
      <c r="AZ189" s="323"/>
      <c r="BA189" s="323"/>
      <c r="BB189" s="323"/>
      <c r="BC189" s="323"/>
      <c r="BD189" s="323"/>
      <c r="BE189" s="406"/>
      <c r="BF189" s="407"/>
      <c r="BG189" s="407"/>
      <c r="BH189" s="325"/>
      <c r="BI189" s="408"/>
      <c r="BJ189" s="409"/>
      <c r="BK189" s="409"/>
      <c r="BL189" s="409"/>
      <c r="BM189" s="409"/>
      <c r="BN189" s="409"/>
      <c r="BO189" s="409"/>
      <c r="BP189" s="408"/>
    </row>
    <row r="190" spans="1:68" s="375" customFormat="1" x14ac:dyDescent="0.2">
      <c r="A190" s="367"/>
      <c r="B190" s="367"/>
      <c r="C190" s="315"/>
      <c r="D190" s="315"/>
      <c r="E190" s="411"/>
      <c r="F190" s="342"/>
      <c r="G190" s="302"/>
      <c r="H190" s="302"/>
      <c r="I190" s="302"/>
      <c r="J190" s="302"/>
      <c r="K190" s="263"/>
      <c r="L190" s="302"/>
      <c r="M190" s="302"/>
      <c r="N190" s="302"/>
      <c r="O190" s="302"/>
      <c r="P190" s="302"/>
      <c r="Q190" s="302"/>
      <c r="R190" s="302"/>
      <c r="S190" s="302"/>
      <c r="T190" s="302"/>
      <c r="U190" s="302"/>
      <c r="V190" s="302"/>
      <c r="W190" s="304"/>
      <c r="X190" s="263"/>
      <c r="Y190" s="302"/>
      <c r="Z190" s="302"/>
      <c r="AA190" s="302"/>
      <c r="AB190" s="302"/>
      <c r="AC190" s="302"/>
      <c r="AD190" s="263"/>
      <c r="AE190" s="302"/>
      <c r="AF190" s="302"/>
      <c r="AG190" s="302"/>
      <c r="AH190" s="302"/>
      <c r="AI190" s="302"/>
      <c r="AJ190" s="302"/>
      <c r="AK190" s="302"/>
      <c r="AL190" s="302"/>
      <c r="AM190" s="302"/>
      <c r="AN190" s="302"/>
      <c r="AO190" s="302"/>
      <c r="AP190" s="302"/>
      <c r="AQ190" s="302"/>
      <c r="AR190" s="302"/>
      <c r="AS190" s="302"/>
      <c r="AT190" s="302"/>
      <c r="AU190" s="345"/>
      <c r="AV190" s="345"/>
      <c r="AW190" s="302"/>
      <c r="AX190" s="302"/>
      <c r="AY190" s="302"/>
      <c r="AZ190" s="302"/>
      <c r="BA190" s="302"/>
      <c r="BB190" s="302"/>
      <c r="BC190" s="302"/>
      <c r="BD190" s="302"/>
      <c r="BE190" s="351"/>
      <c r="BF190" s="351"/>
      <c r="BG190" s="351"/>
      <c r="BH190" s="302"/>
      <c r="BI190" s="351"/>
      <c r="BJ190" s="351"/>
      <c r="BK190" s="351"/>
      <c r="BL190" s="351"/>
      <c r="BM190" s="351"/>
      <c r="BN190" s="351"/>
      <c r="BO190" s="351"/>
      <c r="BP190" s="351"/>
    </row>
    <row r="191" spans="1:68" s="375" customFormat="1" x14ac:dyDescent="0.2">
      <c r="A191" s="367"/>
      <c r="B191" s="367"/>
      <c r="C191" s="315"/>
      <c r="D191" s="315"/>
      <c r="E191" s="411"/>
      <c r="F191" s="342"/>
      <c r="G191" s="302"/>
      <c r="H191" s="302"/>
      <c r="I191" s="302"/>
      <c r="J191" s="302"/>
      <c r="K191" s="263"/>
      <c r="L191" s="302"/>
      <c r="M191" s="302"/>
      <c r="N191" s="302"/>
      <c r="O191" s="302"/>
      <c r="P191" s="302"/>
      <c r="Q191" s="302"/>
      <c r="R191" s="302"/>
      <c r="S191" s="302"/>
      <c r="T191" s="302"/>
      <c r="U191" s="302"/>
      <c r="V191" s="302"/>
      <c r="W191" s="304"/>
      <c r="X191" s="263"/>
      <c r="Y191" s="302"/>
      <c r="Z191" s="302"/>
      <c r="AA191" s="302"/>
      <c r="AB191" s="302"/>
      <c r="AC191" s="302"/>
      <c r="AD191" s="263"/>
      <c r="AE191" s="302"/>
      <c r="AF191" s="302"/>
      <c r="AG191" s="302"/>
      <c r="AH191" s="302"/>
      <c r="AI191" s="302"/>
      <c r="AJ191" s="302"/>
      <c r="AK191" s="302"/>
      <c r="AL191" s="302"/>
      <c r="AM191" s="302"/>
      <c r="AN191" s="302"/>
      <c r="AO191" s="302"/>
      <c r="AP191" s="302"/>
      <c r="AQ191" s="302"/>
      <c r="AR191" s="302"/>
      <c r="AS191" s="302"/>
      <c r="AT191" s="302"/>
      <c r="AU191" s="345"/>
      <c r="AV191" s="345"/>
      <c r="AW191" s="302"/>
      <c r="AX191" s="302"/>
      <c r="AY191" s="302"/>
      <c r="AZ191" s="302"/>
      <c r="BA191" s="302"/>
      <c r="BB191" s="302"/>
      <c r="BC191" s="302"/>
      <c r="BD191" s="302"/>
      <c r="BE191" s="351"/>
      <c r="BF191" s="351"/>
      <c r="BG191" s="351"/>
      <c r="BH191" s="302"/>
      <c r="BI191" s="351"/>
      <c r="BJ191" s="351"/>
      <c r="BK191" s="351"/>
      <c r="BL191" s="351"/>
      <c r="BM191" s="351"/>
      <c r="BN191" s="351"/>
      <c r="BO191" s="351"/>
      <c r="BP191" s="351"/>
    </row>
    <row r="192" spans="1:68" s="375" customFormat="1" x14ac:dyDescent="0.2">
      <c r="A192" s="367"/>
      <c r="B192" s="367"/>
      <c r="C192" s="315"/>
      <c r="D192" s="315"/>
      <c r="E192" s="411"/>
      <c r="F192" s="342"/>
      <c r="G192" s="302"/>
      <c r="H192" s="302"/>
      <c r="I192" s="302"/>
      <c r="J192" s="302"/>
      <c r="K192" s="263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4"/>
      <c r="X192" s="263"/>
      <c r="Y192" s="302"/>
      <c r="Z192" s="302"/>
      <c r="AA192" s="302"/>
      <c r="AB192" s="302"/>
      <c r="AC192" s="302"/>
      <c r="AD192" s="263"/>
      <c r="AE192" s="302"/>
      <c r="AF192" s="302"/>
      <c r="AG192" s="302"/>
      <c r="AH192" s="302"/>
      <c r="AI192" s="302"/>
      <c r="AJ192" s="302"/>
      <c r="AK192" s="302"/>
      <c r="AL192" s="302"/>
      <c r="AM192" s="302"/>
      <c r="AN192" s="302"/>
      <c r="AO192" s="302"/>
      <c r="AP192" s="302"/>
      <c r="AQ192" s="302"/>
      <c r="AR192" s="302"/>
      <c r="AS192" s="302"/>
      <c r="AT192" s="302"/>
      <c r="AU192" s="345"/>
      <c r="AV192" s="345"/>
      <c r="AW192" s="302"/>
      <c r="AX192" s="302"/>
      <c r="AY192" s="302"/>
      <c r="AZ192" s="302"/>
      <c r="BA192" s="302"/>
      <c r="BB192" s="302"/>
      <c r="BC192" s="302"/>
      <c r="BD192" s="302"/>
      <c r="BE192" s="351"/>
      <c r="BF192" s="351"/>
      <c r="BG192" s="351"/>
      <c r="BH192" s="302"/>
      <c r="BI192" s="351"/>
      <c r="BJ192" s="351"/>
      <c r="BK192" s="351"/>
      <c r="BL192" s="351"/>
      <c r="BM192" s="351"/>
      <c r="BN192" s="351"/>
      <c r="BO192" s="351"/>
      <c r="BP192" s="351"/>
    </row>
    <row r="193" spans="1:68" s="375" customFormat="1" x14ac:dyDescent="0.2">
      <c r="A193" s="367"/>
      <c r="B193" s="367"/>
      <c r="C193" s="315"/>
      <c r="D193" s="315"/>
      <c r="E193" s="411"/>
      <c r="F193" s="342"/>
      <c r="G193" s="302"/>
      <c r="H193" s="302"/>
      <c r="I193" s="302"/>
      <c r="J193" s="302"/>
      <c r="K193" s="263"/>
      <c r="L193" s="302"/>
      <c r="M193" s="302"/>
      <c r="N193" s="302"/>
      <c r="O193" s="302"/>
      <c r="P193" s="302"/>
      <c r="Q193" s="302"/>
      <c r="R193" s="302"/>
      <c r="S193" s="302"/>
      <c r="T193" s="302"/>
      <c r="U193" s="302"/>
      <c r="V193" s="302"/>
      <c r="W193" s="304"/>
      <c r="X193" s="263"/>
      <c r="Y193" s="302"/>
      <c r="Z193" s="302"/>
      <c r="AA193" s="302"/>
      <c r="AB193" s="302"/>
      <c r="AC193" s="302"/>
      <c r="AD193" s="263"/>
      <c r="AE193" s="302"/>
      <c r="AF193" s="302"/>
      <c r="AG193" s="302"/>
      <c r="AH193" s="302"/>
      <c r="AI193" s="302"/>
      <c r="AJ193" s="302"/>
      <c r="AK193" s="302"/>
      <c r="AL193" s="302"/>
      <c r="AM193" s="302"/>
      <c r="AN193" s="302"/>
      <c r="AO193" s="302"/>
      <c r="AP193" s="302"/>
      <c r="AQ193" s="302"/>
      <c r="AR193" s="302"/>
      <c r="AS193" s="302"/>
      <c r="AT193" s="302"/>
      <c r="AU193" s="345"/>
      <c r="AV193" s="345"/>
      <c r="AW193" s="302"/>
      <c r="AX193" s="302"/>
      <c r="AY193" s="302"/>
      <c r="AZ193" s="302"/>
      <c r="BA193" s="302"/>
      <c r="BB193" s="302"/>
      <c r="BC193" s="302"/>
      <c r="BD193" s="302"/>
      <c r="BE193" s="351"/>
      <c r="BF193" s="351"/>
      <c r="BG193" s="351"/>
      <c r="BH193" s="302"/>
      <c r="BI193" s="351"/>
      <c r="BJ193" s="351"/>
      <c r="BK193" s="351"/>
      <c r="BL193" s="351"/>
      <c r="BM193" s="351"/>
      <c r="BN193" s="351"/>
      <c r="BO193" s="351"/>
      <c r="BP193" s="351"/>
    </row>
    <row r="194" spans="1:68" s="375" customFormat="1" x14ac:dyDescent="0.2">
      <c r="A194" s="367"/>
      <c r="B194" s="367"/>
      <c r="C194" s="315"/>
      <c r="D194" s="315"/>
      <c r="E194" s="411"/>
      <c r="F194" s="342"/>
      <c r="G194" s="302"/>
      <c r="H194" s="302"/>
      <c r="I194" s="302"/>
      <c r="J194" s="302"/>
      <c r="K194" s="263"/>
      <c r="L194" s="302"/>
      <c r="M194" s="302"/>
      <c r="N194" s="302"/>
      <c r="O194" s="302"/>
      <c r="P194" s="302"/>
      <c r="Q194" s="302"/>
      <c r="R194" s="302"/>
      <c r="S194" s="302"/>
      <c r="T194" s="302"/>
      <c r="U194" s="302"/>
      <c r="V194" s="302"/>
      <c r="W194" s="304"/>
      <c r="X194" s="263"/>
      <c r="Y194" s="302"/>
      <c r="Z194" s="302"/>
      <c r="AA194" s="302"/>
      <c r="AB194" s="302"/>
      <c r="AC194" s="302"/>
      <c r="AD194" s="263"/>
      <c r="AE194" s="302"/>
      <c r="AF194" s="302"/>
      <c r="AG194" s="302"/>
      <c r="AH194" s="302"/>
      <c r="AI194" s="302"/>
      <c r="AJ194" s="302"/>
      <c r="AK194" s="302"/>
      <c r="AL194" s="302"/>
      <c r="AM194" s="302"/>
      <c r="AN194" s="302"/>
      <c r="AO194" s="302"/>
      <c r="AP194" s="302"/>
      <c r="AQ194" s="302"/>
      <c r="AR194" s="302"/>
      <c r="AS194" s="302"/>
      <c r="AT194" s="302"/>
      <c r="AU194" s="345"/>
      <c r="AV194" s="345"/>
      <c r="AW194" s="302"/>
      <c r="AX194" s="302"/>
      <c r="AY194" s="302"/>
      <c r="AZ194" s="302"/>
      <c r="BA194" s="302"/>
      <c r="BB194" s="302"/>
      <c r="BC194" s="302"/>
      <c r="BD194" s="302"/>
      <c r="BE194" s="351"/>
      <c r="BF194" s="351"/>
      <c r="BG194" s="351"/>
      <c r="BH194" s="302"/>
      <c r="BI194" s="351"/>
      <c r="BJ194" s="351"/>
      <c r="BK194" s="351"/>
      <c r="BL194" s="351"/>
      <c r="BM194" s="351"/>
      <c r="BN194" s="351"/>
      <c r="BO194" s="351"/>
      <c r="BP194" s="351"/>
    </row>
    <row r="195" spans="1:68" s="375" customFormat="1" x14ac:dyDescent="0.2">
      <c r="A195" s="367"/>
      <c r="B195" s="367"/>
      <c r="C195" s="315"/>
      <c r="D195" s="315"/>
      <c r="E195" s="411"/>
      <c r="F195" s="342"/>
      <c r="G195" s="302"/>
      <c r="H195" s="302"/>
      <c r="I195" s="302"/>
      <c r="J195" s="302"/>
      <c r="K195" s="263"/>
      <c r="L195" s="302"/>
      <c r="M195" s="302"/>
      <c r="N195" s="302"/>
      <c r="O195" s="302"/>
      <c r="P195" s="302"/>
      <c r="Q195" s="302"/>
      <c r="R195" s="302"/>
      <c r="S195" s="302"/>
      <c r="T195" s="302"/>
      <c r="U195" s="302"/>
      <c r="V195" s="302"/>
      <c r="W195" s="304"/>
      <c r="X195" s="263"/>
      <c r="Y195" s="302"/>
      <c r="Z195" s="302"/>
      <c r="AA195" s="302"/>
      <c r="AB195" s="302"/>
      <c r="AC195" s="302"/>
      <c r="AD195" s="263"/>
      <c r="AE195" s="302"/>
      <c r="AF195" s="302"/>
      <c r="AG195" s="302"/>
      <c r="AH195" s="302"/>
      <c r="AI195" s="302"/>
      <c r="AJ195" s="302"/>
      <c r="AK195" s="302"/>
      <c r="AL195" s="302"/>
      <c r="AM195" s="302"/>
      <c r="AN195" s="302"/>
      <c r="AO195" s="302"/>
      <c r="AP195" s="302"/>
      <c r="AQ195" s="302"/>
      <c r="AR195" s="302"/>
      <c r="AS195" s="302"/>
      <c r="AT195" s="302"/>
      <c r="AU195" s="345"/>
      <c r="AV195" s="345"/>
      <c r="AW195" s="302"/>
      <c r="AX195" s="302"/>
      <c r="AY195" s="302"/>
      <c r="AZ195" s="302"/>
      <c r="BA195" s="302"/>
      <c r="BB195" s="302"/>
      <c r="BC195" s="302"/>
      <c r="BD195" s="302"/>
      <c r="BE195" s="351"/>
      <c r="BF195" s="351"/>
      <c r="BG195" s="351"/>
      <c r="BH195" s="302"/>
      <c r="BI195" s="351"/>
      <c r="BJ195" s="351"/>
      <c r="BK195" s="351"/>
      <c r="BL195" s="351"/>
      <c r="BM195" s="351"/>
      <c r="BN195" s="351"/>
      <c r="BO195" s="351"/>
      <c r="BP195" s="351"/>
    </row>
    <row r="196" spans="1:68" s="375" customFormat="1" x14ac:dyDescent="0.2">
      <c r="A196" s="367"/>
      <c r="B196" s="367"/>
      <c r="C196" s="315"/>
      <c r="D196" s="315"/>
      <c r="E196" s="411"/>
      <c r="F196" s="342"/>
      <c r="G196" s="302"/>
      <c r="H196" s="302"/>
      <c r="I196" s="302"/>
      <c r="J196" s="302"/>
      <c r="K196" s="263"/>
      <c r="L196" s="302"/>
      <c r="M196" s="302"/>
      <c r="N196" s="302"/>
      <c r="O196" s="302"/>
      <c r="P196" s="302"/>
      <c r="Q196" s="302"/>
      <c r="R196" s="302"/>
      <c r="S196" s="302"/>
      <c r="T196" s="302"/>
      <c r="U196" s="302"/>
      <c r="V196" s="302"/>
      <c r="W196" s="304"/>
      <c r="X196" s="263"/>
      <c r="Y196" s="302"/>
      <c r="Z196" s="302"/>
      <c r="AA196" s="302"/>
      <c r="AB196" s="302"/>
      <c r="AC196" s="302"/>
      <c r="AD196" s="263"/>
      <c r="AE196" s="302"/>
      <c r="AF196" s="302"/>
      <c r="AG196" s="302"/>
      <c r="AH196" s="302"/>
      <c r="AI196" s="302"/>
      <c r="AJ196" s="302"/>
      <c r="AK196" s="302"/>
      <c r="AL196" s="302"/>
      <c r="AM196" s="302"/>
      <c r="AN196" s="302"/>
      <c r="AO196" s="302"/>
      <c r="AP196" s="302"/>
      <c r="AQ196" s="302"/>
      <c r="AR196" s="302"/>
      <c r="AS196" s="302"/>
      <c r="AT196" s="302"/>
      <c r="AU196" s="345"/>
      <c r="AV196" s="345"/>
      <c r="AW196" s="302"/>
      <c r="AX196" s="302"/>
      <c r="AY196" s="302"/>
      <c r="AZ196" s="302"/>
      <c r="BA196" s="302"/>
      <c r="BB196" s="302"/>
      <c r="BC196" s="302"/>
      <c r="BD196" s="302"/>
      <c r="BE196" s="351"/>
      <c r="BF196" s="351"/>
      <c r="BG196" s="351"/>
      <c r="BH196" s="302"/>
      <c r="BI196" s="351"/>
      <c r="BJ196" s="351"/>
      <c r="BK196" s="351"/>
      <c r="BL196" s="351"/>
      <c r="BM196" s="351"/>
      <c r="BN196" s="351"/>
      <c r="BO196" s="351"/>
      <c r="BP196" s="351"/>
    </row>
    <row r="197" spans="1:68" s="375" customFormat="1" x14ac:dyDescent="0.2">
      <c r="A197" s="367"/>
      <c r="B197" s="367"/>
      <c r="C197" s="315"/>
      <c r="D197" s="315"/>
      <c r="E197" s="411"/>
      <c r="F197" s="342"/>
      <c r="G197" s="302"/>
      <c r="H197" s="302"/>
      <c r="I197" s="302"/>
      <c r="J197" s="302"/>
      <c r="K197" s="263"/>
      <c r="L197" s="302"/>
      <c r="M197" s="302"/>
      <c r="N197" s="302"/>
      <c r="O197" s="302"/>
      <c r="P197" s="302"/>
      <c r="Q197" s="302"/>
      <c r="R197" s="302"/>
      <c r="S197" s="302"/>
      <c r="T197" s="302"/>
      <c r="U197" s="302"/>
      <c r="V197" s="302"/>
      <c r="W197" s="304"/>
      <c r="X197" s="263"/>
      <c r="Y197" s="302"/>
      <c r="Z197" s="302"/>
      <c r="AA197" s="302"/>
      <c r="AB197" s="302"/>
      <c r="AC197" s="302"/>
      <c r="AD197" s="263"/>
      <c r="AE197" s="302"/>
      <c r="AF197" s="302"/>
      <c r="AG197" s="302"/>
      <c r="AH197" s="302"/>
      <c r="AI197" s="302"/>
      <c r="AJ197" s="302"/>
      <c r="AK197" s="302"/>
      <c r="AL197" s="302"/>
      <c r="AM197" s="302"/>
      <c r="AN197" s="302"/>
      <c r="AO197" s="302"/>
      <c r="AP197" s="302"/>
      <c r="AQ197" s="302"/>
      <c r="AR197" s="302"/>
      <c r="AS197" s="302"/>
      <c r="AT197" s="302"/>
      <c r="AU197" s="345"/>
      <c r="AV197" s="345"/>
      <c r="AW197" s="302"/>
      <c r="AX197" s="302"/>
      <c r="AY197" s="302"/>
      <c r="AZ197" s="302"/>
      <c r="BA197" s="302"/>
      <c r="BB197" s="302"/>
      <c r="BC197" s="302"/>
      <c r="BD197" s="302"/>
      <c r="BE197" s="351"/>
      <c r="BF197" s="351"/>
      <c r="BG197" s="351"/>
      <c r="BH197" s="302"/>
      <c r="BI197" s="351"/>
      <c r="BJ197" s="351"/>
      <c r="BK197" s="351"/>
      <c r="BL197" s="351"/>
      <c r="BM197" s="351"/>
      <c r="BN197" s="351"/>
      <c r="BO197" s="351"/>
      <c r="BP197" s="351"/>
    </row>
    <row r="198" spans="1:68" s="375" customFormat="1" x14ac:dyDescent="0.2">
      <c r="A198" s="367"/>
      <c r="B198" s="367"/>
      <c r="C198" s="315"/>
      <c r="D198" s="315"/>
      <c r="E198" s="411"/>
      <c r="F198" s="342"/>
      <c r="G198" s="302"/>
      <c r="H198" s="302"/>
      <c r="I198" s="302"/>
      <c r="J198" s="302"/>
      <c r="K198" s="263"/>
      <c r="L198" s="302"/>
      <c r="M198" s="302"/>
      <c r="N198" s="302"/>
      <c r="O198" s="302"/>
      <c r="P198" s="302"/>
      <c r="Q198" s="302"/>
      <c r="R198" s="302"/>
      <c r="S198" s="302"/>
      <c r="T198" s="302"/>
      <c r="U198" s="302"/>
      <c r="V198" s="302"/>
      <c r="W198" s="304"/>
      <c r="X198" s="263"/>
      <c r="Y198" s="302"/>
      <c r="Z198" s="302"/>
      <c r="AA198" s="302"/>
      <c r="AB198" s="302"/>
      <c r="AC198" s="302"/>
      <c r="AD198" s="263"/>
      <c r="AE198" s="302"/>
      <c r="AF198" s="302"/>
      <c r="AG198" s="302"/>
      <c r="AH198" s="302"/>
      <c r="AI198" s="302"/>
      <c r="AJ198" s="302"/>
      <c r="AK198" s="302"/>
      <c r="AL198" s="302"/>
      <c r="AM198" s="302"/>
      <c r="AN198" s="302"/>
      <c r="AO198" s="302"/>
      <c r="AP198" s="302"/>
      <c r="AQ198" s="302"/>
      <c r="AR198" s="302"/>
      <c r="AS198" s="302"/>
      <c r="AT198" s="302"/>
      <c r="AU198" s="345"/>
      <c r="AV198" s="345"/>
      <c r="AW198" s="302"/>
      <c r="AX198" s="302"/>
      <c r="AY198" s="302"/>
      <c r="AZ198" s="302"/>
      <c r="BA198" s="302"/>
      <c r="BB198" s="302"/>
      <c r="BC198" s="302"/>
      <c r="BD198" s="302"/>
      <c r="BE198" s="351"/>
      <c r="BF198" s="351"/>
      <c r="BG198" s="351"/>
      <c r="BH198" s="302"/>
      <c r="BI198" s="351"/>
      <c r="BJ198" s="351"/>
      <c r="BK198" s="351"/>
      <c r="BL198" s="351"/>
      <c r="BM198" s="351"/>
      <c r="BN198" s="351"/>
      <c r="BO198" s="351"/>
      <c r="BP198" s="351"/>
    </row>
    <row r="199" spans="1:68" s="277" customFormat="1" x14ac:dyDescent="0.2">
      <c r="A199" s="367"/>
      <c r="B199" s="367"/>
      <c r="C199" s="315"/>
      <c r="D199" s="315"/>
      <c r="E199" s="281"/>
      <c r="F199" s="342"/>
      <c r="G199" s="302"/>
      <c r="H199" s="302"/>
      <c r="I199" s="302"/>
      <c r="J199" s="302"/>
      <c r="K199" s="263"/>
      <c r="L199" s="302"/>
      <c r="M199" s="302"/>
      <c r="N199" s="302"/>
      <c r="O199" s="302"/>
      <c r="P199" s="302"/>
      <c r="Q199" s="302"/>
      <c r="R199" s="302"/>
      <c r="S199" s="302"/>
      <c r="T199" s="302"/>
      <c r="U199" s="302"/>
      <c r="V199" s="302"/>
      <c r="W199" s="304"/>
      <c r="X199" s="263"/>
      <c r="Y199" s="302"/>
      <c r="Z199" s="302"/>
      <c r="AA199" s="302"/>
      <c r="AB199" s="302"/>
      <c r="AC199" s="302"/>
      <c r="AD199" s="263"/>
      <c r="AE199" s="302"/>
      <c r="AF199" s="302"/>
      <c r="AG199" s="302"/>
      <c r="AH199" s="302"/>
      <c r="AI199" s="302"/>
      <c r="AJ199" s="302"/>
      <c r="AK199" s="302"/>
      <c r="AL199" s="302"/>
      <c r="AM199" s="302"/>
      <c r="AN199" s="302"/>
      <c r="AO199" s="302"/>
      <c r="AP199" s="302"/>
      <c r="AQ199" s="302"/>
      <c r="AR199" s="302"/>
      <c r="AS199" s="302"/>
      <c r="AT199" s="302"/>
      <c r="AU199" s="345"/>
      <c r="AV199" s="345"/>
      <c r="AW199" s="302"/>
      <c r="AX199" s="302"/>
      <c r="AY199" s="302"/>
      <c r="AZ199" s="302"/>
      <c r="BA199" s="302"/>
      <c r="BB199" s="302"/>
      <c r="BC199" s="302"/>
      <c r="BD199" s="302"/>
      <c r="BE199" s="351"/>
      <c r="BF199" s="351"/>
      <c r="BG199" s="351"/>
      <c r="BH199" s="302"/>
      <c r="BI199" s="302"/>
      <c r="BJ199" s="302"/>
      <c r="BK199" s="302"/>
      <c r="BL199" s="302"/>
      <c r="BM199" s="302"/>
      <c r="BN199" s="302"/>
      <c r="BO199" s="302"/>
      <c r="BP199" s="302"/>
    </row>
    <row r="200" spans="1:68" x14ac:dyDescent="0.2">
      <c r="BI200" s="410"/>
      <c r="BJ200" s="229"/>
      <c r="BK200" s="229"/>
      <c r="BL200" s="229"/>
      <c r="BM200" s="229"/>
      <c r="BN200" s="229"/>
      <c r="BO200" s="229"/>
      <c r="BP200" s="410"/>
    </row>
  </sheetData>
  <autoFilter ref="A4:BH104" xr:uid="{00000000-0009-0000-0000-000001000000}"/>
  <mergeCells count="66">
    <mergeCell ref="E3:E4"/>
    <mergeCell ref="D3:D4"/>
    <mergeCell ref="A2:J2"/>
    <mergeCell ref="J3:J4"/>
    <mergeCell ref="C3:C4"/>
    <mergeCell ref="BH2:BH4"/>
    <mergeCell ref="AD1:BH1"/>
    <mergeCell ref="BG3:BG4"/>
    <mergeCell ref="BF3:BF4"/>
    <mergeCell ref="AG3:AJ3"/>
    <mergeCell ref="AM3:AM4"/>
    <mergeCell ref="AW3:AZ3"/>
    <mergeCell ref="BC3:BC4"/>
    <mergeCell ref="AD2:AD4"/>
    <mergeCell ref="BE3:BE4"/>
    <mergeCell ref="BD3:BD4"/>
    <mergeCell ref="AN3:AN4"/>
    <mergeCell ref="AC2:AC4"/>
    <mergeCell ref="W3:W4"/>
    <mergeCell ref="AA2:AA4"/>
    <mergeCell ref="AO3:AR3"/>
    <mergeCell ref="X1:AC1"/>
    <mergeCell ref="X2:X4"/>
    <mergeCell ref="Z2:Z4"/>
    <mergeCell ref="Y2:Y4"/>
    <mergeCell ref="AB2:AB4"/>
    <mergeCell ref="F3:F4"/>
    <mergeCell ref="G3:G4"/>
    <mergeCell ref="H3:H4"/>
    <mergeCell ref="I3:I4"/>
    <mergeCell ref="V3:V4"/>
    <mergeCell ref="U3:U4"/>
    <mergeCell ref="BI5:BI14"/>
    <mergeCell ref="BI16:BI27"/>
    <mergeCell ref="A1:J1"/>
    <mergeCell ref="K1:T1"/>
    <mergeCell ref="AG2:AN2"/>
    <mergeCell ref="AO2:AV2"/>
    <mergeCell ref="AW2:BE2"/>
    <mergeCell ref="AE2:AE4"/>
    <mergeCell ref="AU3:AU4"/>
    <mergeCell ref="AV3:AV4"/>
    <mergeCell ref="O3:O4"/>
    <mergeCell ref="P3:Q3"/>
    <mergeCell ref="AF2:AF4"/>
    <mergeCell ref="A3:A4"/>
    <mergeCell ref="B3:B4"/>
    <mergeCell ref="BI1:BI4"/>
    <mergeCell ref="BQ1:BQ2"/>
    <mergeCell ref="BJ1:BP2"/>
    <mergeCell ref="BJ3:BJ4"/>
    <mergeCell ref="BK3:BK4"/>
    <mergeCell ref="BL3:BL4"/>
    <mergeCell ref="BM3:BM4"/>
    <mergeCell ref="BN3:BN4"/>
    <mergeCell ref="BO3:BO4"/>
    <mergeCell ref="BP3:BP4"/>
    <mergeCell ref="K2:O2"/>
    <mergeCell ref="P2:T2"/>
    <mergeCell ref="K3:K4"/>
    <mergeCell ref="L3:L4"/>
    <mergeCell ref="T3:T4"/>
    <mergeCell ref="S3:S4"/>
    <mergeCell ref="M3:M4"/>
    <mergeCell ref="N3:N4"/>
    <mergeCell ref="R3:R4"/>
  </mergeCells>
  <phoneticPr fontId="11" type="noConversion"/>
  <conditionalFormatting sqref="AN29:AN3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0:AN48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2:AN7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2:AN8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40:BD4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9:BD3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9:AV3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0:AV4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62:AV7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72:AV8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62:BD7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72:BD8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6:BG21 BE24:BG2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9:BG3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0:BG4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62:BG6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72:BG8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2:BG2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6:BG2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83:AN9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83:BD9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83:AV9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83:BG9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51:AN5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1:AV6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51:BD6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51:BG6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4:AN10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94:BG10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94:BD104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94:AV104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05:AN11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05:BG1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05:BD11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05:AV1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16:AN12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16:BG1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16:BD12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16:AV123 AV126:AV12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24:AV1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5:BG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37:AV139 AV129:AV1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35:AV1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29:AN137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29:BG137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29:BD139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48:AV150 AV140:AV1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46:AV14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40:AN14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40:BG14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40:BD15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:AV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5:AN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5:BE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6:AV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6:B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6:AN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showInputMessage="1" showErrorMessage="1" xr:uid="{00000000-0002-0000-0100-000000000000}">
          <x14:formula1>
            <xm:f>Mtl_values!$C$5:$C$46</xm:f>
          </x14:formula1>
          <xm:sqref>C15:C1048576</xm:sqref>
        </x14:dataValidation>
        <x14:dataValidation type="list" showInputMessage="1" showErrorMessage="1" xr:uid="{00000000-0002-0000-0100-000002000000}">
          <x14:formula1>
            <xm:f>Mtl_values!$F$5:$F$8</xm:f>
          </x14:formula1>
          <xm:sqref>F15:F1048576</xm:sqref>
        </x14:dataValidation>
        <x14:dataValidation type="list" allowBlank="1" showInputMessage="1" showErrorMessage="1" xr:uid="{00000000-0002-0000-0100-000001000000}">
          <x14:formula1>
            <xm:f>Mtl_values!$E$5:$E$12</xm:f>
          </x14:formula1>
          <xm:sqref>E15:E1048576</xm:sqref>
        </x14:dataValidation>
        <x14:dataValidation type="list" allowBlank="1" showInputMessage="1" showErrorMessage="1" xr:uid="{319A1C35-625C-4A40-A309-42E4F4CE7E50}">
          <x14:formula1>
            <xm:f>Mtl_values!$D$5:$D$7</xm:f>
          </x14:formula1>
          <xm:sqref>D15:D1048576</xm:sqref>
        </x14:dataValidation>
        <x14:dataValidation type="list" showInputMessage="1" showErrorMessage="1" xr:uid="{41966D89-5ECC-46E2-84A1-CF78203C5DCD}">
          <x14:formula1>
            <xm:f>Mtl_values!$I$5:$I$6</xm:f>
          </x14:formula1>
          <xm:sqref>I15:I1048576</xm:sqref>
        </x14:dataValidation>
        <x14:dataValidation type="list" showInputMessage="1" showErrorMessage="1" xr:uid="{5C6F812A-7CED-41BE-8A5D-4FC77E782849}">
          <x14:formula1>
            <xm:f>Mtl_values!$M$5:$M$7</xm:f>
          </x14:formula1>
          <xm:sqref>M15:M1048576</xm:sqref>
        </x14:dataValidation>
        <x14:dataValidation type="list" allowBlank="1" showInputMessage="1" showErrorMessage="1" xr:uid="{E3542893-DEE2-4C94-A287-CB57B05528D5}">
          <x14:formula1>
            <xm:f>Mtl_values!$N$5:$N$8</xm:f>
          </x14:formula1>
          <xm:sqref>N15:N1048576</xm:sqref>
        </x14:dataValidation>
        <x14:dataValidation type="list" allowBlank="1" showInputMessage="1" showErrorMessage="1" xr:uid="{A869491D-F5DF-4620-95C8-77BB9C521CF8}">
          <x14:formula1>
            <xm:f>Mtl_values!$U$5</xm:f>
          </x14:formula1>
          <xm:sqref>AA15:AA1048576 U15:U1048576</xm:sqref>
        </x14:dataValidation>
        <x14:dataValidation type="list" allowBlank="1" showInputMessage="1" showErrorMessage="1" xr:uid="{70ADDE14-D25F-4F4E-8C3C-21A5C05BE682}">
          <x14:formula1>
            <xm:f>Mtl_values!$AZ$5</xm:f>
          </x14:formula1>
          <xm:sqref>BF5:BF1048576</xm:sqref>
        </x14:dataValidation>
        <x14:dataValidation type="list" allowBlank="1" showInputMessage="1" showErrorMessage="1" xr:uid="{243FB5EB-47EE-4D7D-917D-87554006D65C}">
          <x14:formula1>
            <xm:f>Mtl_values!$AB$5:$AB$6</xm:f>
          </x14:formula1>
          <xm:sqref>AB15:AB1048576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XEQ47"/>
  <sheetViews>
    <sheetView showGridLines="0" topLeftCell="BC1" zoomScale="80" zoomScaleNormal="80" workbookViewId="0">
      <selection activeCell="BE18" sqref="BE17:BE18"/>
    </sheetView>
  </sheetViews>
  <sheetFormatPr baseColWidth="10" defaultColWidth="8.6640625" defaultRowHeight="13" x14ac:dyDescent="0.15"/>
  <cols>
    <col min="1" max="1" width="15.6640625" style="152" customWidth="1"/>
    <col min="2" max="2" width="29.33203125" style="152" customWidth="1"/>
    <col min="3" max="3" width="18.5" style="152" customWidth="1"/>
    <col min="4" max="4" width="21" style="152" bestFit="1" customWidth="1"/>
    <col min="5" max="5" width="11" style="152" customWidth="1"/>
    <col min="6" max="6" width="13.1640625" style="1" bestFit="1" customWidth="1"/>
    <col min="7" max="7" width="11.33203125" style="1" bestFit="1" customWidth="1"/>
    <col min="8" max="8" width="11.33203125" style="1" customWidth="1"/>
    <col min="9" max="9" width="14.1640625" style="1" bestFit="1" customWidth="1"/>
    <col min="10" max="10" width="16.1640625" style="1" bestFit="1" customWidth="1"/>
    <col min="11" max="11" width="11.33203125" style="1" customWidth="1"/>
    <col min="12" max="12" width="16" style="1" bestFit="1" customWidth="1"/>
    <col min="13" max="13" width="11.33203125" style="1" customWidth="1"/>
    <col min="14" max="14" width="16.6640625" style="1" customWidth="1"/>
    <col min="15" max="15" width="18" style="1" bestFit="1" customWidth="1"/>
    <col min="16" max="16" width="11" style="152" bestFit="1" customWidth="1"/>
    <col min="17" max="17" width="15.83203125" style="1" customWidth="1"/>
    <col min="18" max="18" width="15.6640625" style="1" customWidth="1"/>
    <col min="19" max="19" width="11.6640625" style="1" bestFit="1" customWidth="1"/>
    <col min="20" max="20" width="11.33203125" style="1" bestFit="1" customWidth="1"/>
    <col min="21" max="21" width="13.33203125" style="1" customWidth="1"/>
    <col min="22" max="22" width="12.33203125" style="1" customWidth="1"/>
    <col min="23" max="23" width="13.5" style="1" customWidth="1"/>
    <col min="24" max="24" width="13.33203125" style="1" customWidth="1"/>
    <col min="25" max="25" width="13.5" style="1" bestFit="1" customWidth="1"/>
    <col min="26" max="26" width="9.6640625" style="1" customWidth="1"/>
    <col min="27" max="27" width="26.1640625" style="152" bestFit="1" customWidth="1"/>
    <col min="28" max="28" width="16.6640625" style="1" customWidth="1"/>
    <col min="29" max="29" width="18.1640625" style="1" customWidth="1"/>
    <col min="30" max="30" width="17.6640625" style="152" bestFit="1" customWidth="1"/>
    <col min="31" max="31" width="17.6640625" style="1" customWidth="1"/>
    <col min="32" max="35" width="16.83203125" style="1" customWidth="1"/>
    <col min="36" max="38" width="8.33203125" style="1" bestFit="1" customWidth="1"/>
    <col min="39" max="39" width="11.83203125" style="1" bestFit="1" customWidth="1"/>
    <col min="40" max="40" width="14.6640625" style="1" customWidth="1"/>
    <col min="41" max="41" width="10.6640625" style="1" bestFit="1" customWidth="1"/>
    <col min="42" max="44" width="8.33203125" style="1" bestFit="1" customWidth="1"/>
    <col min="45" max="45" width="11.83203125" style="1" bestFit="1" customWidth="1"/>
    <col min="46" max="46" width="13" style="29" customWidth="1"/>
    <col min="47" max="47" width="15.33203125" style="29" customWidth="1"/>
    <col min="48" max="50" width="8.33203125" style="1" bestFit="1" customWidth="1"/>
    <col min="51" max="51" width="11.83203125" style="1" bestFit="1" customWidth="1"/>
    <col min="52" max="52" width="19.33203125" style="1" customWidth="1"/>
    <col min="53" max="53" width="19.1640625" style="1" customWidth="1"/>
    <col min="54" max="54" width="20.33203125" style="144" bestFit="1" customWidth="1"/>
    <col min="55" max="56" width="20.33203125" style="144" customWidth="1"/>
    <col min="57" max="57" width="114.83203125" style="1" customWidth="1"/>
    <col min="58" max="58" width="20.33203125" style="2" customWidth="1"/>
    <col min="59" max="64" width="8.6640625" style="147"/>
    <col min="65" max="65" width="8.6640625" style="169"/>
    <col min="66" max="66" width="8.6640625" style="175"/>
    <col min="67" max="16339" width="8.6640625" style="172"/>
    <col min="16340" max="16362" width="8.6640625" style="172" bestFit="1" customWidth="1"/>
    <col min="16363" max="16384" width="8.6640625" style="172"/>
  </cols>
  <sheetData>
    <row r="1" spans="1:65 16365:16371" s="2" customFormat="1" ht="14.5" customHeight="1" x14ac:dyDescent="0.15">
      <c r="A1" s="505"/>
      <c r="B1" s="505"/>
      <c r="C1" s="505"/>
      <c r="D1" s="505"/>
      <c r="E1" s="505"/>
      <c r="F1" s="505"/>
      <c r="G1" s="505"/>
      <c r="H1" s="505"/>
      <c r="I1" s="505"/>
      <c r="J1" s="506"/>
      <c r="K1" s="507" t="s">
        <v>13</v>
      </c>
      <c r="L1" s="507"/>
      <c r="M1" s="507"/>
      <c r="N1" s="507"/>
      <c r="O1" s="507"/>
      <c r="P1" s="507"/>
      <c r="Q1" s="507"/>
      <c r="R1" s="507"/>
      <c r="S1" s="507"/>
      <c r="T1" s="507"/>
      <c r="U1" s="224"/>
      <c r="V1" s="224"/>
      <c r="W1" s="224"/>
      <c r="X1" s="236" t="s">
        <v>343</v>
      </c>
      <c r="Y1" s="236"/>
      <c r="Z1" s="236"/>
      <c r="AA1" s="236"/>
      <c r="AB1" s="236"/>
      <c r="AC1" s="236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225" t="s">
        <v>345</v>
      </c>
      <c r="AT1" s="225"/>
      <c r="AU1" s="225"/>
      <c r="AV1" s="225"/>
      <c r="AW1" s="225"/>
      <c r="AX1" s="225"/>
      <c r="AY1" s="226"/>
      <c r="AZ1" s="168"/>
      <c r="BA1" s="168"/>
      <c r="BB1" s="531" t="s">
        <v>356</v>
      </c>
      <c r="BC1" s="490" t="s">
        <v>182</v>
      </c>
      <c r="BD1" s="492" t="s">
        <v>206</v>
      </c>
      <c r="BE1" s="493"/>
      <c r="BF1" s="493"/>
      <c r="BG1" s="493"/>
      <c r="BH1" s="493"/>
      <c r="BI1" s="493"/>
      <c r="BJ1" s="494"/>
      <c r="BK1" s="237"/>
      <c r="XEK1" s="528"/>
      <c r="XEL1" s="529"/>
      <c r="XEM1" s="529"/>
      <c r="XEN1" s="529"/>
      <c r="XEO1" s="529"/>
      <c r="XEP1" s="529"/>
      <c r="XEQ1" s="529"/>
    </row>
    <row r="2" spans="1:65 16365:16371" s="3" customFormat="1" ht="14.5" customHeight="1" x14ac:dyDescent="0.2">
      <c r="A2" s="526"/>
      <c r="B2" s="526"/>
      <c r="C2" s="526"/>
      <c r="D2" s="526"/>
      <c r="E2" s="526"/>
      <c r="F2" s="526"/>
      <c r="G2" s="526"/>
      <c r="H2" s="526"/>
      <c r="I2" s="526"/>
      <c r="J2" s="527"/>
      <c r="K2" s="439" t="s">
        <v>16</v>
      </c>
      <c r="L2" s="439"/>
      <c r="M2" s="439"/>
      <c r="N2" s="439"/>
      <c r="O2" s="439"/>
      <c r="P2" s="439" t="s">
        <v>17</v>
      </c>
      <c r="Q2" s="439"/>
      <c r="R2" s="439"/>
      <c r="S2" s="439"/>
      <c r="T2" s="439"/>
      <c r="U2" s="221"/>
      <c r="V2" s="221"/>
      <c r="W2" s="221"/>
      <c r="X2" s="487" t="s">
        <v>351</v>
      </c>
      <c r="Y2" s="474" t="s">
        <v>183</v>
      </c>
      <c r="Z2" s="474" t="s">
        <v>338</v>
      </c>
      <c r="AA2" s="474" t="s">
        <v>341</v>
      </c>
      <c r="AB2" s="474" t="s">
        <v>340</v>
      </c>
      <c r="AC2" s="474" t="s">
        <v>354</v>
      </c>
      <c r="AD2" s="487" t="s">
        <v>355</v>
      </c>
      <c r="AE2" s="474" t="s">
        <v>184</v>
      </c>
      <c r="AF2" s="474" t="s">
        <v>339</v>
      </c>
      <c r="AG2" s="439" t="s">
        <v>21</v>
      </c>
      <c r="AH2" s="439"/>
      <c r="AI2" s="439"/>
      <c r="AJ2" s="439"/>
      <c r="AK2" s="439"/>
      <c r="AL2" s="439"/>
      <c r="AM2" s="439" t="s">
        <v>22</v>
      </c>
      <c r="AN2" s="439"/>
      <c r="AO2" s="439"/>
      <c r="AP2" s="439"/>
      <c r="AQ2" s="439"/>
      <c r="AR2" s="439"/>
      <c r="AS2" s="439" t="s">
        <v>23</v>
      </c>
      <c r="AT2" s="439"/>
      <c r="AU2" s="439"/>
      <c r="AV2" s="439"/>
      <c r="AW2" s="439"/>
      <c r="AX2" s="439"/>
      <c r="AY2" s="508"/>
      <c r="AZ2" s="171"/>
      <c r="BA2" s="223"/>
      <c r="BB2" s="532"/>
      <c r="BC2" s="490"/>
      <c r="BD2" s="495"/>
      <c r="BE2" s="496"/>
      <c r="BF2" s="496"/>
      <c r="BG2" s="496"/>
      <c r="BH2" s="496"/>
      <c r="BI2" s="496"/>
      <c r="BJ2" s="497"/>
      <c r="BK2" s="238"/>
      <c r="XEK2" s="529"/>
      <c r="XEL2" s="529"/>
      <c r="XEM2" s="529"/>
      <c r="XEN2" s="529"/>
      <c r="XEO2" s="529"/>
      <c r="XEP2" s="529"/>
      <c r="XEQ2" s="529"/>
    </row>
    <row r="3" spans="1:65 16365:16371" s="3" customFormat="1" ht="15" customHeight="1" x14ac:dyDescent="0.2">
      <c r="A3" s="510" t="s">
        <v>322</v>
      </c>
      <c r="B3" s="510" t="s">
        <v>323</v>
      </c>
      <c r="C3" s="511" t="s">
        <v>321</v>
      </c>
      <c r="D3" s="525" t="s">
        <v>215</v>
      </c>
      <c r="E3" s="525" t="s">
        <v>185</v>
      </c>
      <c r="F3" s="511" t="s">
        <v>204</v>
      </c>
      <c r="G3" s="474" t="s">
        <v>205</v>
      </c>
      <c r="H3" s="474" t="s">
        <v>349</v>
      </c>
      <c r="I3" s="474" t="s">
        <v>350</v>
      </c>
      <c r="J3" s="439" t="s">
        <v>334</v>
      </c>
      <c r="K3" s="487" t="s">
        <v>216</v>
      </c>
      <c r="L3" s="474" t="s">
        <v>37</v>
      </c>
      <c r="M3" s="474" t="s">
        <v>347</v>
      </c>
      <c r="N3" s="474" t="s">
        <v>348</v>
      </c>
      <c r="O3" s="439" t="s">
        <v>346</v>
      </c>
      <c r="P3" s="439" t="s">
        <v>40</v>
      </c>
      <c r="Q3" s="439"/>
      <c r="R3" s="439" t="s">
        <v>186</v>
      </c>
      <c r="S3" s="439" t="s">
        <v>217</v>
      </c>
      <c r="T3" s="439" t="s">
        <v>41</v>
      </c>
      <c r="U3" s="474" t="s">
        <v>352</v>
      </c>
      <c r="V3" s="474" t="s">
        <v>353</v>
      </c>
      <c r="W3" s="487" t="s">
        <v>324</v>
      </c>
      <c r="X3" s="487"/>
      <c r="Y3" s="509"/>
      <c r="Z3" s="509"/>
      <c r="AA3" s="513"/>
      <c r="AB3" s="513"/>
      <c r="AC3" s="513"/>
      <c r="AD3" s="487"/>
      <c r="AE3" s="509"/>
      <c r="AF3" s="509"/>
      <c r="AG3" s="439" t="s">
        <v>8</v>
      </c>
      <c r="AH3" s="439"/>
      <c r="AI3" s="439"/>
      <c r="AJ3" s="439"/>
      <c r="AK3" s="439" t="s">
        <v>187</v>
      </c>
      <c r="AL3" s="439" t="s">
        <v>43</v>
      </c>
      <c r="AM3" s="439" t="s">
        <v>8</v>
      </c>
      <c r="AN3" s="439"/>
      <c r="AO3" s="439"/>
      <c r="AP3" s="439"/>
      <c r="AQ3" s="439" t="s">
        <v>187</v>
      </c>
      <c r="AR3" s="439" t="s">
        <v>45</v>
      </c>
      <c r="AS3" s="439" t="s">
        <v>8</v>
      </c>
      <c r="AT3" s="439"/>
      <c r="AU3" s="439"/>
      <c r="AV3" s="439"/>
      <c r="AW3" s="524" t="s">
        <v>44</v>
      </c>
      <c r="AX3" s="524" t="s">
        <v>45</v>
      </c>
      <c r="AY3" s="508" t="s">
        <v>46</v>
      </c>
      <c r="AZ3" s="474" t="s">
        <v>342</v>
      </c>
      <c r="BA3" s="523" t="s">
        <v>214</v>
      </c>
      <c r="BB3" s="532"/>
      <c r="BC3" s="490"/>
      <c r="BD3" s="474" t="s">
        <v>207</v>
      </c>
      <c r="BE3" s="474" t="s">
        <v>208</v>
      </c>
      <c r="BF3" s="474" t="s">
        <v>209</v>
      </c>
      <c r="BG3" s="474" t="s">
        <v>210</v>
      </c>
      <c r="BH3" s="474" t="s">
        <v>211</v>
      </c>
      <c r="BI3" s="474" t="s">
        <v>212</v>
      </c>
      <c r="BJ3" s="498" t="s">
        <v>213</v>
      </c>
      <c r="BK3" s="238"/>
    </row>
    <row r="4" spans="1:65 16365:16371" s="3" customFormat="1" ht="39.5" customHeight="1" x14ac:dyDescent="0.2">
      <c r="A4" s="500"/>
      <c r="B4" s="500"/>
      <c r="C4" s="512"/>
      <c r="D4" s="525"/>
      <c r="E4" s="525"/>
      <c r="F4" s="512"/>
      <c r="G4" s="500"/>
      <c r="H4" s="500"/>
      <c r="I4" s="500"/>
      <c r="J4" s="439"/>
      <c r="K4" s="487"/>
      <c r="L4" s="488"/>
      <c r="M4" s="489"/>
      <c r="N4" s="489"/>
      <c r="O4" s="439"/>
      <c r="P4" s="222" t="s">
        <v>48</v>
      </c>
      <c r="Q4" s="222" t="s">
        <v>336</v>
      </c>
      <c r="R4" s="439"/>
      <c r="S4" s="439"/>
      <c r="T4" s="439"/>
      <c r="U4" s="500"/>
      <c r="V4" s="500"/>
      <c r="W4" s="487"/>
      <c r="X4" s="487"/>
      <c r="Y4" s="488"/>
      <c r="Z4" s="488"/>
      <c r="AA4" s="500"/>
      <c r="AB4" s="500"/>
      <c r="AC4" s="500"/>
      <c r="AD4" s="487"/>
      <c r="AE4" s="488"/>
      <c r="AF4" s="488"/>
      <c r="AG4" s="222">
        <v>1</v>
      </c>
      <c r="AH4" s="222">
        <v>2</v>
      </c>
      <c r="AI4" s="222">
        <v>3</v>
      </c>
      <c r="AJ4" s="222" t="s">
        <v>52</v>
      </c>
      <c r="AK4" s="439"/>
      <c r="AL4" s="439"/>
      <c r="AM4" s="222">
        <v>1</v>
      </c>
      <c r="AN4" s="222">
        <v>2</v>
      </c>
      <c r="AO4" s="222">
        <v>3</v>
      </c>
      <c r="AP4" s="222" t="s">
        <v>53</v>
      </c>
      <c r="AQ4" s="439"/>
      <c r="AR4" s="439"/>
      <c r="AS4" s="222">
        <v>1</v>
      </c>
      <c r="AT4" s="222">
        <v>2</v>
      </c>
      <c r="AU4" s="222">
        <v>3</v>
      </c>
      <c r="AV4" s="222" t="s">
        <v>53</v>
      </c>
      <c r="AW4" s="524"/>
      <c r="AX4" s="524"/>
      <c r="AY4" s="508"/>
      <c r="AZ4" s="500"/>
      <c r="BA4" s="489"/>
      <c r="BB4" s="533"/>
      <c r="BC4" s="490"/>
      <c r="BD4" s="489"/>
      <c r="BE4" s="489"/>
      <c r="BF4" s="489"/>
      <c r="BG4" s="489"/>
      <c r="BH4" s="489"/>
      <c r="BI4" s="489"/>
      <c r="BJ4" s="499"/>
      <c r="BK4" s="238"/>
    </row>
    <row r="5" spans="1:65 16365:16371" s="170" customFormat="1" ht="15" x14ac:dyDescent="0.15">
      <c r="A5" s="239"/>
      <c r="B5" s="240"/>
      <c r="C5" s="231" t="s">
        <v>268</v>
      </c>
      <c r="D5" s="212" t="s">
        <v>264</v>
      </c>
      <c r="E5" s="231" t="s">
        <v>267</v>
      </c>
      <c r="F5" s="212" t="s">
        <v>269</v>
      </c>
      <c r="H5" s="215"/>
      <c r="I5" s="241" t="s">
        <v>318</v>
      </c>
      <c r="J5" s="242" t="s">
        <v>335</v>
      </c>
      <c r="L5" s="242">
        <v>50</v>
      </c>
      <c r="M5" s="242" t="s">
        <v>330</v>
      </c>
      <c r="N5" s="242" t="s">
        <v>329</v>
      </c>
      <c r="O5" s="242" t="s">
        <v>363</v>
      </c>
      <c r="P5" s="243"/>
      <c r="S5" s="242"/>
      <c r="T5" s="242"/>
      <c r="U5" s="242" t="s">
        <v>337</v>
      </c>
      <c r="V5" s="242"/>
      <c r="W5" s="242" t="s">
        <v>357</v>
      </c>
      <c r="Y5" s="242">
        <v>50</v>
      </c>
      <c r="Z5" s="242"/>
      <c r="AA5" s="242" t="s">
        <v>337</v>
      </c>
      <c r="AB5" s="242" t="s">
        <v>361</v>
      </c>
      <c r="AC5" s="242"/>
      <c r="AD5" s="243"/>
      <c r="AE5" s="244">
        <v>5</v>
      </c>
      <c r="AF5" s="242"/>
      <c r="AG5" s="242"/>
      <c r="AI5" s="242"/>
      <c r="AJ5" s="245"/>
      <c r="AK5" s="245"/>
      <c r="AL5" s="245"/>
      <c r="AM5" s="245"/>
      <c r="AN5" s="246"/>
      <c r="AO5" s="247"/>
      <c r="AP5" s="245"/>
      <c r="AQ5" s="245"/>
      <c r="AR5" s="245"/>
      <c r="AS5" s="245"/>
      <c r="AT5" s="248"/>
      <c r="AU5" s="248"/>
      <c r="AV5" s="245"/>
      <c r="AW5" s="245"/>
      <c r="AX5" s="245"/>
      <c r="AY5" s="245"/>
      <c r="AZ5" s="242" t="s">
        <v>337</v>
      </c>
      <c r="BA5" s="249"/>
      <c r="BB5" s="248"/>
      <c r="BC5" s="248"/>
      <c r="BD5" s="248"/>
      <c r="BE5" s="242"/>
      <c r="BF5" s="530"/>
    </row>
    <row r="6" spans="1:65 16365:16371" s="170" customFormat="1" ht="15" x14ac:dyDescent="0.15">
      <c r="A6" s="239"/>
      <c r="B6" s="243"/>
      <c r="C6" s="231" t="s">
        <v>278</v>
      </c>
      <c r="D6" s="212" t="s">
        <v>265</v>
      </c>
      <c r="E6" s="231" t="s">
        <v>272</v>
      </c>
      <c r="F6" s="212" t="s">
        <v>270</v>
      </c>
      <c r="H6" s="215"/>
      <c r="I6" s="241" t="s">
        <v>319</v>
      </c>
      <c r="K6" s="242"/>
      <c r="L6" s="242">
        <v>100</v>
      </c>
      <c r="M6" s="242" t="s">
        <v>331</v>
      </c>
      <c r="N6" s="242" t="s">
        <v>327</v>
      </c>
      <c r="O6" s="242"/>
      <c r="P6" s="243"/>
      <c r="R6" s="242"/>
      <c r="S6" s="250"/>
      <c r="T6" s="242"/>
      <c r="U6" s="242"/>
      <c r="V6" s="242"/>
      <c r="W6" s="242"/>
      <c r="Y6" s="242"/>
      <c r="Z6" s="242"/>
      <c r="AA6" s="243"/>
      <c r="AB6" s="242" t="s">
        <v>362</v>
      </c>
      <c r="AC6" s="242"/>
      <c r="AD6" s="243"/>
      <c r="AE6" s="244"/>
      <c r="AF6" s="242"/>
      <c r="AG6" s="242"/>
      <c r="AI6" s="242"/>
      <c r="AJ6" s="245"/>
      <c r="AK6" s="245"/>
      <c r="AL6" s="245"/>
      <c r="AM6" s="245"/>
      <c r="AN6" s="246"/>
      <c r="AO6" s="247"/>
      <c r="AP6" s="245"/>
      <c r="AQ6" s="245"/>
      <c r="AR6" s="245"/>
      <c r="AS6" s="245"/>
      <c r="AT6" s="248"/>
      <c r="AU6" s="248"/>
      <c r="AV6" s="245"/>
      <c r="AW6" s="245"/>
      <c r="AX6" s="245"/>
      <c r="AY6" s="245"/>
      <c r="AZ6" s="249"/>
      <c r="BA6" s="249"/>
      <c r="BB6" s="248"/>
      <c r="BC6" s="248"/>
      <c r="BD6" s="248"/>
      <c r="BE6" s="242"/>
      <c r="BF6" s="530"/>
    </row>
    <row r="7" spans="1:65 16365:16371" s="170" customFormat="1" ht="15" x14ac:dyDescent="0.15">
      <c r="A7" s="239"/>
      <c r="B7" s="243"/>
      <c r="C7" s="231" t="s">
        <v>276</v>
      </c>
      <c r="D7" s="212" t="s">
        <v>266</v>
      </c>
      <c r="E7" s="231" t="s">
        <v>273</v>
      </c>
      <c r="F7" s="212" t="s">
        <v>271</v>
      </c>
      <c r="H7" s="215"/>
      <c r="K7" s="242"/>
      <c r="L7" s="242"/>
      <c r="M7" s="242" t="s">
        <v>332</v>
      </c>
      <c r="N7" s="242" t="s">
        <v>328</v>
      </c>
      <c r="O7" s="242"/>
      <c r="P7" s="243"/>
      <c r="Q7" s="242"/>
      <c r="R7" s="242"/>
      <c r="S7" s="250"/>
      <c r="T7" s="242"/>
      <c r="U7" s="242"/>
      <c r="V7" s="242"/>
      <c r="W7" s="242"/>
      <c r="X7" s="242"/>
      <c r="Y7" s="242"/>
      <c r="Z7" s="242"/>
      <c r="AA7" s="243"/>
      <c r="AB7" s="242"/>
      <c r="AC7" s="242"/>
      <c r="AD7" s="243"/>
      <c r="AE7" s="244"/>
      <c r="AF7" s="242"/>
      <c r="AG7" s="242"/>
      <c r="AH7" s="242"/>
      <c r="AI7" s="242"/>
      <c r="AJ7" s="245"/>
      <c r="AK7" s="245"/>
      <c r="AL7" s="245"/>
      <c r="AM7" s="245"/>
      <c r="AN7" s="246"/>
      <c r="AO7" s="247"/>
      <c r="AP7" s="245"/>
      <c r="AQ7" s="245"/>
      <c r="AR7" s="245"/>
      <c r="AS7" s="245"/>
      <c r="AT7" s="248"/>
      <c r="AU7" s="248"/>
      <c r="AV7" s="245"/>
      <c r="AW7" s="245"/>
      <c r="AX7" s="245"/>
      <c r="AY7" s="245"/>
      <c r="AZ7" s="249"/>
      <c r="BA7" s="249"/>
      <c r="BB7" s="248"/>
      <c r="BC7" s="248"/>
      <c r="BD7" s="248"/>
      <c r="BE7" s="242"/>
      <c r="BF7" s="530"/>
    </row>
    <row r="8" spans="1:65 16365:16371" s="170" customFormat="1" ht="14" x14ac:dyDescent="0.15">
      <c r="A8" s="239"/>
      <c r="B8" s="243"/>
      <c r="C8" s="231" t="s">
        <v>277</v>
      </c>
      <c r="E8" s="231" t="s">
        <v>320</v>
      </c>
      <c r="F8" s="214" t="s">
        <v>282</v>
      </c>
      <c r="H8" s="216"/>
      <c r="I8" s="242"/>
      <c r="K8" s="242"/>
      <c r="L8" s="242"/>
      <c r="M8" s="242"/>
      <c r="N8" s="242" t="s">
        <v>333</v>
      </c>
      <c r="O8" s="242"/>
      <c r="P8" s="243"/>
      <c r="Q8" s="242"/>
      <c r="R8" s="242"/>
      <c r="S8" s="250"/>
      <c r="T8" s="242"/>
      <c r="U8" s="242"/>
      <c r="V8" s="242"/>
      <c r="W8" s="242"/>
      <c r="X8" s="242"/>
      <c r="Y8" s="242"/>
      <c r="Z8" s="242"/>
      <c r="AA8" s="243"/>
      <c r="AB8" s="242"/>
      <c r="AC8" s="242"/>
      <c r="AD8" s="243"/>
      <c r="AE8" s="244"/>
      <c r="AF8" s="242"/>
      <c r="AG8" s="242"/>
      <c r="AH8" s="242"/>
      <c r="AI8" s="242"/>
      <c r="AJ8" s="245"/>
      <c r="AK8" s="245"/>
      <c r="AL8" s="245"/>
      <c r="AM8" s="245"/>
      <c r="AN8" s="246"/>
      <c r="AO8" s="247"/>
      <c r="AP8" s="245"/>
      <c r="AQ8" s="245"/>
      <c r="AR8" s="245"/>
      <c r="AS8" s="245"/>
      <c r="AT8" s="248"/>
      <c r="AU8" s="248"/>
      <c r="AV8" s="245"/>
      <c r="AW8" s="245"/>
      <c r="AX8" s="245"/>
      <c r="AY8" s="245"/>
      <c r="AZ8" s="249"/>
      <c r="BA8" s="249"/>
      <c r="BB8" s="248"/>
      <c r="BC8" s="248"/>
      <c r="BD8" s="248"/>
      <c r="BE8" s="242"/>
      <c r="BF8" s="530"/>
    </row>
    <row r="9" spans="1:65 16365:16371" s="170" customFormat="1" ht="14" x14ac:dyDescent="0.15">
      <c r="A9" s="239"/>
      <c r="B9" s="243"/>
      <c r="C9" s="231" t="s">
        <v>281</v>
      </c>
      <c r="E9" s="231" t="s">
        <v>274</v>
      </c>
      <c r="G9" s="213"/>
      <c r="H9" s="216"/>
      <c r="I9" s="242"/>
      <c r="J9" s="242"/>
      <c r="K9" s="242"/>
      <c r="L9" s="242"/>
      <c r="M9" s="242"/>
      <c r="N9" s="242"/>
      <c r="O9" s="242"/>
      <c r="P9" s="243"/>
      <c r="Q9" s="242"/>
      <c r="R9" s="242"/>
      <c r="S9" s="250"/>
      <c r="T9" s="242"/>
      <c r="U9" s="242"/>
      <c r="V9" s="242"/>
      <c r="W9" s="242"/>
      <c r="X9" s="242"/>
      <c r="Y9" s="242"/>
      <c r="Z9" s="242"/>
      <c r="AA9" s="243"/>
      <c r="AB9" s="242"/>
      <c r="AC9" s="242"/>
      <c r="AD9" s="243"/>
      <c r="AE9" s="244"/>
      <c r="AF9" s="242"/>
      <c r="AG9" s="242"/>
      <c r="AH9" s="242"/>
      <c r="AI9" s="242"/>
      <c r="AJ9" s="245"/>
      <c r="AK9" s="245"/>
      <c r="AL9" s="245"/>
      <c r="AM9" s="245"/>
      <c r="AN9" s="246"/>
      <c r="AO9" s="247"/>
      <c r="AP9" s="245"/>
      <c r="AQ9" s="245"/>
      <c r="AR9" s="245"/>
      <c r="AS9" s="245"/>
      <c r="AT9" s="248"/>
      <c r="AU9" s="248"/>
      <c r="AV9" s="245"/>
      <c r="AW9" s="245"/>
      <c r="AX9" s="245"/>
      <c r="AY9" s="245"/>
      <c r="AZ9" s="249"/>
      <c r="BA9" s="249"/>
      <c r="BB9" s="248"/>
      <c r="BC9" s="248"/>
      <c r="BD9" s="248"/>
      <c r="BE9" s="242"/>
      <c r="BF9" s="530"/>
    </row>
    <row r="10" spans="1:65 16365:16371" s="170" customFormat="1" x14ac:dyDescent="0.15">
      <c r="A10" s="239"/>
      <c r="B10" s="243"/>
      <c r="C10" s="231" t="s">
        <v>283</v>
      </c>
      <c r="E10" s="231" t="s">
        <v>275</v>
      </c>
      <c r="G10" s="213"/>
      <c r="H10" s="215"/>
      <c r="I10" s="242"/>
      <c r="J10" s="242"/>
      <c r="K10" s="242"/>
      <c r="L10" s="242"/>
      <c r="M10" s="242"/>
      <c r="N10" s="242"/>
      <c r="O10" s="242"/>
      <c r="P10" s="243"/>
      <c r="Q10" s="242"/>
      <c r="R10" s="242"/>
      <c r="S10" s="250"/>
      <c r="T10" s="242"/>
      <c r="U10" s="242"/>
      <c r="V10" s="242"/>
      <c r="W10" s="242"/>
      <c r="X10" s="242"/>
      <c r="Y10" s="242"/>
      <c r="Z10" s="242"/>
      <c r="AA10" s="243"/>
      <c r="AB10" s="242"/>
      <c r="AC10" s="242"/>
      <c r="AD10" s="243"/>
      <c r="AE10" s="244"/>
      <c r="AF10" s="242"/>
      <c r="AG10" s="242"/>
      <c r="AH10" s="242"/>
      <c r="AI10" s="242"/>
      <c r="AJ10" s="245"/>
      <c r="AK10" s="245"/>
      <c r="AL10" s="245"/>
      <c r="AM10" s="245"/>
      <c r="AN10" s="246"/>
      <c r="AO10" s="247"/>
      <c r="AP10" s="245"/>
      <c r="AQ10" s="245"/>
      <c r="AR10" s="245"/>
      <c r="AS10" s="245"/>
      <c r="AT10" s="248"/>
      <c r="AU10" s="248"/>
      <c r="AV10" s="245"/>
      <c r="AW10" s="245"/>
      <c r="AX10" s="245"/>
      <c r="AY10" s="245"/>
      <c r="AZ10" s="249"/>
      <c r="BA10" s="249"/>
      <c r="BB10" s="248"/>
      <c r="BC10" s="248"/>
      <c r="BD10" s="248"/>
      <c r="BE10" s="242"/>
      <c r="BF10" s="530"/>
    </row>
    <row r="11" spans="1:65 16365:16371" s="170" customFormat="1" x14ac:dyDescent="0.15">
      <c r="A11" s="239"/>
      <c r="B11" s="243"/>
      <c r="C11" s="231" t="s">
        <v>284</v>
      </c>
      <c r="E11" s="231" t="s">
        <v>279</v>
      </c>
      <c r="H11" s="215"/>
      <c r="I11" s="242"/>
      <c r="J11" s="242"/>
      <c r="K11" s="242"/>
      <c r="L11" s="242"/>
      <c r="M11" s="242"/>
      <c r="N11" s="242"/>
      <c r="O11" s="242"/>
      <c r="P11" s="243"/>
      <c r="Q11" s="242"/>
      <c r="R11" s="242"/>
      <c r="S11" s="250"/>
      <c r="T11" s="242"/>
      <c r="U11" s="242"/>
      <c r="V11" s="242"/>
      <c r="W11" s="242"/>
      <c r="X11" s="242"/>
      <c r="Y11" s="242"/>
      <c r="Z11" s="242"/>
      <c r="AA11" s="243"/>
      <c r="AB11" s="242"/>
      <c r="AC11" s="242"/>
      <c r="AD11" s="243"/>
      <c r="AE11" s="244"/>
      <c r="AF11" s="242"/>
      <c r="AG11" s="242"/>
      <c r="AH11" s="242"/>
      <c r="AI11" s="242"/>
      <c r="AJ11" s="245"/>
      <c r="AK11" s="245"/>
      <c r="AL11" s="245"/>
      <c r="AM11" s="245"/>
      <c r="AN11" s="246"/>
      <c r="AO11" s="247"/>
      <c r="AP11" s="245"/>
      <c r="AQ11" s="245"/>
      <c r="AR11" s="245"/>
      <c r="AS11" s="245"/>
      <c r="AT11" s="248"/>
      <c r="AU11" s="248"/>
      <c r="AV11" s="245"/>
      <c r="AW11" s="245"/>
      <c r="AX11" s="245"/>
      <c r="AY11" s="245"/>
      <c r="AZ11" s="249"/>
      <c r="BA11" s="249"/>
      <c r="BB11" s="248"/>
      <c r="BC11" s="248"/>
      <c r="BD11" s="248"/>
      <c r="BE11" s="242"/>
      <c r="BF11" s="530"/>
    </row>
    <row r="12" spans="1:65 16365:16371" s="170" customFormat="1" x14ac:dyDescent="0.15">
      <c r="A12" s="239"/>
      <c r="B12" s="243"/>
      <c r="C12" s="231" t="s">
        <v>285</v>
      </c>
      <c r="E12" s="231" t="s">
        <v>280</v>
      </c>
      <c r="H12" s="242"/>
      <c r="I12" s="242"/>
      <c r="J12" s="242"/>
      <c r="K12" s="242"/>
      <c r="L12" s="242"/>
      <c r="M12" s="242"/>
      <c r="N12" s="242"/>
      <c r="O12" s="242"/>
      <c r="P12" s="243"/>
      <c r="Q12" s="242"/>
      <c r="R12" s="242"/>
      <c r="S12" s="250"/>
      <c r="T12" s="242"/>
      <c r="U12" s="242"/>
      <c r="V12" s="242"/>
      <c r="W12" s="242"/>
      <c r="X12" s="242"/>
      <c r="Y12" s="242"/>
      <c r="Z12" s="242"/>
      <c r="AA12" s="243"/>
      <c r="AB12" s="242"/>
      <c r="AC12" s="242"/>
      <c r="AD12" s="243"/>
      <c r="AE12" s="244"/>
      <c r="AF12" s="242"/>
      <c r="AG12" s="242"/>
      <c r="AH12" s="242"/>
      <c r="AI12" s="242"/>
      <c r="AJ12" s="245"/>
      <c r="AK12" s="245"/>
      <c r="AL12" s="245"/>
      <c r="AM12" s="245"/>
      <c r="AN12" s="246"/>
      <c r="AO12" s="247"/>
      <c r="AP12" s="245"/>
      <c r="AQ12" s="245"/>
      <c r="AR12" s="245"/>
      <c r="AS12" s="245"/>
      <c r="AT12" s="248"/>
      <c r="AU12" s="248"/>
      <c r="AV12" s="245"/>
      <c r="AW12" s="245"/>
      <c r="AX12" s="245"/>
      <c r="AY12" s="245"/>
      <c r="AZ12" s="249"/>
      <c r="BA12" s="249"/>
      <c r="BB12" s="248"/>
      <c r="BC12" s="248"/>
      <c r="BD12" s="248"/>
      <c r="BE12" s="242"/>
      <c r="BF12" s="530"/>
    </row>
    <row r="13" spans="1:65 16365:16371" s="170" customFormat="1" x14ac:dyDescent="0.15">
      <c r="A13" s="239"/>
      <c r="B13" s="243"/>
      <c r="C13" s="231" t="s">
        <v>286</v>
      </c>
      <c r="F13" s="213"/>
      <c r="H13" s="213"/>
      <c r="I13" s="213"/>
      <c r="J13" s="213"/>
      <c r="K13" s="213"/>
      <c r="L13" s="213"/>
      <c r="M13" s="213"/>
      <c r="N13" s="213"/>
      <c r="O13" s="242"/>
      <c r="P13" s="243"/>
      <c r="Q13" s="242"/>
      <c r="R13" s="242"/>
      <c r="S13" s="250"/>
      <c r="T13" s="242"/>
      <c r="U13" s="242"/>
      <c r="V13" s="242"/>
      <c r="W13" s="242"/>
      <c r="X13" s="242"/>
      <c r="Y13" s="242"/>
      <c r="Z13" s="242"/>
      <c r="AA13" s="243"/>
      <c r="AB13" s="242"/>
      <c r="AC13" s="242"/>
      <c r="AD13" s="243"/>
      <c r="AE13" s="244"/>
      <c r="AF13" s="242"/>
      <c r="AG13" s="242"/>
      <c r="AH13" s="242"/>
      <c r="AI13" s="242"/>
      <c r="AJ13" s="245"/>
      <c r="AK13" s="245"/>
      <c r="AL13" s="245"/>
      <c r="AM13" s="245"/>
      <c r="AN13" s="246"/>
      <c r="AO13" s="247"/>
      <c r="AP13" s="245"/>
      <c r="AQ13" s="245"/>
      <c r="AR13" s="245"/>
      <c r="AS13" s="245"/>
      <c r="AT13" s="248"/>
      <c r="AU13" s="248"/>
      <c r="AV13" s="245"/>
      <c r="AW13" s="245"/>
      <c r="AX13" s="245"/>
      <c r="AY13" s="245"/>
      <c r="AZ13" s="249"/>
      <c r="BA13" s="249"/>
      <c r="BB13" s="248"/>
      <c r="BC13" s="248"/>
      <c r="BD13" s="248"/>
      <c r="BE13" s="242"/>
      <c r="BF13" s="530"/>
    </row>
    <row r="14" spans="1:65 16365:16371" s="170" customFormat="1" x14ac:dyDescent="0.15">
      <c r="A14" s="239"/>
      <c r="B14" s="243"/>
      <c r="C14" s="231" t="s">
        <v>287</v>
      </c>
      <c r="E14" s="243"/>
      <c r="F14" s="213"/>
      <c r="H14" s="213"/>
      <c r="I14" s="213"/>
      <c r="J14" s="213"/>
      <c r="K14" s="213"/>
      <c r="L14" s="213"/>
      <c r="M14" s="213"/>
      <c r="N14" s="213"/>
      <c r="O14" s="242"/>
      <c r="P14" s="243"/>
      <c r="Q14" s="242"/>
      <c r="R14" s="242"/>
      <c r="S14" s="250"/>
      <c r="T14" s="242"/>
      <c r="U14" s="242"/>
      <c r="V14" s="242"/>
      <c r="W14" s="242"/>
      <c r="X14" s="242"/>
      <c r="Y14" s="242"/>
      <c r="Z14" s="242"/>
      <c r="AA14" s="243"/>
      <c r="AB14" s="242"/>
      <c r="AC14" s="242"/>
      <c r="AD14" s="243"/>
      <c r="AE14" s="244"/>
      <c r="AF14" s="242"/>
      <c r="AG14" s="242"/>
      <c r="AH14" s="242"/>
      <c r="AI14" s="242"/>
      <c r="AJ14" s="245"/>
      <c r="AK14" s="245"/>
      <c r="AL14" s="245"/>
      <c r="AM14" s="245"/>
      <c r="AN14" s="246"/>
      <c r="AO14" s="247"/>
      <c r="AP14" s="245"/>
      <c r="AQ14" s="245"/>
      <c r="AR14" s="245"/>
      <c r="AS14" s="245"/>
      <c r="AT14" s="248"/>
      <c r="AU14" s="248"/>
      <c r="AV14" s="245"/>
      <c r="AW14" s="245"/>
      <c r="AX14" s="245"/>
      <c r="AY14" s="245"/>
      <c r="AZ14" s="249"/>
      <c r="BA14" s="249"/>
      <c r="BB14" s="248"/>
      <c r="BC14" s="248"/>
      <c r="BD14" s="248"/>
      <c r="BE14" s="242"/>
      <c r="BF14" s="530"/>
    </row>
    <row r="15" spans="1:65 16365:16371" s="235" customFormat="1" x14ac:dyDescent="0.15">
      <c r="A15" s="142"/>
      <c r="B15" s="142"/>
      <c r="C15" s="231" t="s">
        <v>288</v>
      </c>
      <c r="E15" s="142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2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2"/>
      <c r="AB15" s="143"/>
      <c r="AC15" s="143"/>
      <c r="AD15" s="142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251"/>
      <c r="AU15" s="251"/>
      <c r="AV15" s="143"/>
      <c r="AW15" s="143"/>
      <c r="AX15" s="143"/>
      <c r="AY15" s="143"/>
      <c r="AZ15" s="143"/>
      <c r="BA15" s="143"/>
      <c r="BB15" s="252"/>
      <c r="BC15" s="252"/>
      <c r="BD15" s="252"/>
      <c r="BE15" s="143"/>
      <c r="BF15" s="146"/>
      <c r="BG15" s="146"/>
      <c r="BH15" s="146"/>
      <c r="BI15" s="146"/>
      <c r="BJ15" s="146"/>
      <c r="BK15" s="146"/>
      <c r="BL15" s="146"/>
      <c r="BM15" s="146"/>
    </row>
    <row r="16" spans="1:65 16365:16371" s="235" customFormat="1" x14ac:dyDescent="0.15">
      <c r="A16" s="142"/>
      <c r="B16" s="142"/>
      <c r="C16" s="231" t="s">
        <v>289</v>
      </c>
      <c r="E16" s="142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2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2"/>
      <c r="AB16" s="143"/>
      <c r="AC16" s="143"/>
      <c r="AD16" s="142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251"/>
      <c r="AU16" s="251"/>
      <c r="AV16" s="143"/>
      <c r="AW16" s="143"/>
      <c r="AX16" s="143"/>
      <c r="AY16" s="143"/>
      <c r="AZ16" s="143"/>
      <c r="BA16" s="143"/>
      <c r="BB16" s="252"/>
      <c r="BC16" s="252"/>
      <c r="BD16" s="252"/>
      <c r="BE16" s="143"/>
      <c r="BF16" s="146"/>
      <c r="BG16" s="146"/>
      <c r="BH16" s="146"/>
      <c r="BI16" s="146"/>
      <c r="BJ16" s="146"/>
      <c r="BK16" s="146"/>
      <c r="BL16" s="146"/>
      <c r="BM16" s="146"/>
    </row>
    <row r="17" spans="1:65" s="235" customFormat="1" ht="14" x14ac:dyDescent="0.15">
      <c r="A17" s="142"/>
      <c r="B17" s="142"/>
      <c r="C17" s="231" t="s">
        <v>290</v>
      </c>
      <c r="E17" s="142"/>
      <c r="F17" s="143"/>
      <c r="G17" s="212"/>
      <c r="H17" s="143"/>
      <c r="I17" s="143"/>
      <c r="J17" s="143"/>
      <c r="K17" s="143"/>
      <c r="L17" s="143"/>
      <c r="M17" s="143"/>
      <c r="N17" s="143"/>
      <c r="O17" s="143"/>
      <c r="P17" s="142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2"/>
      <c r="AB17" s="143"/>
      <c r="AC17" s="143"/>
      <c r="AD17" s="142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251"/>
      <c r="AU17" s="251"/>
      <c r="AV17" s="143"/>
      <c r="AW17" s="143"/>
      <c r="AX17" s="143"/>
      <c r="AY17" s="143"/>
      <c r="AZ17" s="143"/>
      <c r="BA17" s="143"/>
      <c r="BB17" s="252"/>
      <c r="BC17" s="252"/>
      <c r="BD17" s="252"/>
      <c r="BE17" s="143"/>
      <c r="BF17" s="146"/>
      <c r="BG17" s="146"/>
      <c r="BH17" s="146"/>
      <c r="BI17" s="146"/>
      <c r="BJ17" s="146"/>
      <c r="BK17" s="146"/>
      <c r="BL17" s="146"/>
      <c r="BM17" s="146"/>
    </row>
    <row r="18" spans="1:65" s="235" customFormat="1" ht="14" x14ac:dyDescent="0.15">
      <c r="A18" s="142"/>
      <c r="B18" s="142"/>
      <c r="C18" s="231" t="s">
        <v>291</v>
      </c>
      <c r="E18" s="142"/>
      <c r="F18" s="143"/>
      <c r="G18" s="212"/>
      <c r="H18" s="143"/>
      <c r="I18" s="143"/>
      <c r="J18" s="143"/>
      <c r="K18" s="143"/>
      <c r="L18" s="143"/>
      <c r="M18" s="143"/>
      <c r="N18" s="143"/>
      <c r="O18" s="143"/>
      <c r="P18" s="142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2"/>
      <c r="AB18" s="143"/>
      <c r="AC18" s="143"/>
      <c r="AD18" s="142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251"/>
      <c r="AU18" s="251"/>
      <c r="AV18" s="143"/>
      <c r="AW18" s="143"/>
      <c r="AX18" s="143"/>
      <c r="AY18" s="143"/>
      <c r="AZ18" s="143"/>
      <c r="BA18" s="143"/>
      <c r="BB18" s="252"/>
      <c r="BC18" s="252"/>
      <c r="BD18" s="252"/>
      <c r="BE18" s="143"/>
      <c r="BF18" s="146"/>
      <c r="BG18" s="146"/>
      <c r="BH18" s="146"/>
      <c r="BI18" s="146"/>
      <c r="BJ18" s="146"/>
      <c r="BK18" s="146"/>
      <c r="BL18" s="146"/>
      <c r="BM18" s="146"/>
    </row>
    <row r="19" spans="1:65" s="235" customFormat="1" ht="14" x14ac:dyDescent="0.15">
      <c r="A19" s="142"/>
      <c r="B19" s="142"/>
      <c r="C19" s="231" t="s">
        <v>292</v>
      </c>
      <c r="E19" s="142"/>
      <c r="F19" s="143"/>
      <c r="G19" s="212"/>
      <c r="H19" s="143"/>
      <c r="I19" s="143"/>
      <c r="J19" s="143"/>
      <c r="K19" s="143"/>
      <c r="L19" s="143"/>
      <c r="M19" s="143"/>
      <c r="N19" s="143"/>
      <c r="O19" s="143"/>
      <c r="P19" s="142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2"/>
      <c r="AB19" s="143"/>
      <c r="AC19" s="143"/>
      <c r="AD19" s="142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251"/>
      <c r="AU19" s="251"/>
      <c r="AV19" s="143"/>
      <c r="AW19" s="143"/>
      <c r="AX19" s="143"/>
      <c r="AY19" s="143"/>
      <c r="AZ19" s="143"/>
      <c r="BA19" s="143"/>
      <c r="BB19" s="252"/>
      <c r="BC19" s="252"/>
      <c r="BD19" s="252"/>
      <c r="BE19" s="143"/>
      <c r="BF19" s="146"/>
      <c r="BG19" s="146"/>
      <c r="BH19" s="146"/>
      <c r="BI19" s="146"/>
      <c r="BJ19" s="146"/>
      <c r="BK19" s="146"/>
      <c r="BL19" s="146"/>
      <c r="BM19" s="146"/>
    </row>
    <row r="20" spans="1:65" s="235" customFormat="1" x14ac:dyDescent="0.15">
      <c r="A20" s="142"/>
      <c r="B20" s="142"/>
      <c r="C20" s="231" t="s">
        <v>293</v>
      </c>
      <c r="E20" s="142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2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2"/>
      <c r="AB20" s="143"/>
      <c r="AC20" s="143"/>
      <c r="AD20" s="142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251"/>
      <c r="AU20" s="251"/>
      <c r="AV20" s="143"/>
      <c r="AW20" s="143"/>
      <c r="AX20" s="143"/>
      <c r="AY20" s="143"/>
      <c r="AZ20" s="143"/>
      <c r="BA20" s="143"/>
      <c r="BB20" s="252"/>
      <c r="BC20" s="252"/>
      <c r="BD20" s="252"/>
      <c r="BE20" s="143"/>
      <c r="BF20" s="146"/>
      <c r="BG20" s="146"/>
      <c r="BH20" s="146"/>
      <c r="BI20" s="146"/>
      <c r="BJ20" s="146"/>
      <c r="BK20" s="146"/>
      <c r="BL20" s="146"/>
      <c r="BM20" s="146"/>
    </row>
    <row r="21" spans="1:65" s="235" customFormat="1" x14ac:dyDescent="0.15">
      <c r="A21" s="142"/>
      <c r="B21" s="142"/>
      <c r="C21" s="231" t="s">
        <v>294</v>
      </c>
      <c r="E21" s="142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2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2"/>
      <c r="AB21" s="143"/>
      <c r="AC21" s="143"/>
      <c r="AD21" s="142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251"/>
      <c r="AU21" s="251"/>
      <c r="AV21" s="143"/>
      <c r="AW21" s="143"/>
      <c r="AX21" s="143"/>
      <c r="AY21" s="143"/>
      <c r="AZ21" s="143"/>
      <c r="BA21" s="143"/>
      <c r="BB21" s="252"/>
      <c r="BC21" s="252"/>
      <c r="BD21" s="252"/>
      <c r="BE21" s="143"/>
      <c r="BF21" s="146"/>
      <c r="BG21" s="146"/>
      <c r="BH21" s="146"/>
      <c r="BI21" s="146"/>
      <c r="BJ21" s="146"/>
      <c r="BK21" s="146"/>
      <c r="BL21" s="146"/>
      <c r="BM21" s="146"/>
    </row>
    <row r="22" spans="1:65" s="235" customFormat="1" x14ac:dyDescent="0.15">
      <c r="A22" s="142"/>
      <c r="B22" s="142"/>
      <c r="C22" s="231" t="s">
        <v>295</v>
      </c>
      <c r="E22" s="142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2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2"/>
      <c r="AB22" s="143"/>
      <c r="AC22" s="143"/>
      <c r="AD22" s="142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251"/>
      <c r="AU22" s="251"/>
      <c r="AV22" s="143"/>
      <c r="AW22" s="143"/>
      <c r="AX22" s="143"/>
      <c r="AY22" s="143"/>
      <c r="AZ22" s="143"/>
      <c r="BA22" s="143"/>
      <c r="BB22" s="252"/>
      <c r="BC22" s="252"/>
      <c r="BD22" s="252"/>
      <c r="BE22" s="143"/>
      <c r="BF22" s="146"/>
      <c r="BG22" s="146"/>
      <c r="BH22" s="146"/>
      <c r="BI22" s="146"/>
      <c r="BJ22" s="146"/>
      <c r="BK22" s="146"/>
      <c r="BL22" s="146"/>
      <c r="BM22" s="146"/>
    </row>
    <row r="23" spans="1:65" s="235" customFormat="1" x14ac:dyDescent="0.15">
      <c r="A23" s="142"/>
      <c r="B23" s="142"/>
      <c r="C23" s="231" t="s">
        <v>296</v>
      </c>
      <c r="E23" s="142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2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2"/>
      <c r="AB23" s="143"/>
      <c r="AC23" s="143"/>
      <c r="AD23" s="142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251"/>
      <c r="AU23" s="251"/>
      <c r="AV23" s="143"/>
      <c r="AW23" s="143"/>
      <c r="AX23" s="143"/>
      <c r="AY23" s="143"/>
      <c r="AZ23" s="143"/>
      <c r="BA23" s="143"/>
      <c r="BB23" s="252"/>
      <c r="BC23" s="252"/>
      <c r="BD23" s="252"/>
      <c r="BE23" s="143"/>
      <c r="BF23" s="146"/>
      <c r="BG23" s="146"/>
      <c r="BH23" s="146"/>
      <c r="BI23" s="146"/>
      <c r="BJ23" s="146"/>
      <c r="BK23" s="146"/>
      <c r="BL23" s="146"/>
      <c r="BM23" s="146"/>
    </row>
    <row r="24" spans="1:65" s="235" customFormat="1" x14ac:dyDescent="0.15">
      <c r="A24" s="142"/>
      <c r="B24" s="142"/>
      <c r="C24" s="231" t="s">
        <v>297</v>
      </c>
      <c r="E24" s="142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2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2"/>
      <c r="AB24" s="143"/>
      <c r="AC24" s="143"/>
      <c r="AD24" s="142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251"/>
      <c r="AU24" s="251"/>
      <c r="AV24" s="143"/>
      <c r="AW24" s="143"/>
      <c r="AX24" s="143"/>
      <c r="AY24" s="143"/>
      <c r="AZ24" s="143"/>
      <c r="BA24" s="143"/>
      <c r="BB24" s="252"/>
      <c r="BC24" s="252"/>
      <c r="BD24" s="252"/>
      <c r="BE24" s="143"/>
      <c r="BF24" s="146"/>
      <c r="BG24" s="146"/>
      <c r="BH24" s="146"/>
      <c r="BI24" s="146"/>
      <c r="BJ24" s="146"/>
      <c r="BK24" s="146"/>
      <c r="BL24" s="146"/>
      <c r="BM24" s="146"/>
    </row>
    <row r="25" spans="1:65" s="235" customFormat="1" x14ac:dyDescent="0.15">
      <c r="A25" s="142"/>
      <c r="B25" s="142"/>
      <c r="C25" s="231" t="s">
        <v>298</v>
      </c>
      <c r="E25" s="142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2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2"/>
      <c r="AB25" s="143"/>
      <c r="AC25" s="143"/>
      <c r="AD25" s="142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251"/>
      <c r="AU25" s="251"/>
      <c r="AV25" s="143"/>
      <c r="AW25" s="143"/>
      <c r="AX25" s="143"/>
      <c r="AY25" s="143"/>
      <c r="AZ25" s="143"/>
      <c r="BA25" s="143"/>
      <c r="BB25" s="252"/>
      <c r="BC25" s="252"/>
      <c r="BD25" s="252"/>
      <c r="BE25" s="143"/>
      <c r="BF25" s="146"/>
      <c r="BG25" s="146"/>
      <c r="BH25" s="146"/>
      <c r="BI25" s="146"/>
      <c r="BJ25" s="146"/>
      <c r="BK25" s="146"/>
      <c r="BL25" s="146"/>
      <c r="BM25" s="146"/>
    </row>
    <row r="26" spans="1:65" s="235" customFormat="1" x14ac:dyDescent="0.15">
      <c r="A26" s="142"/>
      <c r="B26" s="142"/>
      <c r="C26" s="231" t="s">
        <v>299</v>
      </c>
      <c r="E26" s="142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2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2"/>
      <c r="AB26" s="143"/>
      <c r="AC26" s="143"/>
      <c r="AD26" s="142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251"/>
      <c r="AU26" s="251"/>
      <c r="AV26" s="143"/>
      <c r="AW26" s="143"/>
      <c r="AX26" s="143"/>
      <c r="AY26" s="143"/>
      <c r="AZ26" s="143"/>
      <c r="BA26" s="143"/>
      <c r="BB26" s="252"/>
      <c r="BC26" s="252"/>
      <c r="BD26" s="252"/>
      <c r="BE26" s="143"/>
      <c r="BF26" s="146"/>
      <c r="BG26" s="146"/>
      <c r="BH26" s="146"/>
      <c r="BI26" s="146"/>
      <c r="BJ26" s="146"/>
      <c r="BK26" s="146"/>
      <c r="BL26" s="146"/>
      <c r="BM26" s="146"/>
    </row>
    <row r="27" spans="1:65" s="235" customFormat="1" x14ac:dyDescent="0.15">
      <c r="A27" s="142"/>
      <c r="B27" s="142"/>
      <c r="C27" s="231" t="s">
        <v>300</v>
      </c>
      <c r="E27" s="142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2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2"/>
      <c r="AB27" s="143"/>
      <c r="AC27" s="143"/>
      <c r="AD27" s="142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251"/>
      <c r="AU27" s="251"/>
      <c r="AV27" s="143"/>
      <c r="AW27" s="143"/>
      <c r="AX27" s="143"/>
      <c r="AY27" s="143"/>
      <c r="AZ27" s="143"/>
      <c r="BA27" s="143"/>
      <c r="BB27" s="252"/>
      <c r="BC27" s="252"/>
      <c r="BD27" s="252"/>
      <c r="BE27" s="143"/>
      <c r="BF27" s="146"/>
      <c r="BG27" s="146"/>
      <c r="BH27" s="146"/>
      <c r="BI27" s="146"/>
      <c r="BJ27" s="146"/>
      <c r="BK27" s="146"/>
      <c r="BL27" s="146"/>
      <c r="BM27" s="146"/>
    </row>
    <row r="28" spans="1:65" s="235" customFormat="1" x14ac:dyDescent="0.15">
      <c r="A28" s="142"/>
      <c r="B28" s="142"/>
      <c r="C28" s="231" t="s">
        <v>301</v>
      </c>
      <c r="E28" s="142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2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2"/>
      <c r="AB28" s="143"/>
      <c r="AC28" s="143"/>
      <c r="AD28" s="142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251"/>
      <c r="AU28" s="251"/>
      <c r="AV28" s="143"/>
      <c r="AW28" s="143"/>
      <c r="AX28" s="143"/>
      <c r="AY28" s="143"/>
      <c r="AZ28" s="143"/>
      <c r="BA28" s="143"/>
      <c r="BB28" s="252"/>
      <c r="BC28" s="252"/>
      <c r="BD28" s="252"/>
      <c r="BE28" s="143"/>
      <c r="BF28" s="146"/>
      <c r="BG28" s="146"/>
      <c r="BH28" s="146"/>
      <c r="BI28" s="146"/>
      <c r="BJ28" s="146"/>
      <c r="BK28" s="146"/>
      <c r="BL28" s="146"/>
      <c r="BM28" s="146"/>
    </row>
    <row r="29" spans="1:65" s="253" customFormat="1" x14ac:dyDescent="0.2">
      <c r="A29" s="142"/>
      <c r="B29" s="142"/>
      <c r="C29" s="231" t="s">
        <v>302</v>
      </c>
      <c r="E29" s="142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2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2"/>
      <c r="AB29" s="143"/>
      <c r="AC29" s="143"/>
      <c r="AD29" s="142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251"/>
      <c r="AU29" s="251"/>
      <c r="AV29" s="143"/>
      <c r="AW29" s="143"/>
      <c r="AX29" s="143"/>
      <c r="AY29" s="143"/>
      <c r="AZ29" s="143"/>
      <c r="BA29" s="143"/>
      <c r="BB29" s="252"/>
      <c r="BC29" s="252"/>
      <c r="BD29" s="252"/>
      <c r="BE29" s="143"/>
      <c r="BF29" s="143"/>
      <c r="BG29" s="143"/>
      <c r="BH29" s="143"/>
      <c r="BI29" s="143"/>
      <c r="BJ29" s="143"/>
      <c r="BK29" s="143"/>
      <c r="BL29" s="143"/>
      <c r="BM29" s="143"/>
    </row>
    <row r="30" spans="1:65" s="235" customFormat="1" x14ac:dyDescent="0.15">
      <c r="A30" s="230"/>
      <c r="B30" s="230"/>
      <c r="C30" s="231" t="s">
        <v>303</v>
      </c>
      <c r="E30" s="230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0"/>
      <c r="Q30" s="232"/>
      <c r="R30" s="232"/>
      <c r="S30" s="232"/>
      <c r="T30" s="232"/>
      <c r="U30" s="232"/>
      <c r="V30" s="232"/>
      <c r="W30" s="232"/>
      <c r="X30" s="232"/>
      <c r="Y30" s="232"/>
      <c r="Z30" s="232"/>
      <c r="AA30" s="230"/>
      <c r="AB30" s="232"/>
      <c r="AC30" s="232"/>
      <c r="AD30" s="230"/>
      <c r="AE30" s="232"/>
      <c r="AF30" s="232"/>
      <c r="AG30" s="232"/>
      <c r="AH30" s="232"/>
      <c r="AI30" s="232"/>
      <c r="AJ30" s="232"/>
      <c r="AK30" s="232"/>
      <c r="AL30" s="232"/>
      <c r="AM30" s="232"/>
      <c r="AN30" s="232"/>
      <c r="AO30" s="232"/>
      <c r="AP30" s="232"/>
      <c r="AQ30" s="232"/>
      <c r="AR30" s="232"/>
      <c r="AS30" s="232"/>
      <c r="AT30" s="233"/>
      <c r="AU30" s="233"/>
      <c r="AV30" s="232"/>
      <c r="AW30" s="232"/>
      <c r="AX30" s="232"/>
      <c r="AY30" s="232"/>
      <c r="AZ30" s="232"/>
      <c r="BA30" s="232"/>
      <c r="BB30" s="234"/>
      <c r="BC30" s="234"/>
      <c r="BD30" s="234"/>
      <c r="BE30" s="232"/>
      <c r="BF30" s="147"/>
      <c r="BG30" s="147"/>
      <c r="BH30" s="147"/>
      <c r="BI30" s="147"/>
      <c r="BJ30" s="147"/>
      <c r="BK30" s="147"/>
      <c r="BL30" s="147"/>
      <c r="BM30" s="147"/>
    </row>
    <row r="31" spans="1:65" s="235" customFormat="1" x14ac:dyDescent="0.15">
      <c r="A31" s="230"/>
      <c r="B31" s="230"/>
      <c r="C31" s="231" t="s">
        <v>304</v>
      </c>
      <c r="E31" s="230"/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230"/>
      <c r="Q31" s="232"/>
      <c r="R31" s="232"/>
      <c r="S31" s="232"/>
      <c r="T31" s="232"/>
      <c r="U31" s="232"/>
      <c r="V31" s="232"/>
      <c r="W31" s="232"/>
      <c r="X31" s="232"/>
      <c r="Y31" s="232"/>
      <c r="Z31" s="232"/>
      <c r="AA31" s="230"/>
      <c r="AB31" s="232"/>
      <c r="AC31" s="232"/>
      <c r="AD31" s="230"/>
      <c r="AE31" s="232"/>
      <c r="AF31" s="232"/>
      <c r="AG31" s="232"/>
      <c r="AH31" s="232"/>
      <c r="AI31" s="232"/>
      <c r="AJ31" s="232"/>
      <c r="AK31" s="232"/>
      <c r="AL31" s="232"/>
      <c r="AM31" s="232"/>
      <c r="AN31" s="232"/>
      <c r="AO31" s="232"/>
      <c r="AP31" s="232"/>
      <c r="AQ31" s="232"/>
      <c r="AR31" s="232"/>
      <c r="AS31" s="232"/>
      <c r="AT31" s="233"/>
      <c r="AU31" s="233"/>
      <c r="AV31" s="232"/>
      <c r="AW31" s="232"/>
      <c r="AX31" s="232"/>
      <c r="AY31" s="232"/>
      <c r="AZ31" s="232"/>
      <c r="BA31" s="232"/>
      <c r="BB31" s="234"/>
      <c r="BC31" s="234"/>
      <c r="BD31" s="234"/>
      <c r="BE31" s="232"/>
      <c r="BF31" s="147"/>
      <c r="BG31" s="147"/>
      <c r="BH31" s="147"/>
      <c r="BI31" s="147"/>
      <c r="BJ31" s="147"/>
      <c r="BK31" s="147"/>
      <c r="BL31" s="147"/>
      <c r="BM31" s="147"/>
    </row>
    <row r="32" spans="1:65" s="235" customFormat="1" x14ac:dyDescent="0.15">
      <c r="A32" s="230"/>
      <c r="B32" s="230"/>
      <c r="C32" s="231" t="s">
        <v>305</v>
      </c>
      <c r="E32" s="230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0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0"/>
      <c r="AB32" s="232"/>
      <c r="AC32" s="232"/>
      <c r="AD32" s="230"/>
      <c r="AE32" s="232"/>
      <c r="AF32" s="232"/>
      <c r="AG32" s="232"/>
      <c r="AH32" s="232"/>
      <c r="AI32" s="232"/>
      <c r="AJ32" s="232"/>
      <c r="AK32" s="232"/>
      <c r="AL32" s="232"/>
      <c r="AM32" s="232"/>
      <c r="AN32" s="232"/>
      <c r="AO32" s="232"/>
      <c r="AP32" s="232"/>
      <c r="AQ32" s="232"/>
      <c r="AR32" s="232"/>
      <c r="AS32" s="232"/>
      <c r="AT32" s="233"/>
      <c r="AU32" s="233"/>
      <c r="AV32" s="232"/>
      <c r="AW32" s="232"/>
      <c r="AX32" s="232"/>
      <c r="AY32" s="232"/>
      <c r="AZ32" s="232"/>
      <c r="BA32" s="232"/>
      <c r="BB32" s="234"/>
      <c r="BC32" s="234"/>
      <c r="BD32" s="234"/>
      <c r="BE32" s="232"/>
      <c r="BF32" s="147"/>
      <c r="BG32" s="147"/>
      <c r="BH32" s="147"/>
      <c r="BI32" s="147"/>
      <c r="BJ32" s="147"/>
      <c r="BK32" s="147"/>
      <c r="BL32" s="147"/>
      <c r="BM32" s="147"/>
    </row>
    <row r="33" spans="1:65" s="235" customFormat="1" x14ac:dyDescent="0.15">
      <c r="A33" s="230"/>
      <c r="B33" s="230"/>
      <c r="C33" s="231" t="s">
        <v>306</v>
      </c>
      <c r="E33" s="230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0"/>
      <c r="Q33" s="232"/>
      <c r="R33" s="232"/>
      <c r="S33" s="232"/>
      <c r="T33" s="232"/>
      <c r="U33" s="232"/>
      <c r="V33" s="232"/>
      <c r="W33" s="232"/>
      <c r="X33" s="232"/>
      <c r="Y33" s="232"/>
      <c r="Z33" s="232"/>
      <c r="AA33" s="230"/>
      <c r="AB33" s="232"/>
      <c r="AC33" s="232"/>
      <c r="AD33" s="230"/>
      <c r="AE33" s="232"/>
      <c r="AF33" s="232"/>
      <c r="AG33" s="232"/>
      <c r="AH33" s="232"/>
      <c r="AI33" s="232"/>
      <c r="AJ33" s="232"/>
      <c r="AK33" s="232"/>
      <c r="AL33" s="232"/>
      <c r="AM33" s="232"/>
      <c r="AN33" s="232"/>
      <c r="AO33" s="232"/>
      <c r="AP33" s="232"/>
      <c r="AQ33" s="232"/>
      <c r="AR33" s="232"/>
      <c r="AS33" s="232"/>
      <c r="AT33" s="233"/>
      <c r="AU33" s="233"/>
      <c r="AV33" s="232"/>
      <c r="AW33" s="232"/>
      <c r="AX33" s="232"/>
      <c r="AY33" s="232"/>
      <c r="AZ33" s="232"/>
      <c r="BA33" s="232"/>
      <c r="BB33" s="234"/>
      <c r="BC33" s="234"/>
      <c r="BD33" s="234"/>
      <c r="BE33" s="232"/>
      <c r="BF33" s="147"/>
      <c r="BG33" s="147"/>
      <c r="BH33" s="147"/>
      <c r="BI33" s="147"/>
      <c r="BJ33" s="147"/>
      <c r="BK33" s="147"/>
      <c r="BL33" s="147"/>
      <c r="BM33" s="147"/>
    </row>
    <row r="34" spans="1:65" s="235" customFormat="1" x14ac:dyDescent="0.15">
      <c r="A34" s="230"/>
      <c r="B34" s="230"/>
      <c r="C34" s="231" t="s">
        <v>307</v>
      </c>
      <c r="E34" s="230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0"/>
      <c r="Q34" s="232"/>
      <c r="R34" s="232"/>
      <c r="S34" s="232"/>
      <c r="T34" s="232"/>
      <c r="U34" s="232"/>
      <c r="V34" s="232"/>
      <c r="W34" s="232"/>
      <c r="X34" s="232"/>
      <c r="Y34" s="232"/>
      <c r="Z34" s="232"/>
      <c r="AA34" s="230"/>
      <c r="AB34" s="232"/>
      <c r="AC34" s="232"/>
      <c r="AD34" s="230"/>
      <c r="AE34" s="232"/>
      <c r="AF34" s="232"/>
      <c r="AG34" s="232"/>
      <c r="AH34" s="232"/>
      <c r="AI34" s="232"/>
      <c r="AJ34" s="232"/>
      <c r="AK34" s="232"/>
      <c r="AL34" s="232"/>
      <c r="AM34" s="232"/>
      <c r="AN34" s="232"/>
      <c r="AO34" s="232"/>
      <c r="AP34" s="232"/>
      <c r="AQ34" s="232"/>
      <c r="AR34" s="232"/>
      <c r="AS34" s="232"/>
      <c r="AT34" s="233"/>
      <c r="AU34" s="233"/>
      <c r="AV34" s="232"/>
      <c r="AW34" s="232"/>
      <c r="AX34" s="232"/>
      <c r="AY34" s="232"/>
      <c r="AZ34" s="232"/>
      <c r="BA34" s="232"/>
      <c r="BB34" s="234"/>
      <c r="BC34" s="234"/>
      <c r="BD34" s="234"/>
      <c r="BE34" s="232"/>
      <c r="BF34" s="147"/>
      <c r="BG34" s="147"/>
      <c r="BH34" s="147"/>
      <c r="BI34" s="147"/>
      <c r="BJ34" s="147"/>
      <c r="BK34" s="147"/>
      <c r="BL34" s="147"/>
      <c r="BM34" s="147"/>
    </row>
    <row r="35" spans="1:65" s="235" customFormat="1" x14ac:dyDescent="0.15">
      <c r="A35" s="230"/>
      <c r="B35" s="230"/>
      <c r="C35" s="231" t="s">
        <v>308</v>
      </c>
      <c r="E35" s="230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0"/>
      <c r="Q35" s="232"/>
      <c r="R35" s="232"/>
      <c r="S35" s="232"/>
      <c r="T35" s="232"/>
      <c r="U35" s="232"/>
      <c r="V35" s="232"/>
      <c r="W35" s="232"/>
      <c r="X35" s="232"/>
      <c r="Y35" s="232"/>
      <c r="Z35" s="232"/>
      <c r="AA35" s="230"/>
      <c r="AB35" s="232"/>
      <c r="AC35" s="232"/>
      <c r="AD35" s="230"/>
      <c r="AE35" s="232"/>
      <c r="AF35" s="232"/>
      <c r="AG35" s="232"/>
      <c r="AH35" s="232"/>
      <c r="AI35" s="232"/>
      <c r="AJ35" s="232"/>
      <c r="AK35" s="232"/>
      <c r="AL35" s="232"/>
      <c r="AM35" s="232"/>
      <c r="AN35" s="232"/>
      <c r="AO35" s="232"/>
      <c r="AP35" s="232"/>
      <c r="AQ35" s="232"/>
      <c r="AR35" s="232"/>
      <c r="AS35" s="232"/>
      <c r="AT35" s="233"/>
      <c r="AU35" s="233"/>
      <c r="AV35" s="232"/>
      <c r="AW35" s="232"/>
      <c r="AX35" s="232"/>
      <c r="AY35" s="232"/>
      <c r="AZ35" s="232"/>
      <c r="BA35" s="232"/>
      <c r="BB35" s="234"/>
      <c r="BC35" s="234"/>
      <c r="BD35" s="234"/>
      <c r="BE35" s="232"/>
      <c r="BF35" s="147"/>
      <c r="BG35" s="147"/>
      <c r="BH35" s="147"/>
      <c r="BI35" s="147"/>
      <c r="BJ35" s="147"/>
      <c r="BK35" s="147"/>
      <c r="BL35" s="147"/>
      <c r="BM35" s="147"/>
    </row>
    <row r="36" spans="1:65" s="235" customFormat="1" x14ac:dyDescent="0.15">
      <c r="A36" s="230"/>
      <c r="B36" s="230"/>
      <c r="C36" s="231" t="s">
        <v>309</v>
      </c>
      <c r="E36" s="230"/>
      <c r="F36" s="232"/>
      <c r="G36" s="232"/>
      <c r="H36" s="232"/>
      <c r="I36" s="232"/>
      <c r="J36" s="232"/>
      <c r="K36" s="232"/>
      <c r="L36" s="232"/>
      <c r="M36" s="232"/>
      <c r="N36" s="232"/>
      <c r="O36" s="232"/>
      <c r="P36" s="230"/>
      <c r="Q36" s="232"/>
      <c r="R36" s="232"/>
      <c r="S36" s="232"/>
      <c r="T36" s="232"/>
      <c r="U36" s="232"/>
      <c r="V36" s="232"/>
      <c r="W36" s="232"/>
      <c r="X36" s="232"/>
      <c r="Y36" s="232"/>
      <c r="Z36" s="232"/>
      <c r="AA36" s="230"/>
      <c r="AB36" s="232"/>
      <c r="AC36" s="232"/>
      <c r="AD36" s="230"/>
      <c r="AE36" s="232"/>
      <c r="AF36" s="232"/>
      <c r="AG36" s="232"/>
      <c r="AH36" s="232"/>
      <c r="AI36" s="232"/>
      <c r="AJ36" s="232"/>
      <c r="AK36" s="232"/>
      <c r="AL36" s="232"/>
      <c r="AM36" s="232"/>
      <c r="AN36" s="232"/>
      <c r="AO36" s="232"/>
      <c r="AP36" s="232"/>
      <c r="AQ36" s="232"/>
      <c r="AR36" s="232"/>
      <c r="AS36" s="232"/>
      <c r="AT36" s="233"/>
      <c r="AU36" s="233"/>
      <c r="AV36" s="232"/>
      <c r="AW36" s="232"/>
      <c r="AX36" s="232"/>
      <c r="AY36" s="232"/>
      <c r="AZ36" s="232"/>
      <c r="BA36" s="232"/>
      <c r="BB36" s="234"/>
      <c r="BC36" s="234"/>
      <c r="BD36" s="234"/>
      <c r="BE36" s="232"/>
      <c r="BF36" s="147"/>
      <c r="BG36" s="147"/>
      <c r="BH36" s="147"/>
      <c r="BI36" s="147"/>
      <c r="BJ36" s="147"/>
      <c r="BK36" s="147"/>
      <c r="BL36" s="147"/>
      <c r="BM36" s="147"/>
    </row>
    <row r="37" spans="1:65" s="235" customFormat="1" x14ac:dyDescent="0.15">
      <c r="A37" s="230"/>
      <c r="B37" s="230"/>
      <c r="C37" s="231" t="s">
        <v>310</v>
      </c>
      <c r="E37" s="230"/>
      <c r="F37" s="232"/>
      <c r="G37" s="232"/>
      <c r="H37" s="232"/>
      <c r="I37" s="232"/>
      <c r="J37" s="232"/>
      <c r="K37" s="232"/>
      <c r="L37" s="232"/>
      <c r="M37" s="232"/>
      <c r="N37" s="232"/>
      <c r="O37" s="232"/>
      <c r="P37" s="230"/>
      <c r="Q37" s="232"/>
      <c r="R37" s="232"/>
      <c r="S37" s="232"/>
      <c r="T37" s="232"/>
      <c r="U37" s="232"/>
      <c r="V37" s="232"/>
      <c r="W37" s="232"/>
      <c r="X37" s="232"/>
      <c r="Y37" s="232"/>
      <c r="Z37" s="232"/>
      <c r="AA37" s="230"/>
      <c r="AB37" s="232"/>
      <c r="AC37" s="232"/>
      <c r="AD37" s="230"/>
      <c r="AE37" s="232"/>
      <c r="AF37" s="232"/>
      <c r="AG37" s="232"/>
      <c r="AH37" s="232"/>
      <c r="AI37" s="232"/>
      <c r="AJ37" s="232"/>
      <c r="AK37" s="232"/>
      <c r="AL37" s="232"/>
      <c r="AM37" s="232"/>
      <c r="AN37" s="232"/>
      <c r="AO37" s="232"/>
      <c r="AP37" s="232"/>
      <c r="AQ37" s="232"/>
      <c r="AR37" s="232"/>
      <c r="AS37" s="232"/>
      <c r="AT37" s="233"/>
      <c r="AU37" s="233"/>
      <c r="AV37" s="232"/>
      <c r="AW37" s="232"/>
      <c r="AX37" s="232"/>
      <c r="AY37" s="232"/>
      <c r="AZ37" s="232"/>
      <c r="BA37" s="232"/>
      <c r="BB37" s="234"/>
      <c r="BC37" s="234"/>
      <c r="BD37" s="234"/>
      <c r="BE37" s="232"/>
      <c r="BF37" s="147"/>
      <c r="BG37" s="147"/>
      <c r="BH37" s="147"/>
      <c r="BI37" s="147"/>
      <c r="BJ37" s="147"/>
      <c r="BK37" s="147"/>
      <c r="BL37" s="147"/>
      <c r="BM37" s="147"/>
    </row>
    <row r="38" spans="1:65" s="235" customFormat="1" x14ac:dyDescent="0.15">
      <c r="A38" s="230"/>
      <c r="B38" s="230"/>
      <c r="C38" s="231" t="s">
        <v>311</v>
      </c>
      <c r="E38" s="230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0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0"/>
      <c r="AB38" s="232"/>
      <c r="AC38" s="232"/>
      <c r="AD38" s="230"/>
      <c r="AE38" s="232"/>
      <c r="AF38" s="232"/>
      <c r="AG38" s="232"/>
      <c r="AH38" s="232"/>
      <c r="AI38" s="232"/>
      <c r="AJ38" s="232"/>
      <c r="AK38" s="232"/>
      <c r="AL38" s="232"/>
      <c r="AM38" s="232"/>
      <c r="AN38" s="232"/>
      <c r="AO38" s="232"/>
      <c r="AP38" s="232"/>
      <c r="AQ38" s="232"/>
      <c r="AR38" s="232"/>
      <c r="AS38" s="232"/>
      <c r="AT38" s="233"/>
      <c r="AU38" s="233"/>
      <c r="AV38" s="232"/>
      <c r="AW38" s="232"/>
      <c r="AX38" s="232"/>
      <c r="AY38" s="232"/>
      <c r="AZ38" s="232"/>
      <c r="BA38" s="232"/>
      <c r="BB38" s="234"/>
      <c r="BC38" s="234"/>
      <c r="BD38" s="234"/>
      <c r="BE38" s="232"/>
      <c r="BF38" s="147"/>
      <c r="BG38" s="147"/>
      <c r="BH38" s="147"/>
      <c r="BI38" s="147"/>
      <c r="BJ38" s="147"/>
      <c r="BK38" s="147"/>
      <c r="BL38" s="147"/>
      <c r="BM38" s="147"/>
    </row>
    <row r="39" spans="1:65" s="235" customFormat="1" x14ac:dyDescent="0.15">
      <c r="A39" s="230"/>
      <c r="B39" s="230"/>
      <c r="C39" s="231" t="s">
        <v>312</v>
      </c>
      <c r="E39" s="230"/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230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0"/>
      <c r="AB39" s="232"/>
      <c r="AC39" s="232"/>
      <c r="AD39" s="230"/>
      <c r="AE39" s="232"/>
      <c r="AF39" s="232"/>
      <c r="AG39" s="232"/>
      <c r="AH39" s="232"/>
      <c r="AI39" s="232"/>
      <c r="AJ39" s="232"/>
      <c r="AK39" s="232"/>
      <c r="AL39" s="232"/>
      <c r="AM39" s="232"/>
      <c r="AN39" s="232"/>
      <c r="AO39" s="232"/>
      <c r="AP39" s="232"/>
      <c r="AQ39" s="232"/>
      <c r="AR39" s="232"/>
      <c r="AS39" s="232"/>
      <c r="AT39" s="233"/>
      <c r="AU39" s="233"/>
      <c r="AV39" s="232"/>
      <c r="AW39" s="232"/>
      <c r="AX39" s="232"/>
      <c r="AY39" s="232"/>
      <c r="AZ39" s="232"/>
      <c r="BA39" s="232"/>
      <c r="BB39" s="234"/>
      <c r="BC39" s="234"/>
      <c r="BD39" s="234"/>
      <c r="BE39" s="232"/>
      <c r="BF39" s="147"/>
      <c r="BG39" s="147"/>
      <c r="BH39" s="147"/>
      <c r="BI39" s="147"/>
      <c r="BJ39" s="147"/>
      <c r="BK39" s="147"/>
      <c r="BL39" s="147"/>
      <c r="BM39" s="147"/>
    </row>
    <row r="40" spans="1:65" s="235" customFormat="1" x14ac:dyDescent="0.15">
      <c r="A40" s="230"/>
      <c r="B40" s="230"/>
      <c r="C40" s="231" t="s">
        <v>313</v>
      </c>
      <c r="E40" s="230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230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30"/>
      <c r="AB40" s="232"/>
      <c r="AC40" s="232"/>
      <c r="AD40" s="230"/>
      <c r="AE40" s="232"/>
      <c r="AF40" s="232"/>
      <c r="AG40" s="232"/>
      <c r="AH40" s="232"/>
      <c r="AI40" s="232"/>
      <c r="AJ40" s="232"/>
      <c r="AK40" s="232"/>
      <c r="AL40" s="232"/>
      <c r="AM40" s="232"/>
      <c r="AN40" s="232"/>
      <c r="AO40" s="232"/>
      <c r="AP40" s="232"/>
      <c r="AQ40" s="232"/>
      <c r="AR40" s="232"/>
      <c r="AS40" s="232"/>
      <c r="AT40" s="233"/>
      <c r="AU40" s="233"/>
      <c r="AV40" s="232"/>
      <c r="AW40" s="232"/>
      <c r="AX40" s="232"/>
      <c r="AY40" s="232"/>
      <c r="AZ40" s="232"/>
      <c r="BA40" s="232"/>
      <c r="BB40" s="234"/>
      <c r="BC40" s="234"/>
      <c r="BD40" s="234"/>
      <c r="BE40" s="232"/>
      <c r="BF40" s="147"/>
      <c r="BG40" s="147"/>
      <c r="BH40" s="147"/>
      <c r="BI40" s="147"/>
      <c r="BJ40" s="147"/>
      <c r="BK40" s="147"/>
      <c r="BL40" s="147"/>
      <c r="BM40" s="147"/>
    </row>
    <row r="41" spans="1:65" s="235" customFormat="1" x14ac:dyDescent="0.15">
      <c r="A41" s="230"/>
      <c r="B41" s="230"/>
      <c r="C41" s="231" t="s">
        <v>314</v>
      </c>
      <c r="E41" s="230"/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230"/>
      <c r="Q41" s="232"/>
      <c r="R41" s="232"/>
      <c r="S41" s="232"/>
      <c r="T41" s="232"/>
      <c r="U41" s="232"/>
      <c r="V41" s="232"/>
      <c r="W41" s="232"/>
      <c r="X41" s="232"/>
      <c r="Y41" s="232"/>
      <c r="Z41" s="232"/>
      <c r="AA41" s="230"/>
      <c r="AB41" s="232"/>
      <c r="AC41" s="232"/>
      <c r="AD41" s="230"/>
      <c r="AE41" s="232"/>
      <c r="AF41" s="232"/>
      <c r="AG41" s="232"/>
      <c r="AH41" s="232"/>
      <c r="AI41" s="232"/>
      <c r="AJ41" s="232"/>
      <c r="AK41" s="232"/>
      <c r="AL41" s="232"/>
      <c r="AM41" s="232"/>
      <c r="AN41" s="232"/>
      <c r="AO41" s="232"/>
      <c r="AP41" s="232"/>
      <c r="AQ41" s="232"/>
      <c r="AR41" s="232"/>
      <c r="AS41" s="232"/>
      <c r="AT41" s="233"/>
      <c r="AU41" s="233"/>
      <c r="AV41" s="232"/>
      <c r="AW41" s="232"/>
      <c r="AX41" s="232"/>
      <c r="AY41" s="232"/>
      <c r="AZ41" s="232"/>
      <c r="BA41" s="232"/>
      <c r="BB41" s="234"/>
      <c r="BC41" s="234"/>
      <c r="BD41" s="234"/>
      <c r="BE41" s="232"/>
      <c r="BF41" s="147"/>
      <c r="BG41" s="147"/>
      <c r="BH41" s="147"/>
      <c r="BI41" s="147"/>
      <c r="BJ41" s="147"/>
      <c r="BK41" s="147"/>
      <c r="BL41" s="147"/>
      <c r="BM41" s="147"/>
    </row>
    <row r="42" spans="1:65" s="235" customFormat="1" x14ac:dyDescent="0.15">
      <c r="A42" s="230"/>
      <c r="B42" s="230"/>
      <c r="C42" s="231" t="s">
        <v>315</v>
      </c>
      <c r="E42" s="230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0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0"/>
      <c r="AB42" s="232"/>
      <c r="AC42" s="232"/>
      <c r="AD42" s="230"/>
      <c r="AE42" s="232"/>
      <c r="AF42" s="232"/>
      <c r="AG42" s="232"/>
      <c r="AH42" s="232"/>
      <c r="AI42" s="232"/>
      <c r="AJ42" s="232"/>
      <c r="AK42" s="232"/>
      <c r="AL42" s="232"/>
      <c r="AM42" s="232"/>
      <c r="AN42" s="232"/>
      <c r="AO42" s="232"/>
      <c r="AP42" s="232"/>
      <c r="AQ42" s="232"/>
      <c r="AR42" s="232"/>
      <c r="AS42" s="232"/>
      <c r="AT42" s="233"/>
      <c r="AU42" s="233"/>
      <c r="AV42" s="232"/>
      <c r="AW42" s="232"/>
      <c r="AX42" s="232"/>
      <c r="AY42" s="232"/>
      <c r="AZ42" s="232"/>
      <c r="BA42" s="232"/>
      <c r="BB42" s="234"/>
      <c r="BC42" s="234"/>
      <c r="BD42" s="234"/>
      <c r="BE42" s="232"/>
      <c r="BF42" s="147"/>
      <c r="BG42" s="147"/>
      <c r="BH42" s="147"/>
      <c r="BI42" s="147"/>
      <c r="BJ42" s="147"/>
      <c r="BK42" s="147"/>
      <c r="BL42" s="147"/>
      <c r="BM42" s="147"/>
    </row>
    <row r="43" spans="1:65" s="235" customFormat="1" x14ac:dyDescent="0.15">
      <c r="A43" s="230"/>
      <c r="B43" s="230"/>
      <c r="C43" s="231" t="s">
        <v>316</v>
      </c>
      <c r="E43" s="230"/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230"/>
      <c r="Q43" s="232"/>
      <c r="R43" s="232"/>
      <c r="S43" s="232"/>
      <c r="T43" s="232"/>
      <c r="U43" s="232"/>
      <c r="V43" s="232"/>
      <c r="W43" s="232"/>
      <c r="X43" s="232"/>
      <c r="Y43" s="232"/>
      <c r="Z43" s="232"/>
      <c r="AA43" s="230"/>
      <c r="AB43" s="232"/>
      <c r="AC43" s="232"/>
      <c r="AD43" s="230"/>
      <c r="AE43" s="232"/>
      <c r="AF43" s="232"/>
      <c r="AG43" s="232"/>
      <c r="AH43" s="232"/>
      <c r="AI43" s="232"/>
      <c r="AJ43" s="232"/>
      <c r="AK43" s="232"/>
      <c r="AL43" s="232"/>
      <c r="AM43" s="232"/>
      <c r="AN43" s="232"/>
      <c r="AO43" s="232"/>
      <c r="AP43" s="232"/>
      <c r="AQ43" s="232"/>
      <c r="AR43" s="232"/>
      <c r="AS43" s="232"/>
      <c r="AT43" s="233"/>
      <c r="AU43" s="233"/>
      <c r="AV43" s="232"/>
      <c r="AW43" s="232"/>
      <c r="AX43" s="232"/>
      <c r="AY43" s="232"/>
      <c r="AZ43" s="232"/>
      <c r="BA43" s="232"/>
      <c r="BB43" s="234"/>
      <c r="BC43" s="234"/>
      <c r="BD43" s="234"/>
      <c r="BE43" s="232"/>
      <c r="BF43" s="147"/>
      <c r="BG43" s="147"/>
      <c r="BH43" s="147"/>
      <c r="BI43" s="147"/>
      <c r="BJ43" s="147"/>
      <c r="BK43" s="147"/>
      <c r="BL43" s="147"/>
      <c r="BM43" s="147"/>
    </row>
    <row r="44" spans="1:65" s="235" customFormat="1" x14ac:dyDescent="0.15">
      <c r="A44" s="230"/>
      <c r="B44" s="230"/>
      <c r="C44" s="231" t="s">
        <v>317</v>
      </c>
      <c r="E44" s="230"/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0"/>
      <c r="Q44" s="232"/>
      <c r="R44" s="232"/>
      <c r="S44" s="232"/>
      <c r="T44" s="232"/>
      <c r="U44" s="232"/>
      <c r="V44" s="232"/>
      <c r="W44" s="232"/>
      <c r="X44" s="232"/>
      <c r="Y44" s="232"/>
      <c r="Z44" s="232"/>
      <c r="AA44" s="230"/>
      <c r="AB44" s="232"/>
      <c r="AC44" s="232"/>
      <c r="AD44" s="230"/>
      <c r="AE44" s="232"/>
      <c r="AF44" s="232"/>
      <c r="AG44" s="232"/>
      <c r="AH44" s="232"/>
      <c r="AI44" s="232"/>
      <c r="AJ44" s="232"/>
      <c r="AK44" s="232"/>
      <c r="AL44" s="232"/>
      <c r="AM44" s="232"/>
      <c r="AN44" s="232"/>
      <c r="AO44" s="232"/>
      <c r="AP44" s="232"/>
      <c r="AQ44" s="232"/>
      <c r="AR44" s="232"/>
      <c r="AS44" s="232"/>
      <c r="AT44" s="233"/>
      <c r="AU44" s="233"/>
      <c r="AV44" s="232"/>
      <c r="AW44" s="232"/>
      <c r="AX44" s="232"/>
      <c r="AY44" s="232"/>
      <c r="AZ44" s="232"/>
      <c r="BA44" s="232"/>
      <c r="BB44" s="234"/>
      <c r="BC44" s="234"/>
      <c r="BD44" s="234"/>
      <c r="BE44" s="232"/>
      <c r="BF44" s="147"/>
      <c r="BG44" s="147"/>
      <c r="BH44" s="147"/>
      <c r="BI44" s="147"/>
      <c r="BJ44" s="147"/>
      <c r="BK44" s="147"/>
      <c r="BL44" s="147"/>
      <c r="BM44" s="147"/>
    </row>
    <row r="45" spans="1:65" s="235" customFormat="1" x14ac:dyDescent="0.15">
      <c r="A45" s="230"/>
      <c r="B45" s="230"/>
      <c r="C45" s="213" t="s">
        <v>191</v>
      </c>
      <c r="E45" s="230"/>
      <c r="F45" s="232"/>
      <c r="G45" s="232"/>
      <c r="H45" s="232"/>
      <c r="I45" s="232"/>
      <c r="J45" s="232"/>
      <c r="K45" s="232"/>
      <c r="L45" s="232"/>
      <c r="M45" s="232"/>
      <c r="N45" s="232"/>
      <c r="O45" s="232"/>
      <c r="P45" s="230"/>
      <c r="Q45" s="232"/>
      <c r="R45" s="232"/>
      <c r="S45" s="232"/>
      <c r="T45" s="232"/>
      <c r="U45" s="232"/>
      <c r="V45" s="232"/>
      <c r="W45" s="232"/>
      <c r="X45" s="232"/>
      <c r="Y45" s="232"/>
      <c r="Z45" s="232"/>
      <c r="AA45" s="230"/>
      <c r="AB45" s="232"/>
      <c r="AC45" s="232"/>
      <c r="AD45" s="230"/>
      <c r="AE45" s="232"/>
      <c r="AF45" s="232"/>
      <c r="AG45" s="232"/>
      <c r="AH45" s="232"/>
      <c r="AI45" s="232"/>
      <c r="AJ45" s="232"/>
      <c r="AK45" s="232"/>
      <c r="AL45" s="232"/>
      <c r="AM45" s="232"/>
      <c r="AN45" s="232"/>
      <c r="AO45" s="232"/>
      <c r="AP45" s="232"/>
      <c r="AQ45" s="232"/>
      <c r="AR45" s="232"/>
      <c r="AS45" s="232"/>
      <c r="AT45" s="233"/>
      <c r="AU45" s="233"/>
      <c r="AV45" s="232"/>
      <c r="AW45" s="232"/>
      <c r="AX45" s="232"/>
      <c r="AY45" s="232"/>
      <c r="AZ45" s="232"/>
      <c r="BA45" s="232"/>
      <c r="BB45" s="234"/>
      <c r="BC45" s="234"/>
      <c r="BD45" s="234"/>
      <c r="BE45" s="232"/>
      <c r="BF45" s="147"/>
      <c r="BG45" s="147"/>
      <c r="BH45" s="147"/>
      <c r="BI45" s="147"/>
      <c r="BJ45" s="147"/>
      <c r="BK45" s="147"/>
      <c r="BL45" s="147"/>
      <c r="BM45" s="147"/>
    </row>
    <row r="46" spans="1:65" s="235" customFormat="1" x14ac:dyDescent="0.15">
      <c r="A46" s="230"/>
      <c r="B46" s="230"/>
      <c r="C46" s="213" t="s">
        <v>192</v>
      </c>
      <c r="E46" s="230"/>
      <c r="F46" s="232"/>
      <c r="G46" s="232"/>
      <c r="H46" s="232"/>
      <c r="I46" s="232"/>
      <c r="J46" s="232"/>
      <c r="K46" s="232"/>
      <c r="L46" s="232"/>
      <c r="M46" s="232"/>
      <c r="N46" s="232"/>
      <c r="O46" s="232"/>
      <c r="P46" s="230"/>
      <c r="Q46" s="232"/>
      <c r="R46" s="232"/>
      <c r="S46" s="232"/>
      <c r="T46" s="232"/>
      <c r="U46" s="232"/>
      <c r="V46" s="232"/>
      <c r="W46" s="232"/>
      <c r="X46" s="232"/>
      <c r="Y46" s="232"/>
      <c r="Z46" s="232"/>
      <c r="AA46" s="230"/>
      <c r="AB46" s="232"/>
      <c r="AC46" s="232"/>
      <c r="AD46" s="230"/>
      <c r="AE46" s="232"/>
      <c r="AF46" s="232"/>
      <c r="AG46" s="232"/>
      <c r="AH46" s="232"/>
      <c r="AI46" s="232"/>
      <c r="AJ46" s="232"/>
      <c r="AK46" s="232"/>
      <c r="AL46" s="232"/>
      <c r="AM46" s="232"/>
      <c r="AN46" s="232"/>
      <c r="AO46" s="232"/>
      <c r="AP46" s="232"/>
      <c r="AQ46" s="232"/>
      <c r="AR46" s="232"/>
      <c r="AS46" s="232"/>
      <c r="AT46" s="233"/>
      <c r="AU46" s="233"/>
      <c r="AV46" s="232"/>
      <c r="AW46" s="232"/>
      <c r="AX46" s="232"/>
      <c r="AY46" s="232"/>
      <c r="AZ46" s="232"/>
      <c r="BA46" s="232"/>
      <c r="BB46" s="234"/>
      <c r="BC46" s="234"/>
      <c r="BD46" s="234"/>
      <c r="BE46" s="232"/>
      <c r="BF46" s="147"/>
      <c r="BG46" s="147"/>
      <c r="BH46" s="147"/>
      <c r="BI46" s="147"/>
      <c r="BJ46" s="147"/>
      <c r="BK46" s="147"/>
      <c r="BL46" s="147"/>
      <c r="BM46" s="147"/>
    </row>
    <row r="47" spans="1:65" x14ac:dyDescent="0.15">
      <c r="BG47" s="227"/>
      <c r="BH47" s="227"/>
      <c r="BI47" s="227"/>
      <c r="BJ47" s="227"/>
      <c r="BK47" s="227"/>
      <c r="BL47" s="227"/>
      <c r="BM47" s="228"/>
    </row>
  </sheetData>
  <mergeCells count="63">
    <mergeCell ref="BF5:BF14"/>
    <mergeCell ref="A1:J1"/>
    <mergeCell ref="K1:T1"/>
    <mergeCell ref="BB1:BB4"/>
    <mergeCell ref="BC1:BC4"/>
    <mergeCell ref="BD1:BJ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XEK1:XEQ2"/>
    <mergeCell ref="A2:J2"/>
    <mergeCell ref="K2:O2"/>
    <mergeCell ref="P2:T2"/>
    <mergeCell ref="X2:X4"/>
    <mergeCell ref="Y2:Y4"/>
    <mergeCell ref="Z2:Z4"/>
    <mergeCell ref="AA2:AA4"/>
    <mergeCell ref="AB2:AB4"/>
    <mergeCell ref="AC2:AC4"/>
    <mergeCell ref="AD2:AD4"/>
    <mergeCell ref="AE2:AE4"/>
    <mergeCell ref="AF2:AF4"/>
    <mergeCell ref="AG2:AL2"/>
    <mergeCell ref="AM2:AR2"/>
    <mergeCell ref="AS2:AY2"/>
    <mergeCell ref="L3:L4"/>
    <mergeCell ref="M3:M4"/>
    <mergeCell ref="N3:N4"/>
    <mergeCell ref="O3:O4"/>
    <mergeCell ref="P3:Q3"/>
    <mergeCell ref="R3:R4"/>
    <mergeCell ref="S3:S4"/>
    <mergeCell ref="T3:T4"/>
    <mergeCell ref="U3:U4"/>
    <mergeCell ref="V3:V4"/>
    <mergeCell ref="W3:W4"/>
    <mergeCell ref="AG3:AJ3"/>
    <mergeCell ref="AK3:AK4"/>
    <mergeCell ref="AL3:AL4"/>
    <mergeCell ref="AM3:AP3"/>
    <mergeCell ref="AQ3:AQ4"/>
    <mergeCell ref="AR3:AR4"/>
    <mergeCell ref="AS3:AV3"/>
    <mergeCell ref="AW3:AW4"/>
    <mergeCell ref="AX3:AX4"/>
    <mergeCell ref="AY3:AY4"/>
    <mergeCell ref="AZ3:AZ4"/>
    <mergeCell ref="BA3:BA4"/>
    <mergeCell ref="BD3:BD4"/>
    <mergeCell ref="BE3:BE4"/>
    <mergeCell ref="BF3:BF4"/>
    <mergeCell ref="BG3:BG4"/>
    <mergeCell ref="BH3:BH4"/>
    <mergeCell ref="BI3:BI4"/>
    <mergeCell ref="BJ3:BJ4"/>
  </mergeCells>
  <conditionalFormatting sqref="AU5:AU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5:AO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5:B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8"/>
  <sheetViews>
    <sheetView zoomScale="115" zoomScaleNormal="115" workbookViewId="0">
      <pane xSplit="2" ySplit="1" topLeftCell="BK2" activePane="bottomRight" state="frozen"/>
      <selection pane="topRight" activeCell="C1" sqref="C1"/>
      <selection pane="bottomLeft" activeCell="A2" sqref="A2"/>
      <selection pane="bottomRight" activeCell="BX3" sqref="BX3"/>
    </sheetView>
  </sheetViews>
  <sheetFormatPr baseColWidth="10" defaultColWidth="9" defaultRowHeight="15" x14ac:dyDescent="0.2"/>
  <cols>
    <col min="1" max="1" width="10" style="167" bestFit="1" customWidth="1"/>
    <col min="2" max="2" width="14.1640625" style="186" bestFit="1" customWidth="1"/>
    <col min="3" max="5" width="9" style="167"/>
    <col min="6" max="6" width="9" style="181"/>
    <col min="7" max="8" width="9" style="167"/>
    <col min="9" max="9" width="9" style="181"/>
    <col min="10" max="11" width="9" style="167"/>
    <col min="12" max="12" width="9" style="181"/>
    <col min="13" max="14" width="9" style="167"/>
    <col min="15" max="15" width="9" style="181"/>
    <col min="16" max="17" width="9" style="167"/>
    <col min="18" max="18" width="9" style="181"/>
    <col min="19" max="20" width="9" style="167"/>
    <col min="21" max="21" width="9" style="181"/>
    <col min="22" max="23" width="9" style="167"/>
    <col min="24" max="24" width="9" style="181"/>
    <col min="25" max="26" width="9" style="167"/>
    <col min="27" max="27" width="9" style="181"/>
    <col min="28" max="28" width="9" style="167"/>
    <col min="29" max="29" width="9" style="204"/>
    <col min="30" max="32" width="9" style="167"/>
    <col min="33" max="33" width="13.1640625" style="188" bestFit="1" customWidth="1"/>
    <col min="34" max="34" width="12.1640625" style="167" bestFit="1" customWidth="1"/>
    <col min="35" max="35" width="11.1640625" style="167" bestFit="1" customWidth="1"/>
    <col min="36" max="41" width="9.6640625" style="167" bestFit="1" customWidth="1"/>
    <col min="42" max="42" width="9.6640625" style="204" customWidth="1"/>
    <col min="43" max="46" width="9" style="167" bestFit="1" customWidth="1"/>
    <col min="47" max="50" width="9" bestFit="1" customWidth="1"/>
    <col min="51" max="51" width="9.6640625" bestFit="1" customWidth="1"/>
    <col min="52" max="52" width="10" style="206" bestFit="1" customWidth="1"/>
    <col min="53" max="53" width="15.6640625" bestFit="1" customWidth="1"/>
    <col min="54" max="54" width="14.6640625" bestFit="1" customWidth="1"/>
    <col min="55" max="55" width="13.1640625" bestFit="1" customWidth="1"/>
    <col min="56" max="56" width="12.1640625" bestFit="1" customWidth="1"/>
    <col min="57" max="57" width="11.1640625" bestFit="1" customWidth="1"/>
    <col min="58" max="58" width="9.6640625" bestFit="1" customWidth="1"/>
    <col min="59" max="60" width="9.5" bestFit="1" customWidth="1"/>
    <col min="61" max="61" width="9.5" customWidth="1"/>
    <col min="62" max="62" width="10.5" style="206" bestFit="1" customWidth="1"/>
    <col min="63" max="63" width="8.33203125" style="167" bestFit="1" customWidth="1"/>
    <col min="64" max="71" width="8.33203125" bestFit="1" customWidth="1"/>
    <col min="72" max="72" width="9.33203125" style="206" bestFit="1" customWidth="1"/>
    <col min="73" max="73" width="8.33203125" bestFit="1" customWidth="1"/>
    <col min="74" max="74" width="9.33203125" bestFit="1" customWidth="1"/>
    <col min="75" max="75" width="5.1640625" style="167" bestFit="1" customWidth="1"/>
    <col min="76" max="76" width="8.6640625" style="204" bestFit="1" customWidth="1"/>
    <col min="77" max="16384" width="9" style="167"/>
  </cols>
  <sheetData>
    <row r="1" spans="1:76" customFormat="1" x14ac:dyDescent="0.2">
      <c r="A1" s="412" t="s">
        <v>263</v>
      </c>
      <c r="B1" s="193" t="s">
        <v>195</v>
      </c>
      <c r="C1" s="534">
        <v>1</v>
      </c>
      <c r="D1" s="535"/>
      <c r="E1" s="536"/>
      <c r="F1" s="534">
        <v>2</v>
      </c>
      <c r="G1" s="535"/>
      <c r="H1" s="536"/>
      <c r="I1" s="534">
        <v>3</v>
      </c>
      <c r="J1" s="535"/>
      <c r="K1" s="536"/>
      <c r="L1" s="534">
        <v>4</v>
      </c>
      <c r="M1" s="535"/>
      <c r="N1" s="536"/>
      <c r="O1" s="534">
        <v>5</v>
      </c>
      <c r="P1" s="535"/>
      <c r="Q1" s="536"/>
      <c r="R1" s="534">
        <v>6</v>
      </c>
      <c r="S1" s="535"/>
      <c r="T1" s="536"/>
      <c r="U1" s="534">
        <v>7</v>
      </c>
      <c r="V1" s="535"/>
      <c r="W1" s="536"/>
      <c r="X1" s="534">
        <v>8</v>
      </c>
      <c r="Y1" s="535"/>
      <c r="Z1" s="536"/>
      <c r="AA1" s="534">
        <v>9</v>
      </c>
      <c r="AB1" s="535"/>
      <c r="AC1" s="536"/>
      <c r="AD1" s="534">
        <v>10</v>
      </c>
      <c r="AE1" s="535"/>
      <c r="AF1" s="536"/>
      <c r="AG1" s="194" t="s">
        <v>223</v>
      </c>
      <c r="AH1" s="194" t="s">
        <v>224</v>
      </c>
      <c r="AI1" s="194" t="s">
        <v>225</v>
      </c>
      <c r="AJ1" s="194" t="s">
        <v>226</v>
      </c>
      <c r="AK1" s="194" t="s">
        <v>227</v>
      </c>
      <c r="AL1" s="194" t="s">
        <v>228</v>
      </c>
      <c r="AM1" s="194" t="s">
        <v>229</v>
      </c>
      <c r="AN1" s="194" t="s">
        <v>230</v>
      </c>
      <c r="AO1" s="194" t="s">
        <v>231</v>
      </c>
      <c r="AP1" s="209" t="s">
        <v>232</v>
      </c>
      <c r="AQ1" s="194" t="s">
        <v>233</v>
      </c>
      <c r="AR1" s="194" t="s">
        <v>234</v>
      </c>
      <c r="AS1" s="194" t="s">
        <v>235</v>
      </c>
      <c r="AT1" s="194" t="s">
        <v>236</v>
      </c>
      <c r="AU1" s="194" t="s">
        <v>237</v>
      </c>
      <c r="AV1" s="194" t="s">
        <v>238</v>
      </c>
      <c r="AW1" s="194" t="s">
        <v>239</v>
      </c>
      <c r="AX1" s="194" t="s">
        <v>240</v>
      </c>
      <c r="AY1" s="194" t="s">
        <v>241</v>
      </c>
      <c r="AZ1" s="209" t="s">
        <v>242</v>
      </c>
      <c r="BA1" s="194" t="s">
        <v>243</v>
      </c>
      <c r="BB1" s="194" t="s">
        <v>244</v>
      </c>
      <c r="BC1" s="194" t="s">
        <v>245</v>
      </c>
      <c r="BD1" s="194" t="s">
        <v>246</v>
      </c>
      <c r="BE1" s="194" t="s">
        <v>247</v>
      </c>
      <c r="BF1" s="194" t="s">
        <v>248</v>
      </c>
      <c r="BG1" s="194" t="s">
        <v>249</v>
      </c>
      <c r="BH1" s="194" t="s">
        <v>250</v>
      </c>
      <c r="BI1" s="194" t="s">
        <v>251</v>
      </c>
      <c r="BJ1" s="209" t="s">
        <v>252</v>
      </c>
      <c r="BK1" s="194" t="s">
        <v>253</v>
      </c>
      <c r="BL1" s="194" t="s">
        <v>254</v>
      </c>
      <c r="BM1" s="194" t="s">
        <v>255</v>
      </c>
      <c r="BN1" s="194" t="s">
        <v>256</v>
      </c>
      <c r="BO1" s="194" t="s">
        <v>257</v>
      </c>
      <c r="BP1" s="194" t="s">
        <v>258</v>
      </c>
      <c r="BQ1" s="194" t="s">
        <v>259</v>
      </c>
      <c r="BR1" s="194" t="s">
        <v>260</v>
      </c>
      <c r="BS1" s="194" t="s">
        <v>261</v>
      </c>
      <c r="BT1" s="209" t="s">
        <v>262</v>
      </c>
      <c r="BU1" s="194" t="s">
        <v>4</v>
      </c>
      <c r="BV1" s="194" t="s">
        <v>3</v>
      </c>
      <c r="BW1" s="190" t="s">
        <v>221</v>
      </c>
      <c r="BX1" s="202" t="s">
        <v>222</v>
      </c>
    </row>
    <row r="2" spans="1:76" customFormat="1" ht="16" thickBot="1" x14ac:dyDescent="0.25">
      <c r="A2" s="413"/>
      <c r="B2" s="189"/>
      <c r="C2" s="177" t="s">
        <v>196</v>
      </c>
      <c r="D2" s="177" t="s">
        <v>197</v>
      </c>
      <c r="E2" s="177" t="s">
        <v>198</v>
      </c>
      <c r="F2" s="178" t="s">
        <v>196</v>
      </c>
      <c r="G2" s="177" t="s">
        <v>197</v>
      </c>
      <c r="H2" s="177" t="s">
        <v>198</v>
      </c>
      <c r="I2" s="178" t="s">
        <v>196</v>
      </c>
      <c r="J2" s="177" t="s">
        <v>197</v>
      </c>
      <c r="K2" s="177" t="s">
        <v>198</v>
      </c>
      <c r="L2" s="178" t="s">
        <v>196</v>
      </c>
      <c r="M2" s="177" t="s">
        <v>197</v>
      </c>
      <c r="N2" s="177" t="s">
        <v>198</v>
      </c>
      <c r="O2" s="178" t="s">
        <v>196</v>
      </c>
      <c r="P2" s="177" t="s">
        <v>197</v>
      </c>
      <c r="Q2" s="177" t="s">
        <v>198</v>
      </c>
      <c r="R2" s="178" t="s">
        <v>196</v>
      </c>
      <c r="S2" s="177" t="s">
        <v>197</v>
      </c>
      <c r="T2" s="177" t="s">
        <v>198</v>
      </c>
      <c r="U2" s="178" t="s">
        <v>196</v>
      </c>
      <c r="V2" s="177" t="s">
        <v>197</v>
      </c>
      <c r="W2" s="177" t="s">
        <v>198</v>
      </c>
      <c r="X2" s="178" t="s">
        <v>196</v>
      </c>
      <c r="Y2" s="177" t="s">
        <v>197</v>
      </c>
      <c r="Z2" s="177" t="s">
        <v>198</v>
      </c>
      <c r="AA2" s="178" t="s">
        <v>196</v>
      </c>
      <c r="AB2" s="177" t="s">
        <v>197</v>
      </c>
      <c r="AC2" s="196" t="s">
        <v>198</v>
      </c>
      <c r="AD2" s="177" t="s">
        <v>196</v>
      </c>
      <c r="AE2" s="177" t="s">
        <v>197</v>
      </c>
      <c r="AF2" s="196" t="s">
        <v>198</v>
      </c>
      <c r="AG2" s="182" t="s">
        <v>218</v>
      </c>
      <c r="AH2" s="183" t="s">
        <v>218</v>
      </c>
      <c r="AI2" s="183" t="s">
        <v>218</v>
      </c>
      <c r="AJ2" s="183" t="s">
        <v>218</v>
      </c>
      <c r="AK2" s="183" t="s">
        <v>218</v>
      </c>
      <c r="AL2" s="183" t="s">
        <v>218</v>
      </c>
      <c r="AM2" s="183" t="s">
        <v>218</v>
      </c>
      <c r="AN2" s="183" t="s">
        <v>218</v>
      </c>
      <c r="AO2" s="183" t="s">
        <v>218</v>
      </c>
      <c r="AP2" s="184" t="s">
        <v>218</v>
      </c>
      <c r="AQ2" s="183" t="s">
        <v>193</v>
      </c>
      <c r="AR2" s="183" t="s">
        <v>193</v>
      </c>
      <c r="AS2" s="183" t="s">
        <v>193</v>
      </c>
      <c r="AT2" s="183" t="s">
        <v>193</v>
      </c>
      <c r="AU2" s="183" t="s">
        <v>193</v>
      </c>
      <c r="AV2" s="183" t="s">
        <v>193</v>
      </c>
      <c r="AW2" s="183" t="s">
        <v>193</v>
      </c>
      <c r="AX2" s="183" t="s">
        <v>193</v>
      </c>
      <c r="AY2" s="183" t="s">
        <v>193</v>
      </c>
      <c r="AZ2" s="184" t="s">
        <v>193</v>
      </c>
      <c r="BA2" s="183" t="s">
        <v>187</v>
      </c>
      <c r="BB2" s="183" t="s">
        <v>187</v>
      </c>
      <c r="BC2" s="183" t="s">
        <v>187</v>
      </c>
      <c r="BD2" s="183" t="s">
        <v>187</v>
      </c>
      <c r="BE2" s="183" t="s">
        <v>187</v>
      </c>
      <c r="BF2" s="183" t="s">
        <v>187</v>
      </c>
      <c r="BG2" s="183" t="s">
        <v>187</v>
      </c>
      <c r="BH2" s="183" t="s">
        <v>187</v>
      </c>
      <c r="BI2" s="183" t="s">
        <v>187</v>
      </c>
      <c r="BJ2" s="184" t="s">
        <v>187</v>
      </c>
      <c r="BK2" s="197" t="s">
        <v>194</v>
      </c>
      <c r="BL2" s="197" t="s">
        <v>194</v>
      </c>
      <c r="BM2" s="197" t="s">
        <v>194</v>
      </c>
      <c r="BN2" s="197" t="s">
        <v>194</v>
      </c>
      <c r="BO2" s="197" t="s">
        <v>194</v>
      </c>
      <c r="BP2" s="197" t="s">
        <v>194</v>
      </c>
      <c r="BQ2" s="197" t="s">
        <v>194</v>
      </c>
      <c r="BR2" s="197" t="s">
        <v>194</v>
      </c>
      <c r="BS2" s="197" t="s">
        <v>194</v>
      </c>
      <c r="BT2" s="195" t="s">
        <v>194</v>
      </c>
      <c r="BU2" s="183" t="s">
        <v>219</v>
      </c>
      <c r="BV2" s="197" t="s">
        <v>220</v>
      </c>
      <c r="BW2" s="177"/>
      <c r="BX2" s="196"/>
    </row>
    <row r="3" spans="1:76" x14ac:dyDescent="0.2">
      <c r="A3" s="260" t="s">
        <v>23</v>
      </c>
      <c r="B3" s="185"/>
      <c r="C3" s="141"/>
      <c r="D3" s="141"/>
      <c r="E3" s="141"/>
      <c r="F3" s="155"/>
      <c r="G3" s="141"/>
      <c r="H3" s="141"/>
      <c r="I3" s="155"/>
      <c r="J3" s="141"/>
      <c r="K3" s="141"/>
      <c r="L3" s="155"/>
      <c r="M3" s="141"/>
      <c r="N3" s="141"/>
      <c r="O3" s="155"/>
      <c r="P3" s="141"/>
      <c r="Q3" s="141"/>
      <c r="R3" s="155"/>
      <c r="S3" s="141"/>
      <c r="T3" s="141"/>
      <c r="U3" s="155"/>
      <c r="V3" s="141"/>
      <c r="W3" s="141"/>
      <c r="X3" s="155"/>
      <c r="Y3" s="141"/>
      <c r="Z3" s="141"/>
      <c r="AA3" s="155"/>
      <c r="AB3" s="141"/>
      <c r="AC3" s="203"/>
      <c r="AD3" s="141"/>
      <c r="AE3" s="141"/>
      <c r="AF3" s="141"/>
      <c r="AG3" s="187" t="e">
        <f>AVERAGE(C3:E3)</f>
        <v>#DIV/0!</v>
      </c>
      <c r="AH3" s="141" t="e">
        <f t="shared" ref="AH3:AH6" si="0">AVERAGE(F3:H3)</f>
        <v>#DIV/0!</v>
      </c>
      <c r="AI3" s="141" t="e">
        <f t="shared" ref="AI3:AI6" si="1">AVERAGE(I3:K3)</f>
        <v>#DIV/0!</v>
      </c>
      <c r="AJ3" s="141" t="e">
        <f t="shared" ref="AJ3:AJ6" si="2">AVERAGE(L3:N3)</f>
        <v>#DIV/0!</v>
      </c>
      <c r="AK3" s="141" t="e">
        <f t="shared" ref="AK3:AK6" si="3">AVERAGE(O3:Q3)</f>
        <v>#DIV/0!</v>
      </c>
      <c r="AL3" s="141" t="e">
        <f>AVERAGE(R3:T3)</f>
        <v>#DIV/0!</v>
      </c>
      <c r="AM3" s="141" t="e">
        <f>AVERAGE(U3:W3)</f>
        <v>#DIV/0!</v>
      </c>
      <c r="AN3" s="141" t="e">
        <f>AVERAGE(X3:Z3)</f>
        <v>#DIV/0!</v>
      </c>
      <c r="AO3" s="141" t="e">
        <f>AVERAGE(AA3:AC3)</f>
        <v>#DIV/0!</v>
      </c>
      <c r="AP3" s="203"/>
      <c r="AQ3" s="191">
        <v>10</v>
      </c>
      <c r="AR3" s="191">
        <v>1</v>
      </c>
      <c r="AS3" s="191">
        <v>0.1</v>
      </c>
      <c r="AT3" s="191">
        <v>0.01</v>
      </c>
      <c r="AU3" s="191">
        <v>1E-3</v>
      </c>
      <c r="AV3" s="191">
        <v>1E-4</v>
      </c>
      <c r="AW3" s="191">
        <v>1.0000000000000001E-5</v>
      </c>
      <c r="AX3" s="191">
        <v>9.9999999999999995E-7</v>
      </c>
      <c r="AY3" s="191">
        <v>9.9999999999999995E-8</v>
      </c>
      <c r="AZ3" s="210"/>
      <c r="BA3" s="192">
        <f t="shared" ref="BA3:BI3" si="4">(AQ3*(6.0221*10^23))/(29903*340*10^9)</f>
        <v>592317119.47060192</v>
      </c>
      <c r="BB3" s="192">
        <f t="shared" si="4"/>
        <v>59231711.94706019</v>
      </c>
      <c r="BC3" s="192">
        <f t="shared" si="4"/>
        <v>5923171.1947060199</v>
      </c>
      <c r="BD3" s="192">
        <f t="shared" si="4"/>
        <v>592317.11947060202</v>
      </c>
      <c r="BE3" s="192">
        <f t="shared" si="4"/>
        <v>59231.711947060197</v>
      </c>
      <c r="BF3" s="192">
        <f t="shared" si="4"/>
        <v>5923.1711947060194</v>
      </c>
      <c r="BG3" s="192">
        <f t="shared" si="4"/>
        <v>592.31711947060205</v>
      </c>
      <c r="BH3" s="192">
        <f t="shared" si="4"/>
        <v>59.231711947060191</v>
      </c>
      <c r="BI3" s="192">
        <f t="shared" si="4"/>
        <v>5.9231711947060193</v>
      </c>
      <c r="BJ3" s="207"/>
      <c r="BK3" s="192">
        <f>LOG10(BA3)</f>
        <v>8.7725542850369767</v>
      </c>
      <c r="BL3" s="192">
        <f t="shared" ref="BL3:BS3" si="5">LOG10(BB3)</f>
        <v>7.7725542850369775</v>
      </c>
      <c r="BM3" s="192">
        <f t="shared" si="5"/>
        <v>6.7725542850369775</v>
      </c>
      <c r="BN3" s="192">
        <f t="shared" si="5"/>
        <v>5.7725542850369775</v>
      </c>
      <c r="BO3" s="192">
        <f t="shared" si="5"/>
        <v>4.7725542850369775</v>
      </c>
      <c r="BP3" s="192">
        <f t="shared" si="5"/>
        <v>3.7725542850369775</v>
      </c>
      <c r="BQ3" s="192">
        <f t="shared" si="5"/>
        <v>2.7725542850369775</v>
      </c>
      <c r="BR3" s="192">
        <f t="shared" si="5"/>
        <v>1.7725542850369773</v>
      </c>
      <c r="BS3" s="192">
        <f t="shared" si="5"/>
        <v>0.77255428503697743</v>
      </c>
      <c r="BT3" s="207"/>
      <c r="BU3" s="200" t="e">
        <f t="shared" ref="BU3" si="6">INTERCEPT(AG3:AP3,BK3:BT3)</f>
        <v>#DIV/0!</v>
      </c>
      <c r="BV3" s="200" t="e">
        <f t="shared" ref="BV3" si="7">SLOPE(AG3:AP3,BK3:BT3)</f>
        <v>#DIV/0!</v>
      </c>
      <c r="BW3" s="201" t="e">
        <f t="shared" ref="BW3" si="8">CORREL(AG3:AP3,BK3:BT3)^2</f>
        <v>#DIV/0!</v>
      </c>
      <c r="BX3" s="203" t="e">
        <f t="shared" ref="BX3" si="9">10^(-1/BV3)-1</f>
        <v>#DIV/0!</v>
      </c>
    </row>
    <row r="4" spans="1:76" x14ac:dyDescent="0.2">
      <c r="A4" s="167" t="s">
        <v>22</v>
      </c>
      <c r="B4" s="185"/>
      <c r="C4" s="141"/>
      <c r="D4" s="141"/>
      <c r="E4" s="141"/>
      <c r="F4" s="155"/>
      <c r="G4" s="141"/>
      <c r="H4" s="141"/>
      <c r="I4" s="155"/>
      <c r="J4" s="141"/>
      <c r="K4" s="141"/>
      <c r="L4" s="155"/>
      <c r="M4" s="141"/>
      <c r="N4" s="141"/>
      <c r="O4" s="155"/>
      <c r="P4" s="141"/>
      <c r="Q4" s="141"/>
      <c r="R4" s="155"/>
      <c r="S4" s="141"/>
      <c r="T4" s="141"/>
      <c r="U4" s="155"/>
      <c r="V4" s="141"/>
      <c r="W4" s="203"/>
      <c r="X4" s="199"/>
      <c r="Y4" s="141"/>
      <c r="Z4" s="203"/>
      <c r="AA4" s="199"/>
      <c r="AB4" s="141"/>
      <c r="AC4" s="203"/>
      <c r="AD4" s="199"/>
      <c r="AE4" s="141"/>
      <c r="AF4" s="203"/>
      <c r="AG4" s="141" t="e">
        <f>AVERAGE(C4:E4)</f>
        <v>#DIV/0!</v>
      </c>
      <c r="AH4" s="141" t="e">
        <f t="shared" si="0"/>
        <v>#DIV/0!</v>
      </c>
      <c r="AI4" s="141" t="e">
        <f t="shared" si="1"/>
        <v>#DIV/0!</v>
      </c>
      <c r="AJ4" s="141" t="e">
        <f t="shared" si="2"/>
        <v>#DIV/0!</v>
      </c>
      <c r="AK4" s="141" t="e">
        <f t="shared" si="3"/>
        <v>#DIV/0!</v>
      </c>
      <c r="AL4" s="141" t="e">
        <f>AVERAGE(R4:T4)</f>
        <v>#DIV/0!</v>
      </c>
      <c r="AM4" s="141" t="e">
        <f>AVERAGE(U4:W4)</f>
        <v>#DIV/0!</v>
      </c>
      <c r="AN4" s="141" t="e">
        <f>AVERAGE(X4:Z4)</f>
        <v>#DIV/0!</v>
      </c>
      <c r="AO4" s="141" t="e">
        <f>AVERAGE(AA4:AC4)</f>
        <v>#DIV/0!</v>
      </c>
      <c r="AP4" s="203" t="e">
        <f>AVERAGE(AD4:AF4)</f>
        <v>#DIV/0!</v>
      </c>
      <c r="AU4" s="167"/>
      <c r="AV4" s="167"/>
      <c r="AW4" s="167"/>
      <c r="AX4" s="167"/>
      <c r="AY4" s="167"/>
      <c r="AZ4" s="204"/>
      <c r="BA4" s="192">
        <f>10^10</f>
        <v>10000000000</v>
      </c>
      <c r="BB4" s="192">
        <f>10^9</f>
        <v>1000000000</v>
      </c>
      <c r="BC4" s="192">
        <f>10^8</f>
        <v>100000000</v>
      </c>
      <c r="BD4" s="192">
        <f>10^7</f>
        <v>10000000</v>
      </c>
      <c r="BE4" s="192">
        <f>10^6</f>
        <v>1000000</v>
      </c>
      <c r="BF4" s="192">
        <f>10^5</f>
        <v>100000</v>
      </c>
      <c r="BG4" s="192">
        <f>10^4</f>
        <v>10000</v>
      </c>
      <c r="BH4" s="192">
        <f>10^3</f>
        <v>1000</v>
      </c>
      <c r="BI4" s="192">
        <f>10^2</f>
        <v>100</v>
      </c>
      <c r="BJ4" s="207">
        <f>10^1</f>
        <v>10</v>
      </c>
      <c r="BK4" s="180">
        <f>LOG(BA4)</f>
        <v>10</v>
      </c>
      <c r="BL4" s="180">
        <f t="shared" ref="BL4:BS4" si="10">LOG(BB4)</f>
        <v>9</v>
      </c>
      <c r="BM4" s="180">
        <f t="shared" si="10"/>
        <v>8</v>
      </c>
      <c r="BN4" s="180">
        <f t="shared" si="10"/>
        <v>7</v>
      </c>
      <c r="BO4" s="180">
        <f t="shared" si="10"/>
        <v>6</v>
      </c>
      <c r="BP4" s="180">
        <f t="shared" si="10"/>
        <v>5</v>
      </c>
      <c r="BQ4" s="180">
        <f t="shared" si="10"/>
        <v>4</v>
      </c>
      <c r="BR4" s="180">
        <f t="shared" si="10"/>
        <v>3</v>
      </c>
      <c r="BS4" s="180">
        <f t="shared" si="10"/>
        <v>2</v>
      </c>
      <c r="BT4" s="205">
        <f>LOG(BJ4)</f>
        <v>1</v>
      </c>
      <c r="BU4" s="200" t="e">
        <f>INTERCEPT(AG4:AP4,BK4:BT4)</f>
        <v>#DIV/0!</v>
      </c>
      <c r="BV4" s="200" t="e">
        <f>SLOPE(AG4:AP4,BK4:BT4)</f>
        <v>#DIV/0!</v>
      </c>
      <c r="BW4" s="201" t="e">
        <f>CORREL(AG4:AP4,BK4:BT4)^2</f>
        <v>#DIV/0!</v>
      </c>
      <c r="BX4" s="203" t="e">
        <f>10^(-1/BV4)-1</f>
        <v>#DIV/0!</v>
      </c>
    </row>
    <row r="5" spans="1:76" x14ac:dyDescent="0.2">
      <c r="A5" s="167" t="s">
        <v>199</v>
      </c>
      <c r="B5" s="185"/>
      <c r="C5" s="141"/>
      <c r="D5" s="141"/>
      <c r="E5" s="141"/>
      <c r="F5" s="155"/>
      <c r="G5" s="141"/>
      <c r="H5" s="141"/>
      <c r="I5" s="155"/>
      <c r="J5" s="141"/>
      <c r="K5" s="141"/>
      <c r="L5" s="155"/>
      <c r="M5" s="141"/>
      <c r="N5" s="141"/>
      <c r="O5" s="155"/>
      <c r="P5" s="141"/>
      <c r="Q5" s="141"/>
      <c r="R5" s="179"/>
      <c r="S5" s="180"/>
      <c r="T5" s="180"/>
      <c r="U5" s="179"/>
      <c r="V5" s="180"/>
      <c r="W5" s="205"/>
      <c r="X5" s="167"/>
      <c r="Z5" s="204"/>
      <c r="AA5" s="167"/>
      <c r="AF5" s="204"/>
      <c r="AG5" s="199" t="e">
        <f>AVERAGE(C5:E5)</f>
        <v>#DIV/0!</v>
      </c>
      <c r="AH5" s="199" t="e">
        <f t="shared" si="0"/>
        <v>#DIV/0!</v>
      </c>
      <c r="AI5" s="199" t="e">
        <f t="shared" si="1"/>
        <v>#DIV/0!</v>
      </c>
      <c r="AJ5" s="199" t="e">
        <f t="shared" si="2"/>
        <v>#DIV/0!</v>
      </c>
      <c r="AK5" s="199" t="e">
        <f t="shared" si="3"/>
        <v>#DIV/0!</v>
      </c>
      <c r="AL5" s="208"/>
      <c r="AM5" s="208"/>
      <c r="AQ5" s="191">
        <v>100</v>
      </c>
      <c r="AR5" s="191">
        <v>10</v>
      </c>
      <c r="AS5" s="191">
        <v>1</v>
      </c>
      <c r="AT5" s="191">
        <v>0.1</v>
      </c>
      <c r="AU5" s="191">
        <v>0.01</v>
      </c>
      <c r="AV5" s="198"/>
      <c r="AW5" s="198"/>
      <c r="AX5" s="167"/>
      <c r="AY5" s="167"/>
      <c r="AZ5" s="204"/>
      <c r="BA5" s="192">
        <f t="shared" ref="BA5:BE6" si="11">(AQ5*(6.0221*10^23))/(15123*340*10^9)</f>
        <v>11712000809.052048</v>
      </c>
      <c r="BB5" s="192">
        <f t="shared" si="11"/>
        <v>1171200080.9052045</v>
      </c>
      <c r="BC5" s="192">
        <f t="shared" si="11"/>
        <v>117120008.09052046</v>
      </c>
      <c r="BD5" s="192">
        <f t="shared" si="11"/>
        <v>11712000.809052046</v>
      </c>
      <c r="BE5" s="192">
        <f t="shared" si="11"/>
        <v>1171200.0809052046</v>
      </c>
      <c r="BF5" s="198"/>
      <c r="BG5" s="198"/>
      <c r="BH5" s="167"/>
      <c r="BI5" s="167"/>
      <c r="BJ5" s="204"/>
      <c r="BK5" s="208">
        <f t="shared" ref="BK5:BQ6" si="12">IF(BA5="","",LOG(BA5))</f>
        <v>10.068631093714899</v>
      </c>
      <c r="BL5" s="208">
        <f t="shared" si="12"/>
        <v>9.0686310937148988</v>
      </c>
      <c r="BM5" s="208">
        <f t="shared" si="12"/>
        <v>8.0686310937148988</v>
      </c>
      <c r="BN5" s="208">
        <f t="shared" si="12"/>
        <v>7.0686310937148997</v>
      </c>
      <c r="BO5" s="208">
        <f t="shared" si="12"/>
        <v>6.0686310937148997</v>
      </c>
      <c r="BP5" s="208" t="str">
        <f t="shared" si="12"/>
        <v/>
      </c>
      <c r="BQ5" s="208" t="str">
        <f t="shared" si="12"/>
        <v/>
      </c>
      <c r="BR5" s="176"/>
      <c r="BS5" s="176"/>
      <c r="BT5" s="211"/>
      <c r="BU5" s="200" t="e">
        <f t="shared" ref="BU5:BU6" si="13">INTERCEPT(AG5:AP5,BK5:BT5)</f>
        <v>#DIV/0!</v>
      </c>
      <c r="BV5" s="200" t="e">
        <f t="shared" ref="BV5:BV6" si="14">SLOPE(AG5:AP5,BK5:BT5)</f>
        <v>#DIV/0!</v>
      </c>
      <c r="BW5" s="201" t="e">
        <f t="shared" ref="BW5:BW6" si="15">CORREL(AG5:AP5,BK5:BT5)^2</f>
        <v>#DIV/0!</v>
      </c>
      <c r="BX5" s="203" t="e">
        <f t="shared" ref="BX5:BX6" si="16">10^(-1/BV5)-1</f>
        <v>#DIV/0!</v>
      </c>
    </row>
    <row r="6" spans="1:76" x14ac:dyDescent="0.2">
      <c r="A6" s="167" t="s">
        <v>199</v>
      </c>
      <c r="B6" s="185"/>
      <c r="C6" s="141"/>
      <c r="D6" s="141"/>
      <c r="E6" s="141"/>
      <c r="F6" s="155"/>
      <c r="G6" s="141"/>
      <c r="H6" s="141"/>
      <c r="I6" s="155"/>
      <c r="J6" s="141"/>
      <c r="K6" s="141"/>
      <c r="L6" s="155"/>
      <c r="M6" s="141"/>
      <c r="N6" s="141"/>
      <c r="O6" s="155"/>
      <c r="P6" s="141"/>
      <c r="Q6" s="141"/>
      <c r="R6" s="155"/>
      <c r="S6" s="141"/>
      <c r="T6" s="141"/>
      <c r="U6" s="155"/>
      <c r="V6" s="141"/>
      <c r="W6" s="203"/>
      <c r="X6" s="167"/>
      <c r="Z6" s="204"/>
      <c r="AA6" s="167"/>
      <c r="AF6" s="204"/>
      <c r="AG6" s="199" t="e">
        <f>AVERAGE(C6:E6)</f>
        <v>#DIV/0!</v>
      </c>
      <c r="AH6" s="199" t="e">
        <f t="shared" si="0"/>
        <v>#DIV/0!</v>
      </c>
      <c r="AI6" s="199" t="e">
        <f t="shared" si="1"/>
        <v>#DIV/0!</v>
      </c>
      <c r="AJ6" s="199" t="e">
        <f t="shared" si="2"/>
        <v>#DIV/0!</v>
      </c>
      <c r="AK6" s="199" t="e">
        <f t="shared" si="3"/>
        <v>#DIV/0!</v>
      </c>
      <c r="AL6" s="199" t="e">
        <f>AVERAGE(R6:T6)</f>
        <v>#DIV/0!</v>
      </c>
      <c r="AM6" s="199" t="e">
        <f>AVERAGE(U6:W6)</f>
        <v>#DIV/0!</v>
      </c>
      <c r="AQ6" s="191">
        <v>50</v>
      </c>
      <c r="AR6" s="191">
        <v>5</v>
      </c>
      <c r="AS6" s="191">
        <v>0.5</v>
      </c>
      <c r="AT6" s="191">
        <v>0.05</v>
      </c>
      <c r="AU6" s="191">
        <v>5.0000000000000001E-3</v>
      </c>
      <c r="AV6" s="191">
        <v>5.0000000000000001E-4</v>
      </c>
      <c r="AW6" s="191">
        <v>5.0000000000000002E-5</v>
      </c>
      <c r="AX6" s="167"/>
      <c r="AY6" s="167"/>
      <c r="AZ6" s="204"/>
      <c r="BA6" s="192">
        <f t="shared" si="11"/>
        <v>5856000404.5260239</v>
      </c>
      <c r="BB6" s="192">
        <f t="shared" si="11"/>
        <v>585600040.45260227</v>
      </c>
      <c r="BC6" s="192">
        <f t="shared" si="11"/>
        <v>58560004.045260228</v>
      </c>
      <c r="BD6" s="192">
        <f t="shared" si="11"/>
        <v>5856000.4045260232</v>
      </c>
      <c r="BE6" s="192">
        <f t="shared" si="11"/>
        <v>585600.04045260232</v>
      </c>
      <c r="BF6" s="192">
        <f>(AV6*(6.0221*10^23))/(15123*340*10^9)</f>
        <v>58560.004045260233</v>
      </c>
      <c r="BG6" s="192">
        <f>(AW6*(6.0221*10^23))/(15123*340*10^9)</f>
        <v>5856.000404526023</v>
      </c>
      <c r="BH6" s="167"/>
      <c r="BI6" s="167"/>
      <c r="BJ6" s="204"/>
      <c r="BK6" s="208">
        <f t="shared" si="12"/>
        <v>9.7676010980509176</v>
      </c>
      <c r="BL6" s="208">
        <f t="shared" si="12"/>
        <v>8.7676010980509176</v>
      </c>
      <c r="BM6" s="208">
        <f t="shared" si="12"/>
        <v>7.7676010980509185</v>
      </c>
      <c r="BN6" s="208">
        <f t="shared" si="12"/>
        <v>6.7676010980509185</v>
      </c>
      <c r="BO6" s="208">
        <f t="shared" si="12"/>
        <v>5.7676010980509185</v>
      </c>
      <c r="BP6" s="208">
        <f t="shared" si="12"/>
        <v>4.7676010980509185</v>
      </c>
      <c r="BQ6" s="208">
        <f t="shared" si="12"/>
        <v>3.7676010980509185</v>
      </c>
      <c r="BR6" s="176"/>
      <c r="BS6" s="176"/>
      <c r="BT6" s="211"/>
      <c r="BU6" s="200" t="e">
        <f t="shared" si="13"/>
        <v>#DIV/0!</v>
      </c>
      <c r="BV6" s="200" t="e">
        <f t="shared" si="14"/>
        <v>#DIV/0!</v>
      </c>
      <c r="BW6" s="201" t="e">
        <f t="shared" si="15"/>
        <v>#DIV/0!</v>
      </c>
      <c r="BX6" s="203" t="e">
        <f t="shared" si="16"/>
        <v>#DIV/0!</v>
      </c>
    </row>
    <row r="7" spans="1:76" x14ac:dyDescent="0.2">
      <c r="W7" s="204"/>
      <c r="X7" s="198"/>
      <c r="Z7" s="204"/>
      <c r="AA7" s="198"/>
      <c r="AF7" s="204"/>
      <c r="AG7" s="198"/>
    </row>
    <row r="8" spans="1:76" x14ac:dyDescent="0.2">
      <c r="AF8" s="204"/>
      <c r="AG8" s="198"/>
    </row>
  </sheetData>
  <mergeCells count="10">
    <mergeCell ref="AD1:AF1"/>
    <mergeCell ref="I1:K1"/>
    <mergeCell ref="F1:H1"/>
    <mergeCell ref="C1:E1"/>
    <mergeCell ref="AA1:AC1"/>
    <mergeCell ref="X1:Z1"/>
    <mergeCell ref="U1:W1"/>
    <mergeCell ref="R1:T1"/>
    <mergeCell ref="O1:Q1"/>
    <mergeCell ref="L1:N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F26"/>
  <sheetViews>
    <sheetView showGridLines="0" topLeftCell="A8" zoomScaleNormal="100" workbookViewId="0">
      <selection activeCell="E19" sqref="E19"/>
    </sheetView>
  </sheetViews>
  <sheetFormatPr baseColWidth="10" defaultColWidth="8.83203125" defaultRowHeight="15" x14ac:dyDescent="0.2"/>
  <cols>
    <col min="1" max="1" width="2.33203125" customWidth="1"/>
    <col min="2" max="2" width="15.33203125" customWidth="1"/>
    <col min="3" max="3" width="17.1640625" customWidth="1"/>
    <col min="4" max="4" width="11.33203125" style="145" customWidth="1"/>
    <col min="5" max="5" width="13.1640625" style="145" customWidth="1"/>
    <col min="7" max="7" width="11.1640625" bestFit="1" customWidth="1"/>
  </cols>
  <sheetData>
    <row r="2" spans="2:5" x14ac:dyDescent="0.2">
      <c r="B2" s="537" t="s">
        <v>195</v>
      </c>
      <c r="C2" s="538" t="s">
        <v>200</v>
      </c>
      <c r="D2" s="537" t="s">
        <v>188</v>
      </c>
      <c r="E2" s="537"/>
    </row>
    <row r="3" spans="2:5" x14ac:dyDescent="0.2">
      <c r="B3" s="537"/>
      <c r="C3" s="538"/>
      <c r="D3" s="537" t="s">
        <v>201</v>
      </c>
      <c r="E3" s="537"/>
    </row>
    <row r="4" spans="2:5" x14ac:dyDescent="0.2">
      <c r="B4" s="537"/>
      <c r="C4" s="538"/>
      <c r="D4" s="158" t="s">
        <v>189</v>
      </c>
      <c r="E4" s="158" t="s">
        <v>57</v>
      </c>
    </row>
    <row r="5" spans="2:5" x14ac:dyDescent="0.2">
      <c r="B5" s="148">
        <v>44242</v>
      </c>
      <c r="C5" s="140">
        <v>317</v>
      </c>
      <c r="D5" s="158"/>
      <c r="E5" s="158"/>
    </row>
    <row r="6" spans="2:5" x14ac:dyDescent="0.2">
      <c r="B6" s="148">
        <v>44243</v>
      </c>
      <c r="C6" s="140">
        <v>412</v>
      </c>
      <c r="D6" s="149"/>
      <c r="E6" s="158"/>
    </row>
    <row r="7" spans="2:5" x14ac:dyDescent="0.2">
      <c r="B7" s="148">
        <v>44244</v>
      </c>
      <c r="C7" s="140">
        <v>331</v>
      </c>
      <c r="D7" s="149"/>
      <c r="E7" s="158"/>
    </row>
    <row r="8" spans="2:5" x14ac:dyDescent="0.2">
      <c r="B8" s="148">
        <v>44245</v>
      </c>
      <c r="C8" s="140">
        <v>375</v>
      </c>
      <c r="D8" s="149"/>
      <c r="E8" s="158"/>
    </row>
    <row r="9" spans="2:5" x14ac:dyDescent="0.2">
      <c r="B9" s="148">
        <v>44246</v>
      </c>
      <c r="C9" s="140">
        <v>394</v>
      </c>
      <c r="D9" s="149"/>
      <c r="E9" s="158"/>
    </row>
    <row r="10" spans="2:5" x14ac:dyDescent="0.2">
      <c r="B10" s="148">
        <v>44247</v>
      </c>
      <c r="C10" s="140">
        <v>392</v>
      </c>
      <c r="D10" s="149"/>
      <c r="E10" s="158"/>
    </row>
    <row r="11" spans="2:5" x14ac:dyDescent="0.2">
      <c r="B11" s="148">
        <v>44248</v>
      </c>
      <c r="C11" s="140">
        <v>404</v>
      </c>
      <c r="D11" s="149"/>
      <c r="E11" s="158"/>
    </row>
    <row r="12" spans="2:5" x14ac:dyDescent="0.2">
      <c r="B12" s="148">
        <v>44249</v>
      </c>
      <c r="C12" s="140">
        <v>259</v>
      </c>
      <c r="D12" s="149"/>
      <c r="E12" s="158"/>
    </row>
    <row r="13" spans="2:5" x14ac:dyDescent="0.2">
      <c r="B13" s="148">
        <v>44250</v>
      </c>
      <c r="C13" s="140">
        <v>417</v>
      </c>
      <c r="D13" s="149"/>
      <c r="E13" s="158"/>
    </row>
    <row r="14" spans="2:5" x14ac:dyDescent="0.2">
      <c r="B14" s="148">
        <v>44251</v>
      </c>
      <c r="C14" s="140">
        <v>410</v>
      </c>
      <c r="D14" s="149"/>
      <c r="E14" s="158"/>
    </row>
    <row r="15" spans="2:5" x14ac:dyDescent="0.2">
      <c r="B15" s="148">
        <v>44252</v>
      </c>
      <c r="C15" s="140">
        <v>389</v>
      </c>
      <c r="D15" s="150"/>
      <c r="E15" s="150"/>
    </row>
    <row r="16" spans="2:5" x14ac:dyDescent="0.2">
      <c r="B16" s="148">
        <v>44253</v>
      </c>
      <c r="C16" s="140">
        <v>399</v>
      </c>
      <c r="D16" s="150">
        <v>3.0892588037332804</v>
      </c>
      <c r="E16" s="150">
        <v>5.5517519075425774</v>
      </c>
    </row>
    <row r="17" spans="2:6" x14ac:dyDescent="0.2">
      <c r="B17" s="148">
        <v>44254</v>
      </c>
      <c r="C17" s="140">
        <v>324</v>
      </c>
      <c r="D17" s="158"/>
      <c r="E17" s="158"/>
      <c r="F17" t="s">
        <v>202</v>
      </c>
    </row>
    <row r="18" spans="2:6" x14ac:dyDescent="0.2">
      <c r="B18" s="148">
        <v>44255</v>
      </c>
      <c r="C18" s="140">
        <v>248</v>
      </c>
      <c r="D18" s="158"/>
      <c r="E18" s="158"/>
      <c r="F18" t="s">
        <v>202</v>
      </c>
    </row>
    <row r="19" spans="2:6" x14ac:dyDescent="0.2">
      <c r="B19" s="148">
        <v>44256</v>
      </c>
      <c r="C19" s="140">
        <v>259</v>
      </c>
      <c r="D19" s="150">
        <v>8.93229218911892</v>
      </c>
      <c r="E19" s="150">
        <v>9.8646937649361526</v>
      </c>
    </row>
    <row r="20" spans="2:6" x14ac:dyDescent="0.2">
      <c r="B20" s="148">
        <v>44257</v>
      </c>
      <c r="C20" s="140">
        <v>391</v>
      </c>
      <c r="D20" s="158"/>
      <c r="E20" s="158"/>
    </row>
    <row r="21" spans="2:6" x14ac:dyDescent="0.2">
      <c r="B21" s="148">
        <v>44258</v>
      </c>
      <c r="C21" s="140">
        <v>306</v>
      </c>
      <c r="D21" s="150">
        <v>8.89439958459241</v>
      </c>
      <c r="E21" s="150">
        <v>12.23296718573455</v>
      </c>
    </row>
    <row r="22" spans="2:6" x14ac:dyDescent="0.2">
      <c r="B22" s="148">
        <v>44259</v>
      </c>
      <c r="C22" s="140">
        <v>371</v>
      </c>
      <c r="D22" s="150">
        <v>3.7857172553192249</v>
      </c>
      <c r="E22" s="150">
        <v>19.229459984012177</v>
      </c>
    </row>
    <row r="23" spans="2:6" x14ac:dyDescent="0.2">
      <c r="B23" s="148">
        <v>44260</v>
      </c>
      <c r="C23" s="140">
        <v>281</v>
      </c>
      <c r="D23" s="149"/>
      <c r="E23" s="151"/>
    </row>
    <row r="24" spans="2:6" x14ac:dyDescent="0.2">
      <c r="B24" s="148">
        <v>44261</v>
      </c>
      <c r="C24" s="140">
        <v>393</v>
      </c>
      <c r="D24" s="158"/>
      <c r="E24" s="158"/>
    </row>
    <row r="25" spans="2:6" x14ac:dyDescent="0.2">
      <c r="B25" s="148">
        <v>44262</v>
      </c>
      <c r="C25" s="140">
        <v>277</v>
      </c>
      <c r="D25" s="149"/>
      <c r="E25" s="158"/>
    </row>
    <row r="26" spans="2:6" x14ac:dyDescent="0.2">
      <c r="B26" s="148">
        <v>44263</v>
      </c>
      <c r="C26" s="140">
        <v>158</v>
      </c>
      <c r="D26" s="149"/>
      <c r="E26" s="158"/>
    </row>
  </sheetData>
  <mergeCells count="4">
    <mergeCell ref="D2:E2"/>
    <mergeCell ref="D3:E3"/>
    <mergeCell ref="B2:B4"/>
    <mergeCell ref="C2:C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E26"/>
  <sheetViews>
    <sheetView showGridLines="0" zoomScaleNormal="100" workbookViewId="0">
      <selection activeCell="E19" sqref="E19"/>
    </sheetView>
  </sheetViews>
  <sheetFormatPr baseColWidth="10" defaultColWidth="8.83203125" defaultRowHeight="15" x14ac:dyDescent="0.2"/>
  <cols>
    <col min="1" max="1" width="2.33203125" customWidth="1"/>
    <col min="2" max="2" width="15.33203125" customWidth="1"/>
    <col min="3" max="3" width="17.1640625" customWidth="1"/>
    <col min="4" max="4" width="11.33203125" style="145" customWidth="1"/>
    <col min="5" max="5" width="13.1640625" style="145" customWidth="1"/>
    <col min="6" max="6" width="13.83203125" customWidth="1"/>
    <col min="8" max="8" width="11.1640625" bestFit="1" customWidth="1"/>
  </cols>
  <sheetData>
    <row r="2" spans="2:5" x14ac:dyDescent="0.2">
      <c r="D2" s="529" t="s">
        <v>190</v>
      </c>
      <c r="E2" s="529"/>
    </row>
    <row r="3" spans="2:5" x14ac:dyDescent="0.2">
      <c r="D3" s="529" t="s">
        <v>201</v>
      </c>
      <c r="E3" s="529"/>
    </row>
    <row r="4" spans="2:5" x14ac:dyDescent="0.2">
      <c r="B4" s="140" t="s">
        <v>195</v>
      </c>
      <c r="C4" s="140" t="s">
        <v>203</v>
      </c>
      <c r="D4" s="158" t="s">
        <v>189</v>
      </c>
      <c r="E4" s="158" t="s">
        <v>57</v>
      </c>
    </row>
    <row r="5" spans="2:5" x14ac:dyDescent="0.2">
      <c r="B5" s="148">
        <v>44242</v>
      </c>
      <c r="C5" s="140">
        <v>317</v>
      </c>
      <c r="D5" s="158"/>
      <c r="E5" s="158"/>
    </row>
    <row r="6" spans="2:5" x14ac:dyDescent="0.2">
      <c r="B6" s="148">
        <v>44243</v>
      </c>
      <c r="C6" s="140">
        <v>412</v>
      </c>
      <c r="D6" s="149"/>
      <c r="E6" s="158"/>
    </row>
    <row r="7" spans="2:5" x14ac:dyDescent="0.2">
      <c r="B7" s="148">
        <v>44244</v>
      </c>
      <c r="C7" s="140">
        <v>331</v>
      </c>
      <c r="D7" s="149"/>
      <c r="E7" s="158"/>
    </row>
    <row r="8" spans="2:5" x14ac:dyDescent="0.2">
      <c r="B8" s="148">
        <v>44245</v>
      </c>
      <c r="C8" s="140">
        <v>375</v>
      </c>
      <c r="D8" s="149"/>
      <c r="E8" s="158"/>
    </row>
    <row r="9" spans="2:5" x14ac:dyDescent="0.2">
      <c r="B9" s="148">
        <v>44246</v>
      </c>
      <c r="C9" s="140">
        <v>394</v>
      </c>
      <c r="D9" s="149"/>
      <c r="E9" s="158"/>
    </row>
    <row r="10" spans="2:5" x14ac:dyDescent="0.2">
      <c r="B10" s="148">
        <v>44247</v>
      </c>
      <c r="C10" s="140">
        <v>392</v>
      </c>
      <c r="D10" s="149"/>
      <c r="E10" s="158"/>
    </row>
    <row r="11" spans="2:5" x14ac:dyDescent="0.2">
      <c r="B11" s="148">
        <v>44248</v>
      </c>
      <c r="C11" s="140">
        <v>404</v>
      </c>
      <c r="D11" s="149"/>
      <c r="E11" s="158"/>
    </row>
    <row r="12" spans="2:5" x14ac:dyDescent="0.2">
      <c r="B12" s="148">
        <v>44249</v>
      </c>
      <c r="C12" s="140">
        <v>259</v>
      </c>
      <c r="D12" s="149"/>
      <c r="E12" s="158"/>
    </row>
    <row r="13" spans="2:5" x14ac:dyDescent="0.2">
      <c r="B13" s="148">
        <v>44250</v>
      </c>
      <c r="C13" s="140">
        <v>417</v>
      </c>
      <c r="D13" s="149"/>
      <c r="E13" s="158"/>
    </row>
    <row r="14" spans="2:5" x14ac:dyDescent="0.2">
      <c r="B14" s="148">
        <v>44251</v>
      </c>
      <c r="C14" s="140">
        <v>410</v>
      </c>
      <c r="D14" s="149"/>
      <c r="E14" s="158"/>
    </row>
    <row r="15" spans="2:5" x14ac:dyDescent="0.2">
      <c r="B15" s="148">
        <v>44252</v>
      </c>
      <c r="C15" s="140">
        <v>389</v>
      </c>
      <c r="D15" s="150"/>
      <c r="E15" s="150"/>
    </row>
    <row r="16" spans="2:5" x14ac:dyDescent="0.2">
      <c r="B16" s="148">
        <v>44253</v>
      </c>
      <c r="C16" s="140">
        <v>399</v>
      </c>
      <c r="D16" s="150">
        <v>22.073386816205506</v>
      </c>
      <c r="E16" s="150">
        <v>134.01440602747999</v>
      </c>
    </row>
    <row r="17" spans="2:5" x14ac:dyDescent="0.2">
      <c r="B17" s="148">
        <v>44254</v>
      </c>
      <c r="C17" s="140">
        <v>324</v>
      </c>
      <c r="D17" s="158"/>
      <c r="E17" s="158"/>
    </row>
    <row r="18" spans="2:5" x14ac:dyDescent="0.2">
      <c r="B18" s="148">
        <v>44255</v>
      </c>
      <c r="C18" s="140">
        <v>248</v>
      </c>
      <c r="D18" s="158"/>
      <c r="E18" s="158"/>
    </row>
    <row r="19" spans="2:5" x14ac:dyDescent="0.2">
      <c r="B19" s="148">
        <v>44256</v>
      </c>
      <c r="C19" s="140">
        <v>259</v>
      </c>
      <c r="D19" s="150">
        <v>25.446966052759468</v>
      </c>
      <c r="E19" s="150">
        <v>126.71498724750623</v>
      </c>
    </row>
    <row r="20" spans="2:5" x14ac:dyDescent="0.2">
      <c r="B20" s="148">
        <v>44257</v>
      </c>
      <c r="C20" s="140">
        <v>391</v>
      </c>
      <c r="D20" s="158"/>
      <c r="E20" s="158"/>
    </row>
    <row r="21" spans="2:5" x14ac:dyDescent="0.2">
      <c r="B21" s="148">
        <v>44258</v>
      </c>
      <c r="C21" s="140">
        <v>306</v>
      </c>
      <c r="D21" s="150">
        <v>39.792772684871878</v>
      </c>
      <c r="E21" s="150">
        <v>87.232271698595838</v>
      </c>
    </row>
    <row r="22" spans="2:5" x14ac:dyDescent="0.2">
      <c r="B22" s="148">
        <v>44259</v>
      </c>
      <c r="C22" s="140">
        <v>371</v>
      </c>
      <c r="D22" s="150">
        <v>74.461807091558327</v>
      </c>
      <c r="E22" s="150">
        <v>19.004684623124238</v>
      </c>
    </row>
    <row r="23" spans="2:5" x14ac:dyDescent="0.2">
      <c r="B23" s="148">
        <v>44260</v>
      </c>
      <c r="C23" s="140">
        <v>281</v>
      </c>
      <c r="D23" s="149"/>
      <c r="E23" s="151"/>
    </row>
    <row r="24" spans="2:5" x14ac:dyDescent="0.2">
      <c r="B24" s="148">
        <v>44261</v>
      </c>
      <c r="C24" s="140">
        <v>393</v>
      </c>
      <c r="D24" s="158"/>
      <c r="E24" s="158"/>
    </row>
    <row r="25" spans="2:5" x14ac:dyDescent="0.2">
      <c r="B25" s="148">
        <v>44262</v>
      </c>
      <c r="C25" s="140">
        <v>277</v>
      </c>
      <c r="D25" s="149"/>
      <c r="E25" s="158"/>
    </row>
    <row r="26" spans="2:5" x14ac:dyDescent="0.2">
      <c r="B26" s="148">
        <v>44263</v>
      </c>
      <c r="C26" s="140">
        <v>158</v>
      </c>
      <c r="D26" s="149"/>
      <c r="E26" s="158"/>
    </row>
  </sheetData>
  <mergeCells count="2">
    <mergeCell ref="D2:E2"/>
    <mergeCell ref="D3:E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Qc old data</vt:lpstr>
      <vt:lpstr>Mtl Data Daily Samples (McGill)</vt:lpstr>
      <vt:lpstr>Mtl_values</vt:lpstr>
      <vt:lpstr>STD_Curves_McGill</vt:lpstr>
      <vt:lpstr>Graphs Montreal VSTL-III</vt:lpstr>
      <vt:lpstr>Graphs Montreal CDN05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Sánchez Quete</dc:creator>
  <cp:keywords/>
  <dc:description/>
  <cp:lastModifiedBy>Microsoft Office User</cp:lastModifiedBy>
  <cp:revision/>
  <dcterms:created xsi:type="dcterms:W3CDTF">2020-12-16T15:29:32Z</dcterms:created>
  <dcterms:modified xsi:type="dcterms:W3CDTF">2021-03-28T22:10:48Z</dcterms:modified>
  <cp:category/>
  <cp:contentStatus/>
</cp:coreProperties>
</file>