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dhoan\Google Drive\Medismart Admin Team Folder\Marketing Reports\Volume Tracker\(04) April 2016\Week 3\"/>
    </mc:Choice>
  </mc:AlternateContent>
  <bookViews>
    <workbookView xWindow="0" yWindow="0" windowWidth="19200" windowHeight="6915"/>
  </bookViews>
  <sheets>
    <sheet name="Tox" sheetId="13" r:id="rId1"/>
    <sheet name="DNA" sheetId="12" r:id="rId2"/>
    <sheet name="CM Assignments" sheetId="16" state="hidden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2" l="1"/>
  <c r="O10" i="12"/>
  <c r="P10" i="12"/>
  <c r="Q10" i="12"/>
  <c r="R10" i="12"/>
  <c r="S10" i="12"/>
  <c r="T10" i="12"/>
  <c r="U10" i="12"/>
  <c r="E61" i="13"/>
  <c r="O61" i="13"/>
  <c r="P61" i="13"/>
  <c r="Q61" i="13"/>
  <c r="R61" i="13"/>
  <c r="S61" i="13"/>
  <c r="T61" i="13"/>
  <c r="U61" i="13"/>
  <c r="E27" i="13"/>
  <c r="O27" i="13"/>
  <c r="P27" i="13"/>
  <c r="Q27" i="13"/>
  <c r="R27" i="13"/>
  <c r="S27" i="13"/>
  <c r="T27" i="13"/>
  <c r="U27" i="13"/>
  <c r="E11" i="12" l="1"/>
  <c r="O11" i="12"/>
  <c r="P11" i="12"/>
  <c r="Q11" i="12"/>
  <c r="R11" i="12"/>
  <c r="S11" i="12"/>
  <c r="T11" i="12"/>
  <c r="U11" i="12"/>
  <c r="O2" i="13"/>
  <c r="P2" i="13"/>
  <c r="Q2" i="13"/>
  <c r="R2" i="13"/>
  <c r="S2" i="13"/>
  <c r="T2" i="13"/>
  <c r="U2" i="13"/>
  <c r="O3" i="13"/>
  <c r="P3" i="13"/>
  <c r="Q3" i="13"/>
  <c r="R3" i="13"/>
  <c r="S3" i="13"/>
  <c r="T3" i="13"/>
  <c r="U3" i="13"/>
  <c r="O4" i="13"/>
  <c r="P4" i="13"/>
  <c r="Q4" i="13"/>
  <c r="R4" i="13"/>
  <c r="S4" i="13"/>
  <c r="T4" i="13"/>
  <c r="U4" i="13"/>
  <c r="O5" i="13"/>
  <c r="P5" i="13"/>
  <c r="Q5" i="13"/>
  <c r="R5" i="13"/>
  <c r="S5" i="13"/>
  <c r="T5" i="13"/>
  <c r="U5" i="13"/>
  <c r="O6" i="13"/>
  <c r="P6" i="13"/>
  <c r="Q6" i="13"/>
  <c r="R6" i="13"/>
  <c r="S6" i="13"/>
  <c r="T6" i="13"/>
  <c r="U6" i="13"/>
  <c r="O7" i="13"/>
  <c r="P7" i="13"/>
  <c r="Q7" i="13"/>
  <c r="R7" i="13"/>
  <c r="S7" i="13"/>
  <c r="T7" i="13"/>
  <c r="U7" i="13"/>
  <c r="O8" i="13"/>
  <c r="P8" i="13"/>
  <c r="Q8" i="13"/>
  <c r="R8" i="13"/>
  <c r="S8" i="13"/>
  <c r="T8" i="13"/>
  <c r="U8" i="13"/>
  <c r="O9" i="13"/>
  <c r="P9" i="13"/>
  <c r="Q9" i="13"/>
  <c r="R9" i="13"/>
  <c r="S9" i="13"/>
  <c r="T9" i="13"/>
  <c r="U9" i="13"/>
  <c r="O10" i="13"/>
  <c r="P10" i="13"/>
  <c r="Q10" i="13"/>
  <c r="R10" i="13"/>
  <c r="S10" i="13"/>
  <c r="T10" i="13"/>
  <c r="U10" i="13"/>
  <c r="O11" i="13"/>
  <c r="P11" i="13"/>
  <c r="Q11" i="13"/>
  <c r="R11" i="13"/>
  <c r="S11" i="13"/>
  <c r="T11" i="13"/>
  <c r="U11" i="13"/>
  <c r="O12" i="13"/>
  <c r="P12" i="13"/>
  <c r="Q12" i="13"/>
  <c r="R12" i="13"/>
  <c r="S12" i="13"/>
  <c r="T12" i="13"/>
  <c r="U12" i="13"/>
  <c r="O13" i="13"/>
  <c r="P13" i="13"/>
  <c r="Q13" i="13"/>
  <c r="R13" i="13"/>
  <c r="S13" i="13"/>
  <c r="T13" i="13"/>
  <c r="U13" i="13"/>
  <c r="O14" i="13"/>
  <c r="P14" i="13"/>
  <c r="Q14" i="13"/>
  <c r="R14" i="13"/>
  <c r="S14" i="13"/>
  <c r="T14" i="13"/>
  <c r="U14" i="13"/>
  <c r="O15" i="13"/>
  <c r="P15" i="13"/>
  <c r="Q15" i="13"/>
  <c r="R15" i="13"/>
  <c r="S15" i="13"/>
  <c r="T15" i="13"/>
  <c r="U15" i="13"/>
  <c r="O16" i="13"/>
  <c r="P16" i="13"/>
  <c r="Q16" i="13"/>
  <c r="R16" i="13"/>
  <c r="S16" i="13"/>
  <c r="T16" i="13"/>
  <c r="U16" i="13"/>
  <c r="O17" i="13"/>
  <c r="P17" i="13"/>
  <c r="Q17" i="13"/>
  <c r="R17" i="13"/>
  <c r="S17" i="13"/>
  <c r="T17" i="13"/>
  <c r="U17" i="13"/>
  <c r="O18" i="13"/>
  <c r="P18" i="13"/>
  <c r="Q18" i="13"/>
  <c r="R18" i="13"/>
  <c r="S18" i="13"/>
  <c r="T18" i="13"/>
  <c r="U18" i="13"/>
  <c r="O19" i="13"/>
  <c r="P19" i="13"/>
  <c r="Q19" i="13"/>
  <c r="R19" i="13"/>
  <c r="S19" i="13"/>
  <c r="T19" i="13"/>
  <c r="U19" i="13"/>
  <c r="O20" i="13"/>
  <c r="P20" i="13"/>
  <c r="Q20" i="13"/>
  <c r="R20" i="13"/>
  <c r="S20" i="13"/>
  <c r="T20" i="13"/>
  <c r="U20" i="13"/>
  <c r="O21" i="13"/>
  <c r="P21" i="13"/>
  <c r="Q21" i="13"/>
  <c r="R21" i="13"/>
  <c r="S21" i="13"/>
  <c r="T21" i="13"/>
  <c r="U21" i="13"/>
  <c r="O22" i="13"/>
  <c r="P22" i="13"/>
  <c r="Q22" i="13"/>
  <c r="R22" i="13"/>
  <c r="S22" i="13"/>
  <c r="T22" i="13"/>
  <c r="U22" i="13"/>
  <c r="O23" i="13"/>
  <c r="P23" i="13"/>
  <c r="Q23" i="13"/>
  <c r="R23" i="13"/>
  <c r="S23" i="13"/>
  <c r="T23" i="13"/>
  <c r="U23" i="13"/>
  <c r="O24" i="13"/>
  <c r="P24" i="13"/>
  <c r="Q24" i="13"/>
  <c r="R24" i="13"/>
  <c r="S24" i="13"/>
  <c r="T24" i="13"/>
  <c r="U24" i="13"/>
  <c r="O25" i="13"/>
  <c r="P25" i="13"/>
  <c r="Q25" i="13"/>
  <c r="R25" i="13"/>
  <c r="S25" i="13"/>
  <c r="T25" i="13"/>
  <c r="U25" i="13"/>
  <c r="O26" i="13"/>
  <c r="P26" i="13"/>
  <c r="Q26" i="13"/>
  <c r="R26" i="13"/>
  <c r="S26" i="13"/>
  <c r="T26" i="13"/>
  <c r="U26" i="13"/>
  <c r="O28" i="13"/>
  <c r="P28" i="13"/>
  <c r="Q28" i="13"/>
  <c r="R28" i="13"/>
  <c r="S28" i="13"/>
  <c r="T28" i="13"/>
  <c r="U28" i="13"/>
  <c r="O29" i="13"/>
  <c r="P29" i="13"/>
  <c r="Q29" i="13"/>
  <c r="R29" i="13"/>
  <c r="S29" i="13"/>
  <c r="T29" i="13"/>
  <c r="U29" i="13"/>
  <c r="O30" i="13"/>
  <c r="P30" i="13"/>
  <c r="Q30" i="13"/>
  <c r="R30" i="13"/>
  <c r="S30" i="13"/>
  <c r="T30" i="13"/>
  <c r="U30" i="13"/>
  <c r="O31" i="13"/>
  <c r="P31" i="13"/>
  <c r="Q31" i="13"/>
  <c r="R31" i="13"/>
  <c r="S31" i="13"/>
  <c r="T31" i="13"/>
  <c r="U31" i="13"/>
  <c r="O32" i="13"/>
  <c r="P32" i="13"/>
  <c r="Q32" i="13"/>
  <c r="R32" i="13"/>
  <c r="S32" i="13"/>
  <c r="T32" i="13"/>
  <c r="U32" i="13"/>
  <c r="O33" i="13"/>
  <c r="P33" i="13"/>
  <c r="Q33" i="13"/>
  <c r="R33" i="13"/>
  <c r="S33" i="13"/>
  <c r="T33" i="13"/>
  <c r="U33" i="13"/>
  <c r="O34" i="13"/>
  <c r="P34" i="13"/>
  <c r="Q34" i="13"/>
  <c r="R34" i="13"/>
  <c r="S34" i="13"/>
  <c r="T34" i="13"/>
  <c r="U34" i="13"/>
  <c r="O35" i="13"/>
  <c r="P35" i="13"/>
  <c r="Q35" i="13"/>
  <c r="R35" i="13"/>
  <c r="S35" i="13"/>
  <c r="T35" i="13"/>
  <c r="U35" i="13"/>
  <c r="O36" i="13"/>
  <c r="P36" i="13"/>
  <c r="Q36" i="13"/>
  <c r="R36" i="13"/>
  <c r="S36" i="13"/>
  <c r="T36" i="13"/>
  <c r="U36" i="13"/>
  <c r="O37" i="13"/>
  <c r="P37" i="13"/>
  <c r="Q37" i="13"/>
  <c r="R37" i="13"/>
  <c r="S37" i="13"/>
  <c r="T37" i="13"/>
  <c r="U37" i="13"/>
  <c r="O38" i="13"/>
  <c r="P38" i="13"/>
  <c r="Q38" i="13"/>
  <c r="R38" i="13"/>
  <c r="S38" i="13"/>
  <c r="T38" i="13"/>
  <c r="U38" i="13"/>
  <c r="O39" i="13"/>
  <c r="P39" i="13"/>
  <c r="Q39" i="13"/>
  <c r="R39" i="13"/>
  <c r="S39" i="13"/>
  <c r="T39" i="13"/>
  <c r="U39" i="13"/>
  <c r="O40" i="13"/>
  <c r="P40" i="13"/>
  <c r="Q40" i="13"/>
  <c r="R40" i="13"/>
  <c r="S40" i="13"/>
  <c r="T40" i="13"/>
  <c r="U40" i="13"/>
  <c r="O41" i="13"/>
  <c r="P41" i="13"/>
  <c r="Q41" i="13"/>
  <c r="R41" i="13"/>
  <c r="S41" i="13"/>
  <c r="T41" i="13"/>
  <c r="U41" i="13"/>
  <c r="O42" i="13"/>
  <c r="P42" i="13"/>
  <c r="Q42" i="13"/>
  <c r="R42" i="13"/>
  <c r="S42" i="13"/>
  <c r="T42" i="13"/>
  <c r="U42" i="13"/>
  <c r="O43" i="13"/>
  <c r="P43" i="13"/>
  <c r="Q43" i="13"/>
  <c r="R43" i="13"/>
  <c r="S43" i="13"/>
  <c r="T43" i="13"/>
  <c r="U43" i="13"/>
  <c r="O44" i="13"/>
  <c r="P44" i="13"/>
  <c r="Q44" i="13"/>
  <c r="R44" i="13"/>
  <c r="S44" i="13"/>
  <c r="T44" i="13"/>
  <c r="U44" i="13"/>
  <c r="O45" i="13"/>
  <c r="P45" i="13"/>
  <c r="Q45" i="13"/>
  <c r="R45" i="13"/>
  <c r="S45" i="13"/>
  <c r="T45" i="13"/>
  <c r="U45" i="13"/>
  <c r="O46" i="13"/>
  <c r="P46" i="13"/>
  <c r="Q46" i="13"/>
  <c r="R46" i="13"/>
  <c r="S46" i="13"/>
  <c r="T46" i="13"/>
  <c r="U46" i="13"/>
  <c r="O47" i="13"/>
  <c r="P47" i="13"/>
  <c r="Q47" i="13"/>
  <c r="R47" i="13"/>
  <c r="S47" i="13"/>
  <c r="T47" i="13"/>
  <c r="U47" i="13"/>
  <c r="O48" i="13"/>
  <c r="P48" i="13"/>
  <c r="Q48" i="13"/>
  <c r="R48" i="13"/>
  <c r="S48" i="13"/>
  <c r="T48" i="13"/>
  <c r="U48" i="13"/>
  <c r="O49" i="13"/>
  <c r="P49" i="13"/>
  <c r="Q49" i="13"/>
  <c r="R49" i="13"/>
  <c r="S49" i="13"/>
  <c r="T49" i="13"/>
  <c r="U49" i="13"/>
  <c r="O50" i="13"/>
  <c r="P50" i="13"/>
  <c r="Q50" i="13"/>
  <c r="R50" i="13"/>
  <c r="S50" i="13"/>
  <c r="T50" i="13"/>
  <c r="U50" i="13"/>
  <c r="O51" i="13"/>
  <c r="P51" i="13"/>
  <c r="Q51" i="13"/>
  <c r="R51" i="13"/>
  <c r="S51" i="13"/>
  <c r="T51" i="13"/>
  <c r="U51" i="13"/>
  <c r="O52" i="13"/>
  <c r="P52" i="13"/>
  <c r="Q52" i="13"/>
  <c r="R52" i="13"/>
  <c r="S52" i="13"/>
  <c r="T52" i="13"/>
  <c r="U52" i="13"/>
  <c r="O53" i="13"/>
  <c r="P53" i="13"/>
  <c r="Q53" i="13"/>
  <c r="R53" i="13"/>
  <c r="S53" i="13"/>
  <c r="T53" i="13"/>
  <c r="U53" i="13"/>
  <c r="O54" i="13"/>
  <c r="P54" i="13"/>
  <c r="Q54" i="13"/>
  <c r="R54" i="13"/>
  <c r="S54" i="13"/>
  <c r="T54" i="13"/>
  <c r="U54" i="13"/>
  <c r="O55" i="13"/>
  <c r="P55" i="13"/>
  <c r="Q55" i="13"/>
  <c r="R55" i="13"/>
  <c r="S55" i="13"/>
  <c r="T55" i="13"/>
  <c r="U55" i="13"/>
  <c r="O56" i="13"/>
  <c r="P56" i="13"/>
  <c r="Q56" i="13"/>
  <c r="R56" i="13"/>
  <c r="S56" i="13"/>
  <c r="T56" i="13"/>
  <c r="U56" i="13"/>
  <c r="O57" i="13"/>
  <c r="P57" i="13"/>
  <c r="Q57" i="13"/>
  <c r="R57" i="13"/>
  <c r="S57" i="13"/>
  <c r="T57" i="13"/>
  <c r="U57" i="13"/>
  <c r="O58" i="13"/>
  <c r="P58" i="13"/>
  <c r="Q58" i="13"/>
  <c r="R58" i="13"/>
  <c r="S58" i="13"/>
  <c r="T58" i="13"/>
  <c r="U58" i="13"/>
  <c r="O59" i="13"/>
  <c r="P59" i="13"/>
  <c r="Q59" i="13"/>
  <c r="R59" i="13"/>
  <c r="S59" i="13"/>
  <c r="T59" i="13"/>
  <c r="U59" i="13"/>
  <c r="O60" i="13"/>
  <c r="P60" i="13"/>
  <c r="Q60" i="13"/>
  <c r="R60" i="13"/>
  <c r="S60" i="13"/>
  <c r="T60" i="13"/>
  <c r="U60" i="13"/>
  <c r="O62" i="13"/>
  <c r="P62" i="13"/>
  <c r="Q62" i="13"/>
  <c r="R62" i="13"/>
  <c r="S62" i="13"/>
  <c r="T62" i="13"/>
  <c r="U62" i="13"/>
  <c r="O63" i="13"/>
  <c r="P63" i="13"/>
  <c r="Q63" i="13"/>
  <c r="R63" i="13"/>
  <c r="S63" i="13"/>
  <c r="T63" i="13"/>
  <c r="U63" i="13"/>
  <c r="O64" i="13"/>
  <c r="P64" i="13"/>
  <c r="Q64" i="13"/>
  <c r="R64" i="13"/>
  <c r="S64" i="13"/>
  <c r="T64" i="13"/>
  <c r="U64" i="13"/>
  <c r="O65" i="13"/>
  <c r="P65" i="13"/>
  <c r="Q65" i="13"/>
  <c r="R65" i="13"/>
  <c r="S65" i="13"/>
  <c r="T65" i="13"/>
  <c r="U65" i="13"/>
  <c r="O66" i="13"/>
  <c r="P66" i="13"/>
  <c r="Q66" i="13"/>
  <c r="R66" i="13"/>
  <c r="S66" i="13"/>
  <c r="T66" i="13"/>
  <c r="U66" i="13"/>
  <c r="O67" i="13"/>
  <c r="P67" i="13"/>
  <c r="Q67" i="13"/>
  <c r="R67" i="13"/>
  <c r="S67" i="13"/>
  <c r="T67" i="13"/>
  <c r="U67" i="13"/>
  <c r="O68" i="13"/>
  <c r="P68" i="13"/>
  <c r="Q68" i="13"/>
  <c r="R68" i="13"/>
  <c r="S68" i="13"/>
  <c r="T68" i="13"/>
  <c r="U68" i="13"/>
  <c r="O69" i="13"/>
  <c r="P69" i="13"/>
  <c r="Q69" i="13"/>
  <c r="R69" i="13"/>
  <c r="S69" i="13"/>
  <c r="T69" i="13"/>
  <c r="U69" i="13"/>
  <c r="O70" i="13"/>
  <c r="P70" i="13"/>
  <c r="Q70" i="13"/>
  <c r="R70" i="13"/>
  <c r="S70" i="13"/>
  <c r="T70" i="13"/>
  <c r="U70" i="13"/>
  <c r="O71" i="13"/>
  <c r="P71" i="13"/>
  <c r="Q71" i="13"/>
  <c r="R71" i="13"/>
  <c r="S71" i="13"/>
  <c r="T71" i="13"/>
  <c r="U71" i="13"/>
  <c r="O72" i="13"/>
  <c r="P72" i="13"/>
  <c r="Q72" i="13"/>
  <c r="R72" i="13"/>
  <c r="S72" i="13"/>
  <c r="T72" i="13"/>
  <c r="U72" i="13"/>
  <c r="O73" i="13"/>
  <c r="P73" i="13"/>
  <c r="Q73" i="13"/>
  <c r="R73" i="13"/>
  <c r="S73" i="13"/>
  <c r="T73" i="13"/>
  <c r="U73" i="13"/>
  <c r="O74" i="13"/>
  <c r="P74" i="13"/>
  <c r="Q74" i="13"/>
  <c r="R74" i="13"/>
  <c r="S74" i="13"/>
  <c r="T74" i="13"/>
  <c r="U74" i="13"/>
  <c r="O75" i="13"/>
  <c r="P75" i="13"/>
  <c r="Q75" i="13"/>
  <c r="R75" i="13"/>
  <c r="S75" i="13"/>
  <c r="T75" i="13"/>
  <c r="U75" i="13"/>
  <c r="O76" i="13"/>
  <c r="P76" i="13"/>
  <c r="Q76" i="13"/>
  <c r="R76" i="13"/>
  <c r="S76" i="13"/>
  <c r="T76" i="13"/>
  <c r="U76" i="13"/>
  <c r="O77" i="13"/>
  <c r="P77" i="13"/>
  <c r="Q77" i="13"/>
  <c r="R77" i="13"/>
  <c r="S77" i="13"/>
  <c r="T77" i="13"/>
  <c r="U77" i="13"/>
  <c r="O78" i="13"/>
  <c r="P78" i="13"/>
  <c r="Q78" i="13"/>
  <c r="R78" i="13"/>
  <c r="S78" i="13"/>
  <c r="T78" i="13"/>
  <c r="U78" i="13"/>
  <c r="O79" i="13"/>
  <c r="P79" i="13"/>
  <c r="Q79" i="13"/>
  <c r="R79" i="13"/>
  <c r="S79" i="13"/>
  <c r="T79" i="13"/>
  <c r="U79" i="13"/>
  <c r="O80" i="13"/>
  <c r="P80" i="13"/>
  <c r="Q80" i="13"/>
  <c r="R80" i="13"/>
  <c r="S80" i="13"/>
  <c r="T80" i="13"/>
  <c r="U80" i="13"/>
  <c r="O81" i="13"/>
  <c r="P81" i="13"/>
  <c r="Q81" i="13"/>
  <c r="R81" i="13"/>
  <c r="S81" i="13"/>
  <c r="T81" i="13"/>
  <c r="U81" i="13"/>
  <c r="E10" i="13"/>
  <c r="E81" i="13"/>
  <c r="P2" i="12" l="1"/>
  <c r="P3" i="12"/>
  <c r="P4" i="12"/>
  <c r="P5" i="12"/>
  <c r="P6" i="12"/>
  <c r="P7" i="12"/>
  <c r="P8" i="12"/>
  <c r="P9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O2" i="12"/>
  <c r="O3" i="12"/>
  <c r="O4" i="12"/>
  <c r="O5" i="12"/>
  <c r="O6" i="12"/>
  <c r="O7" i="12"/>
  <c r="O8" i="12"/>
  <c r="O9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E70" i="12" l="1"/>
  <c r="E71" i="12"/>
  <c r="E72" i="12"/>
  <c r="E73" i="12"/>
  <c r="E74" i="12"/>
  <c r="Q70" i="12"/>
  <c r="Q71" i="12"/>
  <c r="Q72" i="12"/>
  <c r="Q73" i="12"/>
  <c r="Q74" i="12"/>
  <c r="R70" i="12"/>
  <c r="R71" i="12"/>
  <c r="R72" i="12"/>
  <c r="R73" i="12"/>
  <c r="R74" i="12"/>
  <c r="S70" i="12"/>
  <c r="S71" i="12"/>
  <c r="S72" i="12"/>
  <c r="S73" i="12"/>
  <c r="S74" i="12"/>
  <c r="T70" i="12"/>
  <c r="T71" i="12"/>
  <c r="T72" i="12"/>
  <c r="T73" i="12"/>
  <c r="T74" i="12"/>
  <c r="U70" i="12"/>
  <c r="U71" i="12"/>
  <c r="U72" i="12"/>
  <c r="U73" i="12"/>
  <c r="U74" i="12"/>
  <c r="E45" i="13" l="1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59" i="12" l="1"/>
  <c r="Q59" i="12"/>
  <c r="R59" i="12"/>
  <c r="S59" i="12"/>
  <c r="T59" i="12"/>
  <c r="U59" i="12"/>
  <c r="E54" i="12" l="1"/>
  <c r="Q54" i="12"/>
  <c r="R54" i="12"/>
  <c r="S54" i="12"/>
  <c r="T54" i="12"/>
  <c r="U54" i="12"/>
  <c r="E2" i="12" l="1"/>
  <c r="E3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5" i="12"/>
  <c r="E56" i="12"/>
  <c r="E57" i="12"/>
  <c r="E58" i="12"/>
  <c r="E60" i="12"/>
  <c r="E61" i="12"/>
  <c r="E62" i="12"/>
  <c r="E63" i="12"/>
  <c r="E64" i="12"/>
  <c r="E65" i="12"/>
  <c r="E66" i="12"/>
  <c r="E67" i="12"/>
  <c r="E68" i="12"/>
  <c r="E69" i="12"/>
  <c r="E75" i="12"/>
  <c r="E76" i="12"/>
  <c r="E77" i="12"/>
  <c r="Q3" i="12"/>
  <c r="Q4" i="12"/>
  <c r="Q5" i="12"/>
  <c r="Q6" i="12"/>
  <c r="Q7" i="12"/>
  <c r="Q8" i="12"/>
  <c r="Q9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5" i="12"/>
  <c r="Q56" i="12"/>
  <c r="Q57" i="12"/>
  <c r="Q58" i="12"/>
  <c r="Q60" i="12"/>
  <c r="Q61" i="12"/>
  <c r="Q62" i="12"/>
  <c r="Q63" i="12"/>
  <c r="Q64" i="12"/>
  <c r="Q65" i="12"/>
  <c r="Q66" i="12"/>
  <c r="Q67" i="12"/>
  <c r="Q68" i="12"/>
  <c r="Q69" i="12"/>
  <c r="Q75" i="12"/>
  <c r="Q76" i="12"/>
  <c r="Q77" i="12"/>
  <c r="R3" i="12"/>
  <c r="R4" i="12"/>
  <c r="R5" i="12"/>
  <c r="R6" i="12"/>
  <c r="R7" i="12"/>
  <c r="R8" i="12"/>
  <c r="R9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5" i="12"/>
  <c r="R56" i="12"/>
  <c r="R57" i="12"/>
  <c r="R58" i="12"/>
  <c r="R60" i="12"/>
  <c r="R61" i="12"/>
  <c r="R62" i="12"/>
  <c r="R63" i="12"/>
  <c r="R64" i="12"/>
  <c r="R65" i="12"/>
  <c r="R66" i="12"/>
  <c r="R67" i="12"/>
  <c r="R68" i="12"/>
  <c r="R69" i="12"/>
  <c r="R75" i="12"/>
  <c r="R76" i="12"/>
  <c r="R77" i="12"/>
  <c r="S3" i="12"/>
  <c r="S4" i="12"/>
  <c r="S5" i="12"/>
  <c r="S6" i="12"/>
  <c r="S7" i="12"/>
  <c r="S8" i="12"/>
  <c r="S9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5" i="12"/>
  <c r="S56" i="12"/>
  <c r="S57" i="12"/>
  <c r="S58" i="12"/>
  <c r="S60" i="12"/>
  <c r="S61" i="12"/>
  <c r="S62" i="12"/>
  <c r="S63" i="12"/>
  <c r="S64" i="12"/>
  <c r="S65" i="12"/>
  <c r="S66" i="12"/>
  <c r="S67" i="12"/>
  <c r="S68" i="12"/>
  <c r="S69" i="12"/>
  <c r="S75" i="12"/>
  <c r="S76" i="12"/>
  <c r="S77" i="12"/>
  <c r="T3" i="12"/>
  <c r="T4" i="12"/>
  <c r="T5" i="12"/>
  <c r="T6" i="12"/>
  <c r="T7" i="12"/>
  <c r="T8" i="12"/>
  <c r="T9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5" i="12"/>
  <c r="T56" i="12"/>
  <c r="T57" i="12"/>
  <c r="T58" i="12"/>
  <c r="T60" i="12"/>
  <c r="T61" i="12"/>
  <c r="T62" i="12"/>
  <c r="T63" i="12"/>
  <c r="T64" i="12"/>
  <c r="T65" i="12"/>
  <c r="T66" i="12"/>
  <c r="T67" i="12"/>
  <c r="T68" i="12"/>
  <c r="T69" i="12"/>
  <c r="T75" i="12"/>
  <c r="T76" i="12"/>
  <c r="T77" i="12"/>
  <c r="U3" i="12"/>
  <c r="U4" i="12"/>
  <c r="U5" i="12"/>
  <c r="U6" i="12"/>
  <c r="U7" i="12"/>
  <c r="U8" i="12"/>
  <c r="U9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5" i="12"/>
  <c r="U56" i="12"/>
  <c r="U57" i="12"/>
  <c r="U58" i="12"/>
  <c r="U60" i="12"/>
  <c r="U61" i="12"/>
  <c r="U62" i="12"/>
  <c r="U63" i="12"/>
  <c r="U64" i="12"/>
  <c r="U65" i="12"/>
  <c r="U66" i="12"/>
  <c r="U67" i="12"/>
  <c r="U68" i="12"/>
  <c r="U69" i="12"/>
  <c r="U75" i="12"/>
  <c r="U76" i="12"/>
  <c r="U77" i="12"/>
  <c r="E2" i="13"/>
  <c r="E3" i="13"/>
  <c r="E4" i="13"/>
  <c r="E5" i="13"/>
  <c r="E6" i="13"/>
  <c r="E7" i="13"/>
  <c r="E8" i="13"/>
  <c r="E9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G82" i="13" l="1"/>
  <c r="H82" i="13"/>
  <c r="I82" i="13"/>
  <c r="J82" i="13"/>
  <c r="K82" i="13"/>
  <c r="L82" i="13"/>
  <c r="M82" i="13"/>
  <c r="N82" i="13"/>
  <c r="F82" i="13"/>
  <c r="G78" i="12"/>
  <c r="H78" i="12"/>
  <c r="I78" i="12"/>
  <c r="J78" i="12"/>
  <c r="K78" i="12"/>
  <c r="L78" i="12"/>
  <c r="M78" i="12"/>
  <c r="N78" i="12"/>
  <c r="F78" i="12"/>
  <c r="Q2" i="12"/>
  <c r="R2" i="12"/>
  <c r="Q78" i="12" l="1"/>
  <c r="Q82" i="13"/>
  <c r="P78" i="12"/>
  <c r="P82" i="13"/>
  <c r="R78" i="12"/>
  <c r="R82" i="13"/>
  <c r="O82" i="13" l="1"/>
  <c r="T82" i="13" l="1"/>
  <c r="S82" i="13"/>
  <c r="O78" i="12"/>
  <c r="T78" i="12"/>
  <c r="S78" i="12"/>
  <c r="U2" i="12"/>
  <c r="T2" i="12"/>
  <c r="S2" i="12"/>
  <c r="U82" i="13" l="1"/>
  <c r="U78" i="12"/>
</calcChain>
</file>

<file path=xl/sharedStrings.xml><?xml version="1.0" encoding="utf-8"?>
<sst xmlns="http://schemas.openxmlformats.org/spreadsheetml/2006/main" count="1297" uniqueCount="785">
  <si>
    <t>Provider</t>
  </si>
  <si>
    <t>Holds Feb</t>
  </si>
  <si>
    <t>Holds Jan</t>
  </si>
  <si>
    <t>Comm % Current MTD</t>
  </si>
  <si>
    <t>Comm % Prior Month</t>
  </si>
  <si>
    <t>Total Feb</t>
  </si>
  <si>
    <t>Com Feb</t>
  </si>
  <si>
    <t>Fed Feb</t>
  </si>
  <si>
    <t>Total</t>
  </si>
  <si>
    <t>Comm Growth % Current MTD</t>
  </si>
  <si>
    <t>Comm % Growth Prior Month</t>
  </si>
  <si>
    <t>Delta Current Month</t>
  </si>
  <si>
    <t>Delta Prior Month</t>
  </si>
  <si>
    <t>Feb</t>
  </si>
  <si>
    <t>Client Manager</t>
  </si>
  <si>
    <t>Physician</t>
  </si>
  <si>
    <t>Abbasi, David</t>
  </si>
  <si>
    <t>Amanda Fedro</t>
  </si>
  <si>
    <t>Adickes, Mark</t>
  </si>
  <si>
    <t>Whitney Poe</t>
  </si>
  <si>
    <t>Aggarwal, Ajay</t>
  </si>
  <si>
    <t>Alani, Wayne</t>
  </si>
  <si>
    <t>Dan Vitasovic</t>
  </si>
  <si>
    <t>Allen, Zellma</t>
  </si>
  <si>
    <t>N/A</t>
  </si>
  <si>
    <t>Alvarez, Joseph T.</t>
  </si>
  <si>
    <t>Christy Sanantonio</t>
  </si>
  <si>
    <t>Amor, Courtney</t>
  </si>
  <si>
    <t>Armstrong, Jason</t>
  </si>
  <si>
    <t>Aves, Teodulo</t>
  </si>
  <si>
    <t>Bachmann, Brad</t>
  </si>
  <si>
    <t>Bajwa, Kulvinder</t>
  </si>
  <si>
    <t>Balette, Jason</t>
  </si>
  <si>
    <t xml:space="preserve">Barry, Gene </t>
  </si>
  <si>
    <t>Beckman, Randy</t>
  </si>
  <si>
    <t>Benhamou, Elias</t>
  </si>
  <si>
    <t>Bennion, Phillip</t>
  </si>
  <si>
    <t>Benny, Benoy</t>
  </si>
  <si>
    <t>Berni, Anthony</t>
  </si>
  <si>
    <t>Bert, Tim</t>
  </si>
  <si>
    <t>Blanson, Eric</t>
  </si>
  <si>
    <t>Boester, Adam</t>
  </si>
  <si>
    <t>Bond, James</t>
  </si>
  <si>
    <t>Boyd, Noel</t>
  </si>
  <si>
    <t>Brannen, Jason</t>
  </si>
  <si>
    <t>Broadway, Tila</t>
  </si>
  <si>
    <t>Brown, Chandra, L.</t>
  </si>
  <si>
    <t>Buczek, Ronald</t>
  </si>
  <si>
    <t>Burke, Robert</t>
  </si>
  <si>
    <t>Butts, Turner</t>
  </si>
  <si>
    <t>Byrd, Michael</t>
  </si>
  <si>
    <t>Camarillo, Randall</t>
  </si>
  <si>
    <t>Canella, Jeffrey</t>
  </si>
  <si>
    <t>Cartwright, Thomas J</t>
  </si>
  <si>
    <t>Chamberlain, Richard</t>
  </si>
  <si>
    <t>Crawford, Kimberly</t>
  </si>
  <si>
    <t xml:space="preserve">Crumbie, David </t>
  </si>
  <si>
    <t>Dave, Omkar</t>
  </si>
  <si>
    <t>Dafashy, Deya</t>
  </si>
  <si>
    <t>DeLoach, George</t>
  </si>
  <si>
    <t>Dupuis, Travis</t>
  </si>
  <si>
    <t>Eichelsdorfer, Stephen</t>
  </si>
  <si>
    <t>Faibisoff, Burt</t>
  </si>
  <si>
    <t>Fakhouri, Tarek</t>
  </si>
  <si>
    <t>Faro, Connie</t>
  </si>
  <si>
    <t>Fiala, Tyson</t>
  </si>
  <si>
    <t>Flores, Steven</t>
  </si>
  <si>
    <t>Frazier, Michael</t>
  </si>
  <si>
    <t>Fullick, Robert</t>
  </si>
  <si>
    <t>Garcia, Eduardo A.</t>
  </si>
  <si>
    <t>George, Eric</t>
  </si>
  <si>
    <t>Goel, Sara</t>
  </si>
  <si>
    <t>Gordon, Michael</t>
  </si>
  <si>
    <t>Gough, Brandon</t>
  </si>
  <si>
    <t>Greaser, Michael</t>
  </si>
  <si>
    <t>Griffin, Bailey</t>
  </si>
  <si>
    <t>Ha, Hieu</t>
  </si>
  <si>
    <t>Hammack, Mary</t>
  </si>
  <si>
    <t>Hanlon, John J.</t>
  </si>
  <si>
    <t>Hanna, Kenny</t>
  </si>
  <si>
    <t>Harger, Laura</t>
  </si>
  <si>
    <t>Harris, Josh</t>
  </si>
  <si>
    <t>Hart, Gordon</t>
  </si>
  <si>
    <t>Harvin, Billy</t>
  </si>
  <si>
    <t>Hassan, Hina</t>
  </si>
  <si>
    <t>Haynes, Timothy PA</t>
  </si>
  <si>
    <t>Hedley, A.K.</t>
  </si>
  <si>
    <t>Heybeck, Tyreen</t>
  </si>
  <si>
    <t>Higgs, Matthew</t>
  </si>
  <si>
    <t>Holloway, Brandon</t>
  </si>
  <si>
    <t>Holt, Gregory</t>
  </si>
  <si>
    <t>Holt, Marston</t>
  </si>
  <si>
    <t>Howard, Drew</t>
  </si>
  <si>
    <t>Huang, Eddie</t>
  </si>
  <si>
    <t>Jackson, Mary</t>
  </si>
  <si>
    <t>Jaglowski, Jeffrey</t>
  </si>
  <si>
    <t>Jarbath, Denise</t>
  </si>
  <si>
    <t>Kahn, Ronald</t>
  </si>
  <si>
    <t>Keith, Ronnie</t>
  </si>
  <si>
    <t>Kim, Andrew</t>
  </si>
  <si>
    <t>Kobza, Paul</t>
  </si>
  <si>
    <t>Koepplinger, Matthew</t>
  </si>
  <si>
    <t>Krynski, Michael</t>
  </si>
  <si>
    <t>KSF Ortho</t>
  </si>
  <si>
    <t>LaButti, Ronald</t>
  </si>
  <si>
    <t>LaFleur, J. Lance</t>
  </si>
  <si>
    <t>Leahey, Christy</t>
  </si>
  <si>
    <t>Leis, Paula</t>
  </si>
  <si>
    <t>Lemar, Onya Victoria</t>
  </si>
  <si>
    <t>Lewis, Michelle</t>
  </si>
  <si>
    <t>Li-Yung, Andrew</t>
  </si>
  <si>
    <t>Lin, Scott</t>
  </si>
  <si>
    <t>Lintner, David</t>
  </si>
  <si>
    <t>Long, Annette</t>
  </si>
  <si>
    <t>Lowe, Walt</t>
  </si>
  <si>
    <t>Luscious, Dan</t>
  </si>
  <si>
    <t>MacTavish Larry</t>
  </si>
  <si>
    <t>MacTavish Scott</t>
  </si>
  <si>
    <t>Maggart, James</t>
  </si>
  <si>
    <t>Maislos, Gabriel</t>
  </si>
  <si>
    <t>Madan, Karan</t>
  </si>
  <si>
    <t>Margolis, Scott</t>
  </si>
  <si>
    <t>Mayes, Matt</t>
  </si>
  <si>
    <t>Mbah, Lynda</t>
  </si>
  <si>
    <t>McCulloch, Patrick</t>
  </si>
  <si>
    <t>McKeever, Grant</t>
  </si>
  <si>
    <t>Mckinney, Scott</t>
  </si>
  <si>
    <t>McWilliams, Jeremy</t>
  </si>
  <si>
    <t>Meeks, Evan</t>
  </si>
  <si>
    <t>Mehta, Ankur</t>
  </si>
  <si>
    <t>Melillo, Anthony, MD</t>
  </si>
  <si>
    <t>Melton, Mark</t>
  </si>
  <si>
    <t>Mencer-Parks, Melanie</t>
  </si>
  <si>
    <t>Miles, Jerry</t>
  </si>
  <si>
    <t>Montiville, Kelly</t>
  </si>
  <si>
    <t>Morice, Fabian</t>
  </si>
  <si>
    <t>Motamedi, Ali</t>
  </si>
  <si>
    <t>Orillosa, Susan</t>
  </si>
  <si>
    <t>Ouzede, George</t>
  </si>
  <si>
    <t>Pahl, Jorg</t>
  </si>
  <si>
    <t>Pappachan, Pheba</t>
  </si>
  <si>
    <t>Parris, Ronald</t>
  </si>
  <si>
    <t>Patel, Purvi</t>
  </si>
  <si>
    <t>Pham, Tim</t>
  </si>
  <si>
    <t>Plummer, Amy</t>
  </si>
  <si>
    <t>Ponce De Leon, Guillermo</t>
  </si>
  <si>
    <t>Ramirez, Henry</t>
  </si>
  <si>
    <t>Ramirez, Natalie</t>
  </si>
  <si>
    <t>Rasheed, Seema</t>
  </si>
  <si>
    <t>Reed, Lauren</t>
  </si>
  <si>
    <t>Reyes - Guerrero, Edna</t>
  </si>
  <si>
    <t>Reynolds, Ian</t>
  </si>
  <si>
    <t>Rivera, Norma</t>
  </si>
  <si>
    <t>Rivera, Orlando</t>
  </si>
  <si>
    <t>Root, Gregory</t>
  </si>
  <si>
    <t>Salvato, Patricia</t>
  </si>
  <si>
    <t>Sattar, Bidi </t>
  </si>
  <si>
    <t>Scheinost, Nancy</t>
  </si>
  <si>
    <t>Schulman, Daniel</t>
  </si>
  <si>
    <t>Schultz, Steven</t>
  </si>
  <si>
    <t>Scobercea, Razvan</t>
  </si>
  <si>
    <t>Shah, Ami</t>
  </si>
  <si>
    <t>Sharma, Achin</t>
  </si>
  <si>
    <t>Sheaman</t>
  </si>
  <si>
    <t>Sheedy, Matthew</t>
  </si>
  <si>
    <t>Sherman, John Vaneff</t>
  </si>
  <si>
    <t>Sherman, Vincenet Anthony</t>
  </si>
  <si>
    <t>Shybut, Theodore</t>
  </si>
  <si>
    <t>Sloan, Shaelene</t>
  </si>
  <si>
    <t>Smith, Virginia</t>
  </si>
  <si>
    <t>Stancell, Natalie</t>
  </si>
  <si>
    <t>Stephens, Scott</t>
  </si>
  <si>
    <t>Stern, Michelle</t>
  </si>
  <si>
    <t>Stevens, Kelli</t>
  </si>
  <si>
    <t>Stran, Don</t>
  </si>
  <si>
    <t>Sweeney, D. Sean</t>
  </si>
  <si>
    <t>Tirandaz, Arash</t>
  </si>
  <si>
    <t>Turnquest, Dexter</t>
  </si>
  <si>
    <t>Vaidya, Kellie</t>
  </si>
  <si>
    <t>Villarreal, Sebastian</t>
  </si>
  <si>
    <t>Villarreal, Willie</t>
  </si>
  <si>
    <t>Vinh, Baominh</t>
  </si>
  <si>
    <t>Vuong, Mary</t>
  </si>
  <si>
    <t>Waggoner, Bradley</t>
  </si>
  <si>
    <t>Walker, Peter</t>
  </si>
  <si>
    <t>Walsh, Amy</t>
  </si>
  <si>
    <t>Whanger, Kristin</t>
  </si>
  <si>
    <t>Williams, Kevin</t>
  </si>
  <si>
    <t>Last</t>
  </si>
  <si>
    <t>First</t>
  </si>
  <si>
    <t>NPI</t>
  </si>
  <si>
    <t>Nachmani, Linda</t>
  </si>
  <si>
    <t>Ruble, Chris</t>
  </si>
  <si>
    <t>Bradley, Matthew</t>
  </si>
  <si>
    <t>Lehman, Richard</t>
  </si>
  <si>
    <t>Stahle, Steven D.</t>
  </si>
  <si>
    <t>Stidham, Shane</t>
  </si>
  <si>
    <t>Leonard, Jason</t>
  </si>
  <si>
    <t>Voto, Joe</t>
  </si>
  <si>
    <t>Grady, Gina</t>
  </si>
  <si>
    <t>Wang, Jeremy</t>
  </si>
  <si>
    <t>Gheith, Ramis</t>
  </si>
  <si>
    <t>Iero, J. Joseph</t>
  </si>
  <si>
    <t>173-012-8695</t>
  </si>
  <si>
    <t>1316124605 </t>
  </si>
  <si>
    <t>1386993202 </t>
  </si>
  <si>
    <t>Abbasi</t>
  </si>
  <si>
    <t xml:space="preserve"> David</t>
  </si>
  <si>
    <t>Adickes</t>
  </si>
  <si>
    <t xml:space="preserve"> Mark</t>
  </si>
  <si>
    <t>Aggarwal</t>
  </si>
  <si>
    <t xml:space="preserve"> Ajay</t>
  </si>
  <si>
    <t>Alani</t>
  </si>
  <si>
    <t xml:space="preserve"> Wayne</t>
  </si>
  <si>
    <t>Allen</t>
  </si>
  <si>
    <t xml:space="preserve"> Zellma</t>
  </si>
  <si>
    <t>Alvarez</t>
  </si>
  <si>
    <t xml:space="preserve"> Joseph T.</t>
  </si>
  <si>
    <t>Amor</t>
  </si>
  <si>
    <t xml:space="preserve"> Courtney</t>
  </si>
  <si>
    <t>Armstrong</t>
  </si>
  <si>
    <t xml:space="preserve"> Jason</t>
  </si>
  <si>
    <t>Aves</t>
  </si>
  <si>
    <t xml:space="preserve"> Teodulo</t>
  </si>
  <si>
    <t>Bachmann</t>
  </si>
  <si>
    <t xml:space="preserve"> Brad</t>
  </si>
  <si>
    <t>Bajwa</t>
  </si>
  <si>
    <t xml:space="preserve"> Kulvinder</t>
  </si>
  <si>
    <t>Balette</t>
  </si>
  <si>
    <t>Barry</t>
  </si>
  <si>
    <t xml:space="preserve"> Gene </t>
  </si>
  <si>
    <t>Beckman</t>
  </si>
  <si>
    <t xml:space="preserve"> Randy</t>
  </si>
  <si>
    <t>Benhamou</t>
  </si>
  <si>
    <t xml:space="preserve"> Elias</t>
  </si>
  <si>
    <t>Bennion</t>
  </si>
  <si>
    <t xml:space="preserve"> Phillip</t>
  </si>
  <si>
    <t>Benny</t>
  </si>
  <si>
    <t xml:space="preserve"> Benoy</t>
  </si>
  <si>
    <t>Berni</t>
  </si>
  <si>
    <t xml:space="preserve"> Anthony</t>
  </si>
  <si>
    <t>Bert</t>
  </si>
  <si>
    <t xml:space="preserve"> Tim</t>
  </si>
  <si>
    <t>Blanson</t>
  </si>
  <si>
    <t xml:space="preserve"> Eric</t>
  </si>
  <si>
    <t>Boester</t>
  </si>
  <si>
    <t xml:space="preserve"> Adam</t>
  </si>
  <si>
    <t>Bond</t>
  </si>
  <si>
    <t xml:space="preserve"> James</t>
  </si>
  <si>
    <t>Boyd</t>
  </si>
  <si>
    <t xml:space="preserve"> Noel</t>
  </si>
  <si>
    <t>Bradley</t>
  </si>
  <si>
    <t xml:space="preserve"> Matthew</t>
  </si>
  <si>
    <t>Brannen</t>
  </si>
  <si>
    <t>Broadway</t>
  </si>
  <si>
    <t xml:space="preserve"> Tila</t>
  </si>
  <si>
    <t>Brown</t>
  </si>
  <si>
    <t>Buczek</t>
  </si>
  <si>
    <t xml:space="preserve"> Ronald</t>
  </si>
  <si>
    <t>Burke</t>
  </si>
  <si>
    <t xml:space="preserve"> Robert</t>
  </si>
  <si>
    <t>Butts</t>
  </si>
  <si>
    <t xml:space="preserve"> Turner</t>
  </si>
  <si>
    <t>Byrd</t>
  </si>
  <si>
    <t xml:space="preserve"> Michael</t>
  </si>
  <si>
    <t>Camarillo</t>
  </si>
  <si>
    <t xml:space="preserve"> Randall</t>
  </si>
  <si>
    <t>Canella</t>
  </si>
  <si>
    <t xml:space="preserve"> Jeffrey</t>
  </si>
  <si>
    <t>Cartwright</t>
  </si>
  <si>
    <t xml:space="preserve"> Thomas J</t>
  </si>
  <si>
    <t>Chamberlain</t>
  </si>
  <si>
    <t xml:space="preserve"> Richard</t>
  </si>
  <si>
    <t xml:space="preserve"> Mobeen</t>
  </si>
  <si>
    <t>Crawford</t>
  </si>
  <si>
    <t xml:space="preserve"> Kimberly</t>
  </si>
  <si>
    <t>Crumbie</t>
  </si>
  <si>
    <t xml:space="preserve"> David </t>
  </si>
  <si>
    <t>Dafashy</t>
  </si>
  <si>
    <t xml:space="preserve"> Deya</t>
  </si>
  <si>
    <t>Dave</t>
  </si>
  <si>
    <t xml:space="preserve"> Omkar</t>
  </si>
  <si>
    <t>DeLoach</t>
  </si>
  <si>
    <t xml:space="preserve"> George</t>
  </si>
  <si>
    <t>Dupuis</t>
  </si>
  <si>
    <t xml:space="preserve"> Travis</t>
  </si>
  <si>
    <t>Eichelsdorfer</t>
  </si>
  <si>
    <t xml:space="preserve"> Stephen</t>
  </si>
  <si>
    <t>Faibisoff</t>
  </si>
  <si>
    <t xml:space="preserve"> Burt</t>
  </si>
  <si>
    <t>Fakhouri</t>
  </si>
  <si>
    <t xml:space="preserve"> Tarek</t>
  </si>
  <si>
    <t>Faro</t>
  </si>
  <si>
    <t xml:space="preserve"> Connie</t>
  </si>
  <si>
    <t>Fiala</t>
  </si>
  <si>
    <t xml:space="preserve"> Tyson</t>
  </si>
  <si>
    <t>Flores</t>
  </si>
  <si>
    <t xml:space="preserve"> Steven</t>
  </si>
  <si>
    <t>Frazier</t>
  </si>
  <si>
    <t>Fullick</t>
  </si>
  <si>
    <t>Garcia</t>
  </si>
  <si>
    <t xml:space="preserve"> Eduardo A.</t>
  </si>
  <si>
    <t>George</t>
  </si>
  <si>
    <t>Gheith</t>
  </si>
  <si>
    <t xml:space="preserve"> Ramis</t>
  </si>
  <si>
    <t>Goel</t>
  </si>
  <si>
    <t xml:space="preserve"> Sara</t>
  </si>
  <si>
    <t>Gordon</t>
  </si>
  <si>
    <t>Gough</t>
  </si>
  <si>
    <t xml:space="preserve"> Brandon</t>
  </si>
  <si>
    <t>Grady</t>
  </si>
  <si>
    <t xml:space="preserve"> Gina</t>
  </si>
  <si>
    <t>Greaser</t>
  </si>
  <si>
    <t>Griffin</t>
  </si>
  <si>
    <t xml:space="preserve"> Bailey</t>
  </si>
  <si>
    <t>Ha</t>
  </si>
  <si>
    <t xml:space="preserve"> Hieu</t>
  </si>
  <si>
    <t>Hammack</t>
  </si>
  <si>
    <t xml:space="preserve"> Mary</t>
  </si>
  <si>
    <t>Hanlon</t>
  </si>
  <si>
    <t xml:space="preserve"> John J.</t>
  </si>
  <si>
    <t>Hanna</t>
  </si>
  <si>
    <t xml:space="preserve"> Kenny</t>
  </si>
  <si>
    <t>Harger</t>
  </si>
  <si>
    <t xml:space="preserve"> Laura</t>
  </si>
  <si>
    <t>Harris</t>
  </si>
  <si>
    <t xml:space="preserve"> Josh</t>
  </si>
  <si>
    <t>Hart</t>
  </si>
  <si>
    <t xml:space="preserve"> Gordon</t>
  </si>
  <si>
    <t>Harvin</t>
  </si>
  <si>
    <t xml:space="preserve"> Billy</t>
  </si>
  <si>
    <t>Hassan</t>
  </si>
  <si>
    <t xml:space="preserve"> Hina</t>
  </si>
  <si>
    <t>Haynes</t>
  </si>
  <si>
    <t xml:space="preserve"> Timothy PA</t>
  </si>
  <si>
    <t>Hedley</t>
  </si>
  <si>
    <t xml:space="preserve"> A.K.</t>
  </si>
  <si>
    <t>Heybeck</t>
  </si>
  <si>
    <t xml:space="preserve"> Tyreen</t>
  </si>
  <si>
    <t>Higgs</t>
  </si>
  <si>
    <t>Holloway</t>
  </si>
  <si>
    <t>Holt</t>
  </si>
  <si>
    <t xml:space="preserve"> Gregory</t>
  </si>
  <si>
    <t xml:space="preserve"> Marston</t>
  </si>
  <si>
    <t>Howard</t>
  </si>
  <si>
    <t xml:space="preserve"> Drew</t>
  </si>
  <si>
    <t>Huang</t>
  </si>
  <si>
    <t xml:space="preserve"> Eddie</t>
  </si>
  <si>
    <t>Iero</t>
  </si>
  <si>
    <t xml:space="preserve"> J. Joseph</t>
  </si>
  <si>
    <t>Jackson</t>
  </si>
  <si>
    <t>Jaglowski</t>
  </si>
  <si>
    <t>Jarbath</t>
  </si>
  <si>
    <t xml:space="preserve"> Denise</t>
  </si>
  <si>
    <t>Kahn</t>
  </si>
  <si>
    <t>Keith</t>
  </si>
  <si>
    <t xml:space="preserve"> Ronnie</t>
  </si>
  <si>
    <t>Kim</t>
  </si>
  <si>
    <t xml:space="preserve"> Andrew</t>
  </si>
  <si>
    <t>Kobza</t>
  </si>
  <si>
    <t xml:space="preserve"> Paul</t>
  </si>
  <si>
    <t>Koepplinger</t>
  </si>
  <si>
    <t>Krynski</t>
  </si>
  <si>
    <t>LaButti</t>
  </si>
  <si>
    <t>LaFleur</t>
  </si>
  <si>
    <t xml:space="preserve"> J. Lance</t>
  </si>
  <si>
    <t>Leahey</t>
  </si>
  <si>
    <t xml:space="preserve"> Christy</t>
  </si>
  <si>
    <t>Lehman</t>
  </si>
  <si>
    <t>Leis</t>
  </si>
  <si>
    <t xml:space="preserve"> Paula</t>
  </si>
  <si>
    <t>Lemar</t>
  </si>
  <si>
    <t xml:space="preserve"> Onya Victoria</t>
  </si>
  <si>
    <t>Leonard</t>
  </si>
  <si>
    <t>Lewis</t>
  </si>
  <si>
    <t xml:space="preserve"> Michelle</t>
  </si>
  <si>
    <t>Lin</t>
  </si>
  <si>
    <t xml:space="preserve"> Scott</t>
  </si>
  <si>
    <t>Lintner</t>
  </si>
  <si>
    <t>Li-Yung</t>
  </si>
  <si>
    <t>Long</t>
  </si>
  <si>
    <t xml:space="preserve"> Annette</t>
  </si>
  <si>
    <t>Lowe</t>
  </si>
  <si>
    <t xml:space="preserve"> Walt</t>
  </si>
  <si>
    <t>Luscious</t>
  </si>
  <si>
    <t xml:space="preserve"> Dan</t>
  </si>
  <si>
    <t>Madan</t>
  </si>
  <si>
    <t xml:space="preserve"> Karan</t>
  </si>
  <si>
    <t>Maggart</t>
  </si>
  <si>
    <t>Maislos</t>
  </si>
  <si>
    <t xml:space="preserve"> Gabriel</t>
  </si>
  <si>
    <t>Margolis</t>
  </si>
  <si>
    <t>Mayes</t>
  </si>
  <si>
    <t xml:space="preserve"> Matt</t>
  </si>
  <si>
    <t>Mbah</t>
  </si>
  <si>
    <t xml:space="preserve"> Lynda</t>
  </si>
  <si>
    <t>McCulloch</t>
  </si>
  <si>
    <t xml:space="preserve"> Patrick</t>
  </si>
  <si>
    <t>McKeever</t>
  </si>
  <si>
    <t xml:space="preserve"> Grant</t>
  </si>
  <si>
    <t>Mckinney</t>
  </si>
  <si>
    <t>McWilliams</t>
  </si>
  <si>
    <t xml:space="preserve"> Jeremy</t>
  </si>
  <si>
    <t>Meeks</t>
  </si>
  <si>
    <t xml:space="preserve"> Evan</t>
  </si>
  <si>
    <t>Mehta</t>
  </si>
  <si>
    <t xml:space="preserve"> Ankur</t>
  </si>
  <si>
    <t>Melillo</t>
  </si>
  <si>
    <t>Melton</t>
  </si>
  <si>
    <t>Mencer-Parks</t>
  </si>
  <si>
    <t xml:space="preserve"> Melanie</t>
  </si>
  <si>
    <t>Miles</t>
  </si>
  <si>
    <t xml:space="preserve"> Jerry</t>
  </si>
  <si>
    <t>Montiville</t>
  </si>
  <si>
    <t xml:space="preserve"> Kelly</t>
  </si>
  <si>
    <t>Morice</t>
  </si>
  <si>
    <t xml:space="preserve"> Fabian</t>
  </si>
  <si>
    <t>Motamedi</t>
  </si>
  <si>
    <t xml:space="preserve"> Ali</t>
  </si>
  <si>
    <t>Nachmani</t>
  </si>
  <si>
    <t xml:space="preserve"> Linda</t>
  </si>
  <si>
    <t>Orillosa</t>
  </si>
  <si>
    <t xml:space="preserve"> Susan</t>
  </si>
  <si>
    <t>Ouzede</t>
  </si>
  <si>
    <t>Pahl</t>
  </si>
  <si>
    <t xml:space="preserve"> Jorg</t>
  </si>
  <si>
    <t>Pappachan</t>
  </si>
  <si>
    <t xml:space="preserve"> Pheba</t>
  </si>
  <si>
    <t>Parris</t>
  </si>
  <si>
    <t>Patel</t>
  </si>
  <si>
    <t xml:space="preserve"> Purvi</t>
  </si>
  <si>
    <t>Pham</t>
  </si>
  <si>
    <t>Plummer</t>
  </si>
  <si>
    <t xml:space="preserve"> Amy</t>
  </si>
  <si>
    <t>Ponce De Leon</t>
  </si>
  <si>
    <t xml:space="preserve"> Guillermo</t>
  </si>
  <si>
    <t>Ramirez</t>
  </si>
  <si>
    <t xml:space="preserve"> Henry</t>
  </si>
  <si>
    <t xml:space="preserve"> Natalie</t>
  </si>
  <si>
    <t>Rasheed</t>
  </si>
  <si>
    <t xml:space="preserve"> Seema</t>
  </si>
  <si>
    <t>Reed</t>
  </si>
  <si>
    <t xml:space="preserve"> Lauren</t>
  </si>
  <si>
    <t>Reyes - Guerrero</t>
  </si>
  <si>
    <t xml:space="preserve"> Edna</t>
  </si>
  <si>
    <t>Reynolds</t>
  </si>
  <si>
    <t xml:space="preserve"> Ian</t>
  </si>
  <si>
    <t>Rivera</t>
  </si>
  <si>
    <t xml:space="preserve"> Norma</t>
  </si>
  <si>
    <t xml:space="preserve"> Orlando</t>
  </si>
  <si>
    <t>Root</t>
  </si>
  <si>
    <t>Ruble</t>
  </si>
  <si>
    <t xml:space="preserve"> Chris</t>
  </si>
  <si>
    <t>Salvato</t>
  </si>
  <si>
    <t xml:space="preserve"> Patricia</t>
  </si>
  <si>
    <t>Sattar</t>
  </si>
  <si>
    <t xml:space="preserve"> Bidi </t>
  </si>
  <si>
    <t>Scheinost</t>
  </si>
  <si>
    <t xml:space="preserve"> Nancy</t>
  </si>
  <si>
    <t>Schulman</t>
  </si>
  <si>
    <t xml:space="preserve"> Daniel</t>
  </si>
  <si>
    <t>Schultz</t>
  </si>
  <si>
    <t>Scobercea</t>
  </si>
  <si>
    <t xml:space="preserve"> Razvan</t>
  </si>
  <si>
    <t>Shah</t>
  </si>
  <si>
    <t xml:space="preserve"> Ami</t>
  </si>
  <si>
    <t>Sharma</t>
  </si>
  <si>
    <t xml:space="preserve"> Achin</t>
  </si>
  <si>
    <t>Sheedy</t>
  </si>
  <si>
    <t>Sherman</t>
  </si>
  <si>
    <t xml:space="preserve"> John Vaneff</t>
  </si>
  <si>
    <t xml:space="preserve"> Vincenet Anthony</t>
  </si>
  <si>
    <t>Shybut</t>
  </si>
  <si>
    <t xml:space="preserve"> Theodore</t>
  </si>
  <si>
    <t>Sloan</t>
  </si>
  <si>
    <t xml:space="preserve"> Shaelene</t>
  </si>
  <si>
    <t>Smith</t>
  </si>
  <si>
    <t xml:space="preserve"> Virginia</t>
  </si>
  <si>
    <t>Stahle</t>
  </si>
  <si>
    <t xml:space="preserve"> Steven D.</t>
  </si>
  <si>
    <t>Stancell</t>
  </si>
  <si>
    <t>Stephens</t>
  </si>
  <si>
    <t>Stern</t>
  </si>
  <si>
    <t>Stevens</t>
  </si>
  <si>
    <t xml:space="preserve"> Kelli</t>
  </si>
  <si>
    <t>Stidham</t>
  </si>
  <si>
    <t xml:space="preserve"> Shane</t>
  </si>
  <si>
    <t>Stran</t>
  </si>
  <si>
    <t xml:space="preserve"> Don</t>
  </si>
  <si>
    <t>Sweeney</t>
  </si>
  <si>
    <t xml:space="preserve"> D. Sean</t>
  </si>
  <si>
    <t>Tirandaz</t>
  </si>
  <si>
    <t xml:space="preserve"> Arash</t>
  </si>
  <si>
    <t>Turnquest</t>
  </si>
  <si>
    <t xml:space="preserve"> Dexter</t>
  </si>
  <si>
    <t>Vaidya</t>
  </si>
  <si>
    <t xml:space="preserve"> Kellie</t>
  </si>
  <si>
    <t>Villarreal</t>
  </si>
  <si>
    <t xml:space="preserve"> Sebastian</t>
  </si>
  <si>
    <t xml:space="preserve"> Willie</t>
  </si>
  <si>
    <t>Vinh</t>
  </si>
  <si>
    <t xml:space="preserve"> Baominh</t>
  </si>
  <si>
    <t>Voto</t>
  </si>
  <si>
    <t xml:space="preserve"> Joe</t>
  </si>
  <si>
    <t>Vuong</t>
  </si>
  <si>
    <t>Waggoner</t>
  </si>
  <si>
    <t xml:space="preserve"> Bradley</t>
  </si>
  <si>
    <t>Walker</t>
  </si>
  <si>
    <t xml:space="preserve"> Peter</t>
  </si>
  <si>
    <t>Walsh</t>
  </si>
  <si>
    <t>Wang</t>
  </si>
  <si>
    <t>Whanger</t>
  </si>
  <si>
    <t xml:space="preserve"> Kristin</t>
  </si>
  <si>
    <t>Williams</t>
  </si>
  <si>
    <t xml:space="preserve"> Kevin</t>
  </si>
  <si>
    <t xml:space="preserve"> Chandra L.</t>
  </si>
  <si>
    <t/>
  </si>
  <si>
    <t xml:space="preserve"> Anthony MD</t>
  </si>
  <si>
    <t>Total Mar</t>
  </si>
  <si>
    <t>Com Mar</t>
  </si>
  <si>
    <t>Fed Mar</t>
  </si>
  <si>
    <t>Mar</t>
  </si>
  <si>
    <t>Mark</t>
  </si>
  <si>
    <t>Holds Mar</t>
  </si>
  <si>
    <t>Garcia, Alfredo</t>
  </si>
  <si>
    <t>GARCIA</t>
  </si>
  <si>
    <t>ALFREDO</t>
  </si>
  <si>
    <t>ADICKES, MARK (1770673428)</t>
  </si>
  <si>
    <t>ALVAREZ, JOSEPH (1336193903)</t>
  </si>
  <si>
    <t>AMOR, COURTNEY (1477717411)</t>
  </si>
  <si>
    <t>ARMSTRONG, JASON (1053347849)</t>
  </si>
  <si>
    <t>BACHMANN, BRAD (1598861809)</t>
  </si>
  <si>
    <t>BARRY, GENE (1104811413)</t>
  </si>
  <si>
    <t>BENHAMOU, ELIAS (1639177371)</t>
  </si>
  <si>
    <t>BRATTON , GREG (1861657355)</t>
  </si>
  <si>
    <t>BUTTS, TURNER (1811923923)</t>
  </si>
  <si>
    <t>BYRD, MICHAEL (1942394663)</t>
  </si>
  <si>
    <t>CANNELLA, JEFFREY (1063465649)</t>
  </si>
  <si>
    <t>CHOUDRI, MOBEEN (1942347877)</t>
  </si>
  <si>
    <t>CRAWFORD, KIM (1417926783)</t>
  </si>
  <si>
    <t>CRUMBIE, DAVID (1962563981)</t>
  </si>
  <si>
    <t>DAVE, OMKAR (1992949770)</t>
  </si>
  <si>
    <t>DUNAGIN, RACHEL (1972796613)</t>
  </si>
  <si>
    <t>DUPUIS, TRAVIS (1134136252)</t>
  </si>
  <si>
    <t>EICHELSDORFER, STEPHEN (1588642532)</t>
  </si>
  <si>
    <t>FIALA, TYSON (1346500584)</t>
  </si>
  <si>
    <t>FLORES, STEVEN (1508063132)</t>
  </si>
  <si>
    <t>FRAZIER, MICHAEL J (1881958940)</t>
  </si>
  <si>
    <t>FULLICK, ROBERT (1740476191)</t>
  </si>
  <si>
    <t>GARCIA, EDUARDO (1578519757)</t>
  </si>
  <si>
    <t>GOEL, SARA (1023244431)</t>
  </si>
  <si>
    <t>GORDON, MICHAEL (1073541819)</t>
  </si>
  <si>
    <t>GREASER, MICHAEL (1811156979)</t>
  </si>
  <si>
    <t>GRIFFIN, BAILEY (1003164146)</t>
  </si>
  <si>
    <t>HALL, CHARLES (1013917459)</t>
  </si>
  <si>
    <t>HARGER, LAURA (1891003109)</t>
  </si>
  <si>
    <t>HARVIN, WILLIAM (1356651301)</t>
  </si>
  <si>
    <t>HASSAN, HINA (1740536598)</t>
  </si>
  <si>
    <t>HEYBECK, TYREEN (1003144593)</t>
  </si>
  <si>
    <t>HIGGS, MATHEW (1588828800)</t>
  </si>
  <si>
    <t>HOLT, MARSTON SHAUN (1275533457)</t>
  </si>
  <si>
    <t>HUANG, EDDIE (1831325026)</t>
  </si>
  <si>
    <t>JAGLOWSKI, JEFFREY (1841459476)</t>
  </si>
  <si>
    <t>LAFLEUR, LANCE (1245488824)</t>
  </si>
  <si>
    <t>LEAHEY, CHRISTY (1134108343)</t>
  </si>
  <si>
    <t>LI-YUNG HING, ANDREW (1467694687)</t>
  </si>
  <si>
    <t>LIN, SCOTT (1619171287)</t>
  </si>
  <si>
    <t>MACTAVISH, LAWRENCE LARRY (1588609408)</t>
  </si>
  <si>
    <t>MADAN, KARAN (1568410397)</t>
  </si>
  <si>
    <t>MARGER, LAURA (1891003109)</t>
  </si>
  <si>
    <t>MARGOLIS, SCOTT (1740216852)</t>
  </si>
  <si>
    <t>MBAH, LYNDA (1669799060)</t>
  </si>
  <si>
    <t>MCKEEVER, GRANT (1659370591)</t>
  </si>
  <si>
    <t>MCKINNEY, SCOTT (1003866179)</t>
  </si>
  <si>
    <t>MEEKS, EVAN (1588945794)</t>
  </si>
  <si>
    <t>MEHTA, ANKUR (1497913800)</t>
  </si>
  <si>
    <t>MELTON, MARK (1801854617)</t>
  </si>
  <si>
    <t>MENCER-PARKS, MELANIE (1528093184)</t>
  </si>
  <si>
    <t>MILES, JERRY (1710914973)</t>
  </si>
  <si>
    <t>ORILLOSA, SUSAN (1285893750)</t>
  </si>
  <si>
    <t>PARRIS, RON (1629338991)</t>
  </si>
  <si>
    <t>PATEL, PURVI (1386993202)</t>
  </si>
  <si>
    <t>PHAM, TIM (1043573645)</t>
  </si>
  <si>
    <t>RAMIREZ, HENRY (1457534729)</t>
  </si>
  <si>
    <t>RASHEED, SEEMA (1801081039)</t>
  </si>
  <si>
    <t>REED, LAUREN (1033473731)</t>
  </si>
  <si>
    <t>REYES-GUERRERO, EDNA (1821239583)</t>
  </si>
  <si>
    <t>ROOT, GREG (1467748889)</t>
  </si>
  <si>
    <t>SCHEINOST, NANCY (1740238450)</t>
  </si>
  <si>
    <t>SHAH, AMI (1053373001)</t>
  </si>
  <si>
    <t>SHEEDY, MATTHEW (1265648109)</t>
  </si>
  <si>
    <t>STRAN, DONALD (1164403408)</t>
  </si>
  <si>
    <t>SWEENEY, SEAN (1962487785)</t>
  </si>
  <si>
    <t>TIRANDAZ, ARASH (1790723245)</t>
  </si>
  <si>
    <t>VILLARREAL, WILLIE (1841359692)</t>
  </si>
  <si>
    <t>VINH, BAOMINH (1578707303)</t>
  </si>
  <si>
    <t>WALSH, AMY (1386740645)</t>
  </si>
  <si>
    <t>ADICKES</t>
  </si>
  <si>
    <t>ALVAREZ</t>
  </si>
  <si>
    <t>AMOR</t>
  </si>
  <si>
    <t>ARMSTRONG</t>
  </si>
  <si>
    <t>BACHMANN</t>
  </si>
  <si>
    <t>BARRY</t>
  </si>
  <si>
    <t>BENHAMOU</t>
  </si>
  <si>
    <t>BUTTS</t>
  </si>
  <si>
    <t>BYRD</t>
  </si>
  <si>
    <t>CANNELLA</t>
  </si>
  <si>
    <t>CHOUDRI</t>
  </si>
  <si>
    <t>CRAWFORD</t>
  </si>
  <si>
    <t>CRUMBIE</t>
  </si>
  <si>
    <t>DAVE</t>
  </si>
  <si>
    <t>DUNAGIN</t>
  </si>
  <si>
    <t>DUPUIS</t>
  </si>
  <si>
    <t>EICHELSDORFER</t>
  </si>
  <si>
    <t>FIALA</t>
  </si>
  <si>
    <t>FLORES</t>
  </si>
  <si>
    <t>FRAZIER</t>
  </si>
  <si>
    <t>FULLICK</t>
  </si>
  <si>
    <t>GOEL</t>
  </si>
  <si>
    <t>GORDON</t>
  </si>
  <si>
    <t>GREASER</t>
  </si>
  <si>
    <t>GRIFFIN</t>
  </si>
  <si>
    <t>HALL</t>
  </si>
  <si>
    <t>HARGER</t>
  </si>
  <si>
    <t>HARVIN</t>
  </si>
  <si>
    <t>HASSAN</t>
  </si>
  <si>
    <t>HEYBECK</t>
  </si>
  <si>
    <t>HIGGS</t>
  </si>
  <si>
    <t>HOLT</t>
  </si>
  <si>
    <t>HUANG</t>
  </si>
  <si>
    <t>JAGLOWSKI</t>
  </si>
  <si>
    <t>LAFLEUR</t>
  </si>
  <si>
    <t>LEAHEY</t>
  </si>
  <si>
    <t>LIN</t>
  </si>
  <si>
    <t>MACTAVISH</t>
  </si>
  <si>
    <t>MADAN</t>
  </si>
  <si>
    <t>MARGER</t>
  </si>
  <si>
    <t>MARGOLIS</t>
  </si>
  <si>
    <t>MBAH</t>
  </si>
  <si>
    <t>MCKEEVER</t>
  </si>
  <si>
    <t>MCKINNEY</t>
  </si>
  <si>
    <t>MEEKS</t>
  </si>
  <si>
    <t>MEHTA</t>
  </si>
  <si>
    <t>MELTON</t>
  </si>
  <si>
    <t>MENCER-PARKS</t>
  </si>
  <si>
    <t>MILES</t>
  </si>
  <si>
    <t>ORILLOSA</t>
  </si>
  <si>
    <t>PARRIS</t>
  </si>
  <si>
    <t>PATEL</t>
  </si>
  <si>
    <t>PHAM</t>
  </si>
  <si>
    <t>RAMIREZ</t>
  </si>
  <si>
    <t>RASHEED</t>
  </si>
  <si>
    <t>REED</t>
  </si>
  <si>
    <t>REYES-GUERRERO</t>
  </si>
  <si>
    <t>ROOT</t>
  </si>
  <si>
    <t>SCHEINOST</t>
  </si>
  <si>
    <t>SHAH</t>
  </si>
  <si>
    <t>SHEEDY</t>
  </si>
  <si>
    <t>STRAN</t>
  </si>
  <si>
    <t>SWEENEY</t>
  </si>
  <si>
    <t>TIRANDAZ</t>
  </si>
  <si>
    <t>VILLARREAL</t>
  </si>
  <si>
    <t>VINH</t>
  </si>
  <si>
    <t>WALSH</t>
  </si>
  <si>
    <t>LI-YUNG HING</t>
  </si>
  <si>
    <t>BROWN, CHANDRA (1770523821)</t>
  </si>
  <si>
    <t>COUPE, KEVIN (1700874211)</t>
  </si>
  <si>
    <t>ENGELMAN, MARK (1932466331)</t>
  </si>
  <si>
    <t>MCWILLIAMS, JEREMY (1851325823)</t>
  </si>
  <si>
    <t>SATTAR, BIBI (1477728079)</t>
  </si>
  <si>
    <t>BROWN</t>
  </si>
  <si>
    <t>COUPE</t>
  </si>
  <si>
    <t>ENGELMAN</t>
  </si>
  <si>
    <t>MCWILLIAMS</t>
  </si>
  <si>
    <t>SATTAR</t>
  </si>
  <si>
    <t>MELILLO, ANTHONY (1598754103)</t>
  </si>
  <si>
    <t>MELILLO</t>
  </si>
  <si>
    <t>CIAGLIA, MARK (1063651610)</t>
  </si>
  <si>
    <t>MUNSHI, OMER (1790913739)</t>
  </si>
  <si>
    <t>NACHMANI, LINDA (1700866456)</t>
  </si>
  <si>
    <t>VILLARREAL, SEBASITIAN (1497930044)</t>
  </si>
  <si>
    <t>VILLARREAL, SEBASTIAN (1497930044)</t>
  </si>
  <si>
    <t xml:space="preserve"> MARK </t>
  </si>
  <si>
    <t xml:space="preserve"> JOSEPH </t>
  </si>
  <si>
    <t xml:space="preserve"> COURTNEY </t>
  </si>
  <si>
    <t xml:space="preserve"> JASON </t>
  </si>
  <si>
    <t xml:space="preserve"> BRAD </t>
  </si>
  <si>
    <t xml:space="preserve"> GENE </t>
  </si>
  <si>
    <t xml:space="preserve"> ELIAS </t>
  </si>
  <si>
    <t xml:space="preserve">BRATTON </t>
  </si>
  <si>
    <t xml:space="preserve"> GREG </t>
  </si>
  <si>
    <t xml:space="preserve"> TURNER </t>
  </si>
  <si>
    <t xml:space="preserve"> MICHAEL </t>
  </si>
  <si>
    <t xml:space="preserve"> JEFFREY </t>
  </si>
  <si>
    <t xml:space="preserve"> MOBEEN </t>
  </si>
  <si>
    <t>CIAGLIA</t>
  </si>
  <si>
    <t xml:space="preserve"> KIM </t>
  </si>
  <si>
    <t xml:space="preserve"> DAVID </t>
  </si>
  <si>
    <t xml:space="preserve"> OMKAR </t>
  </si>
  <si>
    <t xml:space="preserve"> RACHEL </t>
  </si>
  <si>
    <t xml:space="preserve"> TRAVIS </t>
  </si>
  <si>
    <t xml:space="preserve"> STEPHEN </t>
  </si>
  <si>
    <t xml:space="preserve"> TYSON </t>
  </si>
  <si>
    <t xml:space="preserve"> STEVEN </t>
  </si>
  <si>
    <t xml:space="preserve"> MICHAEL J </t>
  </si>
  <si>
    <t xml:space="preserve"> ROBERT </t>
  </si>
  <si>
    <t xml:space="preserve"> EDUARDO </t>
  </si>
  <si>
    <t xml:space="preserve"> SARA </t>
  </si>
  <si>
    <t xml:space="preserve"> BAILEY </t>
  </si>
  <si>
    <t xml:space="preserve"> CHARLES </t>
  </si>
  <si>
    <t xml:space="preserve"> LAURA </t>
  </si>
  <si>
    <t xml:space="preserve"> WILLIAM </t>
  </si>
  <si>
    <t xml:space="preserve"> HINA </t>
  </si>
  <si>
    <t xml:space="preserve"> TYREEN </t>
  </si>
  <si>
    <t xml:space="preserve"> MATHEW </t>
  </si>
  <si>
    <t xml:space="preserve"> MARSTON SHAUN </t>
  </si>
  <si>
    <t xml:space="preserve"> EDDIE </t>
  </si>
  <si>
    <t xml:space="preserve"> LANCE </t>
  </si>
  <si>
    <t xml:space="preserve"> CHRISTY </t>
  </si>
  <si>
    <t xml:space="preserve"> ANDREW </t>
  </si>
  <si>
    <t xml:space="preserve"> SCOTT </t>
  </si>
  <si>
    <t xml:space="preserve"> LAWRENCE SCOTT </t>
  </si>
  <si>
    <t xml:space="preserve"> LAWRENCE LARRY </t>
  </si>
  <si>
    <t xml:space="preserve"> KARAN </t>
  </si>
  <si>
    <t xml:space="preserve"> LYNDA </t>
  </si>
  <si>
    <t xml:space="preserve"> GRANT </t>
  </si>
  <si>
    <t xml:space="preserve"> EVAN </t>
  </si>
  <si>
    <t xml:space="preserve"> ANKUR </t>
  </si>
  <si>
    <t xml:space="preserve"> ANTHONY </t>
  </si>
  <si>
    <t xml:space="preserve"> MELANIE </t>
  </si>
  <si>
    <t xml:space="preserve"> JERRY </t>
  </si>
  <si>
    <t>MUNSHI</t>
  </si>
  <si>
    <t xml:space="preserve"> OMER </t>
  </si>
  <si>
    <t>NACHMANI</t>
  </si>
  <si>
    <t xml:space="preserve"> LINDA </t>
  </si>
  <si>
    <t xml:space="preserve"> SUSAN </t>
  </si>
  <si>
    <t xml:space="preserve"> RON </t>
  </si>
  <si>
    <t xml:space="preserve"> PURVI </t>
  </si>
  <si>
    <t xml:space="preserve"> TIM </t>
  </si>
  <si>
    <t xml:space="preserve"> HENRY </t>
  </si>
  <si>
    <t xml:space="preserve"> SEEMA </t>
  </si>
  <si>
    <t xml:space="preserve"> LAUREN </t>
  </si>
  <si>
    <t xml:space="preserve"> EDNA </t>
  </si>
  <si>
    <t xml:space="preserve"> NANCY </t>
  </si>
  <si>
    <t xml:space="preserve"> AMI </t>
  </si>
  <si>
    <t xml:space="preserve"> MATTHEW </t>
  </si>
  <si>
    <t xml:space="preserve"> DONALD </t>
  </si>
  <si>
    <t xml:space="preserve"> SEAN </t>
  </si>
  <si>
    <t xml:space="preserve"> ARASH </t>
  </si>
  <si>
    <t xml:space="preserve"> SEBASITIAN </t>
  </si>
  <si>
    <t xml:space="preserve"> SEBASTIAN </t>
  </si>
  <si>
    <t xml:space="preserve"> WILLIE </t>
  </si>
  <si>
    <t xml:space="preserve"> BAOMINH </t>
  </si>
  <si>
    <t xml:space="preserve"> AMY </t>
  </si>
  <si>
    <t>MACTAVISH, LAWRENCE SCOTT (1740216852)</t>
  </si>
  <si>
    <t>Apr</t>
  </si>
  <si>
    <t>Apr MTD</t>
  </si>
  <si>
    <t>Total Apr</t>
  </si>
  <si>
    <t>Com Apr</t>
  </si>
  <si>
    <t>Fed Apr</t>
  </si>
  <si>
    <t xml:space="preserve"> CHANDRA </t>
  </si>
  <si>
    <t xml:space="preserve"> KEVIN </t>
  </si>
  <si>
    <t xml:space="preserve"> JEREMY </t>
  </si>
  <si>
    <t xml:space="preserve"> BIBI </t>
  </si>
  <si>
    <t>BRATTON , GREG</t>
  </si>
  <si>
    <t>BRATTON</t>
  </si>
  <si>
    <t>GREG</t>
  </si>
  <si>
    <t>Brown, Frederick</t>
  </si>
  <si>
    <t>Frederick</t>
  </si>
  <si>
    <t>Choudhri, Mobeen</t>
  </si>
  <si>
    <t>Choudhri</t>
  </si>
  <si>
    <t>BROWN, FREDERICK (1609955350)</t>
  </si>
  <si>
    <t>FREDERICK</t>
  </si>
  <si>
    <t>GHAZAVI, ALI (1679810873)</t>
  </si>
  <si>
    <t>GHAZAVI</t>
  </si>
  <si>
    <t>ALI</t>
  </si>
  <si>
    <t>NASH, EDWARD (1962428656)</t>
  </si>
  <si>
    <t>NASH</t>
  </si>
  <si>
    <t>EDWARD</t>
  </si>
  <si>
    <t>Munshi, Omer</t>
  </si>
  <si>
    <t>Munshi</t>
  </si>
  <si>
    <t>Omer</t>
  </si>
  <si>
    <t>Nash, Edward</t>
  </si>
  <si>
    <t>Nash</t>
  </si>
  <si>
    <t>Edward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</si>
</sst>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6D96C5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9">
    <xf numFmtId="0" fontId="0" fillId="0" borderId="0" xfId="0"/>
    <xf numFmtId="0" fontId="3" fillId="3" borderId="6" xfId="0" applyFont="1" applyFill="1" applyBorder="1"/>
    <xf numFmtId="0" fontId="3" fillId="3" borderId="7" xfId="0" applyFont="1" applyFill="1" applyBorder="1" applyAlignment="1">
      <alignment horizontal="center"/>
    </xf>
    <xf numFmtId="0" fontId="0" fillId="4" borderId="6" xfId="0" applyFont="1" applyFill="1" applyBorder="1"/>
    <xf numFmtId="0" fontId="0" fillId="4" borderId="7" xfId="0" applyFont="1" applyFill="1" applyBorder="1" applyAlignment="1">
      <alignment horizontal="center"/>
    </xf>
    <xf numFmtId="0" fontId="0" fillId="0" borderId="6" xfId="0" applyFont="1" applyBorder="1"/>
    <xf numFmtId="0" fontId="0" fillId="0" borderId="7" xfId="0" applyFont="1" applyBorder="1" applyAlignment="1">
      <alignment horizontal="center"/>
    </xf>
    <xf numFmtId="0" fontId="0" fillId="4" borderId="7" xfId="0" applyFont="1" applyFill="1" applyBorder="1"/>
    <xf numFmtId="0" fontId="0" fillId="0" borderId="7" xfId="0" applyFont="1" applyBorder="1"/>
    <xf numFmtId="0" fontId="3" fillId="3" borderId="7" xfId="0" applyFont="1" applyFill="1" applyBorder="1"/>
    <xf numFmtId="0" fontId="1" fillId="0" borderId="0" xfId="0" applyFont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2" fillId="0" borderId="3" xfId="0" applyFont="1" applyFill="1" applyBorder="1" applyAlignment="1" applyProtection="1">
      <alignment vertical="top"/>
      <protection locked="0"/>
    </xf>
    <xf numFmtId="0" fontId="2" fillId="0" borderId="3" xfId="0" applyFont="1" applyFill="1" applyBorder="1" applyAlignment="1" applyProtection="1">
      <alignment horizontal="center" vertical="top"/>
      <protection locked="0"/>
    </xf>
    <xf numFmtId="0" fontId="1" fillId="2" borderId="1" xfId="0" applyFont="1" applyFill="1" applyBorder="1" applyAlignment="1" applyProtection="1">
      <alignment horizontal="center"/>
    </xf>
    <xf numFmtId="10" fontId="1" fillId="2" borderId="1" xfId="0" applyNumberFormat="1" applyFont="1" applyFill="1" applyBorder="1" applyAlignment="1" applyProtection="1">
      <alignment horizontal="center"/>
    </xf>
    <xf numFmtId="2" fontId="1" fillId="2" borderId="1" xfId="0" applyNumberFormat="1" applyFont="1" applyFill="1" applyBorder="1" applyAlignment="1" applyProtection="1">
      <alignment horizontal="center"/>
    </xf>
    <xf numFmtId="10" fontId="0" fillId="0" borderId="3" xfId="0" applyNumberFormat="1" applyFont="1" applyFill="1" applyBorder="1" applyAlignment="1" applyProtection="1">
      <alignment horizontal="center"/>
    </xf>
    <xf numFmtId="2" fontId="0" fillId="0" borderId="3" xfId="0" applyNumberFormat="1" applyFont="1" applyFill="1" applyBorder="1" applyAlignment="1" applyProtection="1">
      <alignment horizontal="center"/>
    </xf>
    <xf numFmtId="0" fontId="0" fillId="0" borderId="3" xfId="0" applyFont="1" applyFill="1" applyBorder="1" applyAlignment="1" applyProtection="1">
      <alignment horizontal="center"/>
    </xf>
    <xf numFmtId="0" fontId="0" fillId="0" borderId="2" xfId="0" applyFont="1" applyFill="1" applyBorder="1" applyAlignment="1" applyProtection="1">
      <alignment horizontal="center"/>
    </xf>
    <xf numFmtId="0" fontId="2" fillId="0" borderId="3" xfId="0" applyNumberFormat="1" applyFont="1" applyFill="1" applyBorder="1" applyAlignment="1" applyProtection="1">
      <alignment vertical="top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49" fontId="2" fillId="0" borderId="3" xfId="0" applyNumberFormat="1" applyFont="1" applyFill="1" applyBorder="1" applyAlignment="1" applyProtection="1">
      <alignment vertical="top"/>
      <protection locked="0"/>
    </xf>
    <xf numFmtId="2" fontId="1" fillId="0" borderId="0" xfId="0" applyNumberFormat="1" applyFont="1" applyBorder="1" applyAlignment="1" applyProtection="1">
      <alignment horizontal="center" vertical="center" wrapText="1"/>
      <protection locked="0"/>
    </xf>
    <xf numFmtId="0" fontId="2" fillId="0" borderId="2" xfId="0" applyFont="1" applyFill="1" applyBorder="1" applyAlignment="1" applyProtection="1">
      <alignment vertical="top"/>
      <protection locked="0"/>
    </xf>
    <xf numFmtId="0" fontId="0" fillId="0" borderId="1" xfId="0" applyFont="1" applyFill="1" applyBorder="1" applyAlignment="1" applyProtection="1">
      <alignment vertical="top"/>
      <protection locked="0"/>
    </xf>
    <xf numFmtId="49" fontId="0" fillId="0" borderId="1" xfId="1" applyNumberFormat="1" applyFont="1" applyFill="1" applyBorder="1" applyAlignment="1" applyProtection="1">
      <protection locked="0"/>
    </xf>
    <xf numFmtId="10" fontId="0" fillId="0" borderId="2" xfId="0" applyNumberFormat="1" applyFont="1" applyFill="1" applyBorder="1" applyAlignment="1" applyProtection="1">
      <alignment horizontal="center"/>
    </xf>
    <xf numFmtId="2" fontId="5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vertical="top"/>
      <protection locked="0"/>
    </xf>
    <xf numFmtId="49" fontId="2" fillId="0" borderId="1" xfId="1" applyNumberFormat="1" applyFont="1" applyFill="1" applyBorder="1" applyAlignment="1" applyProtection="1">
      <alignment vertical="top"/>
      <protection locked="0"/>
    </xf>
    <xf numFmtId="0" fontId="2" fillId="0" borderId="1" xfId="0" applyNumberFormat="1" applyFont="1" applyFill="1" applyBorder="1" applyAlignment="1" applyProtection="1">
      <alignment vertical="top"/>
    </xf>
    <xf numFmtId="0" fontId="2" fillId="0" borderId="1" xfId="0" applyFont="1" applyFill="1" applyBorder="1" applyAlignment="1" applyProtection="1">
      <alignment horizontal="center" vertical="top"/>
      <protection locked="0"/>
    </xf>
    <xf numFmtId="49" fontId="2" fillId="0" borderId="2" xfId="0" applyNumberFormat="1" applyFont="1" applyFill="1" applyBorder="1" applyAlignment="1" applyProtection="1">
      <alignment vertical="top"/>
      <protection locked="0"/>
    </xf>
    <xf numFmtId="0" fontId="2" fillId="0" borderId="2" xfId="0" applyNumberFormat="1" applyFont="1" applyFill="1" applyBorder="1" applyAlignment="1" applyProtection="1"/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10" fontId="0" fillId="0" borderId="1" xfId="0" applyNumberFormat="1" applyFont="1" applyFill="1" applyBorder="1" applyAlignment="1" applyProtection="1">
      <alignment horizontal="center"/>
    </xf>
    <xf numFmtId="2" fontId="0" fillId="0" borderId="2" xfId="0" applyNumberFormat="1" applyFont="1" applyFill="1" applyBorder="1" applyAlignment="1" applyProtection="1">
      <alignment horizontal="center"/>
    </xf>
    <xf numFmtId="0" fontId="0" fillId="0" borderId="1" xfId="0" applyFont="1" applyFill="1" applyBorder="1" applyAlignment="1" applyProtection="1">
      <alignment horizontal="center"/>
    </xf>
    <xf numFmtId="2" fontId="0" fillId="0" borderId="1" xfId="0" applyNumberFormat="1" applyFont="1" applyFill="1" applyBorder="1" applyAlignment="1" applyProtection="1">
      <alignment horizontal="center"/>
    </xf>
    <xf numFmtId="2" fontId="6" fillId="0" borderId="1" xfId="0" applyNumberFormat="1" applyFont="1" applyFill="1" applyBorder="1" applyAlignment="1" applyProtection="1">
      <alignment horizontal="center"/>
    </xf>
    <xf numFmtId="2" fontId="7" fillId="0" borderId="1" xfId="0" applyNumberFormat="1" applyFont="1" applyFill="1" applyBorder="1" applyAlignment="1" applyProtection="1">
      <alignment horizontal="center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1" fillId="2" borderId="9" xfId="0" applyFont="1" applyFill="1" applyBorder="1" applyAlignment="1" applyProtection="1">
      <alignment horizontal="right"/>
      <protection locked="0"/>
    </xf>
    <xf numFmtId="0" fontId="2" fillId="0" borderId="2" xfId="0" applyNumberFormat="1" applyFont="1" applyFill="1" applyBorder="1" applyAlignment="1" applyProtection="1">
      <alignment horizontal="left" vertical="top"/>
      <protection locked="0"/>
    </xf>
  </cellXfs>
  <cellStyles count="2">
    <cellStyle name="Comma" xfId="1" builtinId="3"/>
    <cellStyle name="Normal" xfId="0" builtinId="0"/>
  </cellStyles>
  <dxfs count="64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ill>
        <patternFill patternType="none">
          <fgColor indexed="64"/>
          <bgColor indexed="65"/>
        </patternFill>
      </fill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ill>
        <patternFill patternType="none">
          <fgColor indexed="64"/>
          <bgColor indexed="65"/>
        </patternFill>
      </fill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ill>
        <patternFill patternType="none">
          <fgColor indexed="64"/>
          <bgColor indexed="65"/>
        </patternFill>
      </fill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border outline="0">
        <right style="thin">
          <color indexed="64"/>
        </right>
      </border>
      <protection locked="1" hidden="0"/>
    </dxf>
    <dxf>
      <alignment horizontal="center" vertical="bottom" textRotation="0" wrapText="0" indent="0" justifyLastLine="0" shrinkToFit="0" readingOrder="0"/>
      <border outline="0">
        <right style="thin">
          <color indexed="64"/>
        </right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4" formatCode="0.00%"/>
      <alignment horizontal="center" vertical="bottom" textRotation="0" wrapText="0" indent="0" justifyLastLine="0" shrinkToFit="0" readingOrder="0"/>
      <border>
        <right style="thin">
          <color indexed="64"/>
        </right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4" formatCode="0.00%"/>
      <alignment horizontal="center" vertical="bottom" textRotation="0" wrapText="0" indent="0" justifyLastLine="0" shrinkToFit="0" readingOrder="0"/>
      <border>
        <right style="thin">
          <color indexed="64"/>
        </right>
      </border>
      <protection locked="1" hidden="0"/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outline="0">
        <top style="thin">
          <color rgb="FF000000"/>
        </top>
      </border>
    </dxf>
    <dxf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15" displayName="Table15" ref="A1:U81" totalsRowShown="0" headerRowDxfId="63" dataDxfId="62" tableBorderDxfId="61">
  <autoFilter ref="A1:U81"/>
  <sortState ref="A2:AA71">
    <sortCondition ref="A1:A71"/>
  </sortState>
  <tableColumns count="21">
    <tableColumn id="1" name="Provider" dataDxfId="60"/>
    <tableColumn id="25" name="Last" dataDxfId="59"/>
    <tableColumn id="26" name="First" dataDxfId="58"/>
    <tableColumn id="28" name="NPI" dataDxfId="57"/>
    <tableColumn id="29" name="Client Manager" dataDxfId="56">
      <calculatedColumnFormula>_xlfn.IFNA(VLOOKUP(Table15[[#This Row],[NPI]],'CM Assignments'!$D$1:$E$185,2,FALSE),_xlfn.IFNA(VLOOKUP(Table15[[#This Row],[Last]],'CM Assignments'!$B$1:$E$185,4,FALSE),"N/A"))</calculatedColumnFormula>
    </tableColumn>
    <tableColumn id="2" name="Total Apr" dataDxfId="55"/>
    <tableColumn id="3" name="Com Apr" dataDxfId="54"/>
    <tableColumn id="4" name="Fed Apr" dataDxfId="53"/>
    <tableColumn id="7" name="Total Mar" dataDxfId="52"/>
    <tableColumn id="8" name="Com Mar" dataDxfId="51"/>
    <tableColumn id="9" name="Fed Mar" dataDxfId="50"/>
    <tableColumn id="12" name="Total Feb" dataDxfId="49"/>
    <tableColumn id="13" name="Com Feb" dataDxfId="48"/>
    <tableColumn id="14" name="Fed Feb" dataDxfId="47"/>
    <tableColumn id="17" name="Comm Growth % Current MTD" dataDxfId="46">
      <calculatedColumnFormula>IF(J2=0,"N/A",((G2/$W$2)-(J2/$Y$2))/(J2/$Y$2))</calculatedColumnFormula>
    </tableColumn>
    <tableColumn id="22" name="Delta Current Month" dataDxfId="45">
      <calculatedColumnFormula>((Table15[[#This Row],[Com Mar]]/$W$2)-(Table15[[#This Row],[Com Feb]]/$Y$2))*$X$2</calculatedColumnFormula>
    </tableColumn>
    <tableColumn id="18" name="Comm % Growth Prior Month" dataDxfId="44">
      <calculatedColumnFormula>IF(M2=0,"N/A",((J2)-(M2))/(M2))</calculatedColumnFormula>
    </tableColumn>
    <tableColumn id="23" name="Delta Prior Month" dataDxfId="43">
      <calculatedColumnFormula>Table15[[#This Row],[Com Mar]]-Table15[[#This Row],[Com Feb]]</calculatedColumnFormula>
    </tableColumn>
    <tableColumn id="19" name="Holds Mar" dataDxfId="42">
      <calculatedColumnFormula>F2-G2-H2</calculatedColumnFormula>
    </tableColumn>
    <tableColumn id="20" name="Holds Feb" dataDxfId="41">
      <calculatedColumnFormula>I2-J2-K2</calculatedColumnFormula>
    </tableColumn>
    <tableColumn id="21" name="Holds Jan" dataDxfId="40">
      <calculatedColumnFormula>L2-M2-N2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:U77" totalsRowShown="0" headerRowDxfId="39" dataDxfId="38" tableBorderDxfId="37">
  <autoFilter ref="A1:U77"/>
  <sortState ref="A2:AA64">
    <sortCondition ref="A1:A64"/>
  </sortState>
  <tableColumns count="21">
    <tableColumn id="1" name="Provider" dataDxfId="36"/>
    <tableColumn id="24" name="Last" dataDxfId="35"/>
    <tableColumn id="25" name="First" dataDxfId="34"/>
    <tableColumn id="26" name="NPI" dataDxfId="33"/>
    <tableColumn id="27" name="Client Manager" dataDxfId="32">
      <calculatedColumnFormula>_xlfn.IFNA(VLOOKUP(Table24[[#This Row],[NPI]],'CM Assignments'!$D$1:$E$185,2,FALSE),_xlfn.IFNA(VLOOKUP(Table24[[#This Row],[Last]],'CM Assignments'!$B$1:$E$185,4,FALSE),"N/A"))</calculatedColumnFormula>
    </tableColumn>
    <tableColumn id="2" name="Total Apr" dataDxfId="31"/>
    <tableColumn id="3" name="Com Apr" dataDxfId="30"/>
    <tableColumn id="4" name="Fed Apr" dataDxfId="29"/>
    <tableColumn id="7" name="Total Mar" dataDxfId="28"/>
    <tableColumn id="8" name="Com Mar" dataDxfId="27"/>
    <tableColumn id="9" name="Fed Mar" dataDxfId="26"/>
    <tableColumn id="12" name="Total Feb" dataDxfId="25"/>
    <tableColumn id="13" name="Com Feb" dataDxfId="24"/>
    <tableColumn id="14" name="Fed Feb" dataDxfId="23"/>
    <tableColumn id="17" name="Comm % Current MTD" dataDxfId="22">
      <calculatedColumnFormula>IF(J2=0,"N/A",((G2/$W$2)-(J2/$Y$2))/(J2/$Y$2))</calculatedColumnFormula>
    </tableColumn>
    <tableColumn id="22" name="Delta Current Month" dataDxfId="21">
      <calculatedColumnFormula>((Table24[[#This Row],[Com Apr]]/$W$2)-(Table24[[#This Row],[Com Mar]]/$Y$2))*$X$2</calculatedColumnFormula>
    </tableColumn>
    <tableColumn id="18" name="Comm % Prior Month" dataDxfId="20">
      <calculatedColumnFormula>IF(M2=0,"N/A",((J2)-(M2))/(M2))</calculatedColumnFormula>
    </tableColumn>
    <tableColumn id="23" name="Delta Prior Month" dataDxfId="19">
      <calculatedColumnFormula>Table24[[#This Row],[Com Mar]]-Table24[[#This Row],[Com Feb]]</calculatedColumnFormula>
    </tableColumn>
    <tableColumn id="19" name="Holds Mar" dataDxfId="18">
      <calculatedColumnFormula>F2-G2-H2</calculatedColumnFormula>
    </tableColumn>
    <tableColumn id="20" name="Holds Feb" dataDxfId="17">
      <calculatedColumnFormula>I2-J2-K2</calculatedColumnFormula>
    </tableColumn>
    <tableColumn id="21" name="Holds Jan" dataDxfId="16">
      <calculatedColumnFormula>L2-M2-N2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82"/>
  <sheetViews>
    <sheetView tabSelected="1" zoomScaleNormal="100" workbookViewId="0">
      <pane xSplit="4" topLeftCell="E1" activePane="topRight" state="frozen"/>
      <selection pane="topRight"/>
    </sheetView>
  </sheetViews>
  <sheetFormatPr defaultColWidth="9.140625" defaultRowHeight="15" x14ac:dyDescent="0.25"/>
  <cols>
    <col min="1" max="1" width="41.140625" style="11" bestFit="1" customWidth="1"/>
    <col min="2" max="2" width="16.42578125" style="11" hidden="1" customWidth="1"/>
    <col min="3" max="3" width="16.85546875" style="11" hidden="1" customWidth="1"/>
    <col min="4" max="4" width="11.7109375" style="11" hidden="1" customWidth="1"/>
    <col min="5" max="5" width="19.28515625" style="11" customWidth="1"/>
    <col min="6" max="6" width="13.42578125" style="11" customWidth="1"/>
    <col min="7" max="7" width="13.140625" style="11" bestFit="1" customWidth="1"/>
    <col min="8" max="8" width="12.42578125" style="11" bestFit="1" customWidth="1"/>
    <col min="9" max="9" width="14" style="11" bestFit="1" customWidth="1"/>
    <col min="10" max="10" width="13.5703125" style="11" bestFit="1" customWidth="1"/>
    <col min="11" max="11" width="12.85546875" style="11" bestFit="1" customWidth="1"/>
    <col min="12" max="12" width="13.7109375" style="11" bestFit="1" customWidth="1"/>
    <col min="13" max="13" width="13.28515625" style="11" bestFit="1" customWidth="1"/>
    <col min="14" max="14" width="12.5703125" style="11" bestFit="1" customWidth="1"/>
    <col min="15" max="15" width="32.7109375" style="11" customWidth="1"/>
    <col min="16" max="16" width="24.140625" style="11" customWidth="1"/>
    <col min="17" max="17" width="32.140625" style="11" customWidth="1"/>
    <col min="18" max="18" width="21.5703125" style="11" customWidth="1"/>
    <col min="19" max="19" width="14.5703125" style="11" bestFit="1" customWidth="1"/>
    <col min="20" max="20" width="14.28515625" style="11" bestFit="1" customWidth="1"/>
    <col min="21" max="21" width="13.85546875" style="11" bestFit="1" customWidth="1"/>
    <col min="22" max="22" width="9.140625" style="11"/>
    <col min="23" max="23" width="8.85546875" style="11" hidden="1" customWidth="1"/>
    <col min="24" max="24" width="4.42578125" style="11" hidden="1" customWidth="1"/>
    <col min="25" max="25" width="4.28515625" style="11" hidden="1" customWidth="1"/>
    <col min="26" max="26" width="3.85546875" style="11" hidden="1" customWidth="1"/>
    <col min="27" max="16384" width="9.140625" style="11"/>
  </cols>
  <sheetData>
    <row r="1" spans="1:26" x14ac:dyDescent="0.25">
      <c r="A1" s="10" t="s">
        <v>0</v>
      </c>
      <c r="B1" s="10" t="s">
        <v>188</v>
      </c>
      <c r="C1" s="10" t="s">
        <v>189</v>
      </c>
      <c r="D1" s="10" t="s">
        <v>190</v>
      </c>
      <c r="E1" s="10" t="s">
        <v>14</v>
      </c>
      <c r="F1" s="22" t="s">
        <v>757</v>
      </c>
      <c r="G1" s="22" t="s">
        <v>758</v>
      </c>
      <c r="H1" s="22" t="s">
        <v>759</v>
      </c>
      <c r="I1" s="23" t="s">
        <v>518</v>
      </c>
      <c r="J1" s="23" t="s">
        <v>519</v>
      </c>
      <c r="K1" s="23" t="s">
        <v>520</v>
      </c>
      <c r="L1" s="23" t="s">
        <v>5</v>
      </c>
      <c r="M1" s="23" t="s">
        <v>6</v>
      </c>
      <c r="N1" s="23" t="s">
        <v>7</v>
      </c>
      <c r="O1" s="10" t="s">
        <v>9</v>
      </c>
      <c r="P1" s="10" t="s">
        <v>11</v>
      </c>
      <c r="Q1" s="10" t="s">
        <v>10</v>
      </c>
      <c r="R1" s="10" t="s">
        <v>12</v>
      </c>
      <c r="S1" s="25" t="s">
        <v>523</v>
      </c>
      <c r="T1" s="10" t="s">
        <v>1</v>
      </c>
      <c r="U1" s="10" t="s">
        <v>2</v>
      </c>
      <c r="W1" s="11" t="s">
        <v>756</v>
      </c>
      <c r="X1" s="11" t="s">
        <v>755</v>
      </c>
      <c r="Y1" s="11" t="s">
        <v>521</v>
      </c>
      <c r="Z1" s="11" t="s">
        <v>13</v>
      </c>
    </row>
    <row r="2" spans="1:26" x14ac:dyDescent="0.25">
      <c r="A2" s="31" t="s">
        <v>527</v>
      </c>
      <c r="B2" s="31" t="s">
        <v>597</v>
      </c>
      <c r="C2" s="31" t="s">
        <v>682</v>
      </c>
      <c r="D2" s="32">
        <v>1770673428</v>
      </c>
      <c r="E2" s="33" t="str">
        <f>_xlfn.IFNA(VLOOKUP(Table15[[#This Row],[NPI]],'CM Assignments'!$D$1:$E$185,2,FALSE),_xlfn.IFNA(VLOOKUP(Table15[[#This Row],[Last]],'CM Assignments'!$B$1:$E$185,4,FALSE),"N/A"))</f>
        <v>Whitney Poe</v>
      </c>
      <c r="F2" s="34">
        <v>35</v>
      </c>
      <c r="G2" s="34">
        <v>32</v>
      </c>
      <c r="H2" s="34">
        <v>2</v>
      </c>
      <c r="I2" s="34">
        <v>53</v>
      </c>
      <c r="J2" s="34">
        <v>46</v>
      </c>
      <c r="K2" s="34">
        <v>7</v>
      </c>
      <c r="L2" s="34">
        <v>92</v>
      </c>
      <c r="M2" s="34">
        <v>73</v>
      </c>
      <c r="N2" s="34">
        <v>19</v>
      </c>
      <c r="O2" s="17">
        <f t="shared" ref="O2:O35" si="0">IF(J2=0,"N/A",((G2/$W$2)-(J2/$Y$2))/(J2/$Y$2))</f>
        <v>0</v>
      </c>
      <c r="P2" s="18">
        <f>((Table15[[#This Row],[Com Mar]]/$W$2)-(Table15[[#This Row],[Com Feb]]/$Y$2))*$X$2</f>
        <v>-6.2771739130434758</v>
      </c>
      <c r="Q2" s="17">
        <f t="shared" ref="Q2:Q35" si="1">IF(M2=0,"N/A",((J2)-(M2))/(M2))</f>
        <v>-0.36986301369863012</v>
      </c>
      <c r="R2" s="18">
        <f>Table15[[#This Row],[Com Mar]]-Table15[[#This Row],[Com Feb]]</f>
        <v>-27</v>
      </c>
      <c r="S2" s="19">
        <f t="shared" ref="S2:S35" si="2">F2-G2-H2</f>
        <v>1</v>
      </c>
      <c r="T2" s="19">
        <f t="shared" ref="T2:T35" si="3">I2-J2-K2</f>
        <v>0</v>
      </c>
      <c r="U2" s="20">
        <f t="shared" ref="U2" si="4">L2-M2-N2</f>
        <v>0</v>
      </c>
      <c r="W2" s="11">
        <v>16</v>
      </c>
      <c r="X2" s="11">
        <v>21</v>
      </c>
      <c r="Y2" s="11">
        <v>23</v>
      </c>
      <c r="Z2" s="11">
        <v>21</v>
      </c>
    </row>
    <row r="3" spans="1:26" x14ac:dyDescent="0.25">
      <c r="A3" s="31" t="s">
        <v>528</v>
      </c>
      <c r="B3" s="27" t="s">
        <v>598</v>
      </c>
      <c r="C3" s="27" t="s">
        <v>683</v>
      </c>
      <c r="D3" s="28">
        <v>1336193903</v>
      </c>
      <c r="E3" s="33" t="str">
        <f>_xlfn.IFNA(VLOOKUP(Table15[[#This Row],[NPI]],'CM Assignments'!$D$1:$E$185,2,FALSE),_xlfn.IFNA(VLOOKUP(Table15[[#This Row],[Last]],'CM Assignments'!$B$1:$E$185,4,FALSE),"N/A"))</f>
        <v>Amanda Fedro</v>
      </c>
      <c r="F3" s="34">
        <v>23</v>
      </c>
      <c r="G3" s="34">
        <v>22</v>
      </c>
      <c r="H3" s="34">
        <v>0</v>
      </c>
      <c r="I3" s="34">
        <v>29</v>
      </c>
      <c r="J3" s="34">
        <v>26</v>
      </c>
      <c r="K3" s="34">
        <v>1</v>
      </c>
      <c r="L3" s="34">
        <v>0</v>
      </c>
      <c r="M3" s="34">
        <v>0</v>
      </c>
      <c r="N3" s="34">
        <v>0</v>
      </c>
      <c r="O3" s="29">
        <f t="shared" si="0"/>
        <v>0.21634615384615394</v>
      </c>
      <c r="P3" s="30">
        <f>((Table15[[#This Row],[Com Mar]]/$W$2)-(Table15[[#This Row],[Com Feb]]/$Y$2))*$X$2</f>
        <v>34.125</v>
      </c>
      <c r="Q3" s="29" t="str">
        <f t="shared" si="1"/>
        <v>N/A</v>
      </c>
      <c r="R3" s="30">
        <f>Table15[[#This Row],[Com Mar]]-Table15[[#This Row],[Com Feb]]</f>
        <v>26</v>
      </c>
      <c r="S3" s="20">
        <f t="shared" si="2"/>
        <v>1</v>
      </c>
      <c r="T3" s="20">
        <f t="shared" si="3"/>
        <v>2</v>
      </c>
      <c r="U3" s="20">
        <f t="shared" ref="U3:U36" si="5">L3-M3-N3</f>
        <v>0</v>
      </c>
    </row>
    <row r="4" spans="1:26" x14ac:dyDescent="0.25">
      <c r="A4" s="31" t="s">
        <v>529</v>
      </c>
      <c r="B4" s="27" t="s">
        <v>599</v>
      </c>
      <c r="C4" s="27" t="s">
        <v>684</v>
      </c>
      <c r="D4" s="28">
        <v>1477717411</v>
      </c>
      <c r="E4" s="33" t="str">
        <f>_xlfn.IFNA(VLOOKUP(Table15[[#This Row],[NPI]],'CM Assignments'!$D$1:$E$185,2,FALSE),_xlfn.IFNA(VLOOKUP(Table15[[#This Row],[Last]],'CM Assignments'!$B$1:$E$185,4,FALSE),"N/A"))</f>
        <v>Dan Vitasovic</v>
      </c>
      <c r="F4" s="34">
        <v>22</v>
      </c>
      <c r="G4" s="34">
        <v>6</v>
      </c>
      <c r="H4" s="34">
        <v>13</v>
      </c>
      <c r="I4" s="34">
        <v>21</v>
      </c>
      <c r="J4" s="34">
        <v>9</v>
      </c>
      <c r="K4" s="34">
        <v>12</v>
      </c>
      <c r="L4" s="34">
        <v>37</v>
      </c>
      <c r="M4" s="34">
        <v>16</v>
      </c>
      <c r="N4" s="34">
        <v>19</v>
      </c>
      <c r="O4" s="29">
        <f t="shared" si="0"/>
        <v>-4.1666666666666706E-2</v>
      </c>
      <c r="P4" s="30">
        <f>((Table15[[#This Row],[Com Mar]]/$W$2)-(Table15[[#This Row],[Com Feb]]/$Y$2))*$X$2</f>
        <v>-2.7961956521739126</v>
      </c>
      <c r="Q4" s="29">
        <f t="shared" si="1"/>
        <v>-0.4375</v>
      </c>
      <c r="R4" s="30">
        <f>Table15[[#This Row],[Com Mar]]-Table15[[#This Row],[Com Feb]]</f>
        <v>-7</v>
      </c>
      <c r="S4" s="20">
        <f t="shared" si="2"/>
        <v>3</v>
      </c>
      <c r="T4" s="20">
        <f t="shared" si="3"/>
        <v>0</v>
      </c>
      <c r="U4" s="20">
        <f t="shared" si="5"/>
        <v>2</v>
      </c>
    </row>
    <row r="5" spans="1:26" x14ac:dyDescent="0.25">
      <c r="A5" s="31" t="s">
        <v>530</v>
      </c>
      <c r="B5" s="27" t="s">
        <v>600</v>
      </c>
      <c r="C5" s="27" t="s">
        <v>685</v>
      </c>
      <c r="D5" s="28">
        <v>1053347849</v>
      </c>
      <c r="E5" s="33" t="str">
        <f>_xlfn.IFNA(VLOOKUP(Table15[[#This Row],[NPI]],'CM Assignments'!$D$1:$E$185,2,FALSE),_xlfn.IFNA(VLOOKUP(Table15[[#This Row],[Last]],'CM Assignments'!$B$1:$E$185,4,FALSE),"N/A"))</f>
        <v>Christy Sanantonio</v>
      </c>
      <c r="F5" s="34">
        <v>9</v>
      </c>
      <c r="G5" s="34">
        <v>6</v>
      </c>
      <c r="H5" s="34">
        <v>3</v>
      </c>
      <c r="I5" s="34">
        <v>7</v>
      </c>
      <c r="J5" s="34">
        <v>6</v>
      </c>
      <c r="K5" s="34">
        <v>1</v>
      </c>
      <c r="L5" s="34">
        <v>7</v>
      </c>
      <c r="M5" s="34">
        <v>5</v>
      </c>
      <c r="N5" s="34">
        <v>2</v>
      </c>
      <c r="O5" s="29">
        <f t="shared" si="0"/>
        <v>0.43750000000000006</v>
      </c>
      <c r="P5" s="30">
        <f>((Table15[[#This Row],[Com Mar]]/$W$2)-(Table15[[#This Row],[Com Feb]]/$Y$2))*$X$2</f>
        <v>3.3097826086956523</v>
      </c>
      <c r="Q5" s="29">
        <f t="shared" si="1"/>
        <v>0.2</v>
      </c>
      <c r="R5" s="30">
        <f>Table15[[#This Row],[Com Mar]]-Table15[[#This Row],[Com Feb]]</f>
        <v>1</v>
      </c>
      <c r="S5" s="20">
        <f t="shared" si="2"/>
        <v>0</v>
      </c>
      <c r="T5" s="20">
        <f t="shared" si="3"/>
        <v>0</v>
      </c>
      <c r="U5" s="20">
        <f t="shared" si="5"/>
        <v>0</v>
      </c>
    </row>
    <row r="6" spans="1:26" x14ac:dyDescent="0.25">
      <c r="A6" s="31" t="s">
        <v>531</v>
      </c>
      <c r="B6" s="27" t="s">
        <v>601</v>
      </c>
      <c r="C6" s="27" t="s">
        <v>686</v>
      </c>
      <c r="D6" s="28">
        <v>1598861809</v>
      </c>
      <c r="E6" s="33" t="str">
        <f>_xlfn.IFNA(VLOOKUP(Table15[[#This Row],[NPI]],'CM Assignments'!$D$1:$E$185,2,FALSE),_xlfn.IFNA(VLOOKUP(Table15[[#This Row],[Last]],'CM Assignments'!$B$1:$E$185,4,FALSE),"N/A"))</f>
        <v>Christy Sanantonio</v>
      </c>
      <c r="F6" s="34">
        <v>8</v>
      </c>
      <c r="G6" s="34">
        <v>8</v>
      </c>
      <c r="H6" s="34">
        <v>0</v>
      </c>
      <c r="I6" s="34">
        <v>32</v>
      </c>
      <c r="J6" s="34">
        <v>31</v>
      </c>
      <c r="K6" s="34">
        <v>1</v>
      </c>
      <c r="L6" s="34">
        <v>30</v>
      </c>
      <c r="M6" s="34">
        <v>29</v>
      </c>
      <c r="N6" s="34">
        <v>1</v>
      </c>
      <c r="O6" s="29">
        <f t="shared" si="0"/>
        <v>-0.62903225806451613</v>
      </c>
      <c r="P6" s="30">
        <f>((Table15[[#This Row],[Com Mar]]/$W$2)-(Table15[[#This Row],[Com Feb]]/$Y$2))*$X$2</f>
        <v>14.209239130434781</v>
      </c>
      <c r="Q6" s="29">
        <f t="shared" si="1"/>
        <v>6.8965517241379309E-2</v>
      </c>
      <c r="R6" s="30">
        <f>Table15[[#This Row],[Com Mar]]-Table15[[#This Row],[Com Feb]]</f>
        <v>2</v>
      </c>
      <c r="S6" s="20">
        <f t="shared" si="2"/>
        <v>0</v>
      </c>
      <c r="T6" s="20">
        <f t="shared" si="3"/>
        <v>0</v>
      </c>
      <c r="U6" s="20">
        <f t="shared" si="5"/>
        <v>0</v>
      </c>
    </row>
    <row r="7" spans="1:26" x14ac:dyDescent="0.25">
      <c r="A7" s="31" t="s">
        <v>532</v>
      </c>
      <c r="B7" s="27" t="s">
        <v>602</v>
      </c>
      <c r="C7" s="27" t="s">
        <v>687</v>
      </c>
      <c r="D7" s="28">
        <v>1104811413</v>
      </c>
      <c r="E7" s="33" t="str">
        <f>_xlfn.IFNA(VLOOKUP(Table15[[#This Row],[NPI]],'CM Assignments'!$D$1:$E$185,2,FALSE),_xlfn.IFNA(VLOOKUP(Table15[[#This Row],[Last]],'CM Assignments'!$B$1:$E$185,4,FALSE),"N/A"))</f>
        <v>Amanda Fedro</v>
      </c>
      <c r="F7" s="34">
        <v>0</v>
      </c>
      <c r="G7" s="34">
        <v>0</v>
      </c>
      <c r="H7" s="34">
        <v>0</v>
      </c>
      <c r="I7" s="34">
        <v>0</v>
      </c>
      <c r="J7" s="34">
        <v>0</v>
      </c>
      <c r="K7" s="34">
        <v>0</v>
      </c>
      <c r="L7" s="34">
        <v>12</v>
      </c>
      <c r="M7" s="34">
        <v>10</v>
      </c>
      <c r="N7" s="34">
        <v>1</v>
      </c>
      <c r="O7" s="29" t="str">
        <f t="shared" si="0"/>
        <v>N/A</v>
      </c>
      <c r="P7" s="30">
        <f>((Table15[[#This Row],[Com Mar]]/$W$2)-(Table15[[#This Row],[Com Feb]]/$Y$2))*$X$2</f>
        <v>-9.1304347826086953</v>
      </c>
      <c r="Q7" s="29">
        <f t="shared" si="1"/>
        <v>-1</v>
      </c>
      <c r="R7" s="30">
        <f>Table15[[#This Row],[Com Mar]]-Table15[[#This Row],[Com Feb]]</f>
        <v>-10</v>
      </c>
      <c r="S7" s="20">
        <f t="shared" si="2"/>
        <v>0</v>
      </c>
      <c r="T7" s="20">
        <f t="shared" si="3"/>
        <v>0</v>
      </c>
      <c r="U7" s="20">
        <f t="shared" si="5"/>
        <v>1</v>
      </c>
    </row>
    <row r="8" spans="1:26" x14ac:dyDescent="0.25">
      <c r="A8" s="31" t="s">
        <v>533</v>
      </c>
      <c r="B8" s="27" t="s">
        <v>603</v>
      </c>
      <c r="C8" s="27" t="s">
        <v>688</v>
      </c>
      <c r="D8" s="28">
        <v>1639177371</v>
      </c>
      <c r="E8" s="33" t="str">
        <f>_xlfn.IFNA(VLOOKUP(Table15[[#This Row],[NPI]],'CM Assignments'!$D$1:$E$185,2,FALSE),_xlfn.IFNA(VLOOKUP(Table15[[#This Row],[Last]],'CM Assignments'!$B$1:$E$185,4,FALSE),"N/A"))</f>
        <v>Whitney Poe</v>
      </c>
      <c r="F8" s="34">
        <v>92</v>
      </c>
      <c r="G8" s="34">
        <v>88</v>
      </c>
      <c r="H8" s="34">
        <v>1</v>
      </c>
      <c r="I8" s="34">
        <v>136</v>
      </c>
      <c r="J8" s="34">
        <v>126</v>
      </c>
      <c r="K8" s="34">
        <v>5</v>
      </c>
      <c r="L8" s="34">
        <v>70</v>
      </c>
      <c r="M8" s="34">
        <v>57</v>
      </c>
      <c r="N8" s="34">
        <v>12</v>
      </c>
      <c r="O8" s="29">
        <f t="shared" si="0"/>
        <v>3.9682539682539047E-3</v>
      </c>
      <c r="P8" s="30">
        <f>((Table15[[#This Row],[Com Mar]]/$W$2)-(Table15[[#This Row],[Com Feb]]/$Y$2))*$X$2</f>
        <v>113.33152173913045</v>
      </c>
      <c r="Q8" s="29">
        <f t="shared" si="1"/>
        <v>1.2105263157894737</v>
      </c>
      <c r="R8" s="30">
        <f>Table15[[#This Row],[Com Mar]]-Table15[[#This Row],[Com Feb]]</f>
        <v>69</v>
      </c>
      <c r="S8" s="20">
        <f t="shared" si="2"/>
        <v>3</v>
      </c>
      <c r="T8" s="20">
        <f t="shared" si="3"/>
        <v>5</v>
      </c>
      <c r="U8" s="20">
        <f t="shared" si="5"/>
        <v>1</v>
      </c>
    </row>
    <row r="9" spans="1:26" x14ac:dyDescent="0.25">
      <c r="A9" s="31" t="s">
        <v>534</v>
      </c>
      <c r="B9" s="27" t="s">
        <v>689</v>
      </c>
      <c r="C9" s="27" t="s">
        <v>690</v>
      </c>
      <c r="D9" s="28">
        <v>1861657355</v>
      </c>
      <c r="E9" s="33" t="str">
        <f>_xlfn.IFNA(VLOOKUP(Table15[[#This Row],[NPI]],'CM Assignments'!$D$1:$E$185,2,FALSE),_xlfn.IFNA(VLOOKUP(Table15[[#This Row],[Last]],'CM Assignments'!$B$1:$E$185,4,FALSE),"N/A"))</f>
        <v>Dan Vitasovic</v>
      </c>
      <c r="F9" s="34">
        <v>12</v>
      </c>
      <c r="G9" s="34">
        <v>6</v>
      </c>
      <c r="H9" s="34">
        <v>4</v>
      </c>
      <c r="I9" s="34">
        <v>1</v>
      </c>
      <c r="J9" s="34">
        <v>0</v>
      </c>
      <c r="K9" s="34">
        <v>1</v>
      </c>
      <c r="L9" s="34">
        <v>0</v>
      </c>
      <c r="M9" s="34">
        <v>0</v>
      </c>
      <c r="N9" s="34">
        <v>0</v>
      </c>
      <c r="O9" s="29" t="str">
        <f t="shared" si="0"/>
        <v>N/A</v>
      </c>
      <c r="P9" s="30">
        <f>((Table15[[#This Row],[Com Mar]]/$W$2)-(Table15[[#This Row],[Com Feb]]/$Y$2))*$X$2</f>
        <v>0</v>
      </c>
      <c r="Q9" s="29" t="str">
        <f t="shared" si="1"/>
        <v>N/A</v>
      </c>
      <c r="R9" s="30">
        <f>Table15[[#This Row],[Com Mar]]-Table15[[#This Row],[Com Feb]]</f>
        <v>0</v>
      </c>
      <c r="S9" s="20">
        <f t="shared" si="2"/>
        <v>2</v>
      </c>
      <c r="T9" s="20">
        <f t="shared" si="3"/>
        <v>0</v>
      </c>
      <c r="U9" s="20">
        <f t="shared" si="5"/>
        <v>0</v>
      </c>
    </row>
    <row r="10" spans="1:26" x14ac:dyDescent="0.25">
      <c r="A10" s="31" t="s">
        <v>771</v>
      </c>
      <c r="B10" s="27" t="s">
        <v>670</v>
      </c>
      <c r="C10" s="27" t="s">
        <v>772</v>
      </c>
      <c r="D10" s="28">
        <v>1609955350</v>
      </c>
      <c r="E10" s="33" t="str">
        <f>_xlfn.IFNA(VLOOKUP(Table15[[#This Row],[NPI]],'CM Assignments'!$D$1:$E$185,2,FALSE),_xlfn.IFNA(VLOOKUP(Table15[[#This Row],[Last]],'CM Assignments'!$B$1:$E$185,4,FALSE),"N/A"))</f>
        <v>Dan Vitasovic</v>
      </c>
      <c r="F10" s="34">
        <v>18</v>
      </c>
      <c r="G10" s="34">
        <v>10</v>
      </c>
      <c r="H10" s="34">
        <v>1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O10" s="29" t="str">
        <f>IF(J10=0,"N/A",((G10/$W$2)-(J10/$Y$2))/(J10/$Y$2))</f>
        <v>N/A</v>
      </c>
      <c r="P10" s="44">
        <f>((Table15[[#This Row],[Com Mar]]/$W$2)-(Table15[[#This Row],[Com Feb]]/$Y$2))*$X$2</f>
        <v>0</v>
      </c>
      <c r="Q10" s="29" t="str">
        <f>IF(M10=0,"N/A",((J10)-(M10))/(M10))</f>
        <v>N/A</v>
      </c>
      <c r="R10" s="44">
        <f>Table15[[#This Row],[Com Mar]]-Table15[[#This Row],[Com Feb]]</f>
        <v>0</v>
      </c>
      <c r="S10" s="20">
        <f>F10-G10-H10</f>
        <v>7</v>
      </c>
      <c r="T10" s="20">
        <f>I10-J10-K10</f>
        <v>0</v>
      </c>
      <c r="U10" s="20">
        <f>L10-M10-N10</f>
        <v>0</v>
      </c>
    </row>
    <row r="11" spans="1:26" x14ac:dyDescent="0.25">
      <c r="A11" s="31" t="s">
        <v>535</v>
      </c>
      <c r="B11" s="27" t="s">
        <v>604</v>
      </c>
      <c r="C11" s="27" t="s">
        <v>691</v>
      </c>
      <c r="D11" s="28">
        <v>1811923923</v>
      </c>
      <c r="E11" s="33" t="str">
        <f>_xlfn.IFNA(VLOOKUP(Table15[[#This Row],[NPI]],'CM Assignments'!$D$1:$E$185,2,FALSE),_xlfn.IFNA(VLOOKUP(Table15[[#This Row],[Last]],'CM Assignments'!$B$1:$E$185,4,FALSE),"N/A"))</f>
        <v>Christy Sanantonio</v>
      </c>
      <c r="F11" s="34">
        <v>11</v>
      </c>
      <c r="G11" s="34">
        <v>9</v>
      </c>
      <c r="H11" s="34">
        <v>2</v>
      </c>
      <c r="I11" s="34">
        <v>11</v>
      </c>
      <c r="J11" s="34">
        <v>10</v>
      </c>
      <c r="K11" s="34">
        <v>0</v>
      </c>
      <c r="L11" s="34">
        <v>19</v>
      </c>
      <c r="M11" s="34">
        <v>17</v>
      </c>
      <c r="N11" s="34">
        <v>2</v>
      </c>
      <c r="O11" s="29">
        <f t="shared" si="0"/>
        <v>0.29375000000000001</v>
      </c>
      <c r="P11" s="30">
        <f>((Table15[[#This Row],[Com Mar]]/$W$2)-(Table15[[#This Row],[Com Feb]]/$Y$2))*$X$2</f>
        <v>-2.3967391304347814</v>
      </c>
      <c r="Q11" s="29">
        <f t="shared" si="1"/>
        <v>-0.41176470588235292</v>
      </c>
      <c r="R11" s="30">
        <f>Table15[[#This Row],[Com Mar]]-Table15[[#This Row],[Com Feb]]</f>
        <v>-7</v>
      </c>
      <c r="S11" s="20">
        <f t="shared" si="2"/>
        <v>0</v>
      </c>
      <c r="T11" s="20">
        <f t="shared" si="3"/>
        <v>1</v>
      </c>
      <c r="U11" s="20">
        <f t="shared" si="5"/>
        <v>0</v>
      </c>
    </row>
    <row r="12" spans="1:26" x14ac:dyDescent="0.25">
      <c r="A12" s="31" t="s">
        <v>536</v>
      </c>
      <c r="B12" s="27" t="s">
        <v>605</v>
      </c>
      <c r="C12" s="27" t="s">
        <v>692</v>
      </c>
      <c r="D12" s="28">
        <v>1942394663</v>
      </c>
      <c r="E12" s="33" t="str">
        <f>_xlfn.IFNA(VLOOKUP(Table15[[#This Row],[NPI]],'CM Assignments'!$D$1:$E$185,2,FALSE),_xlfn.IFNA(VLOOKUP(Table15[[#This Row],[Last]],'CM Assignments'!$B$1:$E$185,4,FALSE),"N/A"))</f>
        <v>Amanda Fedro</v>
      </c>
      <c r="F12" s="34">
        <v>0</v>
      </c>
      <c r="G12" s="34">
        <v>0</v>
      </c>
      <c r="H12" s="34">
        <v>0</v>
      </c>
      <c r="I12" s="34">
        <v>2</v>
      </c>
      <c r="J12" s="34">
        <v>1</v>
      </c>
      <c r="K12" s="34">
        <v>0</v>
      </c>
      <c r="L12" s="34">
        <v>2</v>
      </c>
      <c r="M12" s="34">
        <v>1</v>
      </c>
      <c r="N12" s="34">
        <v>1</v>
      </c>
      <c r="O12" s="29">
        <f t="shared" si="0"/>
        <v>-1</v>
      </c>
      <c r="P12" s="30">
        <f>((Table15[[#This Row],[Com Mar]]/$W$2)-(Table15[[#This Row],[Com Feb]]/$Y$2))*$X$2</f>
        <v>0.39945652173913049</v>
      </c>
      <c r="Q12" s="29">
        <f t="shared" si="1"/>
        <v>0</v>
      </c>
      <c r="R12" s="30">
        <f>Table15[[#This Row],[Com Mar]]-Table15[[#This Row],[Com Feb]]</f>
        <v>0</v>
      </c>
      <c r="S12" s="20">
        <f t="shared" si="2"/>
        <v>0</v>
      </c>
      <c r="T12" s="20">
        <f t="shared" si="3"/>
        <v>1</v>
      </c>
      <c r="U12" s="20">
        <f t="shared" si="5"/>
        <v>0</v>
      </c>
    </row>
    <row r="13" spans="1:26" x14ac:dyDescent="0.25">
      <c r="A13" s="31" t="s">
        <v>537</v>
      </c>
      <c r="B13" s="27" t="s">
        <v>606</v>
      </c>
      <c r="C13" s="27" t="s">
        <v>693</v>
      </c>
      <c r="D13" s="28">
        <v>1063465649</v>
      </c>
      <c r="E13" s="33" t="str">
        <f>_xlfn.IFNA(VLOOKUP(Table15[[#This Row],[NPI]],'CM Assignments'!$D$1:$E$185,2,FALSE),_xlfn.IFNA(VLOOKUP(Table15[[#This Row],[Last]],'CM Assignments'!$B$1:$E$185,4,FALSE),"N/A"))</f>
        <v>Amanda Fedro</v>
      </c>
      <c r="F13" s="34">
        <v>38</v>
      </c>
      <c r="G13" s="34">
        <v>34</v>
      </c>
      <c r="H13" s="34">
        <v>2</v>
      </c>
      <c r="I13" s="34">
        <v>53</v>
      </c>
      <c r="J13" s="34">
        <v>48</v>
      </c>
      <c r="K13" s="34">
        <v>5</v>
      </c>
      <c r="L13" s="34">
        <v>0</v>
      </c>
      <c r="M13" s="34">
        <v>0</v>
      </c>
      <c r="N13" s="34">
        <v>0</v>
      </c>
      <c r="O13" s="29">
        <f t="shared" si="0"/>
        <v>1.8229166666666696E-2</v>
      </c>
      <c r="P13" s="30">
        <f>((Table15[[#This Row],[Com Mar]]/$W$2)-(Table15[[#This Row],[Com Feb]]/$Y$2))*$X$2</f>
        <v>63</v>
      </c>
      <c r="Q13" s="29" t="str">
        <f t="shared" si="1"/>
        <v>N/A</v>
      </c>
      <c r="R13" s="30">
        <f>Table15[[#This Row],[Com Mar]]-Table15[[#This Row],[Com Feb]]</f>
        <v>48</v>
      </c>
      <c r="S13" s="20">
        <f t="shared" si="2"/>
        <v>2</v>
      </c>
      <c r="T13" s="20">
        <f t="shared" si="3"/>
        <v>0</v>
      </c>
      <c r="U13" s="20">
        <f t="shared" si="5"/>
        <v>0</v>
      </c>
    </row>
    <row r="14" spans="1:26" x14ac:dyDescent="0.25">
      <c r="A14" s="31" t="s">
        <v>538</v>
      </c>
      <c r="B14" s="27" t="s">
        <v>607</v>
      </c>
      <c r="C14" s="27" t="s">
        <v>694</v>
      </c>
      <c r="D14" s="28">
        <v>1942347877</v>
      </c>
      <c r="E14" s="33" t="str">
        <f>_xlfn.IFNA(VLOOKUP(Table15[[#This Row],[NPI]],'CM Assignments'!$D$1:$E$185,2,FALSE),_xlfn.IFNA(VLOOKUP(Table15[[#This Row],[Last]],'CM Assignments'!$B$1:$E$185,4,FALSE),"N/A"))</f>
        <v>Whitney Poe</v>
      </c>
      <c r="F14" s="34">
        <v>44</v>
      </c>
      <c r="G14" s="34">
        <v>38</v>
      </c>
      <c r="H14" s="34">
        <v>3</v>
      </c>
      <c r="I14" s="34">
        <v>72</v>
      </c>
      <c r="J14" s="34">
        <v>69</v>
      </c>
      <c r="K14" s="34">
        <v>3</v>
      </c>
      <c r="L14" s="34">
        <v>45</v>
      </c>
      <c r="M14" s="34">
        <v>44</v>
      </c>
      <c r="N14" s="34">
        <v>1</v>
      </c>
      <c r="O14" s="29">
        <f t="shared" si="0"/>
        <v>-0.20833333333333334</v>
      </c>
      <c r="P14" s="30">
        <f>((Table15[[#This Row],[Com Mar]]/$W$2)-(Table15[[#This Row],[Com Feb]]/$Y$2))*$X$2</f>
        <v>50.388586956521735</v>
      </c>
      <c r="Q14" s="29">
        <f t="shared" si="1"/>
        <v>0.56818181818181823</v>
      </c>
      <c r="R14" s="30">
        <f>Table15[[#This Row],[Com Mar]]-Table15[[#This Row],[Com Feb]]</f>
        <v>25</v>
      </c>
      <c r="S14" s="20">
        <f t="shared" si="2"/>
        <v>3</v>
      </c>
      <c r="T14" s="20">
        <f t="shared" si="3"/>
        <v>0</v>
      </c>
      <c r="U14" s="20">
        <f t="shared" si="5"/>
        <v>0</v>
      </c>
    </row>
    <row r="15" spans="1:26" x14ac:dyDescent="0.25">
      <c r="A15" s="31" t="s">
        <v>677</v>
      </c>
      <c r="B15" s="27" t="s">
        <v>695</v>
      </c>
      <c r="C15" s="27" t="s">
        <v>682</v>
      </c>
      <c r="D15" s="28">
        <v>1063651610</v>
      </c>
      <c r="E15" s="33" t="str">
        <f>_xlfn.IFNA(VLOOKUP(Table15[[#This Row],[NPI]],'CM Assignments'!$D$1:$E$185,2,FALSE),_xlfn.IFNA(VLOOKUP(Table15[[#This Row],[Last]],'CM Assignments'!$B$1:$E$185,4,FALSE),"N/A"))</f>
        <v>N/A</v>
      </c>
      <c r="F15" s="34">
        <v>38</v>
      </c>
      <c r="G15" s="34">
        <v>8</v>
      </c>
      <c r="H15" s="34">
        <v>13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29" t="str">
        <f t="shared" si="0"/>
        <v>N/A</v>
      </c>
      <c r="P15" s="30">
        <f>((Table15[[#This Row],[Com Mar]]/$W$2)-(Table15[[#This Row],[Com Feb]]/$Y$2))*$X$2</f>
        <v>0</v>
      </c>
      <c r="Q15" s="29" t="str">
        <f t="shared" si="1"/>
        <v>N/A</v>
      </c>
      <c r="R15" s="30">
        <f>Table15[[#This Row],[Com Mar]]-Table15[[#This Row],[Com Feb]]</f>
        <v>0</v>
      </c>
      <c r="S15" s="20">
        <f t="shared" si="2"/>
        <v>17</v>
      </c>
      <c r="T15" s="20">
        <f t="shared" si="3"/>
        <v>0</v>
      </c>
      <c r="U15" s="20">
        <f t="shared" si="5"/>
        <v>0</v>
      </c>
    </row>
    <row r="16" spans="1:26" x14ac:dyDescent="0.25">
      <c r="A16" s="31" t="s">
        <v>539</v>
      </c>
      <c r="B16" s="27" t="s">
        <v>608</v>
      </c>
      <c r="C16" s="27" t="s">
        <v>696</v>
      </c>
      <c r="D16" s="28">
        <v>1417926783</v>
      </c>
      <c r="E16" s="33" t="str">
        <f>_xlfn.IFNA(VLOOKUP(Table15[[#This Row],[NPI]],'CM Assignments'!$D$1:$E$185,2,FALSE),_xlfn.IFNA(VLOOKUP(Table15[[#This Row],[Last]],'CM Assignments'!$B$1:$E$185,4,FALSE),"N/A"))</f>
        <v>N/A</v>
      </c>
      <c r="F16" s="34">
        <v>1</v>
      </c>
      <c r="G16" s="34">
        <v>1</v>
      </c>
      <c r="H16" s="34">
        <v>0</v>
      </c>
      <c r="I16" s="34">
        <v>1</v>
      </c>
      <c r="J16" s="34">
        <v>0</v>
      </c>
      <c r="K16" s="34">
        <v>0</v>
      </c>
      <c r="L16" s="34">
        <v>0</v>
      </c>
      <c r="M16" s="34">
        <v>0</v>
      </c>
      <c r="N16" s="34">
        <v>0</v>
      </c>
      <c r="O16" s="29" t="str">
        <f t="shared" si="0"/>
        <v>N/A</v>
      </c>
      <c r="P16" s="30">
        <f>((Table15[[#This Row],[Com Mar]]/$W$2)-(Table15[[#This Row],[Com Feb]]/$Y$2))*$X$2</f>
        <v>0</v>
      </c>
      <c r="Q16" s="29" t="str">
        <f t="shared" si="1"/>
        <v>N/A</v>
      </c>
      <c r="R16" s="30">
        <f>Table15[[#This Row],[Com Mar]]-Table15[[#This Row],[Com Feb]]</f>
        <v>0</v>
      </c>
      <c r="S16" s="20">
        <f t="shared" si="2"/>
        <v>0</v>
      </c>
      <c r="T16" s="20">
        <f t="shared" si="3"/>
        <v>1</v>
      </c>
      <c r="U16" s="20">
        <f t="shared" si="5"/>
        <v>0</v>
      </c>
    </row>
    <row r="17" spans="1:21" x14ac:dyDescent="0.25">
      <c r="A17" s="31" t="s">
        <v>540</v>
      </c>
      <c r="B17" s="27" t="s">
        <v>609</v>
      </c>
      <c r="C17" s="27" t="s">
        <v>697</v>
      </c>
      <c r="D17" s="28">
        <v>1962563981</v>
      </c>
      <c r="E17" s="33" t="str">
        <f>_xlfn.IFNA(VLOOKUP(Table15[[#This Row],[NPI]],'CM Assignments'!$D$1:$E$185,2,FALSE),_xlfn.IFNA(VLOOKUP(Table15[[#This Row],[Last]],'CM Assignments'!$B$1:$E$185,4,FALSE),"N/A"))</f>
        <v>Whitney Poe</v>
      </c>
      <c r="F17" s="34">
        <v>50</v>
      </c>
      <c r="G17" s="34">
        <v>36</v>
      </c>
      <c r="H17" s="34">
        <v>13</v>
      </c>
      <c r="I17" s="34">
        <v>78</v>
      </c>
      <c r="J17" s="34">
        <v>47</v>
      </c>
      <c r="K17" s="34">
        <v>21</v>
      </c>
      <c r="L17" s="34">
        <v>77</v>
      </c>
      <c r="M17" s="34">
        <v>55</v>
      </c>
      <c r="N17" s="34">
        <v>20</v>
      </c>
      <c r="O17" s="29">
        <f t="shared" si="0"/>
        <v>0.10106382978723394</v>
      </c>
      <c r="P17" s="30">
        <f>((Table15[[#This Row],[Com Mar]]/$W$2)-(Table15[[#This Row],[Com Feb]]/$Y$2))*$X$2</f>
        <v>11.470108695652176</v>
      </c>
      <c r="Q17" s="29">
        <f t="shared" si="1"/>
        <v>-0.14545454545454545</v>
      </c>
      <c r="R17" s="30">
        <f>Table15[[#This Row],[Com Mar]]-Table15[[#This Row],[Com Feb]]</f>
        <v>-8</v>
      </c>
      <c r="S17" s="20">
        <f t="shared" si="2"/>
        <v>1</v>
      </c>
      <c r="T17" s="20">
        <f t="shared" si="3"/>
        <v>10</v>
      </c>
      <c r="U17" s="20">
        <f t="shared" si="5"/>
        <v>2</v>
      </c>
    </row>
    <row r="18" spans="1:21" x14ac:dyDescent="0.25">
      <c r="A18" s="31" t="s">
        <v>541</v>
      </c>
      <c r="B18" s="27" t="s">
        <v>610</v>
      </c>
      <c r="C18" s="27" t="s">
        <v>698</v>
      </c>
      <c r="D18" s="28">
        <v>1992949770</v>
      </c>
      <c r="E18" s="33" t="str">
        <f>_xlfn.IFNA(VLOOKUP(Table15[[#This Row],[NPI]],'CM Assignments'!$D$1:$E$185,2,FALSE),_xlfn.IFNA(VLOOKUP(Table15[[#This Row],[Last]],'CM Assignments'!$B$1:$E$185,4,FALSE),"N/A"))</f>
        <v>Amanda Fedro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1</v>
      </c>
      <c r="M18" s="34">
        <v>0</v>
      </c>
      <c r="N18" s="34">
        <v>1</v>
      </c>
      <c r="O18" s="29" t="str">
        <f t="shared" si="0"/>
        <v>N/A</v>
      </c>
      <c r="P18" s="30">
        <f>((Table15[[#This Row],[Com Mar]]/$W$2)-(Table15[[#This Row],[Com Feb]]/$Y$2))*$X$2</f>
        <v>0</v>
      </c>
      <c r="Q18" s="29" t="str">
        <f t="shared" si="1"/>
        <v>N/A</v>
      </c>
      <c r="R18" s="30">
        <f>Table15[[#This Row],[Com Mar]]-Table15[[#This Row],[Com Feb]]</f>
        <v>0</v>
      </c>
      <c r="S18" s="20">
        <f t="shared" si="2"/>
        <v>0</v>
      </c>
      <c r="T18" s="20">
        <f t="shared" si="3"/>
        <v>0</v>
      </c>
      <c r="U18" s="20">
        <f t="shared" si="5"/>
        <v>0</v>
      </c>
    </row>
    <row r="19" spans="1:21" x14ac:dyDescent="0.25">
      <c r="A19" s="31" t="s">
        <v>542</v>
      </c>
      <c r="B19" s="27" t="s">
        <v>611</v>
      </c>
      <c r="C19" s="27" t="s">
        <v>699</v>
      </c>
      <c r="D19" s="28">
        <v>1972796613</v>
      </c>
      <c r="E19" s="33" t="str">
        <f>_xlfn.IFNA(VLOOKUP(Table15[[#This Row],[NPI]],'CM Assignments'!$D$1:$E$185,2,FALSE),_xlfn.IFNA(VLOOKUP(Table15[[#This Row],[Last]],'CM Assignments'!$B$1:$E$185,4,FALSE),"N/A"))</f>
        <v>N/A</v>
      </c>
      <c r="F19" s="34">
        <v>2</v>
      </c>
      <c r="G19" s="34">
        <v>2</v>
      </c>
      <c r="H19" s="34">
        <v>0</v>
      </c>
      <c r="I19" s="34">
        <v>0</v>
      </c>
      <c r="J19" s="34">
        <v>0</v>
      </c>
      <c r="K19" s="34">
        <v>0</v>
      </c>
      <c r="L19" s="34">
        <v>2</v>
      </c>
      <c r="M19" s="34">
        <v>2</v>
      </c>
      <c r="N19" s="34">
        <v>0</v>
      </c>
      <c r="O19" s="29" t="str">
        <f t="shared" si="0"/>
        <v>N/A</v>
      </c>
      <c r="P19" s="30">
        <f>((Table15[[#This Row],[Com Mar]]/$W$2)-(Table15[[#This Row],[Com Feb]]/$Y$2))*$X$2</f>
        <v>-1.826086956521739</v>
      </c>
      <c r="Q19" s="29">
        <f t="shared" si="1"/>
        <v>-1</v>
      </c>
      <c r="R19" s="30">
        <f>Table15[[#This Row],[Com Mar]]-Table15[[#This Row],[Com Feb]]</f>
        <v>-2</v>
      </c>
      <c r="S19" s="20">
        <f t="shared" si="2"/>
        <v>0</v>
      </c>
      <c r="T19" s="20">
        <f t="shared" si="3"/>
        <v>0</v>
      </c>
      <c r="U19" s="20">
        <f t="shared" si="5"/>
        <v>0</v>
      </c>
    </row>
    <row r="20" spans="1:21" x14ac:dyDescent="0.25">
      <c r="A20" s="31" t="s">
        <v>543</v>
      </c>
      <c r="B20" s="27" t="s">
        <v>612</v>
      </c>
      <c r="C20" s="27" t="s">
        <v>700</v>
      </c>
      <c r="D20" s="28">
        <v>1134136252</v>
      </c>
      <c r="E20" s="33" t="str">
        <f>_xlfn.IFNA(VLOOKUP(Table15[[#This Row],[NPI]],'CM Assignments'!$D$1:$E$185,2,FALSE),_xlfn.IFNA(VLOOKUP(Table15[[#This Row],[Last]],'CM Assignments'!$B$1:$E$185,4,FALSE),"N/A"))</f>
        <v>Christy Sanantonio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18</v>
      </c>
      <c r="M20" s="34">
        <v>13</v>
      </c>
      <c r="N20" s="34">
        <v>5</v>
      </c>
      <c r="O20" s="29" t="str">
        <f t="shared" si="0"/>
        <v>N/A</v>
      </c>
      <c r="P20" s="30">
        <f>((Table15[[#This Row],[Com Mar]]/$W$2)-(Table15[[#This Row],[Com Feb]]/$Y$2))*$X$2</f>
        <v>-11.869565217391303</v>
      </c>
      <c r="Q20" s="29">
        <f t="shared" si="1"/>
        <v>-1</v>
      </c>
      <c r="R20" s="30">
        <f>Table15[[#This Row],[Com Mar]]-Table15[[#This Row],[Com Feb]]</f>
        <v>-13</v>
      </c>
      <c r="S20" s="20">
        <f t="shared" si="2"/>
        <v>0</v>
      </c>
      <c r="T20" s="20">
        <f t="shared" si="3"/>
        <v>0</v>
      </c>
      <c r="U20" s="20">
        <f t="shared" si="5"/>
        <v>0</v>
      </c>
    </row>
    <row r="21" spans="1:21" x14ac:dyDescent="0.25">
      <c r="A21" s="31" t="s">
        <v>544</v>
      </c>
      <c r="B21" s="27" t="s">
        <v>613</v>
      </c>
      <c r="C21" s="27" t="s">
        <v>701</v>
      </c>
      <c r="D21" s="28">
        <v>1588642532</v>
      </c>
      <c r="E21" s="33" t="str">
        <f>_xlfn.IFNA(VLOOKUP(Table15[[#This Row],[NPI]],'CM Assignments'!$D$1:$E$185,2,FALSE),_xlfn.IFNA(VLOOKUP(Table15[[#This Row],[Last]],'CM Assignments'!$B$1:$E$185,4,FALSE),"N/A"))</f>
        <v>Christy Sanantonio</v>
      </c>
      <c r="F21" s="34">
        <v>27</v>
      </c>
      <c r="G21" s="34">
        <v>23</v>
      </c>
      <c r="H21" s="34">
        <v>1</v>
      </c>
      <c r="I21" s="34">
        <v>46</v>
      </c>
      <c r="J21" s="34">
        <v>41</v>
      </c>
      <c r="K21" s="34">
        <v>3</v>
      </c>
      <c r="L21" s="34">
        <v>45</v>
      </c>
      <c r="M21" s="34">
        <v>44</v>
      </c>
      <c r="N21" s="34">
        <v>0</v>
      </c>
      <c r="O21" s="29">
        <f t="shared" si="0"/>
        <v>-0.19359756097560973</v>
      </c>
      <c r="P21" s="30">
        <f>((Table15[[#This Row],[Com Mar]]/$W$2)-(Table15[[#This Row],[Com Feb]]/$Y$2))*$X$2</f>
        <v>13.638586956521738</v>
      </c>
      <c r="Q21" s="29">
        <f t="shared" si="1"/>
        <v>-6.8181818181818177E-2</v>
      </c>
      <c r="R21" s="30">
        <f>Table15[[#This Row],[Com Mar]]-Table15[[#This Row],[Com Feb]]</f>
        <v>-3</v>
      </c>
      <c r="S21" s="20">
        <f t="shared" si="2"/>
        <v>3</v>
      </c>
      <c r="T21" s="20">
        <f t="shared" si="3"/>
        <v>2</v>
      </c>
      <c r="U21" s="20">
        <f t="shared" si="5"/>
        <v>1</v>
      </c>
    </row>
    <row r="22" spans="1:21" x14ac:dyDescent="0.25">
      <c r="A22" s="31" t="s">
        <v>545</v>
      </c>
      <c r="B22" s="27" t="s">
        <v>614</v>
      </c>
      <c r="C22" s="27" t="s">
        <v>702</v>
      </c>
      <c r="D22" s="28">
        <v>1346500584</v>
      </c>
      <c r="E22" s="33" t="str">
        <f>_xlfn.IFNA(VLOOKUP(Table15[[#This Row],[NPI]],'CM Assignments'!$D$1:$E$185,2,FALSE),_xlfn.IFNA(VLOOKUP(Table15[[#This Row],[Last]],'CM Assignments'!$B$1:$E$185,4,FALSE),"N/A"))</f>
        <v>Christy Sanantonio</v>
      </c>
      <c r="F22" s="34">
        <v>0</v>
      </c>
      <c r="G22" s="34">
        <v>0</v>
      </c>
      <c r="H22" s="34">
        <v>0</v>
      </c>
      <c r="I22" s="34">
        <v>19</v>
      </c>
      <c r="J22" s="34">
        <v>19</v>
      </c>
      <c r="K22" s="34">
        <v>0</v>
      </c>
      <c r="L22" s="34">
        <v>32</v>
      </c>
      <c r="M22" s="34">
        <v>30</v>
      </c>
      <c r="N22" s="34">
        <v>1</v>
      </c>
      <c r="O22" s="29">
        <f t="shared" si="0"/>
        <v>-1</v>
      </c>
      <c r="P22" s="30">
        <f>((Table15[[#This Row],[Com Mar]]/$W$2)-(Table15[[#This Row],[Com Feb]]/$Y$2))*$X$2</f>
        <v>-2.4538043478260874</v>
      </c>
      <c r="Q22" s="29">
        <f t="shared" si="1"/>
        <v>-0.36666666666666664</v>
      </c>
      <c r="R22" s="30">
        <f>Table15[[#This Row],[Com Mar]]-Table15[[#This Row],[Com Feb]]</f>
        <v>-11</v>
      </c>
      <c r="S22" s="20">
        <f t="shared" si="2"/>
        <v>0</v>
      </c>
      <c r="T22" s="20">
        <f t="shared" si="3"/>
        <v>0</v>
      </c>
      <c r="U22" s="20">
        <f t="shared" si="5"/>
        <v>1</v>
      </c>
    </row>
    <row r="23" spans="1:21" x14ac:dyDescent="0.25">
      <c r="A23" s="31" t="s">
        <v>546</v>
      </c>
      <c r="B23" s="27" t="s">
        <v>615</v>
      </c>
      <c r="C23" s="27" t="s">
        <v>703</v>
      </c>
      <c r="D23" s="28">
        <v>1508063132</v>
      </c>
      <c r="E23" s="33" t="str">
        <f>_xlfn.IFNA(VLOOKUP(Table15[[#This Row],[NPI]],'CM Assignments'!$D$1:$E$185,2,FALSE),_xlfn.IFNA(VLOOKUP(Table15[[#This Row],[Last]],'CM Assignments'!$B$1:$E$185,4,FALSE),"N/A"))</f>
        <v>Whitney Poe</v>
      </c>
      <c r="F23" s="34">
        <v>18</v>
      </c>
      <c r="G23" s="34">
        <v>16</v>
      </c>
      <c r="H23" s="34">
        <v>1</v>
      </c>
      <c r="I23" s="34">
        <v>21</v>
      </c>
      <c r="J23" s="34">
        <v>18</v>
      </c>
      <c r="K23" s="34">
        <v>1</v>
      </c>
      <c r="L23" s="34">
        <v>28</v>
      </c>
      <c r="M23" s="34">
        <v>26</v>
      </c>
      <c r="N23" s="34">
        <v>2</v>
      </c>
      <c r="O23" s="29">
        <f t="shared" si="0"/>
        <v>0.27777777777777773</v>
      </c>
      <c r="P23" s="30">
        <f>((Table15[[#This Row],[Com Mar]]/$W$2)-(Table15[[#This Row],[Com Feb]]/$Y$2))*$X$2</f>
        <v>-0.11413043478260687</v>
      </c>
      <c r="Q23" s="29">
        <f t="shared" si="1"/>
        <v>-0.30769230769230771</v>
      </c>
      <c r="R23" s="30">
        <f>Table15[[#This Row],[Com Mar]]-Table15[[#This Row],[Com Feb]]</f>
        <v>-8</v>
      </c>
      <c r="S23" s="20">
        <f t="shared" si="2"/>
        <v>1</v>
      </c>
      <c r="T23" s="20">
        <f t="shared" si="3"/>
        <v>2</v>
      </c>
      <c r="U23" s="20">
        <f t="shared" si="5"/>
        <v>0</v>
      </c>
    </row>
    <row r="24" spans="1:21" x14ac:dyDescent="0.25">
      <c r="A24" s="31" t="s">
        <v>547</v>
      </c>
      <c r="B24" s="27" t="s">
        <v>616</v>
      </c>
      <c r="C24" s="27" t="s">
        <v>704</v>
      </c>
      <c r="D24" s="28">
        <v>1881958940</v>
      </c>
      <c r="E24" s="33" t="str">
        <f>_xlfn.IFNA(VLOOKUP(Table15[[#This Row],[NPI]],'CM Assignments'!$D$1:$E$185,2,FALSE),_xlfn.IFNA(VLOOKUP(Table15[[#This Row],[Last]],'CM Assignments'!$B$1:$E$185,4,FALSE),"N/A"))</f>
        <v>Christy Sanantonio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7</v>
      </c>
      <c r="M24" s="34">
        <v>2</v>
      </c>
      <c r="N24" s="34">
        <v>2</v>
      </c>
      <c r="O24" s="29" t="str">
        <f t="shared" si="0"/>
        <v>N/A</v>
      </c>
      <c r="P24" s="30">
        <f>((Table15[[#This Row],[Com Mar]]/$W$2)-(Table15[[#This Row],[Com Feb]]/$Y$2))*$X$2</f>
        <v>-1.826086956521739</v>
      </c>
      <c r="Q24" s="29">
        <f t="shared" si="1"/>
        <v>-1</v>
      </c>
      <c r="R24" s="30">
        <f>Table15[[#This Row],[Com Mar]]-Table15[[#This Row],[Com Feb]]</f>
        <v>-2</v>
      </c>
      <c r="S24" s="20">
        <f t="shared" si="2"/>
        <v>0</v>
      </c>
      <c r="T24" s="20">
        <f t="shared" si="3"/>
        <v>0</v>
      </c>
      <c r="U24" s="20">
        <f t="shared" si="5"/>
        <v>3</v>
      </c>
    </row>
    <row r="25" spans="1:21" x14ac:dyDescent="0.25">
      <c r="A25" s="31" t="s">
        <v>548</v>
      </c>
      <c r="B25" s="27" t="s">
        <v>617</v>
      </c>
      <c r="C25" s="27" t="s">
        <v>705</v>
      </c>
      <c r="D25" s="28">
        <v>1740476191</v>
      </c>
      <c r="E25" s="33" t="str">
        <f>_xlfn.IFNA(VLOOKUP(Table15[[#This Row],[NPI]],'CM Assignments'!$D$1:$E$185,2,FALSE),_xlfn.IFNA(VLOOKUP(Table15[[#This Row],[Last]],'CM Assignments'!$B$1:$E$185,4,FALSE),"N/A"))</f>
        <v>Whitney Poe</v>
      </c>
      <c r="F25" s="34">
        <v>26</v>
      </c>
      <c r="G25" s="34">
        <v>20</v>
      </c>
      <c r="H25" s="34">
        <v>6</v>
      </c>
      <c r="I25" s="34">
        <v>52</v>
      </c>
      <c r="J25" s="34">
        <v>48</v>
      </c>
      <c r="K25" s="34">
        <v>4</v>
      </c>
      <c r="L25" s="34">
        <v>54</v>
      </c>
      <c r="M25" s="34">
        <v>47</v>
      </c>
      <c r="N25" s="34">
        <v>6</v>
      </c>
      <c r="O25" s="29">
        <f t="shared" si="0"/>
        <v>-0.40104166666666663</v>
      </c>
      <c r="P25" s="30">
        <f>((Table15[[#This Row],[Com Mar]]/$W$2)-(Table15[[#This Row],[Com Feb]]/$Y$2))*$X$2</f>
        <v>20.086956521739125</v>
      </c>
      <c r="Q25" s="29">
        <f t="shared" si="1"/>
        <v>2.1276595744680851E-2</v>
      </c>
      <c r="R25" s="30">
        <f>Table15[[#This Row],[Com Mar]]-Table15[[#This Row],[Com Feb]]</f>
        <v>1</v>
      </c>
      <c r="S25" s="20">
        <f t="shared" si="2"/>
        <v>0</v>
      </c>
      <c r="T25" s="20">
        <f t="shared" si="3"/>
        <v>0</v>
      </c>
      <c r="U25" s="20">
        <f t="shared" si="5"/>
        <v>1</v>
      </c>
    </row>
    <row r="26" spans="1:21" x14ac:dyDescent="0.25">
      <c r="A26" s="31" t="s">
        <v>549</v>
      </c>
      <c r="B26" s="27" t="s">
        <v>525</v>
      </c>
      <c r="C26" s="27" t="s">
        <v>706</v>
      </c>
      <c r="D26" s="28">
        <v>1578519757</v>
      </c>
      <c r="E26" s="33" t="str">
        <f>_xlfn.IFNA(VLOOKUP(Table15[[#This Row],[NPI]],'CM Assignments'!$D$1:$E$185,2,FALSE),_xlfn.IFNA(VLOOKUP(Table15[[#This Row],[Last]],'CM Assignments'!$B$1:$E$185,4,FALSE),"N/A"))</f>
        <v>Amanda Fedro</v>
      </c>
      <c r="F26" s="34">
        <v>34</v>
      </c>
      <c r="G26" s="34">
        <v>27</v>
      </c>
      <c r="H26" s="34">
        <v>6</v>
      </c>
      <c r="I26" s="34">
        <v>40</v>
      </c>
      <c r="J26" s="34">
        <v>36</v>
      </c>
      <c r="K26" s="34">
        <v>1</v>
      </c>
      <c r="L26" s="34">
        <v>0</v>
      </c>
      <c r="M26" s="34">
        <v>0</v>
      </c>
      <c r="N26" s="34">
        <v>0</v>
      </c>
      <c r="O26" s="29">
        <f t="shared" si="0"/>
        <v>7.8124999999999958E-2</v>
      </c>
      <c r="P26" s="30">
        <f>((Table15[[#This Row],[Com Mar]]/$W$2)-(Table15[[#This Row],[Com Feb]]/$Y$2))*$X$2</f>
        <v>47.25</v>
      </c>
      <c r="Q26" s="29" t="str">
        <f t="shared" si="1"/>
        <v>N/A</v>
      </c>
      <c r="R26" s="30">
        <f>Table15[[#This Row],[Com Mar]]-Table15[[#This Row],[Com Feb]]</f>
        <v>36</v>
      </c>
      <c r="S26" s="20">
        <f t="shared" si="2"/>
        <v>1</v>
      </c>
      <c r="T26" s="20">
        <f t="shared" si="3"/>
        <v>3</v>
      </c>
      <c r="U26" s="20">
        <f t="shared" si="5"/>
        <v>0</v>
      </c>
    </row>
    <row r="27" spans="1:21" x14ac:dyDescent="0.25">
      <c r="A27" s="31" t="s">
        <v>773</v>
      </c>
      <c r="B27" s="27" t="s">
        <v>774</v>
      </c>
      <c r="C27" s="27" t="s">
        <v>775</v>
      </c>
      <c r="D27" s="28">
        <v>1679810873</v>
      </c>
      <c r="E27" s="33" t="str">
        <f>_xlfn.IFNA(VLOOKUP(Table15[[#This Row],[NPI]],'CM Assignments'!$D$1:$E$185,2,FALSE),_xlfn.IFNA(VLOOKUP(Table15[[#This Row],[Last]],'CM Assignments'!$B$1:$E$185,4,FALSE),"N/A"))</f>
        <v>N/A</v>
      </c>
      <c r="F27" s="34">
        <v>2</v>
      </c>
      <c r="G27" s="34">
        <v>1</v>
      </c>
      <c r="H27" s="34">
        <v>1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O27" s="29" t="str">
        <f>IF(J27=0,"N/A",((G27/$W$2)-(J27/$Y$2))/(J27/$Y$2))</f>
        <v>N/A</v>
      </c>
      <c r="P27" s="42">
        <f>((Table15[[#This Row],[Com Mar]]/$W$2)-(Table15[[#This Row],[Com Feb]]/$Y$2))*$X$2</f>
        <v>0</v>
      </c>
      <c r="Q27" s="29" t="str">
        <f>IF(M27=0,"N/A",((J27)-(M27))/(M27))</f>
        <v>N/A</v>
      </c>
      <c r="R27" s="42">
        <f>Table15[[#This Row],[Com Mar]]-Table15[[#This Row],[Com Feb]]</f>
        <v>0</v>
      </c>
      <c r="S27" s="20">
        <f>F27-G27-H27</f>
        <v>0</v>
      </c>
      <c r="T27" s="20">
        <f>I27-J27-K27</f>
        <v>0</v>
      </c>
      <c r="U27" s="20">
        <f>L27-M27-N27</f>
        <v>0</v>
      </c>
    </row>
    <row r="28" spans="1:21" x14ac:dyDescent="0.25">
      <c r="A28" s="31" t="s">
        <v>550</v>
      </c>
      <c r="B28" s="27" t="s">
        <v>618</v>
      </c>
      <c r="C28" s="27" t="s">
        <v>707</v>
      </c>
      <c r="D28" s="28">
        <v>1023244431</v>
      </c>
      <c r="E28" s="33" t="str">
        <f>_xlfn.IFNA(VLOOKUP(Table15[[#This Row],[NPI]],'CM Assignments'!$D$1:$E$185,2,FALSE),_xlfn.IFNA(VLOOKUP(Table15[[#This Row],[Last]],'CM Assignments'!$B$1:$E$185,4,FALSE),"N/A"))</f>
        <v>Whitney Poe</v>
      </c>
      <c r="F28" s="34">
        <v>20</v>
      </c>
      <c r="G28" s="34">
        <v>18</v>
      </c>
      <c r="H28" s="34">
        <v>0</v>
      </c>
      <c r="I28" s="34">
        <v>70</v>
      </c>
      <c r="J28" s="34">
        <v>67</v>
      </c>
      <c r="K28" s="34">
        <v>1</v>
      </c>
      <c r="L28" s="34">
        <v>36</v>
      </c>
      <c r="M28" s="34">
        <v>25</v>
      </c>
      <c r="N28" s="34">
        <v>11</v>
      </c>
      <c r="O28" s="29">
        <f t="shared" si="0"/>
        <v>-0.61380597014925375</v>
      </c>
      <c r="P28" s="30">
        <f>((Table15[[#This Row],[Com Mar]]/$W$2)-(Table15[[#This Row],[Com Feb]]/$Y$2))*$X$2</f>
        <v>65.111413043478265</v>
      </c>
      <c r="Q28" s="29">
        <f t="shared" si="1"/>
        <v>1.68</v>
      </c>
      <c r="R28" s="30">
        <f>Table15[[#This Row],[Com Mar]]-Table15[[#This Row],[Com Feb]]</f>
        <v>42</v>
      </c>
      <c r="S28" s="20">
        <f t="shared" si="2"/>
        <v>2</v>
      </c>
      <c r="T28" s="20">
        <f t="shared" si="3"/>
        <v>2</v>
      </c>
      <c r="U28" s="20">
        <f t="shared" si="5"/>
        <v>0</v>
      </c>
    </row>
    <row r="29" spans="1:21" x14ac:dyDescent="0.25">
      <c r="A29" s="31" t="s">
        <v>551</v>
      </c>
      <c r="B29" s="27" t="s">
        <v>619</v>
      </c>
      <c r="C29" s="27" t="s">
        <v>692</v>
      </c>
      <c r="D29" s="28">
        <v>1073541819</v>
      </c>
      <c r="E29" s="33" t="str">
        <f>_xlfn.IFNA(VLOOKUP(Table15[[#This Row],[NPI]],'CM Assignments'!$D$1:$E$185,2,FALSE),_xlfn.IFNA(VLOOKUP(Table15[[#This Row],[Last]],'CM Assignments'!$B$1:$E$185,4,FALSE),"N/A"))</f>
        <v>Christy Sanantonio</v>
      </c>
      <c r="F29" s="34">
        <v>0</v>
      </c>
      <c r="G29" s="34">
        <v>0</v>
      </c>
      <c r="H29" s="34">
        <v>0</v>
      </c>
      <c r="I29" s="34">
        <v>4</v>
      </c>
      <c r="J29" s="34">
        <v>2</v>
      </c>
      <c r="K29" s="34">
        <v>2</v>
      </c>
      <c r="L29" s="34">
        <v>4</v>
      </c>
      <c r="M29" s="34">
        <v>1</v>
      </c>
      <c r="N29" s="34">
        <v>3</v>
      </c>
      <c r="O29" s="29">
        <f t="shared" si="0"/>
        <v>-1</v>
      </c>
      <c r="P29" s="30">
        <f>((Table15[[#This Row],[Com Mar]]/$W$2)-(Table15[[#This Row],[Com Feb]]/$Y$2))*$X$2</f>
        <v>1.7119565217391304</v>
      </c>
      <c r="Q29" s="29">
        <f t="shared" si="1"/>
        <v>1</v>
      </c>
      <c r="R29" s="30">
        <f>Table15[[#This Row],[Com Mar]]-Table15[[#This Row],[Com Feb]]</f>
        <v>1</v>
      </c>
      <c r="S29" s="20">
        <f t="shared" si="2"/>
        <v>0</v>
      </c>
      <c r="T29" s="20">
        <f t="shared" si="3"/>
        <v>0</v>
      </c>
      <c r="U29" s="20">
        <f t="shared" si="5"/>
        <v>0</v>
      </c>
    </row>
    <row r="30" spans="1:21" x14ac:dyDescent="0.25">
      <c r="A30" s="31" t="s">
        <v>552</v>
      </c>
      <c r="B30" s="27" t="s">
        <v>620</v>
      </c>
      <c r="C30" s="27" t="s">
        <v>692</v>
      </c>
      <c r="D30" s="28">
        <v>1811156979</v>
      </c>
      <c r="E30" s="33" t="str">
        <f>_xlfn.IFNA(VLOOKUP(Table15[[#This Row],[NPI]],'CM Assignments'!$D$1:$E$185,2,FALSE),_xlfn.IFNA(VLOOKUP(Table15[[#This Row],[Last]],'CM Assignments'!$B$1:$E$185,4,FALSE),"N/A"))</f>
        <v>Whitney Poe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34">
        <v>0</v>
      </c>
      <c r="L30" s="34">
        <v>0</v>
      </c>
      <c r="M30" s="34">
        <v>0</v>
      </c>
      <c r="N30" s="34">
        <v>0</v>
      </c>
      <c r="O30" s="29" t="str">
        <f t="shared" si="0"/>
        <v>N/A</v>
      </c>
      <c r="P30" s="30">
        <f>((Table15[[#This Row],[Com Mar]]/$W$2)-(Table15[[#This Row],[Com Feb]]/$Y$2))*$X$2</f>
        <v>0</v>
      </c>
      <c r="Q30" s="29" t="str">
        <f t="shared" si="1"/>
        <v>N/A</v>
      </c>
      <c r="R30" s="30">
        <f>Table15[[#This Row],[Com Mar]]-Table15[[#This Row],[Com Feb]]</f>
        <v>0</v>
      </c>
      <c r="S30" s="20">
        <f t="shared" si="2"/>
        <v>0</v>
      </c>
      <c r="T30" s="20">
        <f t="shared" si="3"/>
        <v>0</v>
      </c>
      <c r="U30" s="20">
        <f t="shared" si="5"/>
        <v>0</v>
      </c>
    </row>
    <row r="31" spans="1:21" x14ac:dyDescent="0.25">
      <c r="A31" s="31" t="s">
        <v>553</v>
      </c>
      <c r="B31" s="27" t="s">
        <v>621</v>
      </c>
      <c r="C31" s="27" t="s">
        <v>708</v>
      </c>
      <c r="D31" s="28">
        <v>1003164146</v>
      </c>
      <c r="E31" s="33" t="str">
        <f>_xlfn.IFNA(VLOOKUP(Table15[[#This Row],[NPI]],'CM Assignments'!$D$1:$E$185,2,FALSE),_xlfn.IFNA(VLOOKUP(Table15[[#This Row],[Last]],'CM Assignments'!$B$1:$E$185,4,FALSE),"N/A"))</f>
        <v>Christy Sanantonio</v>
      </c>
      <c r="F31" s="34">
        <v>8</v>
      </c>
      <c r="G31" s="34">
        <v>5</v>
      </c>
      <c r="H31" s="34">
        <v>3</v>
      </c>
      <c r="I31" s="34">
        <v>9</v>
      </c>
      <c r="J31" s="34">
        <v>6</v>
      </c>
      <c r="K31" s="34">
        <v>3</v>
      </c>
      <c r="L31" s="34">
        <v>8</v>
      </c>
      <c r="M31" s="34">
        <v>8</v>
      </c>
      <c r="N31" s="34">
        <v>0</v>
      </c>
      <c r="O31" s="29">
        <f t="shared" si="0"/>
        <v>0.19791666666666671</v>
      </c>
      <c r="P31" s="30">
        <f>((Table15[[#This Row],[Com Mar]]/$W$2)-(Table15[[#This Row],[Com Feb]]/$Y$2))*$X$2</f>
        <v>0.57065217391304368</v>
      </c>
      <c r="Q31" s="29">
        <f t="shared" si="1"/>
        <v>-0.25</v>
      </c>
      <c r="R31" s="30">
        <f>Table15[[#This Row],[Com Mar]]-Table15[[#This Row],[Com Feb]]</f>
        <v>-2</v>
      </c>
      <c r="S31" s="20">
        <f t="shared" si="2"/>
        <v>0</v>
      </c>
      <c r="T31" s="20">
        <f t="shared" si="3"/>
        <v>0</v>
      </c>
      <c r="U31" s="20">
        <f t="shared" si="5"/>
        <v>0</v>
      </c>
    </row>
    <row r="32" spans="1:21" x14ac:dyDescent="0.25">
      <c r="A32" s="31" t="s">
        <v>554</v>
      </c>
      <c r="B32" s="27" t="s">
        <v>622</v>
      </c>
      <c r="C32" s="27" t="s">
        <v>709</v>
      </c>
      <c r="D32" s="28">
        <v>1013917459</v>
      </c>
      <c r="E32" s="33" t="str">
        <f>_xlfn.IFNA(VLOOKUP(Table15[[#This Row],[NPI]],'CM Assignments'!$D$1:$E$185,2,FALSE),_xlfn.IFNA(VLOOKUP(Table15[[#This Row],[Last]],'CM Assignments'!$B$1:$E$185,4,FALSE),"N/A"))</f>
        <v>N/A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29" t="str">
        <f t="shared" si="0"/>
        <v>N/A</v>
      </c>
      <c r="P32" s="30">
        <f>((Table15[[#This Row],[Com Mar]]/$W$2)-(Table15[[#This Row],[Com Feb]]/$Y$2))*$X$2</f>
        <v>0</v>
      </c>
      <c r="Q32" s="29" t="str">
        <f t="shared" si="1"/>
        <v>N/A</v>
      </c>
      <c r="R32" s="30">
        <f>Table15[[#This Row],[Com Mar]]-Table15[[#This Row],[Com Feb]]</f>
        <v>0</v>
      </c>
      <c r="S32" s="20">
        <f t="shared" si="2"/>
        <v>0</v>
      </c>
      <c r="T32" s="20">
        <f t="shared" si="3"/>
        <v>0</v>
      </c>
      <c r="U32" s="20">
        <f t="shared" si="5"/>
        <v>0</v>
      </c>
    </row>
    <row r="33" spans="1:21" x14ac:dyDescent="0.25">
      <c r="A33" s="31" t="s">
        <v>555</v>
      </c>
      <c r="B33" s="27" t="s">
        <v>623</v>
      </c>
      <c r="C33" s="27" t="s">
        <v>710</v>
      </c>
      <c r="D33" s="28">
        <v>1891003109</v>
      </c>
      <c r="E33" s="33" t="str">
        <f>_xlfn.IFNA(VLOOKUP(Table15[[#This Row],[NPI]],'CM Assignments'!$D$1:$E$185,2,FALSE),_xlfn.IFNA(VLOOKUP(Table15[[#This Row],[Last]],'CM Assignments'!$B$1:$E$185,4,FALSE),"N/A"))</f>
        <v>N/A</v>
      </c>
      <c r="F33" s="34">
        <v>0</v>
      </c>
      <c r="G33" s="34">
        <v>0</v>
      </c>
      <c r="H33" s="34">
        <v>0</v>
      </c>
      <c r="I33" s="34">
        <v>4</v>
      </c>
      <c r="J33" s="34">
        <v>4</v>
      </c>
      <c r="K33" s="34">
        <v>0</v>
      </c>
      <c r="L33" s="34">
        <v>1</v>
      </c>
      <c r="M33" s="34">
        <v>1</v>
      </c>
      <c r="N33" s="34">
        <v>0</v>
      </c>
      <c r="O33" s="29">
        <f t="shared" si="0"/>
        <v>-1</v>
      </c>
      <c r="P33" s="30">
        <f>((Table15[[#This Row],[Com Mar]]/$W$2)-(Table15[[#This Row],[Com Feb]]/$Y$2))*$X$2</f>
        <v>4.3369565217391308</v>
      </c>
      <c r="Q33" s="29">
        <f t="shared" si="1"/>
        <v>3</v>
      </c>
      <c r="R33" s="30">
        <f>Table15[[#This Row],[Com Mar]]-Table15[[#This Row],[Com Feb]]</f>
        <v>3</v>
      </c>
      <c r="S33" s="20">
        <f t="shared" si="2"/>
        <v>0</v>
      </c>
      <c r="T33" s="20">
        <f t="shared" si="3"/>
        <v>0</v>
      </c>
      <c r="U33" s="20">
        <f t="shared" si="5"/>
        <v>0</v>
      </c>
    </row>
    <row r="34" spans="1:21" x14ac:dyDescent="0.25">
      <c r="A34" s="31" t="s">
        <v>556</v>
      </c>
      <c r="B34" s="27" t="s">
        <v>624</v>
      </c>
      <c r="C34" s="27" t="s">
        <v>711</v>
      </c>
      <c r="D34" s="28">
        <v>1356651301</v>
      </c>
      <c r="E34" s="33" t="str">
        <f>_xlfn.IFNA(VLOOKUP(Table15[[#This Row],[NPI]],'CM Assignments'!$D$1:$E$185,2,FALSE),_xlfn.IFNA(VLOOKUP(Table15[[#This Row],[Last]],'CM Assignments'!$B$1:$E$185,4,FALSE),"N/A"))</f>
        <v>Dan Vitasovic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34">
        <v>0</v>
      </c>
      <c r="N34" s="34">
        <v>0</v>
      </c>
      <c r="O34" s="29" t="str">
        <f t="shared" si="0"/>
        <v>N/A</v>
      </c>
      <c r="P34" s="30">
        <f>((Table15[[#This Row],[Com Mar]]/$W$2)-(Table15[[#This Row],[Com Feb]]/$Y$2))*$X$2</f>
        <v>0</v>
      </c>
      <c r="Q34" s="29" t="str">
        <f t="shared" si="1"/>
        <v>N/A</v>
      </c>
      <c r="R34" s="30">
        <f>Table15[[#This Row],[Com Mar]]-Table15[[#This Row],[Com Feb]]</f>
        <v>0</v>
      </c>
      <c r="S34" s="20">
        <f t="shared" si="2"/>
        <v>0</v>
      </c>
      <c r="T34" s="20">
        <f t="shared" si="3"/>
        <v>0</v>
      </c>
      <c r="U34" s="20">
        <f t="shared" si="5"/>
        <v>0</v>
      </c>
    </row>
    <row r="35" spans="1:21" x14ac:dyDescent="0.25">
      <c r="A35" s="31" t="s">
        <v>557</v>
      </c>
      <c r="B35" s="27" t="s">
        <v>625</v>
      </c>
      <c r="C35" s="27" t="s">
        <v>712</v>
      </c>
      <c r="D35" s="28">
        <v>1740536598</v>
      </c>
      <c r="E35" s="33" t="str">
        <f>_xlfn.IFNA(VLOOKUP(Table15[[#This Row],[NPI]],'CM Assignments'!$D$1:$E$185,2,FALSE),_xlfn.IFNA(VLOOKUP(Table15[[#This Row],[Last]],'CM Assignments'!$B$1:$E$185,4,FALSE),"N/A"))</f>
        <v>Amanda Fedro</v>
      </c>
      <c r="F35" s="34">
        <v>12</v>
      </c>
      <c r="G35" s="34">
        <v>9</v>
      </c>
      <c r="H35" s="34">
        <v>2</v>
      </c>
      <c r="I35" s="34">
        <v>7</v>
      </c>
      <c r="J35" s="34">
        <v>5</v>
      </c>
      <c r="K35" s="34">
        <v>2</v>
      </c>
      <c r="L35" s="34">
        <v>8</v>
      </c>
      <c r="M35" s="34">
        <v>4</v>
      </c>
      <c r="N35" s="34">
        <v>4</v>
      </c>
      <c r="O35" s="29">
        <f t="shared" si="0"/>
        <v>1.5875000000000001</v>
      </c>
      <c r="P35" s="30">
        <f>((Table15[[#This Row],[Com Mar]]/$W$2)-(Table15[[#This Row],[Com Feb]]/$Y$2))*$X$2</f>
        <v>2.910326086956522</v>
      </c>
      <c r="Q35" s="29">
        <f t="shared" si="1"/>
        <v>0.25</v>
      </c>
      <c r="R35" s="30">
        <f>Table15[[#This Row],[Com Mar]]-Table15[[#This Row],[Com Feb]]</f>
        <v>1</v>
      </c>
      <c r="S35" s="20">
        <f t="shared" si="2"/>
        <v>1</v>
      </c>
      <c r="T35" s="20">
        <f t="shared" si="3"/>
        <v>0</v>
      </c>
      <c r="U35" s="20">
        <f t="shared" si="5"/>
        <v>0</v>
      </c>
    </row>
    <row r="36" spans="1:21" x14ac:dyDescent="0.25">
      <c r="A36" s="31" t="s">
        <v>558</v>
      </c>
      <c r="B36" s="27" t="s">
        <v>626</v>
      </c>
      <c r="C36" s="27" t="s">
        <v>713</v>
      </c>
      <c r="D36" s="28">
        <v>1003144593</v>
      </c>
      <c r="E36" s="33" t="str">
        <f>_xlfn.IFNA(VLOOKUP(Table15[[#This Row],[NPI]],'CM Assignments'!$D$1:$E$185,2,FALSE),_xlfn.IFNA(VLOOKUP(Table15[[#This Row],[Last]],'CM Assignments'!$B$1:$E$185,4,FALSE),"N/A"))</f>
        <v>Christy Sanantonio</v>
      </c>
      <c r="F36" s="34">
        <v>4</v>
      </c>
      <c r="G36" s="34">
        <v>3</v>
      </c>
      <c r="H36" s="34">
        <v>0</v>
      </c>
      <c r="I36" s="34">
        <v>3</v>
      </c>
      <c r="J36" s="34">
        <v>3</v>
      </c>
      <c r="K36" s="34">
        <v>0</v>
      </c>
      <c r="L36" s="34">
        <v>1</v>
      </c>
      <c r="M36" s="34">
        <v>1</v>
      </c>
      <c r="N36" s="34">
        <v>0</v>
      </c>
      <c r="O36" s="29">
        <f t="shared" ref="O36:O67" si="6">IF(J36=0,"N/A",((G36/$W$2)-(J36/$Y$2))/(J36/$Y$2))</f>
        <v>0.43750000000000006</v>
      </c>
      <c r="P36" s="30">
        <f>((Table15[[#This Row],[Com Mar]]/$W$2)-(Table15[[#This Row],[Com Feb]]/$Y$2))*$X$2</f>
        <v>3.0244565217391304</v>
      </c>
      <c r="Q36" s="29">
        <f t="shared" ref="Q36:Q67" si="7">IF(M36=0,"N/A",((J36)-(M36))/(M36))</f>
        <v>2</v>
      </c>
      <c r="R36" s="30">
        <f>Table15[[#This Row],[Com Mar]]-Table15[[#This Row],[Com Feb]]</f>
        <v>2</v>
      </c>
      <c r="S36" s="20">
        <f t="shared" ref="S36:S67" si="8">F36-G36-H36</f>
        <v>1</v>
      </c>
      <c r="T36" s="20">
        <f t="shared" ref="T36:T67" si="9">I36-J36-K36</f>
        <v>0</v>
      </c>
      <c r="U36" s="20">
        <f t="shared" si="5"/>
        <v>0</v>
      </c>
    </row>
    <row r="37" spans="1:21" x14ac:dyDescent="0.25">
      <c r="A37" s="31" t="s">
        <v>559</v>
      </c>
      <c r="B37" s="27" t="s">
        <v>627</v>
      </c>
      <c r="C37" s="27" t="s">
        <v>714</v>
      </c>
      <c r="D37" s="28">
        <v>1588828800</v>
      </c>
      <c r="E37" s="33" t="str">
        <f>_xlfn.IFNA(VLOOKUP(Table15[[#This Row],[NPI]],'CM Assignments'!$D$1:$E$185,2,FALSE),_xlfn.IFNA(VLOOKUP(Table15[[#This Row],[Last]],'CM Assignments'!$B$1:$E$185,4,FALSE),"N/A"))</f>
        <v>Amanda Fedro</v>
      </c>
      <c r="F37" s="34">
        <v>10</v>
      </c>
      <c r="G37" s="34">
        <v>8</v>
      </c>
      <c r="H37" s="34">
        <v>1</v>
      </c>
      <c r="I37" s="34">
        <v>4</v>
      </c>
      <c r="J37" s="34">
        <v>4</v>
      </c>
      <c r="K37" s="34">
        <v>0</v>
      </c>
      <c r="L37" s="34">
        <v>0</v>
      </c>
      <c r="M37" s="34">
        <v>0</v>
      </c>
      <c r="N37" s="34">
        <v>0</v>
      </c>
      <c r="O37" s="29">
        <f t="shared" si="6"/>
        <v>1.875</v>
      </c>
      <c r="P37" s="30">
        <f>((Table15[[#This Row],[Com Mar]]/$W$2)-(Table15[[#This Row],[Com Feb]]/$Y$2))*$X$2</f>
        <v>5.25</v>
      </c>
      <c r="Q37" s="29" t="str">
        <f t="shared" si="7"/>
        <v>N/A</v>
      </c>
      <c r="R37" s="30">
        <f>Table15[[#This Row],[Com Mar]]-Table15[[#This Row],[Com Feb]]</f>
        <v>4</v>
      </c>
      <c r="S37" s="20">
        <f t="shared" si="8"/>
        <v>1</v>
      </c>
      <c r="T37" s="20">
        <f t="shared" si="9"/>
        <v>0</v>
      </c>
      <c r="U37" s="20">
        <f t="shared" ref="U37:U69" si="10">L37-M37-N37</f>
        <v>0</v>
      </c>
    </row>
    <row r="38" spans="1:21" x14ac:dyDescent="0.25">
      <c r="A38" s="31" t="s">
        <v>560</v>
      </c>
      <c r="B38" s="27" t="s">
        <v>628</v>
      </c>
      <c r="C38" s="27" t="s">
        <v>715</v>
      </c>
      <c r="D38" s="28">
        <v>1275533457</v>
      </c>
      <c r="E38" s="33" t="str">
        <f>_xlfn.IFNA(VLOOKUP(Table15[[#This Row],[NPI]],'CM Assignments'!$D$1:$E$185,2,FALSE),_xlfn.IFNA(VLOOKUP(Table15[[#This Row],[Last]],'CM Assignments'!$B$1:$E$185,4,FALSE),"N/A"))</f>
        <v>Amanda Fedro</v>
      </c>
      <c r="F38" s="34">
        <v>11</v>
      </c>
      <c r="G38" s="34">
        <v>7</v>
      </c>
      <c r="H38" s="34">
        <v>3</v>
      </c>
      <c r="I38" s="34">
        <v>36</v>
      </c>
      <c r="J38" s="34">
        <v>28</v>
      </c>
      <c r="K38" s="34">
        <v>8</v>
      </c>
      <c r="L38" s="34">
        <v>19</v>
      </c>
      <c r="M38" s="34">
        <v>17</v>
      </c>
      <c r="N38" s="34">
        <v>2</v>
      </c>
      <c r="O38" s="29">
        <f t="shared" si="6"/>
        <v>-0.640625</v>
      </c>
      <c r="P38" s="30">
        <f>((Table15[[#This Row],[Com Mar]]/$W$2)-(Table15[[#This Row],[Com Feb]]/$Y$2))*$X$2</f>
        <v>21.228260869565219</v>
      </c>
      <c r="Q38" s="29">
        <f t="shared" si="7"/>
        <v>0.6470588235294118</v>
      </c>
      <c r="R38" s="30">
        <f>Table15[[#This Row],[Com Mar]]-Table15[[#This Row],[Com Feb]]</f>
        <v>11</v>
      </c>
      <c r="S38" s="20">
        <f t="shared" si="8"/>
        <v>1</v>
      </c>
      <c r="T38" s="20">
        <f t="shared" si="9"/>
        <v>0</v>
      </c>
      <c r="U38" s="20">
        <f t="shared" si="10"/>
        <v>0</v>
      </c>
    </row>
    <row r="39" spans="1:21" x14ac:dyDescent="0.25">
      <c r="A39" s="31" t="s">
        <v>561</v>
      </c>
      <c r="B39" s="27" t="s">
        <v>629</v>
      </c>
      <c r="C39" s="27" t="s">
        <v>716</v>
      </c>
      <c r="D39" s="28">
        <v>1831325026</v>
      </c>
      <c r="E39" s="33" t="str">
        <f>_xlfn.IFNA(VLOOKUP(Table15[[#This Row],[NPI]],'CM Assignments'!$D$1:$E$185,2,FALSE),_xlfn.IFNA(VLOOKUP(Table15[[#This Row],[Last]],'CM Assignments'!$B$1:$E$185,4,FALSE),"N/A"))</f>
        <v>Amanda Fedro</v>
      </c>
      <c r="F39" s="34">
        <v>30</v>
      </c>
      <c r="G39" s="34">
        <v>7</v>
      </c>
      <c r="H39" s="34">
        <v>18</v>
      </c>
      <c r="I39" s="34">
        <v>36</v>
      </c>
      <c r="J39" s="34">
        <v>11</v>
      </c>
      <c r="K39" s="34">
        <v>24</v>
      </c>
      <c r="L39" s="34">
        <v>44</v>
      </c>
      <c r="M39" s="34">
        <v>16</v>
      </c>
      <c r="N39" s="34">
        <v>24</v>
      </c>
      <c r="O39" s="29">
        <f t="shared" si="6"/>
        <v>-8.5227272727272749E-2</v>
      </c>
      <c r="P39" s="30">
        <f>((Table15[[#This Row],[Com Mar]]/$W$2)-(Table15[[#This Row],[Com Feb]]/$Y$2))*$X$2</f>
        <v>-0.17119565217391264</v>
      </c>
      <c r="Q39" s="29">
        <f t="shared" si="7"/>
        <v>-0.3125</v>
      </c>
      <c r="R39" s="30">
        <f>Table15[[#This Row],[Com Mar]]-Table15[[#This Row],[Com Feb]]</f>
        <v>-5</v>
      </c>
      <c r="S39" s="20">
        <f t="shared" si="8"/>
        <v>5</v>
      </c>
      <c r="T39" s="20">
        <f t="shared" si="9"/>
        <v>1</v>
      </c>
      <c r="U39" s="20">
        <f t="shared" si="10"/>
        <v>4</v>
      </c>
    </row>
    <row r="40" spans="1:21" x14ac:dyDescent="0.25">
      <c r="A40" s="31" t="s">
        <v>562</v>
      </c>
      <c r="B40" s="27" t="s">
        <v>630</v>
      </c>
      <c r="C40" s="27" t="s">
        <v>693</v>
      </c>
      <c r="D40" s="28">
        <v>1841459476</v>
      </c>
      <c r="E40" s="33" t="str">
        <f>_xlfn.IFNA(VLOOKUP(Table15[[#This Row],[NPI]],'CM Assignments'!$D$1:$E$185,2,FALSE),_xlfn.IFNA(VLOOKUP(Table15[[#This Row],[Last]],'CM Assignments'!$B$1:$E$185,4,FALSE),"N/A"))</f>
        <v>Amanda Fedro</v>
      </c>
      <c r="F40" s="34">
        <v>7</v>
      </c>
      <c r="G40" s="34">
        <v>5</v>
      </c>
      <c r="H40" s="34">
        <v>2</v>
      </c>
      <c r="I40" s="34">
        <v>8</v>
      </c>
      <c r="J40" s="34">
        <v>7</v>
      </c>
      <c r="K40" s="34">
        <v>1</v>
      </c>
      <c r="L40" s="34">
        <v>6</v>
      </c>
      <c r="M40" s="34">
        <v>4</v>
      </c>
      <c r="N40" s="34">
        <v>2</v>
      </c>
      <c r="O40" s="29">
        <f t="shared" si="6"/>
        <v>2.6785714285714222E-2</v>
      </c>
      <c r="P40" s="30">
        <f>((Table15[[#This Row],[Com Mar]]/$W$2)-(Table15[[#This Row],[Com Feb]]/$Y$2))*$X$2</f>
        <v>5.5353260869565215</v>
      </c>
      <c r="Q40" s="29">
        <f t="shared" si="7"/>
        <v>0.75</v>
      </c>
      <c r="R40" s="30">
        <f>Table15[[#This Row],[Com Mar]]-Table15[[#This Row],[Com Feb]]</f>
        <v>3</v>
      </c>
      <c r="S40" s="20">
        <f t="shared" si="8"/>
        <v>0</v>
      </c>
      <c r="T40" s="20">
        <f t="shared" si="9"/>
        <v>0</v>
      </c>
      <c r="U40" s="20">
        <f t="shared" si="10"/>
        <v>0</v>
      </c>
    </row>
    <row r="41" spans="1:21" x14ac:dyDescent="0.25">
      <c r="A41" s="31" t="s">
        <v>563</v>
      </c>
      <c r="B41" s="27" t="s">
        <v>631</v>
      </c>
      <c r="C41" s="27" t="s">
        <v>717</v>
      </c>
      <c r="D41" s="28">
        <v>1245488824</v>
      </c>
      <c r="E41" s="33" t="str">
        <f>_xlfn.IFNA(VLOOKUP(Table15[[#This Row],[NPI]],'CM Assignments'!$D$1:$E$185,2,FALSE),_xlfn.IFNA(VLOOKUP(Table15[[#This Row],[Last]],'CM Assignments'!$B$1:$E$185,4,FALSE),"N/A"))</f>
        <v>Amanda Fedro</v>
      </c>
      <c r="F41" s="34">
        <v>65</v>
      </c>
      <c r="G41" s="34">
        <v>28</v>
      </c>
      <c r="H41" s="34">
        <v>33</v>
      </c>
      <c r="I41" s="34">
        <v>166</v>
      </c>
      <c r="J41" s="34">
        <v>93</v>
      </c>
      <c r="K41" s="34">
        <v>73</v>
      </c>
      <c r="L41" s="34">
        <v>67</v>
      </c>
      <c r="M41" s="34">
        <v>46</v>
      </c>
      <c r="N41" s="34">
        <v>20</v>
      </c>
      <c r="O41" s="29">
        <f t="shared" si="6"/>
        <v>-0.56720430107526887</v>
      </c>
      <c r="P41" s="30">
        <f>((Table15[[#This Row],[Com Mar]]/$W$2)-(Table15[[#This Row],[Com Feb]]/$Y$2))*$X$2</f>
        <v>80.0625</v>
      </c>
      <c r="Q41" s="29">
        <f t="shared" si="7"/>
        <v>1.0217391304347827</v>
      </c>
      <c r="R41" s="30">
        <f>Table15[[#This Row],[Com Mar]]-Table15[[#This Row],[Com Feb]]</f>
        <v>47</v>
      </c>
      <c r="S41" s="20">
        <f t="shared" si="8"/>
        <v>4</v>
      </c>
      <c r="T41" s="20">
        <f t="shared" si="9"/>
        <v>0</v>
      </c>
      <c r="U41" s="20">
        <f t="shared" si="10"/>
        <v>1</v>
      </c>
    </row>
    <row r="42" spans="1:21" x14ac:dyDescent="0.25">
      <c r="A42" s="31" t="s">
        <v>564</v>
      </c>
      <c r="B42" s="27" t="s">
        <v>632</v>
      </c>
      <c r="C42" s="27" t="s">
        <v>718</v>
      </c>
      <c r="D42" s="28">
        <v>1134108343</v>
      </c>
      <c r="E42" s="33" t="str">
        <f>_xlfn.IFNA(VLOOKUP(Table15[[#This Row],[NPI]],'CM Assignments'!$D$1:$E$185,2,FALSE),_xlfn.IFNA(VLOOKUP(Table15[[#This Row],[Last]],'CM Assignments'!$B$1:$E$185,4,FALSE),"N/A"))</f>
        <v>Christy Sanantonio</v>
      </c>
      <c r="F42" s="34">
        <v>30</v>
      </c>
      <c r="G42" s="34">
        <v>24</v>
      </c>
      <c r="H42" s="34">
        <v>2</v>
      </c>
      <c r="I42" s="34">
        <v>36</v>
      </c>
      <c r="J42" s="34">
        <v>31</v>
      </c>
      <c r="K42" s="34">
        <v>2</v>
      </c>
      <c r="L42" s="34">
        <v>48</v>
      </c>
      <c r="M42" s="34">
        <v>47</v>
      </c>
      <c r="N42" s="34">
        <v>1</v>
      </c>
      <c r="O42" s="29">
        <f t="shared" si="6"/>
        <v>0.11290322580645162</v>
      </c>
      <c r="P42" s="30">
        <f>((Table15[[#This Row],[Com Mar]]/$W$2)-(Table15[[#This Row],[Com Feb]]/$Y$2))*$X$2</f>
        <v>-2.2255434782608736</v>
      </c>
      <c r="Q42" s="29">
        <f t="shared" si="7"/>
        <v>-0.34042553191489361</v>
      </c>
      <c r="R42" s="30">
        <f>Table15[[#This Row],[Com Mar]]-Table15[[#This Row],[Com Feb]]</f>
        <v>-16</v>
      </c>
      <c r="S42" s="20">
        <f t="shared" si="8"/>
        <v>4</v>
      </c>
      <c r="T42" s="20">
        <f t="shared" si="9"/>
        <v>3</v>
      </c>
      <c r="U42" s="20">
        <f t="shared" si="10"/>
        <v>0</v>
      </c>
    </row>
    <row r="43" spans="1:21" x14ac:dyDescent="0.25">
      <c r="A43" s="31" t="s">
        <v>565</v>
      </c>
      <c r="B43" s="27" t="s">
        <v>664</v>
      </c>
      <c r="C43" s="27" t="s">
        <v>719</v>
      </c>
      <c r="D43" s="28">
        <v>1467694687</v>
      </c>
      <c r="E43" s="33" t="str">
        <f>_xlfn.IFNA(VLOOKUP(Table15[[#This Row],[NPI]],'CM Assignments'!$D$1:$E$185,2,FALSE),_xlfn.IFNA(VLOOKUP(Table15[[#This Row],[Last]],'CM Assignments'!$B$1:$E$185,4,FALSE),"N/A"))</f>
        <v>Amanda Fedro</v>
      </c>
      <c r="F43" s="34">
        <v>53</v>
      </c>
      <c r="G43" s="34">
        <v>30</v>
      </c>
      <c r="H43" s="34">
        <v>22</v>
      </c>
      <c r="I43" s="34">
        <v>88</v>
      </c>
      <c r="J43" s="34">
        <v>48</v>
      </c>
      <c r="K43" s="34">
        <v>34</v>
      </c>
      <c r="L43" s="34">
        <v>72</v>
      </c>
      <c r="M43" s="34">
        <v>41</v>
      </c>
      <c r="N43" s="34">
        <v>28</v>
      </c>
      <c r="O43" s="29">
        <f t="shared" si="6"/>
        <v>-0.10156249999999997</v>
      </c>
      <c r="P43" s="30">
        <f>((Table15[[#This Row],[Com Mar]]/$W$2)-(Table15[[#This Row],[Com Feb]]/$Y$2))*$X$2</f>
        <v>25.565217391304351</v>
      </c>
      <c r="Q43" s="29">
        <f t="shared" si="7"/>
        <v>0.17073170731707318</v>
      </c>
      <c r="R43" s="30">
        <f>Table15[[#This Row],[Com Mar]]-Table15[[#This Row],[Com Feb]]</f>
        <v>7</v>
      </c>
      <c r="S43" s="20">
        <f t="shared" si="8"/>
        <v>1</v>
      </c>
      <c r="T43" s="20">
        <f t="shared" si="9"/>
        <v>6</v>
      </c>
      <c r="U43" s="20">
        <f t="shared" si="10"/>
        <v>3</v>
      </c>
    </row>
    <row r="44" spans="1:21" x14ac:dyDescent="0.25">
      <c r="A44" s="31" t="s">
        <v>566</v>
      </c>
      <c r="B44" s="27" t="s">
        <v>633</v>
      </c>
      <c r="C44" s="27" t="s">
        <v>720</v>
      </c>
      <c r="D44" s="28">
        <v>1619171287</v>
      </c>
      <c r="E44" s="33" t="str">
        <f>_xlfn.IFNA(VLOOKUP(Table15[[#This Row],[NPI]],'CM Assignments'!$D$1:$E$185,2,FALSE),_xlfn.IFNA(VLOOKUP(Table15[[#This Row],[Last]],'CM Assignments'!$B$1:$E$185,4,FALSE),"N/A"))</f>
        <v>Dan Vitasovic</v>
      </c>
      <c r="F44" s="34">
        <v>53</v>
      </c>
      <c r="G44" s="34">
        <v>32</v>
      </c>
      <c r="H44" s="34">
        <v>21</v>
      </c>
      <c r="I44" s="34">
        <v>77</v>
      </c>
      <c r="J44" s="34">
        <v>47</v>
      </c>
      <c r="K44" s="34">
        <v>28</v>
      </c>
      <c r="L44" s="34">
        <v>95</v>
      </c>
      <c r="M44" s="34">
        <v>55</v>
      </c>
      <c r="N44" s="34">
        <v>38</v>
      </c>
      <c r="O44" s="29">
        <f t="shared" si="6"/>
        <v>-2.1276595744680944E-2</v>
      </c>
      <c r="P44" s="30">
        <f>((Table15[[#This Row],[Com Mar]]/$W$2)-(Table15[[#This Row],[Com Feb]]/$Y$2))*$X$2</f>
        <v>11.470108695652176</v>
      </c>
      <c r="Q44" s="29">
        <f t="shared" si="7"/>
        <v>-0.14545454545454545</v>
      </c>
      <c r="R44" s="30">
        <f>Table15[[#This Row],[Com Mar]]-Table15[[#This Row],[Com Feb]]</f>
        <v>-8</v>
      </c>
      <c r="S44" s="20">
        <f t="shared" si="8"/>
        <v>0</v>
      </c>
      <c r="T44" s="20">
        <f t="shared" si="9"/>
        <v>2</v>
      </c>
      <c r="U44" s="20">
        <f t="shared" si="10"/>
        <v>2</v>
      </c>
    </row>
    <row r="45" spans="1:21" x14ac:dyDescent="0.25">
      <c r="A45" s="31" t="s">
        <v>754</v>
      </c>
      <c r="B45" s="27" t="s">
        <v>634</v>
      </c>
      <c r="C45" s="27" t="s">
        <v>721</v>
      </c>
      <c r="D45" s="28">
        <v>1740216852</v>
      </c>
      <c r="E45" s="33" t="str">
        <f>_xlfn.IFNA(VLOOKUP(Table15[[#This Row],[NPI]],'CM Assignments'!$D$1:$E$185,2,FALSE),_xlfn.IFNA(VLOOKUP(Table15[[#This Row],[Last]],'CM Assignments'!$B$1:$E$185,4,FALSE),"N/A"))</f>
        <v>Christy Sanantonio</v>
      </c>
      <c r="F45" s="34">
        <v>7</v>
      </c>
      <c r="G45" s="34">
        <v>4</v>
      </c>
      <c r="H45" s="34">
        <v>2</v>
      </c>
      <c r="I45" s="34">
        <v>9</v>
      </c>
      <c r="J45" s="34">
        <v>9</v>
      </c>
      <c r="K45" s="34">
        <v>0</v>
      </c>
      <c r="L45" s="34">
        <v>27</v>
      </c>
      <c r="M45" s="34">
        <v>23</v>
      </c>
      <c r="N45" s="34">
        <v>4</v>
      </c>
      <c r="O45" s="29">
        <f t="shared" si="6"/>
        <v>-0.36111111111111116</v>
      </c>
      <c r="P45" s="30">
        <f>((Table15[[#This Row],[Com Mar]]/$W$2)-(Table15[[#This Row],[Com Feb]]/$Y$2))*$X$2</f>
        <v>-9.1875</v>
      </c>
      <c r="Q45" s="29">
        <f t="shared" si="7"/>
        <v>-0.60869565217391308</v>
      </c>
      <c r="R45" s="30">
        <f>Table15[[#This Row],[Com Mar]]-Table15[[#This Row],[Com Feb]]</f>
        <v>-14</v>
      </c>
      <c r="S45" s="20">
        <f t="shared" si="8"/>
        <v>1</v>
      </c>
      <c r="T45" s="20">
        <f t="shared" si="9"/>
        <v>0</v>
      </c>
      <c r="U45" s="20">
        <f t="shared" si="10"/>
        <v>0</v>
      </c>
    </row>
    <row r="46" spans="1:21" x14ac:dyDescent="0.25">
      <c r="A46" s="31" t="s">
        <v>567</v>
      </c>
      <c r="B46" s="27" t="s">
        <v>634</v>
      </c>
      <c r="C46" s="27" t="s">
        <v>722</v>
      </c>
      <c r="D46" s="28">
        <v>1588609408</v>
      </c>
      <c r="E46" s="33" t="str">
        <f>_xlfn.IFNA(VLOOKUP(Table15[[#This Row],[NPI]],'CM Assignments'!$D$1:$E$185,2,FALSE),_xlfn.IFNA(VLOOKUP(Table15[[#This Row],[Last]],'CM Assignments'!$B$1:$E$185,4,FALSE),"N/A"))</f>
        <v>Christy Sanantonio</v>
      </c>
      <c r="F46" s="34">
        <v>19</v>
      </c>
      <c r="G46" s="34">
        <v>11</v>
      </c>
      <c r="H46" s="34">
        <v>8</v>
      </c>
      <c r="I46" s="34">
        <v>13</v>
      </c>
      <c r="J46" s="34">
        <v>6</v>
      </c>
      <c r="K46" s="34">
        <v>7</v>
      </c>
      <c r="L46" s="34">
        <v>9</v>
      </c>
      <c r="M46" s="34">
        <v>4</v>
      </c>
      <c r="N46" s="34">
        <v>5</v>
      </c>
      <c r="O46" s="29">
        <f t="shared" si="6"/>
        <v>1.6354166666666667</v>
      </c>
      <c r="P46" s="30">
        <f>((Table15[[#This Row],[Com Mar]]/$W$2)-(Table15[[#This Row],[Com Feb]]/$Y$2))*$X$2</f>
        <v>4.2228260869565215</v>
      </c>
      <c r="Q46" s="29">
        <f t="shared" si="7"/>
        <v>0.5</v>
      </c>
      <c r="R46" s="30">
        <f>Table15[[#This Row],[Com Mar]]-Table15[[#This Row],[Com Feb]]</f>
        <v>2</v>
      </c>
      <c r="S46" s="20">
        <f t="shared" si="8"/>
        <v>0</v>
      </c>
      <c r="T46" s="20">
        <f t="shared" si="9"/>
        <v>0</v>
      </c>
      <c r="U46" s="20">
        <f t="shared" si="10"/>
        <v>0</v>
      </c>
    </row>
    <row r="47" spans="1:21" x14ac:dyDescent="0.25">
      <c r="A47" s="31" t="s">
        <v>568</v>
      </c>
      <c r="B47" s="27" t="s">
        <v>635</v>
      </c>
      <c r="C47" s="27" t="s">
        <v>723</v>
      </c>
      <c r="D47" s="28">
        <v>1568410397</v>
      </c>
      <c r="E47" s="33" t="str">
        <f>_xlfn.IFNA(VLOOKUP(Table15[[#This Row],[NPI]],'CM Assignments'!$D$1:$E$185,2,FALSE),_xlfn.IFNA(VLOOKUP(Table15[[#This Row],[Last]],'CM Assignments'!$B$1:$E$185,4,FALSE),"N/A"))</f>
        <v>Dan Vitasovic</v>
      </c>
      <c r="F47" s="34">
        <v>73</v>
      </c>
      <c r="G47" s="34">
        <v>47</v>
      </c>
      <c r="H47" s="34">
        <v>23</v>
      </c>
      <c r="I47" s="34">
        <v>88</v>
      </c>
      <c r="J47" s="34">
        <v>56</v>
      </c>
      <c r="K47" s="34">
        <v>32</v>
      </c>
      <c r="L47" s="34">
        <v>108</v>
      </c>
      <c r="M47" s="34">
        <v>65</v>
      </c>
      <c r="N47" s="34">
        <v>42</v>
      </c>
      <c r="O47" s="29">
        <f t="shared" si="6"/>
        <v>0.20647321428571422</v>
      </c>
      <c r="P47" s="30">
        <f>((Table15[[#This Row],[Com Mar]]/$W$2)-(Table15[[#This Row],[Com Feb]]/$Y$2))*$X$2</f>
        <v>14.152173913043477</v>
      </c>
      <c r="Q47" s="29">
        <f t="shared" si="7"/>
        <v>-0.13846153846153847</v>
      </c>
      <c r="R47" s="30">
        <f>Table15[[#This Row],[Com Mar]]-Table15[[#This Row],[Com Feb]]</f>
        <v>-9</v>
      </c>
      <c r="S47" s="20">
        <f t="shared" si="8"/>
        <v>3</v>
      </c>
      <c r="T47" s="20">
        <f t="shared" si="9"/>
        <v>0</v>
      </c>
      <c r="U47" s="20">
        <f t="shared" si="10"/>
        <v>1</v>
      </c>
    </row>
    <row r="48" spans="1:21" x14ac:dyDescent="0.25">
      <c r="A48" s="31" t="s">
        <v>569</v>
      </c>
      <c r="B48" s="27" t="s">
        <v>636</v>
      </c>
      <c r="C48" s="27" t="s">
        <v>710</v>
      </c>
      <c r="D48" s="28">
        <v>1891003109</v>
      </c>
      <c r="E48" s="33" t="str">
        <f>_xlfn.IFNA(VLOOKUP(Table15[[#This Row],[NPI]],'CM Assignments'!$D$1:$E$185,2,FALSE),_xlfn.IFNA(VLOOKUP(Table15[[#This Row],[Last]],'CM Assignments'!$B$1:$E$185,4,FALSE),"N/A"))</f>
        <v>N/A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29" t="str">
        <f t="shared" si="6"/>
        <v>N/A</v>
      </c>
      <c r="P48" s="30">
        <f>((Table15[[#This Row],[Com Mar]]/$W$2)-(Table15[[#This Row],[Com Feb]]/$Y$2))*$X$2</f>
        <v>0</v>
      </c>
      <c r="Q48" s="29" t="str">
        <f t="shared" si="7"/>
        <v>N/A</v>
      </c>
      <c r="R48" s="30">
        <f>Table15[[#This Row],[Com Mar]]-Table15[[#This Row],[Com Feb]]</f>
        <v>0</v>
      </c>
      <c r="S48" s="20">
        <f t="shared" si="8"/>
        <v>0</v>
      </c>
      <c r="T48" s="20">
        <f t="shared" si="9"/>
        <v>0</v>
      </c>
      <c r="U48" s="20">
        <f t="shared" si="10"/>
        <v>0</v>
      </c>
    </row>
    <row r="49" spans="1:21" x14ac:dyDescent="0.25">
      <c r="A49" s="31" t="s">
        <v>570</v>
      </c>
      <c r="B49" s="27" t="s">
        <v>637</v>
      </c>
      <c r="C49" s="27" t="s">
        <v>720</v>
      </c>
      <c r="D49" s="28">
        <v>1740216852</v>
      </c>
      <c r="E49" s="33" t="str">
        <f>_xlfn.IFNA(VLOOKUP(Table15[[#This Row],[NPI]],'CM Assignments'!$D$1:$E$185,2,FALSE),_xlfn.IFNA(VLOOKUP(Table15[[#This Row],[Last]],'CM Assignments'!$B$1:$E$185,4,FALSE),"N/A"))</f>
        <v>Christy Sanantonio</v>
      </c>
      <c r="F49" s="34">
        <v>0</v>
      </c>
      <c r="G49" s="34">
        <v>0</v>
      </c>
      <c r="H49" s="34">
        <v>0</v>
      </c>
      <c r="I49" s="34">
        <v>1</v>
      </c>
      <c r="J49" s="34">
        <v>1</v>
      </c>
      <c r="K49" s="34">
        <v>0</v>
      </c>
      <c r="L49" s="34">
        <v>2</v>
      </c>
      <c r="M49" s="34">
        <v>1</v>
      </c>
      <c r="N49" s="34">
        <v>1</v>
      </c>
      <c r="O49" s="29">
        <f t="shared" si="6"/>
        <v>-1</v>
      </c>
      <c r="P49" s="30">
        <f>((Table15[[#This Row],[Com Mar]]/$W$2)-(Table15[[#This Row],[Com Feb]]/$Y$2))*$X$2</f>
        <v>0.39945652173913049</v>
      </c>
      <c r="Q49" s="29">
        <f t="shared" si="7"/>
        <v>0</v>
      </c>
      <c r="R49" s="30">
        <f>Table15[[#This Row],[Com Mar]]-Table15[[#This Row],[Com Feb]]</f>
        <v>0</v>
      </c>
      <c r="S49" s="20">
        <f t="shared" si="8"/>
        <v>0</v>
      </c>
      <c r="T49" s="20">
        <f t="shared" si="9"/>
        <v>0</v>
      </c>
      <c r="U49" s="20">
        <f t="shared" si="10"/>
        <v>0</v>
      </c>
    </row>
    <row r="50" spans="1:21" x14ac:dyDescent="0.25">
      <c r="A50" s="31" t="s">
        <v>571</v>
      </c>
      <c r="B50" s="27" t="s">
        <v>638</v>
      </c>
      <c r="C50" s="27" t="s">
        <v>724</v>
      </c>
      <c r="D50" s="28">
        <v>1669799060</v>
      </c>
      <c r="E50" s="33" t="str">
        <f>_xlfn.IFNA(VLOOKUP(Table15[[#This Row],[NPI]],'CM Assignments'!$D$1:$E$185,2,FALSE),_xlfn.IFNA(VLOOKUP(Table15[[#This Row],[Last]],'CM Assignments'!$B$1:$E$185,4,FALSE),"N/A"))</f>
        <v>N/A</v>
      </c>
      <c r="F50" s="34">
        <v>1</v>
      </c>
      <c r="G50" s="34">
        <v>0</v>
      </c>
      <c r="H50" s="34">
        <v>0</v>
      </c>
      <c r="I50" s="34">
        <v>8</v>
      </c>
      <c r="J50" s="34">
        <v>6</v>
      </c>
      <c r="K50" s="34">
        <v>2</v>
      </c>
      <c r="L50" s="34">
        <v>3</v>
      </c>
      <c r="M50" s="34">
        <v>3</v>
      </c>
      <c r="N50" s="34">
        <v>0</v>
      </c>
      <c r="O50" s="29">
        <f t="shared" si="6"/>
        <v>-1</v>
      </c>
      <c r="P50" s="30">
        <f>((Table15[[#This Row],[Com Mar]]/$W$2)-(Table15[[#This Row],[Com Feb]]/$Y$2))*$X$2</f>
        <v>5.1358695652173916</v>
      </c>
      <c r="Q50" s="29">
        <f t="shared" si="7"/>
        <v>1</v>
      </c>
      <c r="R50" s="30">
        <f>Table15[[#This Row],[Com Mar]]-Table15[[#This Row],[Com Feb]]</f>
        <v>3</v>
      </c>
      <c r="S50" s="20">
        <f t="shared" si="8"/>
        <v>1</v>
      </c>
      <c r="T50" s="20">
        <f t="shared" si="9"/>
        <v>0</v>
      </c>
      <c r="U50" s="20">
        <f t="shared" si="10"/>
        <v>0</v>
      </c>
    </row>
    <row r="51" spans="1:21" x14ac:dyDescent="0.25">
      <c r="A51" s="31" t="s">
        <v>572</v>
      </c>
      <c r="B51" s="27" t="s">
        <v>639</v>
      </c>
      <c r="C51" s="27" t="s">
        <v>725</v>
      </c>
      <c r="D51" s="28">
        <v>1659370591</v>
      </c>
      <c r="E51" s="33" t="str">
        <f>_xlfn.IFNA(VLOOKUP(Table15[[#This Row],[NPI]],'CM Assignments'!$D$1:$E$185,2,FALSE),_xlfn.IFNA(VLOOKUP(Table15[[#This Row],[Last]],'CM Assignments'!$B$1:$E$185,4,FALSE),"N/A"))</f>
        <v>Amanda Fedro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10</v>
      </c>
      <c r="M51" s="34">
        <v>8</v>
      </c>
      <c r="N51" s="34">
        <v>1</v>
      </c>
      <c r="O51" s="29" t="str">
        <f t="shared" si="6"/>
        <v>N/A</v>
      </c>
      <c r="P51" s="30">
        <f>((Table15[[#This Row],[Com Mar]]/$W$2)-(Table15[[#This Row],[Com Feb]]/$Y$2))*$X$2</f>
        <v>-7.3043478260869561</v>
      </c>
      <c r="Q51" s="29">
        <f t="shared" si="7"/>
        <v>-1</v>
      </c>
      <c r="R51" s="30">
        <f>Table15[[#This Row],[Com Mar]]-Table15[[#This Row],[Com Feb]]</f>
        <v>-8</v>
      </c>
      <c r="S51" s="20">
        <f t="shared" si="8"/>
        <v>0</v>
      </c>
      <c r="T51" s="20">
        <f t="shared" si="9"/>
        <v>0</v>
      </c>
      <c r="U51" s="20">
        <f t="shared" si="10"/>
        <v>1</v>
      </c>
    </row>
    <row r="52" spans="1:21" x14ac:dyDescent="0.25">
      <c r="A52" s="31" t="s">
        <v>573</v>
      </c>
      <c r="B52" s="27" t="s">
        <v>640</v>
      </c>
      <c r="C52" s="27" t="s">
        <v>720</v>
      </c>
      <c r="D52" s="28">
        <v>1003866179</v>
      </c>
      <c r="E52" s="33" t="str">
        <f>_xlfn.IFNA(VLOOKUP(Table15[[#This Row],[NPI]],'CM Assignments'!$D$1:$E$185,2,FALSE),_xlfn.IFNA(VLOOKUP(Table15[[#This Row],[Last]],'CM Assignments'!$B$1:$E$185,4,FALSE),"N/A"))</f>
        <v>Amanda Fedro</v>
      </c>
      <c r="F52" s="34">
        <v>16</v>
      </c>
      <c r="G52" s="34">
        <v>8</v>
      </c>
      <c r="H52" s="34">
        <v>7</v>
      </c>
      <c r="I52" s="34">
        <v>15</v>
      </c>
      <c r="J52" s="34">
        <v>10</v>
      </c>
      <c r="K52" s="34">
        <v>5</v>
      </c>
      <c r="L52" s="34">
        <v>32</v>
      </c>
      <c r="M52" s="34">
        <v>23</v>
      </c>
      <c r="N52" s="34">
        <v>9</v>
      </c>
      <c r="O52" s="29">
        <f t="shared" si="6"/>
        <v>0.15000000000000002</v>
      </c>
      <c r="P52" s="30">
        <f>((Table15[[#This Row],[Com Mar]]/$W$2)-(Table15[[#This Row],[Com Feb]]/$Y$2))*$X$2</f>
        <v>-7.875</v>
      </c>
      <c r="Q52" s="29">
        <f t="shared" si="7"/>
        <v>-0.56521739130434778</v>
      </c>
      <c r="R52" s="30">
        <f>Table15[[#This Row],[Com Mar]]-Table15[[#This Row],[Com Feb]]</f>
        <v>-13</v>
      </c>
      <c r="S52" s="20">
        <f t="shared" si="8"/>
        <v>1</v>
      </c>
      <c r="T52" s="20">
        <f t="shared" si="9"/>
        <v>0</v>
      </c>
      <c r="U52" s="20">
        <f t="shared" si="10"/>
        <v>0</v>
      </c>
    </row>
    <row r="53" spans="1:21" x14ac:dyDescent="0.25">
      <c r="A53" s="31" t="s">
        <v>574</v>
      </c>
      <c r="B53" s="27" t="s">
        <v>641</v>
      </c>
      <c r="C53" s="27" t="s">
        <v>726</v>
      </c>
      <c r="D53" s="28">
        <v>1588945794</v>
      </c>
      <c r="E53" s="33" t="str">
        <f>_xlfn.IFNA(VLOOKUP(Table15[[#This Row],[NPI]],'CM Assignments'!$D$1:$E$185,2,FALSE),_xlfn.IFNA(VLOOKUP(Table15[[#This Row],[Last]],'CM Assignments'!$B$1:$E$185,4,FALSE),"N/A"))</f>
        <v>Whitney Poe</v>
      </c>
      <c r="F53" s="34">
        <v>19</v>
      </c>
      <c r="G53" s="34">
        <v>6</v>
      </c>
      <c r="H53" s="34">
        <v>9</v>
      </c>
      <c r="I53" s="34">
        <v>69</v>
      </c>
      <c r="J53" s="34">
        <v>45</v>
      </c>
      <c r="K53" s="34">
        <v>15</v>
      </c>
      <c r="L53" s="34">
        <v>42</v>
      </c>
      <c r="M53" s="34">
        <v>22</v>
      </c>
      <c r="N53" s="34">
        <v>16</v>
      </c>
      <c r="O53" s="29">
        <f t="shared" si="6"/>
        <v>-0.80833333333333335</v>
      </c>
      <c r="P53" s="30">
        <f>((Table15[[#This Row],[Com Mar]]/$W$2)-(Table15[[#This Row],[Com Feb]]/$Y$2))*$X$2</f>
        <v>38.975543478260867</v>
      </c>
      <c r="Q53" s="29">
        <f t="shared" si="7"/>
        <v>1.0454545454545454</v>
      </c>
      <c r="R53" s="30">
        <f>Table15[[#This Row],[Com Mar]]-Table15[[#This Row],[Com Feb]]</f>
        <v>23</v>
      </c>
      <c r="S53" s="20">
        <f t="shared" si="8"/>
        <v>4</v>
      </c>
      <c r="T53" s="20">
        <f t="shared" si="9"/>
        <v>9</v>
      </c>
      <c r="U53" s="20">
        <f t="shared" si="10"/>
        <v>4</v>
      </c>
    </row>
    <row r="54" spans="1:21" x14ac:dyDescent="0.25">
      <c r="A54" s="31" t="s">
        <v>575</v>
      </c>
      <c r="B54" s="27" t="s">
        <v>642</v>
      </c>
      <c r="C54" s="27" t="s">
        <v>727</v>
      </c>
      <c r="D54" s="28">
        <v>1497913800</v>
      </c>
      <c r="E54" s="33" t="str">
        <f>_xlfn.IFNA(VLOOKUP(Table15[[#This Row],[NPI]],'CM Assignments'!$D$1:$E$185,2,FALSE),_xlfn.IFNA(VLOOKUP(Table15[[#This Row],[Last]],'CM Assignments'!$B$1:$E$185,4,FALSE),"N/A"))</f>
        <v>Whitney Poe</v>
      </c>
      <c r="F54" s="34">
        <v>0</v>
      </c>
      <c r="G54" s="34">
        <v>0</v>
      </c>
      <c r="H54" s="34">
        <v>0</v>
      </c>
      <c r="I54" s="34">
        <v>0</v>
      </c>
      <c r="J54" s="34">
        <v>0</v>
      </c>
      <c r="K54" s="34">
        <v>0</v>
      </c>
      <c r="L54" s="34">
        <v>1</v>
      </c>
      <c r="M54" s="34">
        <v>1</v>
      </c>
      <c r="N54" s="34">
        <v>0</v>
      </c>
      <c r="O54" s="29" t="str">
        <f t="shared" si="6"/>
        <v>N/A</v>
      </c>
      <c r="P54" s="30">
        <f>((Table15[[#This Row],[Com Mar]]/$W$2)-(Table15[[#This Row],[Com Feb]]/$Y$2))*$X$2</f>
        <v>-0.91304347826086951</v>
      </c>
      <c r="Q54" s="29">
        <f t="shared" si="7"/>
        <v>-1</v>
      </c>
      <c r="R54" s="30">
        <f>Table15[[#This Row],[Com Mar]]-Table15[[#This Row],[Com Feb]]</f>
        <v>-1</v>
      </c>
      <c r="S54" s="20">
        <f t="shared" si="8"/>
        <v>0</v>
      </c>
      <c r="T54" s="20">
        <f t="shared" si="9"/>
        <v>0</v>
      </c>
      <c r="U54" s="20">
        <f t="shared" si="10"/>
        <v>0</v>
      </c>
    </row>
    <row r="55" spans="1:21" x14ac:dyDescent="0.25">
      <c r="A55" s="31" t="s">
        <v>675</v>
      </c>
      <c r="B55" s="27" t="s">
        <v>676</v>
      </c>
      <c r="C55" s="27" t="s">
        <v>728</v>
      </c>
      <c r="D55" s="28">
        <v>1598754103</v>
      </c>
      <c r="E55" s="33" t="str">
        <f>_xlfn.IFNA(VLOOKUP(Table15[[#This Row],[NPI]],'CM Assignments'!$D$1:$E$185,2,FALSE),_xlfn.IFNA(VLOOKUP(Table15[[#This Row],[Last]],'CM Assignments'!$B$1:$E$185,4,FALSE),"N/A"))</f>
        <v>Amanda Fedro</v>
      </c>
      <c r="F55" s="34">
        <v>8</v>
      </c>
      <c r="G55" s="34">
        <v>6</v>
      </c>
      <c r="H55" s="34">
        <v>1</v>
      </c>
      <c r="I55" s="34">
        <v>12</v>
      </c>
      <c r="J55" s="34">
        <v>8</v>
      </c>
      <c r="K55" s="34">
        <v>4</v>
      </c>
      <c r="L55" s="34">
        <v>8</v>
      </c>
      <c r="M55" s="34">
        <v>4</v>
      </c>
      <c r="N55" s="34">
        <v>4</v>
      </c>
      <c r="O55" s="29">
        <f t="shared" si="6"/>
        <v>7.8125000000000028E-2</v>
      </c>
      <c r="P55" s="42">
        <f>((Table15[[#This Row],[Com Mar]]/$W$2)-(Table15[[#This Row],[Com Feb]]/$Y$2))*$X$2</f>
        <v>6.8478260869565215</v>
      </c>
      <c r="Q55" s="29">
        <f t="shared" si="7"/>
        <v>1</v>
      </c>
      <c r="R55" s="42">
        <f>Table15[[#This Row],[Com Mar]]-Table15[[#This Row],[Com Feb]]</f>
        <v>4</v>
      </c>
      <c r="S55" s="20">
        <f t="shared" si="8"/>
        <v>1</v>
      </c>
      <c r="T55" s="20">
        <f t="shared" si="9"/>
        <v>0</v>
      </c>
      <c r="U55" s="20">
        <f>L55-M55-N55</f>
        <v>0</v>
      </c>
    </row>
    <row r="56" spans="1:21" x14ac:dyDescent="0.25">
      <c r="A56" s="31" t="s">
        <v>576</v>
      </c>
      <c r="B56" s="27" t="s">
        <v>643</v>
      </c>
      <c r="C56" s="27" t="s">
        <v>682</v>
      </c>
      <c r="D56" s="28">
        <v>1801854617</v>
      </c>
      <c r="E56" s="33" t="str">
        <f>_xlfn.IFNA(VLOOKUP(Table15[[#This Row],[NPI]],'CM Assignments'!$D$1:$E$185,2,FALSE),_xlfn.IFNA(VLOOKUP(Table15[[#This Row],[Last]],'CM Assignments'!$B$1:$E$185,4,FALSE),"N/A"))</f>
        <v>Dan Vitasovic</v>
      </c>
      <c r="F56" s="34">
        <v>0</v>
      </c>
      <c r="G56" s="34">
        <v>0</v>
      </c>
      <c r="H56" s="34">
        <v>0</v>
      </c>
      <c r="I56" s="34">
        <v>2</v>
      </c>
      <c r="J56" s="34">
        <v>0</v>
      </c>
      <c r="K56" s="34">
        <v>2</v>
      </c>
      <c r="L56" s="34">
        <v>5</v>
      </c>
      <c r="M56" s="34">
        <v>3</v>
      </c>
      <c r="N56" s="34">
        <v>1</v>
      </c>
      <c r="O56" s="29" t="str">
        <f t="shared" si="6"/>
        <v>N/A</v>
      </c>
      <c r="P56" s="30">
        <f>((Table15[[#This Row],[Com Mar]]/$W$2)-(Table15[[#This Row],[Com Feb]]/$Y$2))*$X$2</f>
        <v>-2.7391304347826084</v>
      </c>
      <c r="Q56" s="29">
        <f t="shared" si="7"/>
        <v>-1</v>
      </c>
      <c r="R56" s="30">
        <f>Table15[[#This Row],[Com Mar]]-Table15[[#This Row],[Com Feb]]</f>
        <v>-3</v>
      </c>
      <c r="S56" s="20">
        <f t="shared" si="8"/>
        <v>0</v>
      </c>
      <c r="T56" s="20">
        <f t="shared" si="9"/>
        <v>0</v>
      </c>
      <c r="U56" s="20">
        <f t="shared" si="10"/>
        <v>1</v>
      </c>
    </row>
    <row r="57" spans="1:21" x14ac:dyDescent="0.25">
      <c r="A57" s="31" t="s">
        <v>577</v>
      </c>
      <c r="B57" s="27" t="s">
        <v>644</v>
      </c>
      <c r="C57" s="27" t="s">
        <v>729</v>
      </c>
      <c r="D57" s="28">
        <v>1528093184</v>
      </c>
      <c r="E57" s="33" t="str">
        <f>_xlfn.IFNA(VLOOKUP(Table15[[#This Row],[NPI]],'CM Assignments'!$D$1:$E$185,2,FALSE),_xlfn.IFNA(VLOOKUP(Table15[[#This Row],[Last]],'CM Assignments'!$B$1:$E$185,4,FALSE),"N/A"))</f>
        <v>Whitney Poe</v>
      </c>
      <c r="F57" s="34">
        <v>0</v>
      </c>
      <c r="G57" s="34">
        <v>0</v>
      </c>
      <c r="H57" s="34">
        <v>0</v>
      </c>
      <c r="I57" s="34">
        <v>12</v>
      </c>
      <c r="J57" s="34">
        <v>6</v>
      </c>
      <c r="K57" s="34">
        <v>4</v>
      </c>
      <c r="L57" s="34">
        <v>26</v>
      </c>
      <c r="M57" s="34">
        <v>10</v>
      </c>
      <c r="N57" s="34">
        <v>9</v>
      </c>
      <c r="O57" s="29">
        <f t="shared" si="6"/>
        <v>-1</v>
      </c>
      <c r="P57" s="30">
        <f>((Table15[[#This Row],[Com Mar]]/$W$2)-(Table15[[#This Row],[Com Feb]]/$Y$2))*$X$2</f>
        <v>-1.2554347826086953</v>
      </c>
      <c r="Q57" s="29">
        <f t="shared" si="7"/>
        <v>-0.4</v>
      </c>
      <c r="R57" s="30">
        <f>Table15[[#This Row],[Com Mar]]-Table15[[#This Row],[Com Feb]]</f>
        <v>-4</v>
      </c>
      <c r="S57" s="20">
        <f t="shared" si="8"/>
        <v>0</v>
      </c>
      <c r="T57" s="20">
        <f t="shared" si="9"/>
        <v>2</v>
      </c>
      <c r="U57" s="20">
        <f t="shared" si="10"/>
        <v>7</v>
      </c>
    </row>
    <row r="58" spans="1:21" x14ac:dyDescent="0.25">
      <c r="A58" s="31" t="s">
        <v>578</v>
      </c>
      <c r="B58" s="27" t="s">
        <v>645</v>
      </c>
      <c r="C58" s="27" t="s">
        <v>730</v>
      </c>
      <c r="D58" s="28">
        <v>1710914973</v>
      </c>
      <c r="E58" s="33" t="str">
        <f>_xlfn.IFNA(VLOOKUP(Table15[[#This Row],[NPI]],'CM Assignments'!$D$1:$E$185,2,FALSE),_xlfn.IFNA(VLOOKUP(Table15[[#This Row],[Last]],'CM Assignments'!$B$1:$E$185,4,FALSE),"N/A"))</f>
        <v>Christy Sanantonio</v>
      </c>
      <c r="F58" s="34">
        <v>10</v>
      </c>
      <c r="G58" s="34">
        <v>3</v>
      </c>
      <c r="H58" s="34">
        <v>4</v>
      </c>
      <c r="I58" s="34">
        <v>10</v>
      </c>
      <c r="J58" s="34">
        <v>4</v>
      </c>
      <c r="K58" s="34">
        <v>6</v>
      </c>
      <c r="L58" s="34">
        <v>16</v>
      </c>
      <c r="M58" s="34">
        <v>6</v>
      </c>
      <c r="N58" s="34">
        <v>9</v>
      </c>
      <c r="O58" s="29">
        <f t="shared" si="6"/>
        <v>7.8125000000000028E-2</v>
      </c>
      <c r="P58" s="30">
        <f>((Table15[[#This Row],[Com Mar]]/$W$2)-(Table15[[#This Row],[Com Feb]]/$Y$2))*$X$2</f>
        <v>-0.22826086956521724</v>
      </c>
      <c r="Q58" s="29">
        <f t="shared" si="7"/>
        <v>-0.33333333333333331</v>
      </c>
      <c r="R58" s="30">
        <f>Table15[[#This Row],[Com Mar]]-Table15[[#This Row],[Com Feb]]</f>
        <v>-2</v>
      </c>
      <c r="S58" s="20">
        <f t="shared" si="8"/>
        <v>3</v>
      </c>
      <c r="T58" s="20">
        <f t="shared" si="9"/>
        <v>0</v>
      </c>
      <c r="U58" s="20">
        <f t="shared" si="10"/>
        <v>1</v>
      </c>
    </row>
    <row r="59" spans="1:21" x14ac:dyDescent="0.25">
      <c r="A59" s="31" t="s">
        <v>678</v>
      </c>
      <c r="B59" s="27" t="s">
        <v>731</v>
      </c>
      <c r="C59" s="27" t="s">
        <v>732</v>
      </c>
      <c r="D59" s="28">
        <v>1790913739</v>
      </c>
      <c r="E59" s="33" t="str">
        <f>_xlfn.IFNA(VLOOKUP(Table15[[#This Row],[NPI]],'CM Assignments'!$D$1:$E$185,2,FALSE),_xlfn.IFNA(VLOOKUP(Table15[[#This Row],[Last]],'CM Assignments'!$B$1:$E$185,4,FALSE),"N/A"))</f>
        <v>Amanda Fedro</v>
      </c>
      <c r="F59" s="34">
        <v>52</v>
      </c>
      <c r="G59" s="34">
        <v>35</v>
      </c>
      <c r="H59" s="34">
        <v>12</v>
      </c>
      <c r="I59" s="34">
        <v>0</v>
      </c>
      <c r="J59" s="34">
        <v>0</v>
      </c>
      <c r="K59" s="34">
        <v>0</v>
      </c>
      <c r="L59" s="34">
        <v>0</v>
      </c>
      <c r="M59" s="34">
        <v>0</v>
      </c>
      <c r="N59" s="34">
        <v>0</v>
      </c>
      <c r="O59" s="29" t="str">
        <f t="shared" si="6"/>
        <v>N/A</v>
      </c>
      <c r="P59" s="30">
        <f>((Table15[[#This Row],[Com Mar]]/$W$2)-(Table15[[#This Row],[Com Feb]]/$Y$2))*$X$2</f>
        <v>0</v>
      </c>
      <c r="Q59" s="29" t="str">
        <f t="shared" si="7"/>
        <v>N/A</v>
      </c>
      <c r="R59" s="30">
        <f>Table15[[#This Row],[Com Mar]]-Table15[[#This Row],[Com Feb]]</f>
        <v>0</v>
      </c>
      <c r="S59" s="20">
        <f t="shared" si="8"/>
        <v>5</v>
      </c>
      <c r="T59" s="20">
        <f t="shared" si="9"/>
        <v>0</v>
      </c>
      <c r="U59" s="20">
        <f t="shared" si="10"/>
        <v>0</v>
      </c>
    </row>
    <row r="60" spans="1:21" x14ac:dyDescent="0.25">
      <c r="A60" s="31" t="s">
        <v>679</v>
      </c>
      <c r="B60" s="27" t="s">
        <v>733</v>
      </c>
      <c r="C60" s="27" t="s">
        <v>734</v>
      </c>
      <c r="D60" s="28">
        <v>1700866456</v>
      </c>
      <c r="E60" s="33" t="str">
        <f>_xlfn.IFNA(VLOOKUP(Table15[[#This Row],[NPI]],'CM Assignments'!$D$1:$E$185,2,FALSE),_xlfn.IFNA(VLOOKUP(Table15[[#This Row],[Last]],'CM Assignments'!$B$1:$E$185,4,FALSE),"N/A"))</f>
        <v>Whitney Poe</v>
      </c>
      <c r="F60" s="34">
        <v>32</v>
      </c>
      <c r="G60" s="34">
        <v>27</v>
      </c>
      <c r="H60" s="34">
        <v>5</v>
      </c>
      <c r="I60" s="34">
        <v>47</v>
      </c>
      <c r="J60" s="34">
        <v>31</v>
      </c>
      <c r="K60" s="34">
        <v>9</v>
      </c>
      <c r="L60" s="34">
        <v>0</v>
      </c>
      <c r="M60" s="34">
        <v>0</v>
      </c>
      <c r="N60" s="34">
        <v>0</v>
      </c>
      <c r="O60" s="29">
        <f t="shared" si="6"/>
        <v>0.25201612903225806</v>
      </c>
      <c r="P60" s="30">
        <f>((Table15[[#This Row],[Com Mar]]/$W$2)-(Table15[[#This Row],[Com Feb]]/$Y$2))*$X$2</f>
        <v>40.6875</v>
      </c>
      <c r="Q60" s="29" t="str">
        <f t="shared" si="7"/>
        <v>N/A</v>
      </c>
      <c r="R60" s="30">
        <f>Table15[[#This Row],[Com Mar]]-Table15[[#This Row],[Com Feb]]</f>
        <v>31</v>
      </c>
      <c r="S60" s="20">
        <f t="shared" si="8"/>
        <v>0</v>
      </c>
      <c r="T60" s="20">
        <f t="shared" si="9"/>
        <v>7</v>
      </c>
      <c r="U60" s="20">
        <f t="shared" si="10"/>
        <v>0</v>
      </c>
    </row>
    <row r="61" spans="1:21" x14ac:dyDescent="0.25">
      <c r="A61" s="31" t="s">
        <v>776</v>
      </c>
      <c r="B61" s="27" t="s">
        <v>777</v>
      </c>
      <c r="C61" s="27" t="s">
        <v>778</v>
      </c>
      <c r="D61" s="28">
        <v>1962428656</v>
      </c>
      <c r="E61" s="33" t="str">
        <f>_xlfn.IFNA(VLOOKUP(Table15[[#This Row],[NPI]],'CM Assignments'!$D$1:$E$185,2,FALSE),_xlfn.IFNA(VLOOKUP(Table15[[#This Row],[Last]],'CM Assignments'!$B$1:$E$185,4,FALSE),"N/A"))</f>
        <v>Christy Sanantonio</v>
      </c>
      <c r="F61" s="34">
        <v>1</v>
      </c>
      <c r="G61" s="34">
        <v>0</v>
      </c>
      <c r="H61" s="34">
        <v>1</v>
      </c>
      <c r="I61" s="34">
        <v>0</v>
      </c>
      <c r="J61" s="34">
        <v>0</v>
      </c>
      <c r="K61" s="34">
        <v>0</v>
      </c>
      <c r="L61" s="34">
        <v>0</v>
      </c>
      <c r="M61" s="34">
        <v>0</v>
      </c>
      <c r="N61" s="34">
        <v>0</v>
      </c>
      <c r="O61" s="29" t="str">
        <f>IF(J61=0,"N/A",((G61/$W$2)-(J61/$Y$2))/(J61/$Y$2))</f>
        <v>N/A</v>
      </c>
      <c r="P61" s="42">
        <f>((Table15[[#This Row],[Com Mar]]/$W$2)-(Table15[[#This Row],[Com Feb]]/$Y$2))*$X$2</f>
        <v>0</v>
      </c>
      <c r="Q61" s="29" t="str">
        <f>IF(M61=0,"N/A",((J61)-(M61))/(M61))</f>
        <v>N/A</v>
      </c>
      <c r="R61" s="42">
        <f>Table15[[#This Row],[Com Mar]]-Table15[[#This Row],[Com Feb]]</f>
        <v>0</v>
      </c>
      <c r="S61" s="20">
        <f>F61-G61-H61</f>
        <v>0</v>
      </c>
      <c r="T61" s="20">
        <f>I61-J61-K61</f>
        <v>0</v>
      </c>
      <c r="U61" s="20">
        <f>L61-M61-N61</f>
        <v>0</v>
      </c>
    </row>
    <row r="62" spans="1:21" x14ac:dyDescent="0.25">
      <c r="A62" s="31" t="s">
        <v>579</v>
      </c>
      <c r="B62" s="27" t="s">
        <v>646</v>
      </c>
      <c r="C62" s="27" t="s">
        <v>735</v>
      </c>
      <c r="D62" s="28">
        <v>1285893750</v>
      </c>
      <c r="E62" s="33" t="str">
        <f>_xlfn.IFNA(VLOOKUP(Table15[[#This Row],[NPI]],'CM Assignments'!$D$1:$E$185,2,FALSE),_xlfn.IFNA(VLOOKUP(Table15[[#This Row],[Last]],'CM Assignments'!$B$1:$E$185,4,FALSE),"N/A"))</f>
        <v>Amanda Fedro</v>
      </c>
      <c r="F62" s="34">
        <v>38</v>
      </c>
      <c r="G62" s="34">
        <v>29</v>
      </c>
      <c r="H62" s="34">
        <v>5</v>
      </c>
      <c r="I62" s="34">
        <v>25</v>
      </c>
      <c r="J62" s="34">
        <v>20</v>
      </c>
      <c r="K62" s="34">
        <v>2</v>
      </c>
      <c r="L62" s="34">
        <v>0</v>
      </c>
      <c r="M62" s="34">
        <v>0</v>
      </c>
      <c r="N62" s="34">
        <v>0</v>
      </c>
      <c r="O62" s="29">
        <f t="shared" si="6"/>
        <v>1.0843750000000001</v>
      </c>
      <c r="P62" s="30">
        <f>((Table15[[#This Row],[Com Mar]]/$W$2)-(Table15[[#This Row],[Com Feb]]/$Y$2))*$X$2</f>
        <v>26.25</v>
      </c>
      <c r="Q62" s="29" t="str">
        <f t="shared" si="7"/>
        <v>N/A</v>
      </c>
      <c r="R62" s="30">
        <f>Table15[[#This Row],[Com Mar]]-Table15[[#This Row],[Com Feb]]</f>
        <v>20</v>
      </c>
      <c r="S62" s="20">
        <f t="shared" si="8"/>
        <v>4</v>
      </c>
      <c r="T62" s="20">
        <f t="shared" si="9"/>
        <v>3</v>
      </c>
      <c r="U62" s="20">
        <f t="shared" si="10"/>
        <v>0</v>
      </c>
    </row>
    <row r="63" spans="1:21" x14ac:dyDescent="0.25">
      <c r="A63" s="31" t="s">
        <v>580</v>
      </c>
      <c r="B63" s="27" t="s">
        <v>647</v>
      </c>
      <c r="C63" s="27" t="s">
        <v>736</v>
      </c>
      <c r="D63" s="28">
        <v>1629338991</v>
      </c>
      <c r="E63" s="33" t="str">
        <f>_xlfn.IFNA(VLOOKUP(Table15[[#This Row],[NPI]],'CM Assignments'!$D$1:$E$185,2,FALSE),_xlfn.IFNA(VLOOKUP(Table15[[#This Row],[Last]],'CM Assignments'!$B$1:$E$185,4,FALSE),"N/A"))</f>
        <v>Whitney Poe</v>
      </c>
      <c r="F63" s="34">
        <v>48</v>
      </c>
      <c r="G63" s="34">
        <v>24</v>
      </c>
      <c r="H63" s="34">
        <v>21</v>
      </c>
      <c r="I63" s="34">
        <v>70</v>
      </c>
      <c r="J63" s="34">
        <v>39</v>
      </c>
      <c r="K63" s="34">
        <v>30</v>
      </c>
      <c r="L63" s="34">
        <v>26</v>
      </c>
      <c r="M63" s="34">
        <v>17</v>
      </c>
      <c r="N63" s="34">
        <v>9</v>
      </c>
      <c r="O63" s="29">
        <f t="shared" si="6"/>
        <v>-0.11538461538461538</v>
      </c>
      <c r="P63" s="43">
        <f>((Table15[[#This Row],[Com Mar]]/$W$2)-(Table15[[#This Row],[Com Feb]]/$Y$2))*$X$2</f>
        <v>35.665760869565219</v>
      </c>
      <c r="Q63" s="29">
        <f t="shared" si="7"/>
        <v>1.2941176470588236</v>
      </c>
      <c r="R63" s="43">
        <f>Table15[[#This Row],[Com Mar]]-Table15[[#This Row],[Com Feb]]</f>
        <v>22</v>
      </c>
      <c r="S63" s="20">
        <f t="shared" si="8"/>
        <v>3</v>
      </c>
      <c r="T63" s="20">
        <f t="shared" si="9"/>
        <v>1</v>
      </c>
      <c r="U63" s="20">
        <f>L63-M63-N63</f>
        <v>0</v>
      </c>
    </row>
    <row r="64" spans="1:21" x14ac:dyDescent="0.25">
      <c r="A64" s="31" t="s">
        <v>581</v>
      </c>
      <c r="B64" s="27" t="s">
        <v>648</v>
      </c>
      <c r="C64" s="27" t="s">
        <v>737</v>
      </c>
      <c r="D64" s="28">
        <v>1386993202</v>
      </c>
      <c r="E64" s="33" t="str">
        <f>_xlfn.IFNA(VLOOKUP(Table15[[#This Row],[NPI]],'CM Assignments'!$D$1:$E$185,2,FALSE),_xlfn.IFNA(VLOOKUP(Table15[[#This Row],[Last]],'CM Assignments'!$B$1:$E$185,4,FALSE),"N/A"))</f>
        <v>Amanda Fedro</v>
      </c>
      <c r="F64" s="34">
        <v>50</v>
      </c>
      <c r="G64" s="34">
        <v>23</v>
      </c>
      <c r="H64" s="34">
        <v>27</v>
      </c>
      <c r="I64" s="34">
        <v>17</v>
      </c>
      <c r="J64" s="34">
        <v>10</v>
      </c>
      <c r="K64" s="34">
        <v>7</v>
      </c>
      <c r="L64" s="34">
        <v>51</v>
      </c>
      <c r="M64" s="34">
        <v>45</v>
      </c>
      <c r="N64" s="34">
        <v>5</v>
      </c>
      <c r="O64" s="29">
        <f t="shared" si="6"/>
        <v>2.3062500000000004</v>
      </c>
      <c r="P64" s="30">
        <f>((Table15[[#This Row],[Com Mar]]/$W$2)-(Table15[[#This Row],[Com Feb]]/$Y$2))*$X$2</f>
        <v>-27.961956521739133</v>
      </c>
      <c r="Q64" s="29">
        <f t="shared" si="7"/>
        <v>-0.77777777777777779</v>
      </c>
      <c r="R64" s="30">
        <f>Table15[[#This Row],[Com Mar]]-Table15[[#This Row],[Com Feb]]</f>
        <v>-35</v>
      </c>
      <c r="S64" s="20">
        <f t="shared" si="8"/>
        <v>0</v>
      </c>
      <c r="T64" s="20">
        <f t="shared" si="9"/>
        <v>0</v>
      </c>
      <c r="U64" s="20">
        <f t="shared" si="10"/>
        <v>1</v>
      </c>
    </row>
    <row r="65" spans="1:21" x14ac:dyDescent="0.25">
      <c r="A65" s="31" t="s">
        <v>582</v>
      </c>
      <c r="B65" s="27" t="s">
        <v>649</v>
      </c>
      <c r="C65" s="27" t="s">
        <v>738</v>
      </c>
      <c r="D65" s="28">
        <v>1043573645</v>
      </c>
      <c r="E65" s="33" t="str">
        <f>_xlfn.IFNA(VLOOKUP(Table15[[#This Row],[NPI]],'CM Assignments'!$D$1:$E$185,2,FALSE),_xlfn.IFNA(VLOOKUP(Table15[[#This Row],[Last]],'CM Assignments'!$B$1:$E$185,4,FALSE),"N/A"))</f>
        <v>Christy Sanantonio</v>
      </c>
      <c r="F65" s="34">
        <v>2</v>
      </c>
      <c r="G65" s="34">
        <v>2</v>
      </c>
      <c r="H65" s="34">
        <v>0</v>
      </c>
      <c r="I65" s="34">
        <v>2</v>
      </c>
      <c r="J65" s="34">
        <v>1</v>
      </c>
      <c r="K65" s="34">
        <v>1</v>
      </c>
      <c r="L65" s="34">
        <v>0</v>
      </c>
      <c r="M65" s="34">
        <v>0</v>
      </c>
      <c r="N65" s="34">
        <v>0</v>
      </c>
      <c r="O65" s="29">
        <f t="shared" si="6"/>
        <v>1.875</v>
      </c>
      <c r="P65" s="30">
        <f>((Table15[[#This Row],[Com Mar]]/$W$2)-(Table15[[#This Row],[Com Feb]]/$Y$2))*$X$2</f>
        <v>1.3125</v>
      </c>
      <c r="Q65" s="29" t="str">
        <f t="shared" si="7"/>
        <v>N/A</v>
      </c>
      <c r="R65" s="30">
        <f>Table15[[#This Row],[Com Mar]]-Table15[[#This Row],[Com Feb]]</f>
        <v>1</v>
      </c>
      <c r="S65" s="20">
        <f t="shared" si="8"/>
        <v>0</v>
      </c>
      <c r="T65" s="20">
        <f t="shared" si="9"/>
        <v>0</v>
      </c>
      <c r="U65" s="20">
        <f t="shared" si="10"/>
        <v>0</v>
      </c>
    </row>
    <row r="66" spans="1:21" x14ac:dyDescent="0.25">
      <c r="A66" s="31" t="s">
        <v>583</v>
      </c>
      <c r="B66" s="27" t="s">
        <v>650</v>
      </c>
      <c r="C66" s="27" t="s">
        <v>739</v>
      </c>
      <c r="D66" s="28">
        <v>1457534729</v>
      </c>
      <c r="E66" s="33" t="str">
        <f>_xlfn.IFNA(VLOOKUP(Table15[[#This Row],[NPI]],'CM Assignments'!$D$1:$E$185,2,FALSE),_xlfn.IFNA(VLOOKUP(Table15[[#This Row],[Last]],'CM Assignments'!$B$1:$E$185,4,FALSE),"N/A"))</f>
        <v>Dan Vitasovic</v>
      </c>
      <c r="F66" s="34">
        <v>5</v>
      </c>
      <c r="G66" s="34">
        <v>1</v>
      </c>
      <c r="H66" s="34">
        <v>1</v>
      </c>
      <c r="I66" s="34">
        <v>8</v>
      </c>
      <c r="J66" s="34">
        <v>2</v>
      </c>
      <c r="K66" s="34">
        <v>4</v>
      </c>
      <c r="L66" s="34">
        <v>9</v>
      </c>
      <c r="M66" s="34">
        <v>3</v>
      </c>
      <c r="N66" s="34">
        <v>6</v>
      </c>
      <c r="O66" s="29">
        <f t="shared" si="6"/>
        <v>-0.28125</v>
      </c>
      <c r="P66" s="30">
        <f>((Table15[[#This Row],[Com Mar]]/$W$2)-(Table15[[#This Row],[Com Feb]]/$Y$2))*$X$2</f>
        <v>-0.11413043478260862</v>
      </c>
      <c r="Q66" s="29">
        <f t="shared" si="7"/>
        <v>-0.33333333333333331</v>
      </c>
      <c r="R66" s="30">
        <f>Table15[[#This Row],[Com Mar]]-Table15[[#This Row],[Com Feb]]</f>
        <v>-1</v>
      </c>
      <c r="S66" s="20">
        <f t="shared" si="8"/>
        <v>3</v>
      </c>
      <c r="T66" s="20">
        <f t="shared" si="9"/>
        <v>2</v>
      </c>
      <c r="U66" s="20">
        <f t="shared" si="10"/>
        <v>0</v>
      </c>
    </row>
    <row r="67" spans="1:21" x14ac:dyDescent="0.25">
      <c r="A67" s="31" t="s">
        <v>584</v>
      </c>
      <c r="B67" s="27" t="s">
        <v>651</v>
      </c>
      <c r="C67" s="27" t="s">
        <v>740</v>
      </c>
      <c r="D67" s="28">
        <v>1801081039</v>
      </c>
      <c r="E67" s="33" t="str">
        <f>_xlfn.IFNA(VLOOKUP(Table15[[#This Row],[NPI]],'CM Assignments'!$D$1:$E$185,2,FALSE),_xlfn.IFNA(VLOOKUP(Table15[[#This Row],[Last]],'CM Assignments'!$B$1:$E$185,4,FALSE),"N/A"))</f>
        <v>Whitney Poe</v>
      </c>
      <c r="F67" s="34">
        <v>42</v>
      </c>
      <c r="G67" s="34">
        <v>40</v>
      </c>
      <c r="H67" s="34">
        <v>1</v>
      </c>
      <c r="I67" s="34">
        <v>39</v>
      </c>
      <c r="J67" s="34">
        <v>38</v>
      </c>
      <c r="K67" s="34">
        <v>1</v>
      </c>
      <c r="L67" s="34">
        <v>30</v>
      </c>
      <c r="M67" s="34">
        <v>22</v>
      </c>
      <c r="N67" s="34">
        <v>8</v>
      </c>
      <c r="O67" s="29">
        <f t="shared" si="6"/>
        <v>0.51315789473684215</v>
      </c>
      <c r="P67" s="30">
        <f>((Table15[[#This Row],[Com Mar]]/$W$2)-(Table15[[#This Row],[Com Feb]]/$Y$2))*$X$2</f>
        <v>29.788043478260867</v>
      </c>
      <c r="Q67" s="29">
        <f t="shared" si="7"/>
        <v>0.72727272727272729</v>
      </c>
      <c r="R67" s="30">
        <f>Table15[[#This Row],[Com Mar]]-Table15[[#This Row],[Com Feb]]</f>
        <v>16</v>
      </c>
      <c r="S67" s="20">
        <f t="shared" si="8"/>
        <v>1</v>
      </c>
      <c r="T67" s="20">
        <f t="shared" si="9"/>
        <v>0</v>
      </c>
      <c r="U67" s="20">
        <f t="shared" si="10"/>
        <v>0</v>
      </c>
    </row>
    <row r="68" spans="1:21" x14ac:dyDescent="0.25">
      <c r="A68" s="31" t="s">
        <v>585</v>
      </c>
      <c r="B68" s="27" t="s">
        <v>652</v>
      </c>
      <c r="C68" s="27" t="s">
        <v>741</v>
      </c>
      <c r="D68" s="28">
        <v>1033473731</v>
      </c>
      <c r="E68" s="33" t="str">
        <f>_xlfn.IFNA(VLOOKUP(Table15[[#This Row],[NPI]],'CM Assignments'!$D$1:$E$185,2,FALSE),_xlfn.IFNA(VLOOKUP(Table15[[#This Row],[Last]],'CM Assignments'!$B$1:$E$185,4,FALSE),"N/A"))</f>
        <v>Christy Sanantonio</v>
      </c>
      <c r="F68" s="34">
        <v>0</v>
      </c>
      <c r="G68" s="34">
        <v>0</v>
      </c>
      <c r="H68" s="34">
        <v>0</v>
      </c>
      <c r="I68" s="34">
        <v>0</v>
      </c>
      <c r="J68" s="34">
        <v>0</v>
      </c>
      <c r="K68" s="34">
        <v>0</v>
      </c>
      <c r="L68" s="34">
        <v>4</v>
      </c>
      <c r="M68" s="34">
        <v>2</v>
      </c>
      <c r="N68" s="34">
        <v>2</v>
      </c>
      <c r="O68" s="29" t="str">
        <f t="shared" ref="O68:O82" si="11">IF(J68=0,"N/A",((G68/$W$2)-(J68/$Y$2))/(J68/$Y$2))</f>
        <v>N/A</v>
      </c>
      <c r="P68" s="30">
        <f>((Table15[[#This Row],[Com Mar]]/$W$2)-(Table15[[#This Row],[Com Feb]]/$Y$2))*$X$2</f>
        <v>-1.826086956521739</v>
      </c>
      <c r="Q68" s="29">
        <f t="shared" ref="Q68:Q82" si="12">IF(M68=0,"N/A",((J68)-(M68))/(M68))</f>
        <v>-1</v>
      </c>
      <c r="R68" s="30">
        <f>Table15[[#This Row],[Com Mar]]-Table15[[#This Row],[Com Feb]]</f>
        <v>-2</v>
      </c>
      <c r="S68" s="20">
        <f t="shared" ref="S68:S82" si="13">F68-G68-H68</f>
        <v>0</v>
      </c>
      <c r="T68" s="20">
        <f t="shared" ref="T68:T82" si="14">I68-J68-K68</f>
        <v>0</v>
      </c>
      <c r="U68" s="20">
        <f t="shared" si="10"/>
        <v>0</v>
      </c>
    </row>
    <row r="69" spans="1:21" x14ac:dyDescent="0.25">
      <c r="A69" s="31" t="s">
        <v>586</v>
      </c>
      <c r="B69" s="27" t="s">
        <v>653</v>
      </c>
      <c r="C69" s="27" t="s">
        <v>742</v>
      </c>
      <c r="D69" s="28">
        <v>1821239583</v>
      </c>
      <c r="E69" s="33" t="str">
        <f>_xlfn.IFNA(VLOOKUP(Table15[[#This Row],[NPI]],'CM Assignments'!$D$1:$E$185,2,FALSE),_xlfn.IFNA(VLOOKUP(Table15[[#This Row],[Last]],'CM Assignments'!$B$1:$E$185,4,FALSE),"N/A"))</f>
        <v>Amanda Fedro</v>
      </c>
      <c r="F69" s="34">
        <v>9</v>
      </c>
      <c r="G69" s="34">
        <v>7</v>
      </c>
      <c r="H69" s="34">
        <v>2</v>
      </c>
      <c r="I69" s="34">
        <v>10</v>
      </c>
      <c r="J69" s="34">
        <v>7</v>
      </c>
      <c r="K69" s="34">
        <v>2</v>
      </c>
      <c r="L69" s="34">
        <v>9</v>
      </c>
      <c r="M69" s="34">
        <v>6</v>
      </c>
      <c r="N69" s="34">
        <v>2</v>
      </c>
      <c r="O69" s="29">
        <f t="shared" si="11"/>
        <v>0.43749999999999989</v>
      </c>
      <c r="P69" s="30">
        <f>((Table15[[#This Row],[Com Mar]]/$W$2)-(Table15[[#This Row],[Com Feb]]/$Y$2))*$X$2</f>
        <v>3.7092391304347827</v>
      </c>
      <c r="Q69" s="29">
        <f t="shared" si="12"/>
        <v>0.16666666666666666</v>
      </c>
      <c r="R69" s="30">
        <f>Table15[[#This Row],[Com Mar]]-Table15[[#This Row],[Com Feb]]</f>
        <v>1</v>
      </c>
      <c r="S69" s="20">
        <f t="shared" si="13"/>
        <v>0</v>
      </c>
      <c r="T69" s="20">
        <f t="shared" si="14"/>
        <v>1</v>
      </c>
      <c r="U69" s="20">
        <f t="shared" si="10"/>
        <v>1</v>
      </c>
    </row>
    <row r="70" spans="1:21" x14ac:dyDescent="0.25">
      <c r="A70" s="31" t="s">
        <v>587</v>
      </c>
      <c r="B70" s="27" t="s">
        <v>654</v>
      </c>
      <c r="C70" s="27" t="s">
        <v>690</v>
      </c>
      <c r="D70" s="28">
        <v>1467748889</v>
      </c>
      <c r="E70" s="33" t="str">
        <f>_xlfn.IFNA(VLOOKUP(Table15[[#This Row],[NPI]],'CM Assignments'!$D$1:$E$185,2,FALSE),_xlfn.IFNA(VLOOKUP(Table15[[#This Row],[Last]],'CM Assignments'!$B$1:$E$185,4,FALSE),"N/A"))</f>
        <v>Dan Vitasovic</v>
      </c>
      <c r="F70" s="34">
        <v>7</v>
      </c>
      <c r="G70" s="34">
        <v>3</v>
      </c>
      <c r="H70" s="34">
        <v>2</v>
      </c>
      <c r="I70" s="34">
        <v>12</v>
      </c>
      <c r="J70" s="34">
        <v>2</v>
      </c>
      <c r="K70" s="34">
        <v>7</v>
      </c>
      <c r="L70" s="34">
        <v>5</v>
      </c>
      <c r="M70" s="34">
        <v>3</v>
      </c>
      <c r="N70" s="34">
        <v>0</v>
      </c>
      <c r="O70" s="29">
        <f t="shared" si="11"/>
        <v>1.15625</v>
      </c>
      <c r="P70" s="30">
        <f>((Table15[[#This Row],[Com Mar]]/$W$2)-(Table15[[#This Row],[Com Feb]]/$Y$2))*$X$2</f>
        <v>-0.11413043478260862</v>
      </c>
      <c r="Q70" s="29">
        <f t="shared" si="12"/>
        <v>-0.33333333333333331</v>
      </c>
      <c r="R70" s="30">
        <f>Table15[[#This Row],[Com Mar]]-Table15[[#This Row],[Com Feb]]</f>
        <v>-1</v>
      </c>
      <c r="S70" s="20">
        <f t="shared" si="13"/>
        <v>2</v>
      </c>
      <c r="T70" s="20">
        <f t="shared" si="14"/>
        <v>3</v>
      </c>
      <c r="U70" s="20">
        <f>L70-M70-N70</f>
        <v>2</v>
      </c>
    </row>
    <row r="71" spans="1:21" x14ac:dyDescent="0.25">
      <c r="A71" s="31" t="s">
        <v>588</v>
      </c>
      <c r="B71" s="27" t="s">
        <v>655</v>
      </c>
      <c r="C71" s="27" t="s">
        <v>743</v>
      </c>
      <c r="D71" s="28">
        <v>1740238450</v>
      </c>
      <c r="E71" s="33" t="str">
        <f>_xlfn.IFNA(VLOOKUP(Table15[[#This Row],[NPI]],'CM Assignments'!$D$1:$E$185,2,FALSE),_xlfn.IFNA(VLOOKUP(Table15[[#This Row],[Last]],'CM Assignments'!$B$1:$E$185,4,FALSE),"N/A"))</f>
        <v>Dan Vitasovic</v>
      </c>
      <c r="F71" s="34">
        <v>22</v>
      </c>
      <c r="G71" s="34">
        <v>3</v>
      </c>
      <c r="H71" s="34">
        <v>18</v>
      </c>
      <c r="I71" s="34">
        <v>33</v>
      </c>
      <c r="J71" s="34">
        <v>10</v>
      </c>
      <c r="K71" s="34">
        <v>19</v>
      </c>
      <c r="L71" s="34">
        <v>14</v>
      </c>
      <c r="M71" s="34">
        <v>4</v>
      </c>
      <c r="N71" s="34">
        <v>10</v>
      </c>
      <c r="O71" s="29">
        <f t="shared" si="11"/>
        <v>-0.56874999999999998</v>
      </c>
      <c r="P71" s="30">
        <f>((Table15[[#This Row],[Com Mar]]/$W$2)-(Table15[[#This Row],[Com Feb]]/$Y$2))*$X$2</f>
        <v>9.4728260869565215</v>
      </c>
      <c r="Q71" s="29">
        <f t="shared" si="12"/>
        <v>1.5</v>
      </c>
      <c r="R71" s="30">
        <f>Table15[[#This Row],[Com Mar]]-Table15[[#This Row],[Com Feb]]</f>
        <v>6</v>
      </c>
      <c r="S71" s="20">
        <f t="shared" si="13"/>
        <v>1</v>
      </c>
      <c r="T71" s="20">
        <f t="shared" si="14"/>
        <v>4</v>
      </c>
      <c r="U71" s="20">
        <f>L71-M71-N71</f>
        <v>0</v>
      </c>
    </row>
    <row r="72" spans="1:21" x14ac:dyDescent="0.25">
      <c r="A72" s="31" t="s">
        <v>589</v>
      </c>
      <c r="B72" s="27" t="s">
        <v>656</v>
      </c>
      <c r="C72" s="27" t="s">
        <v>744</v>
      </c>
      <c r="D72" s="28">
        <v>1053373001</v>
      </c>
      <c r="E72" s="33" t="str">
        <f>_xlfn.IFNA(VLOOKUP(Table15[[#This Row],[NPI]],'CM Assignments'!$D$1:$E$185,2,FALSE),_xlfn.IFNA(VLOOKUP(Table15[[#This Row],[Last]],'CM Assignments'!$B$1:$E$185,4,FALSE),"N/A"))</f>
        <v>N/A</v>
      </c>
      <c r="F72" s="34">
        <v>2</v>
      </c>
      <c r="G72" s="34">
        <v>2</v>
      </c>
      <c r="H72" s="34">
        <v>0</v>
      </c>
      <c r="I72" s="34">
        <v>1</v>
      </c>
      <c r="J72" s="34">
        <v>1</v>
      </c>
      <c r="K72" s="34">
        <v>0</v>
      </c>
      <c r="L72" s="34">
        <v>2</v>
      </c>
      <c r="M72" s="34">
        <v>2</v>
      </c>
      <c r="N72" s="34">
        <v>0</v>
      </c>
      <c r="O72" s="29">
        <f t="shared" si="11"/>
        <v>1.875</v>
      </c>
      <c r="P72" s="43">
        <f>((Table15[[#This Row],[Com Mar]]/$W$2)-(Table15[[#This Row],[Com Feb]]/$Y$2))*$X$2</f>
        <v>-0.51358695652173902</v>
      </c>
      <c r="Q72" s="29">
        <f t="shared" si="12"/>
        <v>-0.5</v>
      </c>
      <c r="R72" s="43">
        <f>Table15[[#This Row],[Com Mar]]-Table15[[#This Row],[Com Feb]]</f>
        <v>-1</v>
      </c>
      <c r="S72" s="20">
        <f t="shared" si="13"/>
        <v>0</v>
      </c>
      <c r="T72" s="20">
        <f t="shared" si="14"/>
        <v>0</v>
      </c>
      <c r="U72" s="20">
        <f t="shared" ref="U72:U78" si="15">L72-M72-N72</f>
        <v>0</v>
      </c>
    </row>
    <row r="73" spans="1:21" x14ac:dyDescent="0.25">
      <c r="A73" s="31" t="s">
        <v>590</v>
      </c>
      <c r="B73" s="27" t="s">
        <v>657</v>
      </c>
      <c r="C73" s="27" t="s">
        <v>745</v>
      </c>
      <c r="D73" s="28">
        <v>1265648109</v>
      </c>
      <c r="E73" s="33" t="str">
        <f>_xlfn.IFNA(VLOOKUP(Table15[[#This Row],[NPI]],'CM Assignments'!$D$1:$E$185,2,FALSE),_xlfn.IFNA(VLOOKUP(Table15[[#This Row],[Last]],'CM Assignments'!$B$1:$E$185,4,FALSE),"N/A"))</f>
        <v>Christy Sanantonio</v>
      </c>
      <c r="F73" s="34">
        <v>4</v>
      </c>
      <c r="G73" s="34">
        <v>4</v>
      </c>
      <c r="H73" s="34">
        <v>0</v>
      </c>
      <c r="I73" s="34">
        <v>3</v>
      </c>
      <c r="J73" s="34">
        <v>3</v>
      </c>
      <c r="K73" s="34">
        <v>0</v>
      </c>
      <c r="L73" s="34">
        <v>12</v>
      </c>
      <c r="M73" s="34">
        <v>12</v>
      </c>
      <c r="N73" s="34">
        <v>0</v>
      </c>
      <c r="O73" s="29">
        <f t="shared" si="11"/>
        <v>0.91666666666666674</v>
      </c>
      <c r="P73" s="43">
        <f>((Table15[[#This Row],[Com Mar]]/$W$2)-(Table15[[#This Row],[Com Feb]]/$Y$2))*$X$2</f>
        <v>-7.0190217391304346</v>
      </c>
      <c r="Q73" s="29">
        <f t="shared" si="12"/>
        <v>-0.75</v>
      </c>
      <c r="R73" s="43">
        <f>Table15[[#This Row],[Com Mar]]-Table15[[#This Row],[Com Feb]]</f>
        <v>-9</v>
      </c>
      <c r="S73" s="20">
        <f t="shared" si="13"/>
        <v>0</v>
      </c>
      <c r="T73" s="20">
        <f t="shared" si="14"/>
        <v>0</v>
      </c>
      <c r="U73" s="20">
        <f t="shared" si="15"/>
        <v>0</v>
      </c>
    </row>
    <row r="74" spans="1:21" x14ac:dyDescent="0.25">
      <c r="A74" s="31" t="s">
        <v>591</v>
      </c>
      <c r="B74" s="27" t="s">
        <v>658</v>
      </c>
      <c r="C74" s="27" t="s">
        <v>746</v>
      </c>
      <c r="D74" s="28">
        <v>1164403408</v>
      </c>
      <c r="E74" s="33" t="str">
        <f>_xlfn.IFNA(VLOOKUP(Table15[[#This Row],[NPI]],'CM Assignments'!$D$1:$E$185,2,FALSE),_xlfn.IFNA(VLOOKUP(Table15[[#This Row],[Last]],'CM Assignments'!$B$1:$E$185,4,FALSE),"N/A"))</f>
        <v>Dan Vitasovic</v>
      </c>
      <c r="F74" s="34">
        <v>10</v>
      </c>
      <c r="G74" s="34">
        <v>7</v>
      </c>
      <c r="H74" s="34">
        <v>1</v>
      </c>
      <c r="I74" s="34">
        <v>0</v>
      </c>
      <c r="J74" s="34">
        <v>0</v>
      </c>
      <c r="K74" s="34">
        <v>0</v>
      </c>
      <c r="L74" s="34">
        <v>3</v>
      </c>
      <c r="M74" s="34">
        <v>3</v>
      </c>
      <c r="N74" s="34">
        <v>0</v>
      </c>
      <c r="O74" s="29" t="str">
        <f t="shared" si="11"/>
        <v>N/A</v>
      </c>
      <c r="P74" s="43">
        <f>((Table15[[#This Row],[Com Mar]]/$W$2)-(Table15[[#This Row],[Com Feb]]/$Y$2))*$X$2</f>
        <v>-2.7391304347826084</v>
      </c>
      <c r="Q74" s="29">
        <f t="shared" si="12"/>
        <v>-1</v>
      </c>
      <c r="R74" s="43">
        <f>Table15[[#This Row],[Com Mar]]-Table15[[#This Row],[Com Feb]]</f>
        <v>-3</v>
      </c>
      <c r="S74" s="20">
        <f t="shared" si="13"/>
        <v>2</v>
      </c>
      <c r="T74" s="20">
        <f t="shared" si="14"/>
        <v>0</v>
      </c>
      <c r="U74" s="20">
        <f t="shared" si="15"/>
        <v>0</v>
      </c>
    </row>
    <row r="75" spans="1:21" x14ac:dyDescent="0.25">
      <c r="A75" s="31" t="s">
        <v>592</v>
      </c>
      <c r="B75" s="27" t="s">
        <v>659</v>
      </c>
      <c r="C75" s="27" t="s">
        <v>747</v>
      </c>
      <c r="D75" s="28">
        <v>1962487785</v>
      </c>
      <c r="E75" s="33" t="str">
        <f>_xlfn.IFNA(VLOOKUP(Table15[[#This Row],[NPI]],'CM Assignments'!$D$1:$E$185,2,FALSE),_xlfn.IFNA(VLOOKUP(Table15[[#This Row],[Last]],'CM Assignments'!$B$1:$E$185,4,FALSE),"N/A"))</f>
        <v>Christy Sanantonio</v>
      </c>
      <c r="F75" s="34">
        <v>20</v>
      </c>
      <c r="G75" s="34">
        <v>19</v>
      </c>
      <c r="H75" s="34">
        <v>1</v>
      </c>
      <c r="I75" s="34">
        <v>53</v>
      </c>
      <c r="J75" s="34">
        <v>46</v>
      </c>
      <c r="K75" s="34">
        <v>4</v>
      </c>
      <c r="L75" s="34">
        <v>40</v>
      </c>
      <c r="M75" s="34">
        <v>35</v>
      </c>
      <c r="N75" s="34">
        <v>2</v>
      </c>
      <c r="O75" s="29">
        <f t="shared" si="11"/>
        <v>-0.40625</v>
      </c>
      <c r="P75" s="43">
        <f>((Table15[[#This Row],[Com Mar]]/$W$2)-(Table15[[#This Row],[Com Feb]]/$Y$2))*$X$2</f>
        <v>28.418478260869563</v>
      </c>
      <c r="Q75" s="29">
        <f t="shared" si="12"/>
        <v>0.31428571428571428</v>
      </c>
      <c r="R75" s="43">
        <f>Table15[[#This Row],[Com Mar]]-Table15[[#This Row],[Com Feb]]</f>
        <v>11</v>
      </c>
      <c r="S75" s="20">
        <f t="shared" si="13"/>
        <v>0</v>
      </c>
      <c r="T75" s="20">
        <f t="shared" si="14"/>
        <v>3</v>
      </c>
      <c r="U75" s="20">
        <f t="shared" si="15"/>
        <v>3</v>
      </c>
    </row>
    <row r="76" spans="1:21" x14ac:dyDescent="0.25">
      <c r="A76" s="31" t="s">
        <v>593</v>
      </c>
      <c r="B76" s="27" t="s">
        <v>660</v>
      </c>
      <c r="C76" s="27" t="s">
        <v>748</v>
      </c>
      <c r="D76" s="28">
        <v>1790723245</v>
      </c>
      <c r="E76" s="33" t="str">
        <f>_xlfn.IFNA(VLOOKUP(Table15[[#This Row],[NPI]],'CM Assignments'!$D$1:$E$185,2,FALSE),_xlfn.IFNA(VLOOKUP(Table15[[#This Row],[Last]],'CM Assignments'!$B$1:$E$185,4,FALSE),"N/A"))</f>
        <v>N/A</v>
      </c>
      <c r="F76" s="34">
        <v>0</v>
      </c>
      <c r="G76" s="34">
        <v>0</v>
      </c>
      <c r="H76" s="34">
        <v>0</v>
      </c>
      <c r="I76" s="34">
        <v>0</v>
      </c>
      <c r="J76" s="34">
        <v>0</v>
      </c>
      <c r="K76" s="34">
        <v>0</v>
      </c>
      <c r="L76" s="34">
        <v>6</v>
      </c>
      <c r="M76" s="34">
        <v>4</v>
      </c>
      <c r="N76" s="34">
        <v>0</v>
      </c>
      <c r="O76" s="29" t="str">
        <f t="shared" si="11"/>
        <v>N/A</v>
      </c>
      <c r="P76" s="43">
        <f>((Table15[[#This Row],[Com Mar]]/$W$2)-(Table15[[#This Row],[Com Feb]]/$Y$2))*$X$2</f>
        <v>-3.652173913043478</v>
      </c>
      <c r="Q76" s="29">
        <f t="shared" si="12"/>
        <v>-1</v>
      </c>
      <c r="R76" s="43">
        <f>Table15[[#This Row],[Com Mar]]-Table15[[#This Row],[Com Feb]]</f>
        <v>-4</v>
      </c>
      <c r="S76" s="20">
        <f t="shared" si="13"/>
        <v>0</v>
      </c>
      <c r="T76" s="20">
        <f t="shared" si="14"/>
        <v>0</v>
      </c>
      <c r="U76" s="20">
        <f t="shared" si="15"/>
        <v>2</v>
      </c>
    </row>
    <row r="77" spans="1:21" x14ac:dyDescent="0.25">
      <c r="A77" s="31" t="s">
        <v>680</v>
      </c>
      <c r="B77" s="27" t="s">
        <v>661</v>
      </c>
      <c r="C77" s="27" t="s">
        <v>749</v>
      </c>
      <c r="D77" s="28">
        <v>1497930044</v>
      </c>
      <c r="E77" s="33" t="str">
        <f>_xlfn.IFNA(VLOOKUP(Table15[[#This Row],[NPI]],'CM Assignments'!$D$1:$E$185,2,FALSE),_xlfn.IFNA(VLOOKUP(Table15[[#This Row],[Last]],'CM Assignments'!$B$1:$E$185,4,FALSE),"N/A"))</f>
        <v>Dan Vitasovic</v>
      </c>
      <c r="F77" s="34">
        <v>6</v>
      </c>
      <c r="G77" s="34">
        <v>0</v>
      </c>
      <c r="H77" s="34">
        <v>6</v>
      </c>
      <c r="I77" s="34">
        <v>0</v>
      </c>
      <c r="J77" s="34">
        <v>0</v>
      </c>
      <c r="K77" s="34">
        <v>0</v>
      </c>
      <c r="L77" s="34">
        <v>0</v>
      </c>
      <c r="M77" s="34">
        <v>0</v>
      </c>
      <c r="N77" s="34">
        <v>0</v>
      </c>
      <c r="O77" s="29" t="str">
        <f t="shared" si="11"/>
        <v>N/A</v>
      </c>
      <c r="P77" s="43">
        <f>((Table15[[#This Row],[Com Mar]]/$W$2)-(Table15[[#This Row],[Com Feb]]/$Y$2))*$X$2</f>
        <v>0</v>
      </c>
      <c r="Q77" s="29" t="str">
        <f t="shared" si="12"/>
        <v>N/A</v>
      </c>
      <c r="R77" s="43">
        <f>Table15[[#This Row],[Com Mar]]-Table15[[#This Row],[Com Feb]]</f>
        <v>0</v>
      </c>
      <c r="S77" s="20">
        <f t="shared" si="13"/>
        <v>0</v>
      </c>
      <c r="T77" s="20">
        <f t="shared" si="14"/>
        <v>0</v>
      </c>
      <c r="U77" s="20">
        <f t="shared" si="15"/>
        <v>0</v>
      </c>
    </row>
    <row r="78" spans="1:21" x14ac:dyDescent="0.25">
      <c r="A78" s="31" t="s">
        <v>681</v>
      </c>
      <c r="B78" s="27" t="s">
        <v>661</v>
      </c>
      <c r="C78" s="27" t="s">
        <v>750</v>
      </c>
      <c r="D78" s="28">
        <v>1497930044</v>
      </c>
      <c r="E78" s="33" t="str">
        <f>_xlfn.IFNA(VLOOKUP(Table15[[#This Row],[NPI]],'CM Assignments'!$D$1:$E$185,2,FALSE),_xlfn.IFNA(VLOOKUP(Table15[[#This Row],[Last]],'CM Assignments'!$B$1:$E$185,4,FALSE),"N/A"))</f>
        <v>Dan Vitasovic</v>
      </c>
      <c r="F78" s="34">
        <v>52</v>
      </c>
      <c r="G78" s="34">
        <v>46</v>
      </c>
      <c r="H78" s="34">
        <v>0</v>
      </c>
      <c r="I78" s="34">
        <v>0</v>
      </c>
      <c r="J78" s="34">
        <v>0</v>
      </c>
      <c r="K78" s="34">
        <v>0</v>
      </c>
      <c r="L78" s="34">
        <v>0</v>
      </c>
      <c r="M78" s="34">
        <v>0</v>
      </c>
      <c r="N78" s="34">
        <v>0</v>
      </c>
      <c r="O78" s="29" t="str">
        <f t="shared" si="11"/>
        <v>N/A</v>
      </c>
      <c r="P78" s="43">
        <f>((Table15[[#This Row],[Com Mar]]/$W$2)-(Table15[[#This Row],[Com Feb]]/$Y$2))*$X$2</f>
        <v>0</v>
      </c>
      <c r="Q78" s="29" t="str">
        <f t="shared" si="12"/>
        <v>N/A</v>
      </c>
      <c r="R78" s="43">
        <f>Table15[[#This Row],[Com Mar]]-Table15[[#This Row],[Com Feb]]</f>
        <v>0</v>
      </c>
      <c r="S78" s="20">
        <f t="shared" si="13"/>
        <v>6</v>
      </c>
      <c r="T78" s="20">
        <f t="shared" si="14"/>
        <v>0</v>
      </c>
      <c r="U78" s="20">
        <f t="shared" si="15"/>
        <v>0</v>
      </c>
    </row>
    <row r="79" spans="1:21" x14ac:dyDescent="0.25">
      <c r="A79" s="31" t="s">
        <v>594</v>
      </c>
      <c r="B79" s="27" t="s">
        <v>661</v>
      </c>
      <c r="C79" s="27" t="s">
        <v>751</v>
      </c>
      <c r="D79" s="28">
        <v>1841359692</v>
      </c>
      <c r="E79" s="33" t="str">
        <f>_xlfn.IFNA(VLOOKUP(Table15[[#This Row],[NPI]],'CM Assignments'!$D$1:$E$185,2,FALSE),_xlfn.IFNA(VLOOKUP(Table15[[#This Row],[Last]],'CM Assignments'!$B$1:$E$185,4,FALSE),"N/A"))</f>
        <v>Christy Sanantonio</v>
      </c>
      <c r="F79" s="34">
        <v>7</v>
      </c>
      <c r="G79" s="34">
        <v>4</v>
      </c>
      <c r="H79" s="34">
        <v>2</v>
      </c>
      <c r="I79" s="34">
        <v>11</v>
      </c>
      <c r="J79" s="34">
        <v>10</v>
      </c>
      <c r="K79" s="34">
        <v>0</v>
      </c>
      <c r="L79" s="34">
        <v>9</v>
      </c>
      <c r="M79" s="34">
        <v>8</v>
      </c>
      <c r="N79" s="34">
        <v>1</v>
      </c>
      <c r="O79" s="29">
        <f t="shared" si="11"/>
        <v>-0.42499999999999999</v>
      </c>
      <c r="P79" s="30">
        <f>((Table15[[#This Row],[Com Mar]]/$W$2)-(Table15[[#This Row],[Com Feb]]/$Y$2))*$X$2</f>
        <v>5.8206521739130439</v>
      </c>
      <c r="Q79" s="29">
        <f t="shared" si="12"/>
        <v>0.25</v>
      </c>
      <c r="R79" s="30">
        <f>Table15[[#This Row],[Com Mar]]-Table15[[#This Row],[Com Feb]]</f>
        <v>2</v>
      </c>
      <c r="S79" s="20">
        <f t="shared" si="13"/>
        <v>1</v>
      </c>
      <c r="T79" s="20">
        <f t="shared" si="14"/>
        <v>1</v>
      </c>
      <c r="U79" s="20">
        <f>L79-M79-N79</f>
        <v>0</v>
      </c>
    </row>
    <row r="80" spans="1:21" x14ac:dyDescent="0.25">
      <c r="A80" s="31" t="s">
        <v>595</v>
      </c>
      <c r="B80" s="27" t="s">
        <v>662</v>
      </c>
      <c r="C80" s="27" t="s">
        <v>752</v>
      </c>
      <c r="D80" s="28">
        <v>1578707303</v>
      </c>
      <c r="E80" s="33" t="str">
        <f>_xlfn.IFNA(VLOOKUP(Table15[[#This Row],[NPI]],'CM Assignments'!$D$1:$E$185,2,FALSE),_xlfn.IFNA(VLOOKUP(Table15[[#This Row],[Last]],'CM Assignments'!$B$1:$E$185,4,FALSE),"N/A"))</f>
        <v>Christy Sanantonio</v>
      </c>
      <c r="F80" s="34">
        <v>88</v>
      </c>
      <c r="G80" s="34">
        <v>68</v>
      </c>
      <c r="H80" s="34">
        <v>10</v>
      </c>
      <c r="I80" s="34">
        <v>123</v>
      </c>
      <c r="J80" s="34">
        <v>91</v>
      </c>
      <c r="K80" s="34">
        <v>17</v>
      </c>
      <c r="L80" s="34">
        <v>120</v>
      </c>
      <c r="M80" s="34">
        <v>91</v>
      </c>
      <c r="N80" s="34">
        <v>18</v>
      </c>
      <c r="O80" s="29">
        <f t="shared" si="11"/>
        <v>7.4175824175824231E-2</v>
      </c>
      <c r="P80" s="30">
        <f>((Table15[[#This Row],[Com Mar]]/$W$2)-(Table15[[#This Row],[Com Feb]]/$Y$2))*$X$2</f>
        <v>36.350543478260875</v>
      </c>
      <c r="Q80" s="29">
        <f t="shared" si="12"/>
        <v>0</v>
      </c>
      <c r="R80" s="30">
        <f>Table15[[#This Row],[Com Mar]]-Table15[[#This Row],[Com Feb]]</f>
        <v>0</v>
      </c>
      <c r="S80" s="20">
        <f t="shared" si="13"/>
        <v>10</v>
      </c>
      <c r="T80" s="20">
        <f t="shared" si="14"/>
        <v>15</v>
      </c>
      <c r="U80" s="20">
        <f>L80-M80-N80</f>
        <v>11</v>
      </c>
    </row>
    <row r="81" spans="1:21" x14ac:dyDescent="0.25">
      <c r="A81" s="31" t="s">
        <v>596</v>
      </c>
      <c r="B81" s="27" t="s">
        <v>663</v>
      </c>
      <c r="C81" s="27" t="s">
        <v>753</v>
      </c>
      <c r="D81" s="28">
        <v>1386740645</v>
      </c>
      <c r="E81" s="33" t="str">
        <f>_xlfn.IFNA(VLOOKUP(Table15[[#This Row],[NPI]],'CM Assignments'!$D$1:$E$185,2,FALSE),_xlfn.IFNA(VLOOKUP(Table15[[#This Row],[Last]],'CM Assignments'!$B$1:$E$185,4,FALSE),"N/A"))</f>
        <v>Christy Sanantonio</v>
      </c>
      <c r="F81" s="34">
        <v>0</v>
      </c>
      <c r="G81" s="34">
        <v>0</v>
      </c>
      <c r="H81" s="34">
        <v>0</v>
      </c>
      <c r="I81" s="34">
        <v>11</v>
      </c>
      <c r="J81" s="34">
        <v>11</v>
      </c>
      <c r="K81" s="34">
        <v>0</v>
      </c>
      <c r="L81" s="34">
        <v>39</v>
      </c>
      <c r="M81" s="34">
        <v>36</v>
      </c>
      <c r="N81" s="34">
        <v>1</v>
      </c>
      <c r="O81" s="29">
        <f>IF(J81=0,"N/A",((G81/$W$2)-(J81/$Y$2))/(J81/$Y$2))</f>
        <v>-1</v>
      </c>
      <c r="P81" s="44">
        <f>((Table15[[#This Row],[Com Mar]]/$W$2)-(Table15[[#This Row],[Com Feb]]/$Y$2))*$X$2</f>
        <v>-18.432065217391305</v>
      </c>
      <c r="Q81" s="29">
        <f>IF(M81=0,"N/A",((J81)-(M81))/(M81))</f>
        <v>-0.69444444444444442</v>
      </c>
      <c r="R81" s="44">
        <f>Table15[[#This Row],[Com Mar]]-Table15[[#This Row],[Com Feb]]</f>
        <v>-25</v>
      </c>
      <c r="S81" s="20">
        <f>F81-G81-H81</f>
        <v>0</v>
      </c>
      <c r="T81" s="20">
        <f>I81-J81-K81</f>
        <v>0</v>
      </c>
      <c r="U81" s="20">
        <f>L81-M81-N81</f>
        <v>2</v>
      </c>
    </row>
    <row r="82" spans="1:21" x14ac:dyDescent="0.25">
      <c r="A82" s="45" t="s">
        <v>8</v>
      </c>
      <c r="B82" s="46"/>
      <c r="C82" s="46"/>
      <c r="D82" s="46"/>
      <c r="E82" s="47"/>
      <c r="F82" s="14">
        <f>SUBTOTAL(109,Table15[Total Apr])</f>
        <v>1463</v>
      </c>
      <c r="G82" s="14">
        <f>SUBTOTAL(109,Table15[Com Apr])</f>
        <v>998</v>
      </c>
      <c r="H82" s="14">
        <f>SUBTOTAL(109,Table15[Fed Apr])</f>
        <v>348</v>
      </c>
      <c r="I82" s="14">
        <f>SUBTOTAL(109,Table15[Total Mar])</f>
        <v>1926</v>
      </c>
      <c r="J82" s="14">
        <f>SUBTOTAL(109,Table15[Com Mar])</f>
        <v>1410</v>
      </c>
      <c r="K82" s="14">
        <f>SUBTOTAL(109,Table15[Fed Mar])</f>
        <v>424</v>
      </c>
      <c r="L82" s="14">
        <f>SUBTOTAL(109,Table15[Total Feb])</f>
        <v>1655</v>
      </c>
      <c r="M82" s="14">
        <f>SUBTOTAL(109,Table15[Com Feb])</f>
        <v>1203</v>
      </c>
      <c r="N82" s="14">
        <f>SUBTOTAL(109,Table15[Fed Feb])</f>
        <v>393</v>
      </c>
      <c r="O82" s="15">
        <f t="shared" si="11"/>
        <v>1.7464539007092252E-2</v>
      </c>
      <c r="P82" s="16">
        <f>((G82/$W$2)-(J82/$Y$2))*$X$2</f>
        <v>22.483695652173978</v>
      </c>
      <c r="Q82" s="15">
        <f t="shared" si="12"/>
        <v>0.17206982543640897</v>
      </c>
      <c r="R82" s="16">
        <f>J82-M82</f>
        <v>207</v>
      </c>
      <c r="S82" s="14">
        <f t="shared" si="13"/>
        <v>117</v>
      </c>
      <c r="T82" s="14">
        <f t="shared" si="14"/>
        <v>92</v>
      </c>
      <c r="U82" s="14">
        <f t="shared" ref="U82" si="16">L82-M82-N82</f>
        <v>59</v>
      </c>
    </row>
  </sheetData>
  <sheetProtection sheet="1" objects="1" scenarios="1" sort="0" autoFilter="0" pivotTables="0"/>
  <mergeCells count="1">
    <mergeCell ref="A82:E82"/>
  </mergeCells>
  <conditionalFormatting sqref="S2:U81">
    <cfRule type="cellIs" dxfId="15" priority="6" operator="greaterThan">
      <formula>10</formula>
    </cfRule>
    <cfRule type="cellIs" dxfId="14" priority="7" operator="between">
      <formula>6</formula>
      <formula>10</formula>
    </cfRule>
    <cfRule type="cellIs" dxfId="13" priority="8" operator="between">
      <formula>1</formula>
      <formula>5</formula>
    </cfRule>
  </conditionalFormatting>
  <conditionalFormatting sqref="O2:O81 Q2:Q81">
    <cfRule type="cellIs" dxfId="12" priority="1" operator="between">
      <formula>0.5000000001</formula>
      <formula>100000000</formula>
    </cfRule>
    <cfRule type="cellIs" dxfId="11" priority="2" operator="between">
      <formula>0.25</formula>
      <formula>0.5</formula>
    </cfRule>
    <cfRule type="cellIs" dxfId="10" priority="3" operator="lessThan">
      <formula>-0.5</formula>
    </cfRule>
    <cfRule type="cellIs" dxfId="9" priority="4" operator="between">
      <formula>-0.250000001</formula>
      <formula>-0.5</formula>
    </cfRule>
    <cfRule type="cellIs" dxfId="8" priority="5" operator="between">
      <formula>-0.0001</formula>
      <formula>-0.25</formula>
    </cfRule>
  </conditionalFormatting>
  <pageMargins left="0.25" right="0.25" top="0.75" bottom="0.75" header="0.3" footer="0.3"/>
  <pageSetup scale="32" orientation="landscape" horizontalDpi="4294967293" verticalDpi="4294967293" r:id="rId1"/>
  <headerFooter>
    <oddHeader>&amp;L&amp;14&amp;F&amp;C&amp;14&amp;A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Z78"/>
  <sheetViews>
    <sheetView zoomScaleNormal="100" workbookViewId="0">
      <pane xSplit="4" topLeftCell="E1" activePane="topRight" state="frozen"/>
      <selection pane="topRight"/>
    </sheetView>
  </sheetViews>
  <sheetFormatPr defaultColWidth="9.140625" defaultRowHeight="15" x14ac:dyDescent="0.25"/>
  <cols>
    <col min="1" max="1" width="41.140625" style="11" bestFit="1" customWidth="1"/>
    <col min="2" max="2" width="16.42578125" style="11" hidden="1" customWidth="1"/>
    <col min="3" max="3" width="16.85546875" style="11" hidden="1" customWidth="1"/>
    <col min="4" max="4" width="11.7109375" style="11" hidden="1" customWidth="1"/>
    <col min="5" max="5" width="19.28515625" style="11" bestFit="1" customWidth="1"/>
    <col min="6" max="6" width="14" style="11" bestFit="1" customWidth="1"/>
    <col min="7" max="7" width="13.5703125" style="11" bestFit="1" customWidth="1"/>
    <col min="8" max="8" width="12.85546875" style="11" customWidth="1"/>
    <col min="9" max="9" width="13.7109375" style="11" bestFit="1" customWidth="1"/>
    <col min="10" max="10" width="13.28515625" style="11" bestFit="1" customWidth="1"/>
    <col min="11" max="11" width="12.5703125" style="11" bestFit="1" customWidth="1"/>
    <col min="12" max="12" width="13.28515625" style="11" customWidth="1"/>
    <col min="13" max="13" width="12.85546875" style="11" customWidth="1"/>
    <col min="14" max="14" width="12.140625" style="11" customWidth="1"/>
    <col min="15" max="15" width="25.28515625" style="11" bestFit="1" customWidth="1"/>
    <col min="16" max="16" width="24.140625" style="11" bestFit="1" customWidth="1"/>
    <col min="17" max="17" width="24.7109375" style="11" bestFit="1" customWidth="1"/>
    <col min="18" max="18" width="21.5703125" style="11" bestFit="1" customWidth="1"/>
    <col min="19" max="19" width="14.5703125" style="11" bestFit="1" customWidth="1"/>
    <col min="20" max="20" width="14.28515625" style="11" bestFit="1" customWidth="1"/>
    <col min="21" max="21" width="13.85546875" style="11" bestFit="1" customWidth="1"/>
    <col min="22" max="22" width="11.85546875" style="11" customWidth="1"/>
    <col min="23" max="23" width="8.85546875" style="11" hidden="1" customWidth="1"/>
    <col min="24" max="24" width="4.42578125" style="11" hidden="1" customWidth="1"/>
    <col min="25" max="25" width="4.28515625" style="11" hidden="1" customWidth="1"/>
    <col min="26" max="26" width="3.85546875" style="11" hidden="1" customWidth="1"/>
    <col min="27" max="27" width="8.7109375" style="11" customWidth="1"/>
    <col min="28" max="16384" width="9.140625" style="11"/>
  </cols>
  <sheetData>
    <row r="1" spans="1:26" x14ac:dyDescent="0.25">
      <c r="A1" s="22" t="s">
        <v>0</v>
      </c>
      <c r="B1" s="22" t="s">
        <v>188</v>
      </c>
      <c r="C1" s="22" t="s">
        <v>189</v>
      </c>
      <c r="D1" s="22" t="s">
        <v>190</v>
      </c>
      <c r="E1" s="22" t="s">
        <v>14</v>
      </c>
      <c r="F1" s="22" t="s">
        <v>757</v>
      </c>
      <c r="G1" s="22" t="s">
        <v>758</v>
      </c>
      <c r="H1" s="22" t="s">
        <v>759</v>
      </c>
      <c r="I1" s="23" t="s">
        <v>518</v>
      </c>
      <c r="J1" s="23" t="s">
        <v>519</v>
      </c>
      <c r="K1" s="23" t="s">
        <v>520</v>
      </c>
      <c r="L1" s="23" t="s">
        <v>5</v>
      </c>
      <c r="M1" s="23" t="s">
        <v>6</v>
      </c>
      <c r="N1" s="23" t="s">
        <v>7</v>
      </c>
      <c r="O1" s="22" t="s">
        <v>3</v>
      </c>
      <c r="P1" s="22" t="s">
        <v>11</v>
      </c>
      <c r="Q1" s="22" t="s">
        <v>4</v>
      </c>
      <c r="R1" s="22" t="s">
        <v>12</v>
      </c>
      <c r="S1" s="22" t="s">
        <v>523</v>
      </c>
      <c r="T1" s="22" t="s">
        <v>1</v>
      </c>
      <c r="U1" s="22" t="s">
        <v>2</v>
      </c>
      <c r="W1" s="11" t="s">
        <v>756</v>
      </c>
      <c r="X1" s="11" t="s">
        <v>755</v>
      </c>
      <c r="Y1" s="11" t="s">
        <v>521</v>
      </c>
      <c r="Z1" s="11" t="s">
        <v>13</v>
      </c>
    </row>
    <row r="2" spans="1:26" x14ac:dyDescent="0.25">
      <c r="A2" s="12" t="s">
        <v>527</v>
      </c>
      <c r="B2" s="12" t="s">
        <v>597</v>
      </c>
      <c r="C2" s="12" t="s">
        <v>682</v>
      </c>
      <c r="D2" s="24">
        <v>1770673428</v>
      </c>
      <c r="E2" s="21" t="str">
        <f>_xlfn.IFNA(VLOOKUP(Table24[[#This Row],[NPI]],'CM Assignments'!$D$1:$E$185,2,FALSE),_xlfn.IFNA(VLOOKUP(Table24[[#This Row],[Last]],'CM Assignments'!$B$1:$E$185,4,FALSE),"N/A"))</f>
        <v>Whitney Poe</v>
      </c>
      <c r="F2" s="13">
        <v>39</v>
      </c>
      <c r="G2" s="13">
        <v>37</v>
      </c>
      <c r="H2" s="13">
        <v>0</v>
      </c>
      <c r="I2" s="13">
        <v>47</v>
      </c>
      <c r="J2" s="13">
        <v>43</v>
      </c>
      <c r="K2" s="13">
        <v>2</v>
      </c>
      <c r="L2" s="13">
        <v>92</v>
      </c>
      <c r="M2" s="13">
        <v>73</v>
      </c>
      <c r="N2" s="13">
        <v>17</v>
      </c>
      <c r="O2" s="17">
        <f>IF(J2=0,"N/A",((G2/$W$2)-(J2/$Y$2))/(J2/$Y$2))</f>
        <v>0.23691860465116274</v>
      </c>
      <c r="P2" s="18">
        <f>((Table24[[#This Row],[Com Apr]]/$W$2)-(Table24[[#This Row],[Com Mar]]/$Y$2))*$X$2</f>
        <v>9.3016304347826075</v>
      </c>
      <c r="Q2" s="17">
        <f t="shared" ref="Q2:Q35" si="0">IF(M2=0,"N/A",((J2)-(M2))/(M2))</f>
        <v>-0.41095890410958902</v>
      </c>
      <c r="R2" s="18">
        <f>Table24[[#This Row],[Com Mar]]-Table24[[#This Row],[Com Feb]]</f>
        <v>-30</v>
      </c>
      <c r="S2" s="19">
        <f t="shared" ref="S2:S35" si="1">F2-G2-H2</f>
        <v>2</v>
      </c>
      <c r="T2" s="19">
        <f t="shared" ref="T2:T35" si="2">I2-J2-K2</f>
        <v>2</v>
      </c>
      <c r="U2" s="20">
        <f t="shared" ref="U2" si="3">L2-M2-N2</f>
        <v>2</v>
      </c>
      <c r="W2" s="11">
        <v>16</v>
      </c>
      <c r="X2" s="11">
        <v>21</v>
      </c>
      <c r="Y2" s="11">
        <v>23</v>
      </c>
      <c r="Z2" s="11">
        <v>21</v>
      </c>
    </row>
    <row r="3" spans="1:26" x14ac:dyDescent="0.25">
      <c r="A3" s="31" t="s">
        <v>528</v>
      </c>
      <c r="B3" s="26" t="s">
        <v>598</v>
      </c>
      <c r="C3" s="26" t="s">
        <v>683</v>
      </c>
      <c r="D3" s="35">
        <v>1336193903</v>
      </c>
      <c r="E3" s="36" t="str">
        <f>_xlfn.IFNA(VLOOKUP(Table24[[#This Row],[NPI]],'CM Assignments'!$D$1:$E$185,2,FALSE),_xlfn.IFNA(VLOOKUP(Table24[[#This Row],[Last]],'CM Assignments'!$B$1:$E$185,4,FALSE),"N/A"))</f>
        <v>Amanda Fedro</v>
      </c>
      <c r="F3" s="37">
        <v>10</v>
      </c>
      <c r="G3" s="38">
        <v>8</v>
      </c>
      <c r="H3" s="38">
        <v>1</v>
      </c>
      <c r="I3" s="38">
        <v>22</v>
      </c>
      <c r="J3" s="38">
        <v>21</v>
      </c>
      <c r="K3" s="38">
        <v>1</v>
      </c>
      <c r="L3" s="38">
        <v>47</v>
      </c>
      <c r="M3" s="38">
        <v>28</v>
      </c>
      <c r="N3" s="38">
        <v>13</v>
      </c>
      <c r="O3" s="39">
        <f t="shared" ref="O3:O35" si="4">IF(J3=0,"N/A",((G3/$W$2)-(J3/$Y$2))/(J3/$Y$2))</f>
        <v>-0.45238095238095233</v>
      </c>
      <c r="P3" s="40">
        <f>((Table24[[#This Row],[Com Apr]]/$W$2)-(Table24[[#This Row],[Com Mar]]/$Y$2))*$X$2</f>
        <v>-8.6739130434782599</v>
      </c>
      <c r="Q3" s="39">
        <f t="shared" si="0"/>
        <v>-0.25</v>
      </c>
      <c r="R3" s="40">
        <f>Table24[[#This Row],[Com Mar]]-Table24[[#This Row],[Com Feb]]</f>
        <v>-7</v>
      </c>
      <c r="S3" s="41">
        <f t="shared" si="1"/>
        <v>1</v>
      </c>
      <c r="T3" s="41">
        <f t="shared" si="2"/>
        <v>0</v>
      </c>
      <c r="U3" s="41">
        <f t="shared" ref="U3:U36" si="5">L3-M3-N3</f>
        <v>6</v>
      </c>
    </row>
    <row r="4" spans="1:26" x14ac:dyDescent="0.25">
      <c r="A4" s="31" t="s">
        <v>529</v>
      </c>
      <c r="B4" s="26" t="s">
        <v>599</v>
      </c>
      <c r="C4" s="26" t="s">
        <v>684</v>
      </c>
      <c r="D4" s="35">
        <v>1477717411</v>
      </c>
      <c r="E4" s="36" t="str">
        <f>_xlfn.IFNA(VLOOKUP(Table24[[#This Row],[NPI]],'CM Assignments'!$D$1:$E$185,2,FALSE),_xlfn.IFNA(VLOOKUP(Table24[[#This Row],[Last]],'CM Assignments'!$B$1:$E$185,4,FALSE),"N/A"))</f>
        <v>Dan Vitasovic</v>
      </c>
      <c r="F4" s="37">
        <v>3</v>
      </c>
      <c r="G4" s="38">
        <v>0</v>
      </c>
      <c r="H4" s="38">
        <v>0</v>
      </c>
      <c r="I4" s="38">
        <v>15</v>
      </c>
      <c r="J4" s="38">
        <v>13</v>
      </c>
      <c r="K4" s="38">
        <v>1</v>
      </c>
      <c r="L4" s="38">
        <v>11</v>
      </c>
      <c r="M4" s="38">
        <v>4</v>
      </c>
      <c r="N4" s="38">
        <v>4</v>
      </c>
      <c r="O4" s="39">
        <f t="shared" si="4"/>
        <v>-1</v>
      </c>
      <c r="P4" s="40">
        <f>((Table24[[#This Row],[Com Apr]]/$W$2)-(Table24[[#This Row],[Com Mar]]/$Y$2))*$X$2</f>
        <v>-11.869565217391303</v>
      </c>
      <c r="Q4" s="39">
        <f t="shared" si="0"/>
        <v>2.25</v>
      </c>
      <c r="R4" s="40">
        <f>Table24[[#This Row],[Com Mar]]-Table24[[#This Row],[Com Feb]]</f>
        <v>9</v>
      </c>
      <c r="S4" s="41">
        <f t="shared" si="1"/>
        <v>3</v>
      </c>
      <c r="T4" s="41">
        <f t="shared" si="2"/>
        <v>1</v>
      </c>
      <c r="U4" s="41">
        <f t="shared" si="5"/>
        <v>3</v>
      </c>
    </row>
    <row r="5" spans="1:26" x14ac:dyDescent="0.25">
      <c r="A5" s="31" t="s">
        <v>530</v>
      </c>
      <c r="B5" s="26" t="s">
        <v>600</v>
      </c>
      <c r="C5" s="26" t="s">
        <v>685</v>
      </c>
      <c r="D5" s="35">
        <v>1053347849</v>
      </c>
      <c r="E5" s="36" t="str">
        <f>_xlfn.IFNA(VLOOKUP(Table24[[#This Row],[NPI]],'CM Assignments'!$D$1:$E$185,2,FALSE),_xlfn.IFNA(VLOOKUP(Table24[[#This Row],[Last]],'CM Assignments'!$B$1:$E$185,4,FALSE),"N/A"))</f>
        <v>Christy Sanantonio</v>
      </c>
      <c r="F5" s="37">
        <v>5</v>
      </c>
      <c r="G5" s="38">
        <v>4</v>
      </c>
      <c r="H5" s="38">
        <v>0</v>
      </c>
      <c r="I5" s="38">
        <v>9</v>
      </c>
      <c r="J5" s="38">
        <v>8</v>
      </c>
      <c r="K5" s="38">
        <v>1</v>
      </c>
      <c r="L5" s="38">
        <v>8</v>
      </c>
      <c r="M5" s="38">
        <v>6</v>
      </c>
      <c r="N5" s="38">
        <v>1</v>
      </c>
      <c r="O5" s="39">
        <f t="shared" si="4"/>
        <v>-0.28125</v>
      </c>
      <c r="P5" s="40">
        <f>((Table24[[#This Row],[Com Apr]]/$W$2)-(Table24[[#This Row],[Com Mar]]/$Y$2))*$X$2</f>
        <v>-2.0543478260869561</v>
      </c>
      <c r="Q5" s="39">
        <f t="shared" si="0"/>
        <v>0.33333333333333331</v>
      </c>
      <c r="R5" s="40">
        <f>Table24[[#This Row],[Com Mar]]-Table24[[#This Row],[Com Feb]]</f>
        <v>2</v>
      </c>
      <c r="S5" s="41">
        <f t="shared" si="1"/>
        <v>1</v>
      </c>
      <c r="T5" s="41">
        <f t="shared" si="2"/>
        <v>0</v>
      </c>
      <c r="U5" s="41">
        <f t="shared" si="5"/>
        <v>1</v>
      </c>
    </row>
    <row r="6" spans="1:26" x14ac:dyDescent="0.25">
      <c r="A6" s="31" t="s">
        <v>531</v>
      </c>
      <c r="B6" s="26" t="s">
        <v>601</v>
      </c>
      <c r="C6" s="26" t="s">
        <v>686</v>
      </c>
      <c r="D6" s="35">
        <v>1598861809</v>
      </c>
      <c r="E6" s="36" t="str">
        <f>_xlfn.IFNA(VLOOKUP(Table24[[#This Row],[NPI]],'CM Assignments'!$D$1:$E$185,2,FALSE),_xlfn.IFNA(VLOOKUP(Table24[[#This Row],[Last]],'CM Assignments'!$B$1:$E$185,4,FALSE),"N/A"))</f>
        <v>Christy Sanantonio</v>
      </c>
      <c r="F6" s="37">
        <v>4</v>
      </c>
      <c r="G6" s="38">
        <v>4</v>
      </c>
      <c r="H6" s="38">
        <v>0</v>
      </c>
      <c r="I6" s="38">
        <v>21</v>
      </c>
      <c r="J6" s="38">
        <v>21</v>
      </c>
      <c r="K6" s="38">
        <v>0</v>
      </c>
      <c r="L6" s="38">
        <v>29</v>
      </c>
      <c r="M6" s="38">
        <v>29</v>
      </c>
      <c r="N6" s="38">
        <v>0</v>
      </c>
      <c r="O6" s="39">
        <f t="shared" si="4"/>
        <v>-0.72619047619047616</v>
      </c>
      <c r="P6" s="40">
        <f>((Table24[[#This Row],[Com Apr]]/$W$2)-(Table24[[#This Row],[Com Mar]]/$Y$2))*$X$2</f>
        <v>-13.92391304347826</v>
      </c>
      <c r="Q6" s="39">
        <f t="shared" si="0"/>
        <v>-0.27586206896551724</v>
      </c>
      <c r="R6" s="40">
        <f>Table24[[#This Row],[Com Mar]]-Table24[[#This Row],[Com Feb]]</f>
        <v>-8</v>
      </c>
      <c r="S6" s="41">
        <f t="shared" si="1"/>
        <v>0</v>
      </c>
      <c r="T6" s="41">
        <f t="shared" si="2"/>
        <v>0</v>
      </c>
      <c r="U6" s="41">
        <f t="shared" si="5"/>
        <v>0</v>
      </c>
    </row>
    <row r="7" spans="1:26" x14ac:dyDescent="0.25">
      <c r="A7" s="31" t="s">
        <v>532</v>
      </c>
      <c r="B7" s="26" t="s">
        <v>602</v>
      </c>
      <c r="C7" s="26" t="s">
        <v>687</v>
      </c>
      <c r="D7" s="35">
        <v>1104811413</v>
      </c>
      <c r="E7" s="36" t="str">
        <f>_xlfn.IFNA(VLOOKUP(Table24[[#This Row],[NPI]],'CM Assignments'!$D$1:$E$185,2,FALSE),_xlfn.IFNA(VLOOKUP(Table24[[#This Row],[Last]],'CM Assignments'!$B$1:$E$185,4,FALSE),"N/A"))</f>
        <v>Amanda Fedro</v>
      </c>
      <c r="F7" s="37">
        <v>2</v>
      </c>
      <c r="G7" s="38">
        <v>1</v>
      </c>
      <c r="H7" s="38">
        <v>0</v>
      </c>
      <c r="I7" s="38">
        <v>0</v>
      </c>
      <c r="J7" s="38">
        <v>0</v>
      </c>
      <c r="K7" s="38">
        <v>0</v>
      </c>
      <c r="L7" s="38">
        <v>8</v>
      </c>
      <c r="M7" s="38">
        <v>7</v>
      </c>
      <c r="N7" s="38">
        <v>1</v>
      </c>
      <c r="O7" s="39" t="str">
        <f t="shared" si="4"/>
        <v>N/A</v>
      </c>
      <c r="P7" s="40">
        <f>((Table24[[#This Row],[Com Apr]]/$W$2)-(Table24[[#This Row],[Com Mar]]/$Y$2))*$X$2</f>
        <v>1.3125</v>
      </c>
      <c r="Q7" s="39">
        <f t="shared" si="0"/>
        <v>-1</v>
      </c>
      <c r="R7" s="40">
        <f>Table24[[#This Row],[Com Mar]]-Table24[[#This Row],[Com Feb]]</f>
        <v>-7</v>
      </c>
      <c r="S7" s="41">
        <f t="shared" si="1"/>
        <v>1</v>
      </c>
      <c r="T7" s="41">
        <f t="shared" si="2"/>
        <v>0</v>
      </c>
      <c r="U7" s="41">
        <f t="shared" si="5"/>
        <v>0</v>
      </c>
    </row>
    <row r="8" spans="1:26" x14ac:dyDescent="0.25">
      <c r="A8" s="31" t="s">
        <v>533</v>
      </c>
      <c r="B8" s="26" t="s">
        <v>603</v>
      </c>
      <c r="C8" s="26" t="s">
        <v>688</v>
      </c>
      <c r="D8" s="35">
        <v>1639177371</v>
      </c>
      <c r="E8" s="36" t="str">
        <f>_xlfn.IFNA(VLOOKUP(Table24[[#This Row],[NPI]],'CM Assignments'!$D$1:$E$185,2,FALSE),_xlfn.IFNA(VLOOKUP(Table24[[#This Row],[Last]],'CM Assignments'!$B$1:$E$185,4,FALSE),"N/A"))</f>
        <v>Whitney Poe</v>
      </c>
      <c r="F8" s="37">
        <v>4</v>
      </c>
      <c r="G8" s="38">
        <v>4</v>
      </c>
      <c r="H8" s="38">
        <v>0</v>
      </c>
      <c r="I8" s="38">
        <v>16</v>
      </c>
      <c r="J8" s="38">
        <v>14</v>
      </c>
      <c r="K8" s="38">
        <v>1</v>
      </c>
      <c r="L8" s="38">
        <v>15</v>
      </c>
      <c r="M8" s="38">
        <v>13</v>
      </c>
      <c r="N8" s="38">
        <v>2</v>
      </c>
      <c r="O8" s="39">
        <f t="shared" si="4"/>
        <v>-0.5892857142857143</v>
      </c>
      <c r="P8" s="40">
        <f>((Table24[[#This Row],[Com Apr]]/$W$2)-(Table24[[#This Row],[Com Mar]]/$Y$2))*$X$2</f>
        <v>-7.5326086956521747</v>
      </c>
      <c r="Q8" s="39">
        <f t="shared" si="0"/>
        <v>7.6923076923076927E-2</v>
      </c>
      <c r="R8" s="40">
        <f>Table24[[#This Row],[Com Mar]]-Table24[[#This Row],[Com Feb]]</f>
        <v>1</v>
      </c>
      <c r="S8" s="41">
        <f t="shared" si="1"/>
        <v>0</v>
      </c>
      <c r="T8" s="41">
        <f t="shared" si="2"/>
        <v>1</v>
      </c>
      <c r="U8" s="41">
        <f t="shared" si="5"/>
        <v>0</v>
      </c>
    </row>
    <row r="9" spans="1:26" x14ac:dyDescent="0.25">
      <c r="A9" s="31" t="s">
        <v>665</v>
      </c>
      <c r="B9" s="26" t="s">
        <v>670</v>
      </c>
      <c r="C9" s="26" t="s">
        <v>760</v>
      </c>
      <c r="D9" s="35">
        <v>1770523821</v>
      </c>
      <c r="E9" s="36" t="str">
        <f>_xlfn.IFNA(VLOOKUP(Table24[[#This Row],[NPI]],'CM Assignments'!$D$1:$E$185,2,FALSE),_xlfn.IFNA(VLOOKUP(Table24[[#This Row],[Last]],'CM Assignments'!$B$1:$E$185,4,FALSE),"N/A"))</f>
        <v>N/A</v>
      </c>
      <c r="F9" s="37">
        <v>1</v>
      </c>
      <c r="G9" s="38">
        <v>1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9" t="str">
        <f t="shared" si="4"/>
        <v>N/A</v>
      </c>
      <c r="P9" s="40">
        <f>((Table24[[#This Row],[Com Apr]]/$W$2)-(Table24[[#This Row],[Com Mar]]/$Y$2))*$X$2</f>
        <v>1.3125</v>
      </c>
      <c r="Q9" s="39" t="str">
        <f t="shared" si="0"/>
        <v>N/A</v>
      </c>
      <c r="R9" s="40">
        <f>Table24[[#This Row],[Com Mar]]-Table24[[#This Row],[Com Feb]]</f>
        <v>0</v>
      </c>
      <c r="S9" s="41">
        <f t="shared" si="1"/>
        <v>0</v>
      </c>
      <c r="T9" s="41">
        <f t="shared" si="2"/>
        <v>0</v>
      </c>
      <c r="U9" s="41">
        <f t="shared" si="5"/>
        <v>0</v>
      </c>
    </row>
    <row r="10" spans="1:26" x14ac:dyDescent="0.25">
      <c r="A10" s="31" t="s">
        <v>534</v>
      </c>
      <c r="B10" s="26" t="s">
        <v>765</v>
      </c>
      <c r="C10" s="26" t="s">
        <v>766</v>
      </c>
      <c r="D10" s="35">
        <v>1861657355</v>
      </c>
      <c r="E10" s="36" t="str">
        <f>_xlfn.IFNA(VLOOKUP(Table24[[#This Row],[NPI]],'CM Assignments'!$D$1:$E$185,2,FALSE),_xlfn.IFNA(VLOOKUP(Table24[[#This Row],[Last]],'CM Assignments'!$B$1:$E$185,4,FALSE),"N/A"))</f>
        <v>Dan Vitasovic</v>
      </c>
      <c r="F10" s="37">
        <v>12</v>
      </c>
      <c r="G10" s="38">
        <v>10</v>
      </c>
      <c r="H10" s="38">
        <v>2</v>
      </c>
      <c r="I10" s="38">
        <v>3</v>
      </c>
      <c r="J10" s="38">
        <v>2</v>
      </c>
      <c r="K10" s="38">
        <v>0</v>
      </c>
      <c r="L10" s="38">
        <v>21</v>
      </c>
      <c r="M10" s="38">
        <v>20</v>
      </c>
      <c r="N10" s="38">
        <v>1</v>
      </c>
      <c r="O10" s="39">
        <f>IF(J10=0,"N/A",((G10/$W$2)-(J10/$Y$2))/(J10/$Y$2))</f>
        <v>6.1875000000000009</v>
      </c>
      <c r="P10" s="40">
        <f>((Table24[[#This Row],[Com Apr]]/$W$2)-(Table24[[#This Row],[Com Mar]]/$Y$2))*$X$2</f>
        <v>11.298913043478262</v>
      </c>
      <c r="Q10" s="39">
        <f>IF(M10=0,"N/A",((J10)-(M10))/(M10))</f>
        <v>-0.9</v>
      </c>
      <c r="R10" s="40">
        <f>Table24[[#This Row],[Com Mar]]-Table24[[#This Row],[Com Feb]]</f>
        <v>-18</v>
      </c>
      <c r="S10" s="41">
        <f>F10-G10-H10</f>
        <v>0</v>
      </c>
      <c r="T10" s="41">
        <f>I10-J10-K10</f>
        <v>1</v>
      </c>
      <c r="U10" s="41">
        <f>L10-M10-N10</f>
        <v>0</v>
      </c>
    </row>
    <row r="11" spans="1:26" x14ac:dyDescent="0.25">
      <c r="A11" s="31" t="s">
        <v>771</v>
      </c>
      <c r="B11" s="26" t="s">
        <v>670</v>
      </c>
      <c r="C11" s="26" t="s">
        <v>772</v>
      </c>
      <c r="D11" s="35">
        <v>1609955350</v>
      </c>
      <c r="E11" s="36" t="str">
        <f>_xlfn.IFNA(VLOOKUP(Table24[[#This Row],[NPI]],'CM Assignments'!$D$1:$E$185,2,FALSE),_xlfn.IFNA(VLOOKUP(Table24[[#This Row],[Last]],'CM Assignments'!$B$1:$E$185,4,FALSE),"N/A"))</f>
        <v>Dan Vitasovic</v>
      </c>
      <c r="F11" s="37">
        <v>13</v>
      </c>
      <c r="G11" s="38">
        <v>9</v>
      </c>
      <c r="H11" s="38">
        <v>1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9" t="str">
        <f>IF(J11=0,"N/A",((G11/$W$2)-(J11/$Y$2))/(J11/$Y$2))</f>
        <v>N/A</v>
      </c>
      <c r="P11" s="40">
        <f>((Table24[[#This Row],[Com Apr]]/$W$2)-(Table24[[#This Row],[Com Mar]]/$Y$2))*$X$2</f>
        <v>11.8125</v>
      </c>
      <c r="Q11" s="39" t="str">
        <f>IF(M11=0,"N/A",((J11)-(M11))/(M11))</f>
        <v>N/A</v>
      </c>
      <c r="R11" s="40">
        <f>Table24[[#This Row],[Com Mar]]-Table24[[#This Row],[Com Feb]]</f>
        <v>0</v>
      </c>
      <c r="S11" s="41">
        <f>F11-G11-H11</f>
        <v>3</v>
      </c>
      <c r="T11" s="41">
        <f>I11-J11-K11</f>
        <v>0</v>
      </c>
      <c r="U11" s="41">
        <f>L11-M11-N11</f>
        <v>0</v>
      </c>
    </row>
    <row r="12" spans="1:26" x14ac:dyDescent="0.25">
      <c r="A12" s="31" t="s">
        <v>535</v>
      </c>
      <c r="B12" s="26" t="s">
        <v>604</v>
      </c>
      <c r="C12" s="26" t="s">
        <v>691</v>
      </c>
      <c r="D12" s="35">
        <v>1811923923</v>
      </c>
      <c r="E12" s="36" t="str">
        <f>_xlfn.IFNA(VLOOKUP(Table24[[#This Row],[NPI]],'CM Assignments'!$D$1:$E$185,2,FALSE),_xlfn.IFNA(VLOOKUP(Table24[[#This Row],[Last]],'CM Assignments'!$B$1:$E$185,4,FALSE),"N/A"))</f>
        <v>Christy Sanantonio</v>
      </c>
      <c r="F12" s="37">
        <v>11</v>
      </c>
      <c r="G12" s="38">
        <v>10</v>
      </c>
      <c r="H12" s="38">
        <v>0</v>
      </c>
      <c r="I12" s="38">
        <v>13</v>
      </c>
      <c r="J12" s="38">
        <v>13</v>
      </c>
      <c r="K12" s="38">
        <v>0</v>
      </c>
      <c r="L12" s="38">
        <v>23</v>
      </c>
      <c r="M12" s="38">
        <v>18</v>
      </c>
      <c r="N12" s="38">
        <v>5</v>
      </c>
      <c r="O12" s="39">
        <f t="shared" si="4"/>
        <v>0.10576923076923085</v>
      </c>
      <c r="P12" s="40">
        <f>((Table24[[#This Row],[Com Apr]]/$W$2)-(Table24[[#This Row],[Com Mar]]/$Y$2))*$X$2</f>
        <v>1.2554347826086967</v>
      </c>
      <c r="Q12" s="39">
        <f t="shared" si="0"/>
        <v>-0.27777777777777779</v>
      </c>
      <c r="R12" s="40">
        <f>Table24[[#This Row],[Com Mar]]-Table24[[#This Row],[Com Feb]]</f>
        <v>-5</v>
      </c>
      <c r="S12" s="41">
        <f t="shared" si="1"/>
        <v>1</v>
      </c>
      <c r="T12" s="41">
        <f t="shared" si="2"/>
        <v>0</v>
      </c>
      <c r="U12" s="41">
        <f t="shared" si="5"/>
        <v>0</v>
      </c>
    </row>
    <row r="13" spans="1:26" x14ac:dyDescent="0.25">
      <c r="A13" s="31" t="s">
        <v>537</v>
      </c>
      <c r="B13" s="26" t="s">
        <v>606</v>
      </c>
      <c r="C13" s="26" t="s">
        <v>693</v>
      </c>
      <c r="D13" s="35">
        <v>1063465649</v>
      </c>
      <c r="E13" s="36" t="str">
        <f>_xlfn.IFNA(VLOOKUP(Table24[[#This Row],[NPI]],'CM Assignments'!$D$1:$E$185,2,FALSE),_xlfn.IFNA(VLOOKUP(Table24[[#This Row],[Last]],'CM Assignments'!$B$1:$E$185,4,FALSE),"N/A"))</f>
        <v>Amanda Fedro</v>
      </c>
      <c r="F13" s="37">
        <v>34</v>
      </c>
      <c r="G13" s="38">
        <v>29</v>
      </c>
      <c r="H13" s="38">
        <v>2</v>
      </c>
      <c r="I13" s="38">
        <v>51</v>
      </c>
      <c r="J13" s="38">
        <v>39</v>
      </c>
      <c r="K13" s="38">
        <v>4</v>
      </c>
      <c r="L13" s="38">
        <v>59</v>
      </c>
      <c r="M13" s="38">
        <v>41</v>
      </c>
      <c r="N13" s="38">
        <v>18</v>
      </c>
      <c r="O13" s="39">
        <f t="shared" si="4"/>
        <v>6.8910256410256429E-2</v>
      </c>
      <c r="P13" s="40">
        <f>((Table24[[#This Row],[Com Apr]]/$W$2)-(Table24[[#This Row],[Com Mar]]/$Y$2))*$X$2</f>
        <v>2.4538043478260874</v>
      </c>
      <c r="Q13" s="39">
        <f t="shared" si="0"/>
        <v>-4.878048780487805E-2</v>
      </c>
      <c r="R13" s="40">
        <f>Table24[[#This Row],[Com Mar]]-Table24[[#This Row],[Com Feb]]</f>
        <v>-2</v>
      </c>
      <c r="S13" s="41">
        <f t="shared" si="1"/>
        <v>3</v>
      </c>
      <c r="T13" s="41">
        <f t="shared" si="2"/>
        <v>8</v>
      </c>
      <c r="U13" s="41">
        <f t="shared" si="5"/>
        <v>0</v>
      </c>
    </row>
    <row r="14" spans="1:26" x14ac:dyDescent="0.25">
      <c r="A14" s="31" t="s">
        <v>538</v>
      </c>
      <c r="B14" s="26" t="s">
        <v>607</v>
      </c>
      <c r="C14" s="26" t="s">
        <v>694</v>
      </c>
      <c r="D14" s="35">
        <v>1942347877</v>
      </c>
      <c r="E14" s="36" t="str">
        <f>_xlfn.IFNA(VLOOKUP(Table24[[#This Row],[NPI]],'CM Assignments'!$D$1:$E$185,2,FALSE),_xlfn.IFNA(VLOOKUP(Table24[[#This Row],[Last]],'CM Assignments'!$B$1:$E$185,4,FALSE),"N/A"))</f>
        <v>Whitney Poe</v>
      </c>
      <c r="F14" s="37">
        <v>1</v>
      </c>
      <c r="G14" s="38">
        <v>1</v>
      </c>
      <c r="H14" s="38">
        <v>0</v>
      </c>
      <c r="I14" s="38">
        <v>3</v>
      </c>
      <c r="J14" s="38">
        <v>3</v>
      </c>
      <c r="K14" s="38">
        <v>0</v>
      </c>
      <c r="L14" s="38">
        <v>0</v>
      </c>
      <c r="M14" s="38">
        <v>0</v>
      </c>
      <c r="N14" s="38">
        <v>0</v>
      </c>
      <c r="O14" s="39">
        <f t="shared" si="4"/>
        <v>-0.52083333333333337</v>
      </c>
      <c r="P14" s="40">
        <f>((Table24[[#This Row],[Com Apr]]/$W$2)-(Table24[[#This Row],[Com Mar]]/$Y$2))*$X$2</f>
        <v>-1.4266304347826086</v>
      </c>
      <c r="Q14" s="39" t="str">
        <f t="shared" si="0"/>
        <v>N/A</v>
      </c>
      <c r="R14" s="40">
        <f>Table24[[#This Row],[Com Mar]]-Table24[[#This Row],[Com Feb]]</f>
        <v>3</v>
      </c>
      <c r="S14" s="41">
        <f t="shared" si="1"/>
        <v>0</v>
      </c>
      <c r="T14" s="41">
        <f t="shared" si="2"/>
        <v>0</v>
      </c>
      <c r="U14" s="41">
        <f t="shared" si="5"/>
        <v>0</v>
      </c>
    </row>
    <row r="15" spans="1:26" x14ac:dyDescent="0.25">
      <c r="A15" s="31" t="s">
        <v>677</v>
      </c>
      <c r="B15" s="26" t="s">
        <v>695</v>
      </c>
      <c r="C15" s="26" t="s">
        <v>682</v>
      </c>
      <c r="D15" s="35">
        <v>1063651610</v>
      </c>
      <c r="E15" s="36" t="str">
        <f>_xlfn.IFNA(VLOOKUP(Table24[[#This Row],[NPI]],'CM Assignments'!$D$1:$E$185,2,FALSE),_xlfn.IFNA(VLOOKUP(Table24[[#This Row],[Last]],'CM Assignments'!$B$1:$E$185,4,FALSE),"N/A"))</f>
        <v>N/A</v>
      </c>
      <c r="F15" s="37">
        <v>16</v>
      </c>
      <c r="G15" s="38">
        <v>14</v>
      </c>
      <c r="H15" s="38">
        <v>1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 s="39" t="str">
        <f t="shared" si="4"/>
        <v>N/A</v>
      </c>
      <c r="P15" s="40">
        <f>((Table24[[#This Row],[Com Apr]]/$W$2)-(Table24[[#This Row],[Com Mar]]/$Y$2))*$X$2</f>
        <v>18.375</v>
      </c>
      <c r="Q15" s="39" t="str">
        <f t="shared" si="0"/>
        <v>N/A</v>
      </c>
      <c r="R15" s="40">
        <f>Table24[[#This Row],[Com Mar]]-Table24[[#This Row],[Com Feb]]</f>
        <v>0</v>
      </c>
      <c r="S15" s="41">
        <f t="shared" si="1"/>
        <v>1</v>
      </c>
      <c r="T15" s="41">
        <f t="shared" si="2"/>
        <v>0</v>
      </c>
      <c r="U15" s="41">
        <f t="shared" si="5"/>
        <v>0</v>
      </c>
    </row>
    <row r="16" spans="1:26" x14ac:dyDescent="0.25">
      <c r="A16" s="31" t="s">
        <v>666</v>
      </c>
      <c r="B16" s="26" t="s">
        <v>671</v>
      </c>
      <c r="C16" s="26" t="s">
        <v>761</v>
      </c>
      <c r="D16" s="35">
        <v>1700874211</v>
      </c>
      <c r="E16" s="36" t="str">
        <f>_xlfn.IFNA(VLOOKUP(Table24[[#This Row],[NPI]],'CM Assignments'!$D$1:$E$185,2,FALSE),_xlfn.IFNA(VLOOKUP(Table24[[#This Row],[Last]],'CM Assignments'!$B$1:$E$185,4,FALSE),"N/A"))</f>
        <v>N/A</v>
      </c>
      <c r="F16" s="37">
        <v>0</v>
      </c>
      <c r="G16" s="38">
        <v>0</v>
      </c>
      <c r="H16" s="38">
        <v>0</v>
      </c>
      <c r="I16" s="38">
        <v>0</v>
      </c>
      <c r="J16" s="38">
        <v>0</v>
      </c>
      <c r="K16" s="38">
        <v>0</v>
      </c>
      <c r="L16" s="38">
        <v>1</v>
      </c>
      <c r="M16" s="38">
        <v>1</v>
      </c>
      <c r="N16" s="38">
        <v>0</v>
      </c>
      <c r="O16" s="39" t="str">
        <f t="shared" si="4"/>
        <v>N/A</v>
      </c>
      <c r="P16" s="40">
        <f>((Table24[[#This Row],[Com Apr]]/$W$2)-(Table24[[#This Row],[Com Mar]]/$Y$2))*$X$2</f>
        <v>0</v>
      </c>
      <c r="Q16" s="39">
        <f t="shared" si="0"/>
        <v>-1</v>
      </c>
      <c r="R16" s="40">
        <f>Table24[[#This Row],[Com Mar]]-Table24[[#This Row],[Com Feb]]</f>
        <v>-1</v>
      </c>
      <c r="S16" s="41">
        <f t="shared" si="1"/>
        <v>0</v>
      </c>
      <c r="T16" s="41">
        <f t="shared" si="2"/>
        <v>0</v>
      </c>
      <c r="U16" s="41">
        <f t="shared" si="5"/>
        <v>0</v>
      </c>
    </row>
    <row r="17" spans="1:21" x14ac:dyDescent="0.25">
      <c r="A17" s="31" t="s">
        <v>539</v>
      </c>
      <c r="B17" s="26" t="s">
        <v>608</v>
      </c>
      <c r="C17" s="26" t="s">
        <v>696</v>
      </c>
      <c r="D17" s="35">
        <v>1417926783</v>
      </c>
      <c r="E17" s="36" t="str">
        <f>_xlfn.IFNA(VLOOKUP(Table24[[#This Row],[NPI]],'CM Assignments'!$D$1:$E$185,2,FALSE),_xlfn.IFNA(VLOOKUP(Table24[[#This Row],[Last]],'CM Assignments'!$B$1:$E$185,4,FALSE),"N/A"))</f>
        <v>N/A</v>
      </c>
      <c r="F17" s="37">
        <v>0</v>
      </c>
      <c r="G17" s="38">
        <v>0</v>
      </c>
      <c r="H17" s="38">
        <v>0</v>
      </c>
      <c r="I17" s="38">
        <v>1</v>
      </c>
      <c r="J17" s="38">
        <v>1</v>
      </c>
      <c r="K17" s="38">
        <v>0</v>
      </c>
      <c r="L17" s="38">
        <v>0</v>
      </c>
      <c r="M17" s="38">
        <v>0</v>
      </c>
      <c r="N17" s="38">
        <v>0</v>
      </c>
      <c r="O17" s="39">
        <f t="shared" si="4"/>
        <v>-1</v>
      </c>
      <c r="P17" s="40">
        <f>((Table24[[#This Row],[Com Apr]]/$W$2)-(Table24[[#This Row],[Com Mar]]/$Y$2))*$X$2</f>
        <v>-0.91304347826086951</v>
      </c>
      <c r="Q17" s="39" t="str">
        <f t="shared" si="0"/>
        <v>N/A</v>
      </c>
      <c r="R17" s="40">
        <f>Table24[[#This Row],[Com Mar]]-Table24[[#This Row],[Com Feb]]</f>
        <v>1</v>
      </c>
      <c r="S17" s="41">
        <f t="shared" si="1"/>
        <v>0</v>
      </c>
      <c r="T17" s="41">
        <f t="shared" si="2"/>
        <v>0</v>
      </c>
      <c r="U17" s="41">
        <f t="shared" si="5"/>
        <v>0</v>
      </c>
    </row>
    <row r="18" spans="1:21" x14ac:dyDescent="0.25">
      <c r="A18" s="31" t="s">
        <v>540</v>
      </c>
      <c r="B18" s="26" t="s">
        <v>609</v>
      </c>
      <c r="C18" s="26" t="s">
        <v>697</v>
      </c>
      <c r="D18" s="35">
        <v>1962563981</v>
      </c>
      <c r="E18" s="36" t="str">
        <f>_xlfn.IFNA(VLOOKUP(Table24[[#This Row],[NPI]],'CM Assignments'!$D$1:$E$185,2,FALSE),_xlfn.IFNA(VLOOKUP(Table24[[#This Row],[Last]],'CM Assignments'!$B$1:$E$185,4,FALSE),"N/A"))</f>
        <v>Whitney Poe</v>
      </c>
      <c r="F18" s="37">
        <v>27</v>
      </c>
      <c r="G18" s="38">
        <v>19</v>
      </c>
      <c r="H18" s="38">
        <v>2</v>
      </c>
      <c r="I18" s="38">
        <v>35</v>
      </c>
      <c r="J18" s="38">
        <v>24</v>
      </c>
      <c r="K18" s="38">
        <v>7</v>
      </c>
      <c r="L18" s="38">
        <v>28</v>
      </c>
      <c r="M18" s="38">
        <v>24</v>
      </c>
      <c r="N18" s="38">
        <v>3</v>
      </c>
      <c r="O18" s="39">
        <f t="shared" si="4"/>
        <v>0.13802083333333337</v>
      </c>
      <c r="P18" s="40">
        <f>((Table24[[#This Row],[Com Apr]]/$W$2)-(Table24[[#This Row],[Com Mar]]/$Y$2))*$X$2</f>
        <v>3.0244565217391308</v>
      </c>
      <c r="Q18" s="39">
        <f t="shared" si="0"/>
        <v>0</v>
      </c>
      <c r="R18" s="40">
        <f>Table24[[#This Row],[Com Mar]]-Table24[[#This Row],[Com Feb]]</f>
        <v>0</v>
      </c>
      <c r="S18" s="41">
        <f t="shared" si="1"/>
        <v>6</v>
      </c>
      <c r="T18" s="41">
        <f t="shared" si="2"/>
        <v>4</v>
      </c>
      <c r="U18" s="41">
        <f t="shared" si="5"/>
        <v>1</v>
      </c>
    </row>
    <row r="19" spans="1:21" x14ac:dyDescent="0.25">
      <c r="A19" s="31" t="s">
        <v>541</v>
      </c>
      <c r="B19" s="26" t="s">
        <v>610</v>
      </c>
      <c r="C19" s="26" t="s">
        <v>698</v>
      </c>
      <c r="D19" s="35">
        <v>1992949770</v>
      </c>
      <c r="E19" s="36" t="str">
        <f>_xlfn.IFNA(VLOOKUP(Table24[[#This Row],[NPI]],'CM Assignments'!$D$1:$E$185,2,FALSE),_xlfn.IFNA(VLOOKUP(Table24[[#This Row],[Last]],'CM Assignments'!$B$1:$E$185,4,FALSE),"N/A"))</f>
        <v>Amanda Fedro</v>
      </c>
      <c r="F19" s="37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1</v>
      </c>
      <c r="M19" s="38">
        <v>1</v>
      </c>
      <c r="N19" s="38">
        <v>0</v>
      </c>
      <c r="O19" s="39" t="str">
        <f t="shared" si="4"/>
        <v>N/A</v>
      </c>
      <c r="P19" s="40">
        <f>((Table24[[#This Row],[Com Apr]]/$W$2)-(Table24[[#This Row],[Com Mar]]/$Y$2))*$X$2</f>
        <v>0</v>
      </c>
      <c r="Q19" s="39">
        <f t="shared" si="0"/>
        <v>-1</v>
      </c>
      <c r="R19" s="40">
        <f>Table24[[#This Row],[Com Mar]]-Table24[[#This Row],[Com Feb]]</f>
        <v>-1</v>
      </c>
      <c r="S19" s="41">
        <f t="shared" si="1"/>
        <v>0</v>
      </c>
      <c r="T19" s="41">
        <f t="shared" si="2"/>
        <v>0</v>
      </c>
      <c r="U19" s="41">
        <f t="shared" si="5"/>
        <v>0</v>
      </c>
    </row>
    <row r="20" spans="1:21" x14ac:dyDescent="0.25">
      <c r="A20" s="31" t="s">
        <v>542</v>
      </c>
      <c r="B20" s="26" t="s">
        <v>611</v>
      </c>
      <c r="C20" s="26" t="s">
        <v>699</v>
      </c>
      <c r="D20" s="35">
        <v>1972796613</v>
      </c>
      <c r="E20" s="36" t="str">
        <f>_xlfn.IFNA(VLOOKUP(Table24[[#This Row],[NPI]],'CM Assignments'!$D$1:$E$185,2,FALSE),_xlfn.IFNA(VLOOKUP(Table24[[#This Row],[Last]],'CM Assignments'!$B$1:$E$185,4,FALSE),"N/A"))</f>
        <v>N/A</v>
      </c>
      <c r="F20" s="37">
        <v>0</v>
      </c>
      <c r="G20" s="38">
        <v>0</v>
      </c>
      <c r="H20" s="38">
        <v>0</v>
      </c>
      <c r="I20" s="38">
        <v>0</v>
      </c>
      <c r="J20" s="38">
        <v>0</v>
      </c>
      <c r="K20" s="38">
        <v>0</v>
      </c>
      <c r="L20" s="38">
        <v>1</v>
      </c>
      <c r="M20" s="38">
        <v>1</v>
      </c>
      <c r="N20" s="38">
        <v>0</v>
      </c>
      <c r="O20" s="39" t="str">
        <f t="shared" si="4"/>
        <v>N/A</v>
      </c>
      <c r="P20" s="40">
        <f>((Table24[[#This Row],[Com Apr]]/$W$2)-(Table24[[#This Row],[Com Mar]]/$Y$2))*$X$2</f>
        <v>0</v>
      </c>
      <c r="Q20" s="39">
        <f t="shared" si="0"/>
        <v>-1</v>
      </c>
      <c r="R20" s="40">
        <f>Table24[[#This Row],[Com Mar]]-Table24[[#This Row],[Com Feb]]</f>
        <v>-1</v>
      </c>
      <c r="S20" s="41">
        <f t="shared" si="1"/>
        <v>0</v>
      </c>
      <c r="T20" s="41">
        <f t="shared" si="2"/>
        <v>0</v>
      </c>
      <c r="U20" s="41">
        <f t="shared" si="5"/>
        <v>0</v>
      </c>
    </row>
    <row r="21" spans="1:21" x14ac:dyDescent="0.25">
      <c r="A21" s="31" t="s">
        <v>543</v>
      </c>
      <c r="B21" s="26" t="s">
        <v>612</v>
      </c>
      <c r="C21" s="26" t="s">
        <v>700</v>
      </c>
      <c r="D21" s="35">
        <v>1134136252</v>
      </c>
      <c r="E21" s="36" t="str">
        <f>_xlfn.IFNA(VLOOKUP(Table24[[#This Row],[NPI]],'CM Assignments'!$D$1:$E$185,2,FALSE),_xlfn.IFNA(VLOOKUP(Table24[[#This Row],[Last]],'CM Assignments'!$B$1:$E$185,4,FALSE),"N/A"))</f>
        <v>Christy Sanantonio</v>
      </c>
      <c r="F21" s="37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4</v>
      </c>
      <c r="M21" s="38">
        <v>2</v>
      </c>
      <c r="N21" s="38">
        <v>0</v>
      </c>
      <c r="O21" s="39" t="str">
        <f t="shared" si="4"/>
        <v>N/A</v>
      </c>
      <c r="P21" s="40">
        <f>((Table24[[#This Row],[Com Apr]]/$W$2)-(Table24[[#This Row],[Com Mar]]/$Y$2))*$X$2</f>
        <v>0</v>
      </c>
      <c r="Q21" s="39">
        <f t="shared" si="0"/>
        <v>-1</v>
      </c>
      <c r="R21" s="40">
        <f>Table24[[#This Row],[Com Mar]]-Table24[[#This Row],[Com Feb]]</f>
        <v>-2</v>
      </c>
      <c r="S21" s="41">
        <f t="shared" si="1"/>
        <v>0</v>
      </c>
      <c r="T21" s="41">
        <f t="shared" si="2"/>
        <v>0</v>
      </c>
      <c r="U21" s="41">
        <f t="shared" si="5"/>
        <v>2</v>
      </c>
    </row>
    <row r="22" spans="1:21" x14ac:dyDescent="0.25">
      <c r="A22" s="31" t="s">
        <v>544</v>
      </c>
      <c r="B22" s="26" t="s">
        <v>613</v>
      </c>
      <c r="C22" s="26" t="s">
        <v>701</v>
      </c>
      <c r="D22" s="35">
        <v>1588642532</v>
      </c>
      <c r="E22" s="36" t="str">
        <f>_xlfn.IFNA(VLOOKUP(Table24[[#This Row],[NPI]],'CM Assignments'!$D$1:$E$185,2,FALSE),_xlfn.IFNA(VLOOKUP(Table24[[#This Row],[Last]],'CM Assignments'!$B$1:$E$185,4,FALSE),"N/A"))</f>
        <v>Christy Sanantonio</v>
      </c>
      <c r="F22" s="37">
        <v>26</v>
      </c>
      <c r="G22" s="38">
        <v>25</v>
      </c>
      <c r="H22" s="38">
        <v>1</v>
      </c>
      <c r="I22" s="38">
        <v>44</v>
      </c>
      <c r="J22" s="38">
        <v>42</v>
      </c>
      <c r="K22" s="38">
        <v>2</v>
      </c>
      <c r="L22" s="38">
        <v>47</v>
      </c>
      <c r="M22" s="38">
        <v>47</v>
      </c>
      <c r="N22" s="38">
        <v>0</v>
      </c>
      <c r="O22" s="39">
        <f t="shared" si="4"/>
        <v>-0.14434523809523805</v>
      </c>
      <c r="P22" s="40">
        <f>((Table24[[#This Row],[Com Apr]]/$W$2)-(Table24[[#This Row],[Com Mar]]/$Y$2))*$X$2</f>
        <v>-5.5353260869565197</v>
      </c>
      <c r="Q22" s="39">
        <f t="shared" si="0"/>
        <v>-0.10638297872340426</v>
      </c>
      <c r="R22" s="40">
        <f>Table24[[#This Row],[Com Mar]]-Table24[[#This Row],[Com Feb]]</f>
        <v>-5</v>
      </c>
      <c r="S22" s="41">
        <f t="shared" si="1"/>
        <v>0</v>
      </c>
      <c r="T22" s="41">
        <f t="shared" si="2"/>
        <v>0</v>
      </c>
      <c r="U22" s="41">
        <f t="shared" si="5"/>
        <v>0</v>
      </c>
    </row>
    <row r="23" spans="1:21" x14ac:dyDescent="0.25">
      <c r="A23" s="31" t="s">
        <v>667</v>
      </c>
      <c r="B23" s="26" t="s">
        <v>672</v>
      </c>
      <c r="C23" s="26" t="s">
        <v>682</v>
      </c>
      <c r="D23" s="35">
        <v>1932466331</v>
      </c>
      <c r="E23" s="36" t="str">
        <f>_xlfn.IFNA(VLOOKUP(Table24[[#This Row],[NPI]],'CM Assignments'!$D$1:$E$185,2,FALSE),_xlfn.IFNA(VLOOKUP(Table24[[#This Row],[Last]],'CM Assignments'!$B$1:$E$185,4,FALSE),"N/A"))</f>
        <v>N/A</v>
      </c>
      <c r="F23" s="37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9" t="str">
        <f t="shared" si="4"/>
        <v>N/A</v>
      </c>
      <c r="P23" s="40">
        <f>((Table24[[#This Row],[Com Apr]]/$W$2)-(Table24[[#This Row],[Com Mar]]/$Y$2))*$X$2</f>
        <v>0</v>
      </c>
      <c r="Q23" s="39" t="str">
        <f t="shared" si="0"/>
        <v>N/A</v>
      </c>
      <c r="R23" s="40">
        <f>Table24[[#This Row],[Com Mar]]-Table24[[#This Row],[Com Feb]]</f>
        <v>0</v>
      </c>
      <c r="S23" s="41">
        <f t="shared" si="1"/>
        <v>0</v>
      </c>
      <c r="T23" s="41">
        <f t="shared" si="2"/>
        <v>0</v>
      </c>
      <c r="U23" s="41">
        <f t="shared" si="5"/>
        <v>0</v>
      </c>
    </row>
    <row r="24" spans="1:21" x14ac:dyDescent="0.25">
      <c r="A24" s="31" t="s">
        <v>545</v>
      </c>
      <c r="B24" s="26" t="s">
        <v>614</v>
      </c>
      <c r="C24" s="26" t="s">
        <v>702</v>
      </c>
      <c r="D24" s="35">
        <v>1346500584</v>
      </c>
      <c r="E24" s="36" t="str">
        <f>_xlfn.IFNA(VLOOKUP(Table24[[#This Row],[NPI]],'CM Assignments'!$D$1:$E$185,2,FALSE),_xlfn.IFNA(VLOOKUP(Table24[[#This Row],[Last]],'CM Assignments'!$B$1:$E$185,4,FALSE),"N/A"))</f>
        <v>Christy Sanantonio</v>
      </c>
      <c r="F24" s="37">
        <v>1</v>
      </c>
      <c r="G24" s="38">
        <v>0</v>
      </c>
      <c r="H24" s="38">
        <v>0</v>
      </c>
      <c r="I24" s="38">
        <v>11</v>
      </c>
      <c r="J24" s="38">
        <v>11</v>
      </c>
      <c r="K24" s="38">
        <v>0</v>
      </c>
      <c r="L24" s="38">
        <v>33</v>
      </c>
      <c r="M24" s="38">
        <v>32</v>
      </c>
      <c r="N24" s="38">
        <v>1</v>
      </c>
      <c r="O24" s="39">
        <f t="shared" si="4"/>
        <v>-1</v>
      </c>
      <c r="P24" s="40">
        <f>((Table24[[#This Row],[Com Apr]]/$W$2)-(Table24[[#This Row],[Com Mar]]/$Y$2))*$X$2</f>
        <v>-10.043478260869566</v>
      </c>
      <c r="Q24" s="39">
        <f t="shared" si="0"/>
        <v>-0.65625</v>
      </c>
      <c r="R24" s="40">
        <f>Table24[[#This Row],[Com Mar]]-Table24[[#This Row],[Com Feb]]</f>
        <v>-21</v>
      </c>
      <c r="S24" s="41">
        <f t="shared" si="1"/>
        <v>1</v>
      </c>
      <c r="T24" s="41">
        <f t="shared" si="2"/>
        <v>0</v>
      </c>
      <c r="U24" s="41">
        <f t="shared" si="5"/>
        <v>0</v>
      </c>
    </row>
    <row r="25" spans="1:21" x14ac:dyDescent="0.25">
      <c r="A25" s="31" t="s">
        <v>546</v>
      </c>
      <c r="B25" s="26" t="s">
        <v>615</v>
      </c>
      <c r="C25" s="26" t="s">
        <v>703</v>
      </c>
      <c r="D25" s="35">
        <v>1508063132</v>
      </c>
      <c r="E25" s="36" t="str">
        <f>_xlfn.IFNA(VLOOKUP(Table24[[#This Row],[NPI]],'CM Assignments'!$D$1:$E$185,2,FALSE),_xlfn.IFNA(VLOOKUP(Table24[[#This Row],[Last]],'CM Assignments'!$B$1:$E$185,4,FALSE),"N/A"))</f>
        <v>Whitney Poe</v>
      </c>
      <c r="F25" s="37">
        <v>15</v>
      </c>
      <c r="G25" s="38">
        <v>14</v>
      </c>
      <c r="H25" s="38">
        <v>1</v>
      </c>
      <c r="I25" s="38">
        <v>21</v>
      </c>
      <c r="J25" s="38">
        <v>18</v>
      </c>
      <c r="K25" s="38">
        <v>1</v>
      </c>
      <c r="L25" s="38">
        <v>28</v>
      </c>
      <c r="M25" s="38">
        <v>26</v>
      </c>
      <c r="N25" s="38">
        <v>2</v>
      </c>
      <c r="O25" s="39">
        <f t="shared" si="4"/>
        <v>0.11805555555555551</v>
      </c>
      <c r="P25" s="40">
        <f>((Table24[[#This Row],[Com Apr]]/$W$2)-(Table24[[#This Row],[Com Mar]]/$Y$2))*$X$2</f>
        <v>1.9402173913043472</v>
      </c>
      <c r="Q25" s="39">
        <f t="shared" si="0"/>
        <v>-0.30769230769230771</v>
      </c>
      <c r="R25" s="40">
        <f>Table24[[#This Row],[Com Mar]]-Table24[[#This Row],[Com Feb]]</f>
        <v>-8</v>
      </c>
      <c r="S25" s="41">
        <f t="shared" si="1"/>
        <v>0</v>
      </c>
      <c r="T25" s="41">
        <f t="shared" si="2"/>
        <v>2</v>
      </c>
      <c r="U25" s="41">
        <f t="shared" si="5"/>
        <v>0</v>
      </c>
    </row>
    <row r="26" spans="1:21" x14ac:dyDescent="0.25">
      <c r="A26" s="31" t="s">
        <v>547</v>
      </c>
      <c r="B26" s="26" t="s">
        <v>616</v>
      </c>
      <c r="C26" s="26" t="s">
        <v>704</v>
      </c>
      <c r="D26" s="35">
        <v>1881958940</v>
      </c>
      <c r="E26" s="36" t="str">
        <f>_xlfn.IFNA(VLOOKUP(Table24[[#This Row],[NPI]],'CM Assignments'!$D$1:$E$185,2,FALSE),_xlfn.IFNA(VLOOKUP(Table24[[#This Row],[Last]],'CM Assignments'!$B$1:$E$185,4,FALSE),"N/A"))</f>
        <v>Christy Sanantonio</v>
      </c>
      <c r="F26" s="37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8">
        <v>7</v>
      </c>
      <c r="M26" s="38">
        <v>1</v>
      </c>
      <c r="N26" s="38">
        <v>6</v>
      </c>
      <c r="O26" s="39" t="str">
        <f t="shared" si="4"/>
        <v>N/A</v>
      </c>
      <c r="P26" s="40">
        <f>((Table24[[#This Row],[Com Apr]]/$W$2)-(Table24[[#This Row],[Com Mar]]/$Y$2))*$X$2</f>
        <v>0</v>
      </c>
      <c r="Q26" s="39">
        <f t="shared" si="0"/>
        <v>-1</v>
      </c>
      <c r="R26" s="40">
        <f>Table24[[#This Row],[Com Mar]]-Table24[[#This Row],[Com Feb]]</f>
        <v>-1</v>
      </c>
      <c r="S26" s="41">
        <f t="shared" si="1"/>
        <v>0</v>
      </c>
      <c r="T26" s="41">
        <f t="shared" si="2"/>
        <v>0</v>
      </c>
      <c r="U26" s="41">
        <f t="shared" si="5"/>
        <v>0</v>
      </c>
    </row>
    <row r="27" spans="1:21" x14ac:dyDescent="0.25">
      <c r="A27" s="31" t="s">
        <v>548</v>
      </c>
      <c r="B27" s="26" t="s">
        <v>617</v>
      </c>
      <c r="C27" s="26" t="s">
        <v>705</v>
      </c>
      <c r="D27" s="35">
        <v>1740476191</v>
      </c>
      <c r="E27" s="36" t="str">
        <f>_xlfn.IFNA(VLOOKUP(Table24[[#This Row],[NPI]],'CM Assignments'!$D$1:$E$185,2,FALSE),_xlfn.IFNA(VLOOKUP(Table24[[#This Row],[Last]],'CM Assignments'!$B$1:$E$185,4,FALSE),"N/A"))</f>
        <v>Whitney Poe</v>
      </c>
      <c r="F27" s="37">
        <v>20</v>
      </c>
      <c r="G27" s="38">
        <v>15</v>
      </c>
      <c r="H27" s="38">
        <v>5</v>
      </c>
      <c r="I27" s="38">
        <v>53</v>
      </c>
      <c r="J27" s="38">
        <v>48</v>
      </c>
      <c r="K27" s="38">
        <v>4</v>
      </c>
      <c r="L27" s="38">
        <v>53</v>
      </c>
      <c r="M27" s="38">
        <v>50</v>
      </c>
      <c r="N27" s="38">
        <v>3</v>
      </c>
      <c r="O27" s="39">
        <f t="shared" si="4"/>
        <v>-0.55078125</v>
      </c>
      <c r="P27" s="40">
        <f>((Table24[[#This Row],[Com Apr]]/$W$2)-(Table24[[#This Row],[Com Mar]]/$Y$2))*$X$2</f>
        <v>-24.138586956521738</v>
      </c>
      <c r="Q27" s="39">
        <f t="shared" si="0"/>
        <v>-0.04</v>
      </c>
      <c r="R27" s="40">
        <f>Table24[[#This Row],[Com Mar]]-Table24[[#This Row],[Com Feb]]</f>
        <v>-2</v>
      </c>
      <c r="S27" s="41">
        <f t="shared" si="1"/>
        <v>0</v>
      </c>
      <c r="T27" s="41">
        <f t="shared" si="2"/>
        <v>1</v>
      </c>
      <c r="U27" s="41">
        <f t="shared" si="5"/>
        <v>0</v>
      </c>
    </row>
    <row r="28" spans="1:21" x14ac:dyDescent="0.25">
      <c r="A28" s="31" t="s">
        <v>549</v>
      </c>
      <c r="B28" s="26" t="s">
        <v>525</v>
      </c>
      <c r="C28" s="26" t="s">
        <v>706</v>
      </c>
      <c r="D28" s="35">
        <v>1578519757</v>
      </c>
      <c r="E28" s="36" t="str">
        <f>_xlfn.IFNA(VLOOKUP(Table24[[#This Row],[NPI]],'CM Assignments'!$D$1:$E$185,2,FALSE),_xlfn.IFNA(VLOOKUP(Table24[[#This Row],[Last]],'CM Assignments'!$B$1:$E$185,4,FALSE),"N/A"))</f>
        <v>Amanda Fedro</v>
      </c>
      <c r="F28" s="37">
        <v>18</v>
      </c>
      <c r="G28" s="38">
        <v>17</v>
      </c>
      <c r="H28" s="38">
        <v>1</v>
      </c>
      <c r="I28" s="38">
        <v>2</v>
      </c>
      <c r="J28" s="38">
        <v>2</v>
      </c>
      <c r="K28" s="38">
        <v>0</v>
      </c>
      <c r="L28" s="38">
        <v>13</v>
      </c>
      <c r="M28" s="38">
        <v>12</v>
      </c>
      <c r="N28" s="38">
        <v>0</v>
      </c>
      <c r="O28" s="39">
        <f t="shared" si="4"/>
        <v>11.218750000000002</v>
      </c>
      <c r="P28" s="40">
        <f>((Table24[[#This Row],[Com Apr]]/$W$2)-(Table24[[#This Row],[Com Mar]]/$Y$2))*$X$2</f>
        <v>20.486413043478262</v>
      </c>
      <c r="Q28" s="39">
        <f t="shared" si="0"/>
        <v>-0.83333333333333337</v>
      </c>
      <c r="R28" s="40">
        <f>Table24[[#This Row],[Com Mar]]-Table24[[#This Row],[Com Feb]]</f>
        <v>-10</v>
      </c>
      <c r="S28" s="41">
        <f t="shared" si="1"/>
        <v>0</v>
      </c>
      <c r="T28" s="41">
        <f t="shared" si="2"/>
        <v>0</v>
      </c>
      <c r="U28" s="41">
        <f t="shared" si="5"/>
        <v>1</v>
      </c>
    </row>
    <row r="29" spans="1:21" x14ac:dyDescent="0.25">
      <c r="A29" s="31" t="s">
        <v>550</v>
      </c>
      <c r="B29" s="26" t="s">
        <v>618</v>
      </c>
      <c r="C29" s="26" t="s">
        <v>707</v>
      </c>
      <c r="D29" s="35">
        <v>1023244431</v>
      </c>
      <c r="E29" s="36" t="str">
        <f>_xlfn.IFNA(VLOOKUP(Table24[[#This Row],[NPI]],'CM Assignments'!$D$1:$E$185,2,FALSE),_xlfn.IFNA(VLOOKUP(Table24[[#This Row],[Last]],'CM Assignments'!$B$1:$E$185,4,FALSE),"N/A"))</f>
        <v>Whitney Poe</v>
      </c>
      <c r="F29" s="37">
        <v>0</v>
      </c>
      <c r="G29" s="38">
        <v>0</v>
      </c>
      <c r="H29" s="38">
        <v>0</v>
      </c>
      <c r="I29" s="38">
        <v>6</v>
      </c>
      <c r="J29" s="38">
        <v>4</v>
      </c>
      <c r="K29" s="38">
        <v>2</v>
      </c>
      <c r="L29" s="38">
        <v>10</v>
      </c>
      <c r="M29" s="38">
        <v>9</v>
      </c>
      <c r="N29" s="38">
        <v>1</v>
      </c>
      <c r="O29" s="39">
        <f t="shared" si="4"/>
        <v>-1</v>
      </c>
      <c r="P29" s="40">
        <f>((Table24[[#This Row],[Com Apr]]/$W$2)-(Table24[[#This Row],[Com Mar]]/$Y$2))*$X$2</f>
        <v>-3.652173913043478</v>
      </c>
      <c r="Q29" s="39">
        <f t="shared" si="0"/>
        <v>-0.55555555555555558</v>
      </c>
      <c r="R29" s="40">
        <f>Table24[[#This Row],[Com Mar]]-Table24[[#This Row],[Com Feb]]</f>
        <v>-5</v>
      </c>
      <c r="S29" s="41">
        <f t="shared" si="1"/>
        <v>0</v>
      </c>
      <c r="T29" s="41">
        <f t="shared" si="2"/>
        <v>0</v>
      </c>
      <c r="U29" s="41">
        <f t="shared" si="5"/>
        <v>0</v>
      </c>
    </row>
    <row r="30" spans="1:21" x14ac:dyDescent="0.25">
      <c r="A30" s="31" t="s">
        <v>551</v>
      </c>
      <c r="B30" s="26" t="s">
        <v>619</v>
      </c>
      <c r="C30" s="26" t="s">
        <v>692</v>
      </c>
      <c r="D30" s="35">
        <v>1073541819</v>
      </c>
      <c r="E30" s="36" t="str">
        <f>_xlfn.IFNA(VLOOKUP(Table24[[#This Row],[NPI]],'CM Assignments'!$D$1:$E$185,2,FALSE),_xlfn.IFNA(VLOOKUP(Table24[[#This Row],[Last]],'CM Assignments'!$B$1:$E$185,4,FALSE),"N/A"))</f>
        <v>Christy Sanantonio</v>
      </c>
      <c r="F30" s="37">
        <v>4</v>
      </c>
      <c r="G30" s="38">
        <v>3</v>
      </c>
      <c r="H30" s="38">
        <v>0</v>
      </c>
      <c r="I30" s="38">
        <v>4</v>
      </c>
      <c r="J30" s="38">
        <v>3</v>
      </c>
      <c r="K30" s="38">
        <v>1</v>
      </c>
      <c r="L30" s="38">
        <v>6</v>
      </c>
      <c r="M30" s="38">
        <v>2</v>
      </c>
      <c r="N30" s="38">
        <v>2</v>
      </c>
      <c r="O30" s="39">
        <f t="shared" si="4"/>
        <v>0.43750000000000006</v>
      </c>
      <c r="P30" s="40">
        <f>((Table24[[#This Row],[Com Apr]]/$W$2)-(Table24[[#This Row],[Com Mar]]/$Y$2))*$X$2</f>
        <v>1.1983695652173914</v>
      </c>
      <c r="Q30" s="39">
        <f t="shared" si="0"/>
        <v>0.5</v>
      </c>
      <c r="R30" s="40">
        <f>Table24[[#This Row],[Com Mar]]-Table24[[#This Row],[Com Feb]]</f>
        <v>1</v>
      </c>
      <c r="S30" s="41">
        <f t="shared" si="1"/>
        <v>1</v>
      </c>
      <c r="T30" s="41">
        <f t="shared" si="2"/>
        <v>0</v>
      </c>
      <c r="U30" s="41">
        <f t="shared" si="5"/>
        <v>2</v>
      </c>
    </row>
    <row r="31" spans="1:21" x14ac:dyDescent="0.25">
      <c r="A31" s="31" t="s">
        <v>553</v>
      </c>
      <c r="B31" s="26" t="s">
        <v>621</v>
      </c>
      <c r="C31" s="26" t="s">
        <v>708</v>
      </c>
      <c r="D31" s="35">
        <v>1003164146</v>
      </c>
      <c r="E31" s="36" t="str">
        <f>_xlfn.IFNA(VLOOKUP(Table24[[#This Row],[NPI]],'CM Assignments'!$D$1:$E$185,2,FALSE),_xlfn.IFNA(VLOOKUP(Table24[[#This Row],[Last]],'CM Assignments'!$B$1:$E$185,4,FALSE),"N/A"))</f>
        <v>Christy Sanantonio</v>
      </c>
      <c r="F31" s="37">
        <v>2</v>
      </c>
      <c r="G31" s="38">
        <v>2</v>
      </c>
      <c r="H31" s="38">
        <v>0</v>
      </c>
      <c r="I31" s="38">
        <v>2</v>
      </c>
      <c r="J31" s="38">
        <v>2</v>
      </c>
      <c r="K31" s="38">
        <v>0</v>
      </c>
      <c r="L31" s="38">
        <v>3</v>
      </c>
      <c r="M31" s="38">
        <v>3</v>
      </c>
      <c r="N31" s="38">
        <v>0</v>
      </c>
      <c r="O31" s="39">
        <f t="shared" si="4"/>
        <v>0.43750000000000006</v>
      </c>
      <c r="P31" s="40">
        <f>((Table24[[#This Row],[Com Apr]]/$W$2)-(Table24[[#This Row],[Com Mar]]/$Y$2))*$X$2</f>
        <v>0.79891304347826098</v>
      </c>
      <c r="Q31" s="39">
        <f t="shared" si="0"/>
        <v>-0.33333333333333331</v>
      </c>
      <c r="R31" s="40">
        <f>Table24[[#This Row],[Com Mar]]-Table24[[#This Row],[Com Feb]]</f>
        <v>-1</v>
      </c>
      <c r="S31" s="41">
        <f t="shared" si="1"/>
        <v>0</v>
      </c>
      <c r="T31" s="41">
        <f t="shared" si="2"/>
        <v>0</v>
      </c>
      <c r="U31" s="41">
        <f t="shared" si="5"/>
        <v>0</v>
      </c>
    </row>
    <row r="32" spans="1:21" x14ac:dyDescent="0.25">
      <c r="A32" s="31" t="s">
        <v>555</v>
      </c>
      <c r="B32" s="26" t="s">
        <v>623</v>
      </c>
      <c r="C32" s="26" t="s">
        <v>710</v>
      </c>
      <c r="D32" s="35">
        <v>1891003109</v>
      </c>
      <c r="E32" s="36" t="str">
        <f>_xlfn.IFNA(VLOOKUP(Table24[[#This Row],[NPI]],'CM Assignments'!$D$1:$E$185,2,FALSE),_xlfn.IFNA(VLOOKUP(Table24[[#This Row],[Last]],'CM Assignments'!$B$1:$E$185,4,FALSE),"N/A"))</f>
        <v>N/A</v>
      </c>
      <c r="F32" s="37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3</v>
      </c>
      <c r="M32" s="38">
        <v>3</v>
      </c>
      <c r="N32" s="38">
        <v>0</v>
      </c>
      <c r="O32" s="39" t="str">
        <f t="shared" si="4"/>
        <v>N/A</v>
      </c>
      <c r="P32" s="40">
        <f>((Table24[[#This Row],[Com Apr]]/$W$2)-(Table24[[#This Row],[Com Mar]]/$Y$2))*$X$2</f>
        <v>0</v>
      </c>
      <c r="Q32" s="39">
        <f t="shared" si="0"/>
        <v>-1</v>
      </c>
      <c r="R32" s="40">
        <f>Table24[[#This Row],[Com Mar]]-Table24[[#This Row],[Com Feb]]</f>
        <v>-3</v>
      </c>
      <c r="S32" s="41">
        <f t="shared" si="1"/>
        <v>0</v>
      </c>
      <c r="T32" s="41">
        <f t="shared" si="2"/>
        <v>0</v>
      </c>
      <c r="U32" s="41">
        <f t="shared" si="5"/>
        <v>0</v>
      </c>
    </row>
    <row r="33" spans="1:21" x14ac:dyDescent="0.25">
      <c r="A33" s="31" t="s">
        <v>556</v>
      </c>
      <c r="B33" s="26" t="s">
        <v>624</v>
      </c>
      <c r="C33" s="26" t="s">
        <v>711</v>
      </c>
      <c r="D33" s="35">
        <v>1356651301</v>
      </c>
      <c r="E33" s="36" t="str">
        <f>_xlfn.IFNA(VLOOKUP(Table24[[#This Row],[NPI]],'CM Assignments'!$D$1:$E$185,2,FALSE),_xlfn.IFNA(VLOOKUP(Table24[[#This Row],[Last]],'CM Assignments'!$B$1:$E$185,4,FALSE),"N/A"))</f>
        <v>Dan Vitasovic</v>
      </c>
      <c r="F33" s="37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9" t="str">
        <f t="shared" si="4"/>
        <v>N/A</v>
      </c>
      <c r="P33" s="40">
        <f>((Table24[[#This Row],[Com Apr]]/$W$2)-(Table24[[#This Row],[Com Mar]]/$Y$2))*$X$2</f>
        <v>0</v>
      </c>
      <c r="Q33" s="39" t="str">
        <f t="shared" si="0"/>
        <v>N/A</v>
      </c>
      <c r="R33" s="40">
        <f>Table24[[#This Row],[Com Mar]]-Table24[[#This Row],[Com Feb]]</f>
        <v>0</v>
      </c>
      <c r="S33" s="41">
        <f t="shared" si="1"/>
        <v>0</v>
      </c>
      <c r="T33" s="41">
        <f t="shared" si="2"/>
        <v>0</v>
      </c>
      <c r="U33" s="41">
        <f t="shared" si="5"/>
        <v>0</v>
      </c>
    </row>
    <row r="34" spans="1:21" x14ac:dyDescent="0.25">
      <c r="A34" s="31" t="s">
        <v>557</v>
      </c>
      <c r="B34" s="26" t="s">
        <v>625</v>
      </c>
      <c r="C34" s="26" t="s">
        <v>712</v>
      </c>
      <c r="D34" s="35">
        <v>1740536598</v>
      </c>
      <c r="E34" s="36" t="str">
        <f>_xlfn.IFNA(VLOOKUP(Table24[[#This Row],[NPI]],'CM Assignments'!$D$1:$E$185,2,FALSE),_xlfn.IFNA(VLOOKUP(Table24[[#This Row],[Last]],'CM Assignments'!$B$1:$E$185,4,FALSE),"N/A"))</f>
        <v>Amanda Fedro</v>
      </c>
      <c r="F34" s="37">
        <v>7</v>
      </c>
      <c r="G34" s="38">
        <v>7</v>
      </c>
      <c r="H34" s="38">
        <v>0</v>
      </c>
      <c r="I34" s="38">
        <v>4</v>
      </c>
      <c r="J34" s="38">
        <v>4</v>
      </c>
      <c r="K34" s="38">
        <v>0</v>
      </c>
      <c r="L34" s="38">
        <v>6</v>
      </c>
      <c r="M34" s="38">
        <v>5</v>
      </c>
      <c r="N34" s="38">
        <v>1</v>
      </c>
      <c r="O34" s="39">
        <f t="shared" si="4"/>
        <v>1.515625</v>
      </c>
      <c r="P34" s="40">
        <f>((Table24[[#This Row],[Com Apr]]/$W$2)-(Table24[[#This Row],[Com Mar]]/$Y$2))*$X$2</f>
        <v>5.5353260869565215</v>
      </c>
      <c r="Q34" s="39">
        <f t="shared" si="0"/>
        <v>-0.2</v>
      </c>
      <c r="R34" s="40">
        <f>Table24[[#This Row],[Com Mar]]-Table24[[#This Row],[Com Feb]]</f>
        <v>-1</v>
      </c>
      <c r="S34" s="41">
        <f t="shared" si="1"/>
        <v>0</v>
      </c>
      <c r="T34" s="41">
        <f t="shared" si="2"/>
        <v>0</v>
      </c>
      <c r="U34" s="41">
        <f t="shared" si="5"/>
        <v>0</v>
      </c>
    </row>
    <row r="35" spans="1:21" x14ac:dyDescent="0.25">
      <c r="A35" s="31" t="s">
        <v>558</v>
      </c>
      <c r="B35" s="26" t="s">
        <v>626</v>
      </c>
      <c r="C35" s="26" t="s">
        <v>713</v>
      </c>
      <c r="D35" s="35">
        <v>1003144593</v>
      </c>
      <c r="E35" s="36" t="str">
        <f>_xlfn.IFNA(VLOOKUP(Table24[[#This Row],[NPI]],'CM Assignments'!$D$1:$E$185,2,FALSE),_xlfn.IFNA(VLOOKUP(Table24[[#This Row],[Last]],'CM Assignments'!$B$1:$E$185,4,FALSE),"N/A"))</f>
        <v>Christy Sanantonio</v>
      </c>
      <c r="F35" s="37">
        <v>3</v>
      </c>
      <c r="G35" s="38">
        <v>2</v>
      </c>
      <c r="H35" s="38">
        <v>0</v>
      </c>
      <c r="I35" s="38">
        <v>4</v>
      </c>
      <c r="J35" s="38">
        <v>2</v>
      </c>
      <c r="K35" s="38">
        <v>0</v>
      </c>
      <c r="L35" s="38">
        <v>1</v>
      </c>
      <c r="M35" s="38">
        <v>1</v>
      </c>
      <c r="N35" s="38">
        <v>0</v>
      </c>
      <c r="O35" s="39">
        <f t="shared" si="4"/>
        <v>0.43750000000000006</v>
      </c>
      <c r="P35" s="40">
        <f>((Table24[[#This Row],[Com Apr]]/$W$2)-(Table24[[#This Row],[Com Mar]]/$Y$2))*$X$2</f>
        <v>0.79891304347826098</v>
      </c>
      <c r="Q35" s="39">
        <f t="shared" si="0"/>
        <v>1</v>
      </c>
      <c r="R35" s="40">
        <f>Table24[[#This Row],[Com Mar]]-Table24[[#This Row],[Com Feb]]</f>
        <v>1</v>
      </c>
      <c r="S35" s="41">
        <f t="shared" si="1"/>
        <v>1</v>
      </c>
      <c r="T35" s="41">
        <f t="shared" si="2"/>
        <v>2</v>
      </c>
      <c r="U35" s="41">
        <f t="shared" si="5"/>
        <v>0</v>
      </c>
    </row>
    <row r="36" spans="1:21" x14ac:dyDescent="0.25">
      <c r="A36" s="31" t="s">
        <v>559</v>
      </c>
      <c r="B36" s="26" t="s">
        <v>627</v>
      </c>
      <c r="C36" s="26" t="s">
        <v>714</v>
      </c>
      <c r="D36" s="35">
        <v>1588828800</v>
      </c>
      <c r="E36" s="36" t="str">
        <f>_xlfn.IFNA(VLOOKUP(Table24[[#This Row],[NPI]],'CM Assignments'!$D$1:$E$185,2,FALSE),_xlfn.IFNA(VLOOKUP(Table24[[#This Row],[Last]],'CM Assignments'!$B$1:$E$185,4,FALSE),"N/A"))</f>
        <v>Amanda Fedro</v>
      </c>
      <c r="F36" s="37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9" t="str">
        <f t="shared" ref="O36:O67" si="6">IF(J36=0,"N/A",((G36/$W$2)-(J36/$Y$2))/(J36/$Y$2))</f>
        <v>N/A</v>
      </c>
      <c r="P36" s="40">
        <f>((Table24[[#This Row],[Com Apr]]/$W$2)-(Table24[[#This Row],[Com Mar]]/$Y$2))*$X$2</f>
        <v>0</v>
      </c>
      <c r="Q36" s="39" t="str">
        <f t="shared" ref="Q36:Q67" si="7">IF(M36=0,"N/A",((J36)-(M36))/(M36))</f>
        <v>N/A</v>
      </c>
      <c r="R36" s="40">
        <f>Table24[[#This Row],[Com Mar]]-Table24[[#This Row],[Com Feb]]</f>
        <v>0</v>
      </c>
      <c r="S36" s="41">
        <f t="shared" ref="S36:S67" si="8">F36-G36-H36</f>
        <v>0</v>
      </c>
      <c r="T36" s="41">
        <f t="shared" ref="T36:T67" si="9">I36-J36-K36</f>
        <v>0</v>
      </c>
      <c r="U36" s="41">
        <f t="shared" si="5"/>
        <v>0</v>
      </c>
    </row>
    <row r="37" spans="1:21" x14ac:dyDescent="0.25">
      <c r="A37" s="31" t="s">
        <v>560</v>
      </c>
      <c r="B37" s="26" t="s">
        <v>628</v>
      </c>
      <c r="C37" s="26" t="s">
        <v>715</v>
      </c>
      <c r="D37" s="35">
        <v>1275533457</v>
      </c>
      <c r="E37" s="36" t="str">
        <f>_xlfn.IFNA(VLOOKUP(Table24[[#This Row],[NPI]],'CM Assignments'!$D$1:$E$185,2,FALSE),_xlfn.IFNA(VLOOKUP(Table24[[#This Row],[Last]],'CM Assignments'!$B$1:$E$185,4,FALSE),"N/A"))</f>
        <v>Amanda Fedro</v>
      </c>
      <c r="F37" s="37">
        <v>1</v>
      </c>
      <c r="G37" s="38">
        <v>1</v>
      </c>
      <c r="H37" s="38">
        <v>0</v>
      </c>
      <c r="I37" s="38">
        <v>15</v>
      </c>
      <c r="J37" s="38">
        <v>13</v>
      </c>
      <c r="K37" s="38">
        <v>2</v>
      </c>
      <c r="L37" s="38">
        <v>15</v>
      </c>
      <c r="M37" s="38">
        <v>13</v>
      </c>
      <c r="N37" s="38">
        <v>2</v>
      </c>
      <c r="O37" s="39">
        <f t="shared" si="6"/>
        <v>-0.88942307692307687</v>
      </c>
      <c r="P37" s="40">
        <f>((Table24[[#This Row],[Com Apr]]/$W$2)-(Table24[[#This Row],[Com Mar]]/$Y$2))*$X$2</f>
        <v>-10.557065217391303</v>
      </c>
      <c r="Q37" s="39">
        <f t="shared" si="7"/>
        <v>0</v>
      </c>
      <c r="R37" s="40">
        <f>Table24[[#This Row],[Com Mar]]-Table24[[#This Row],[Com Feb]]</f>
        <v>0</v>
      </c>
      <c r="S37" s="41">
        <f t="shared" si="8"/>
        <v>0</v>
      </c>
      <c r="T37" s="41">
        <f t="shared" si="9"/>
        <v>0</v>
      </c>
      <c r="U37" s="41">
        <f t="shared" ref="U37:U69" si="10">L37-M37-N37</f>
        <v>0</v>
      </c>
    </row>
    <row r="38" spans="1:21" x14ac:dyDescent="0.25">
      <c r="A38" s="31" t="s">
        <v>561</v>
      </c>
      <c r="B38" s="26" t="s">
        <v>629</v>
      </c>
      <c r="C38" s="26" t="s">
        <v>716</v>
      </c>
      <c r="D38" s="35">
        <v>1831325026</v>
      </c>
      <c r="E38" s="36" t="str">
        <f>_xlfn.IFNA(VLOOKUP(Table24[[#This Row],[NPI]],'CM Assignments'!$D$1:$E$185,2,FALSE),_xlfn.IFNA(VLOOKUP(Table24[[#This Row],[Last]],'CM Assignments'!$B$1:$E$185,4,FALSE),"N/A"))</f>
        <v>Amanda Fedro</v>
      </c>
      <c r="F38" s="37">
        <v>1</v>
      </c>
      <c r="G38" s="38">
        <v>0</v>
      </c>
      <c r="H38" s="38">
        <v>0</v>
      </c>
      <c r="I38" s="38">
        <v>7</v>
      </c>
      <c r="J38" s="38">
        <v>0</v>
      </c>
      <c r="K38" s="38">
        <v>4</v>
      </c>
      <c r="L38" s="38">
        <v>8</v>
      </c>
      <c r="M38" s="38">
        <v>2</v>
      </c>
      <c r="N38" s="38">
        <v>6</v>
      </c>
      <c r="O38" s="39" t="str">
        <f t="shared" si="6"/>
        <v>N/A</v>
      </c>
      <c r="P38" s="40">
        <f>((Table24[[#This Row],[Com Apr]]/$W$2)-(Table24[[#This Row],[Com Mar]]/$Y$2))*$X$2</f>
        <v>0</v>
      </c>
      <c r="Q38" s="39">
        <f t="shared" si="7"/>
        <v>-1</v>
      </c>
      <c r="R38" s="40">
        <f>Table24[[#This Row],[Com Mar]]-Table24[[#This Row],[Com Feb]]</f>
        <v>-2</v>
      </c>
      <c r="S38" s="41">
        <f t="shared" si="8"/>
        <v>1</v>
      </c>
      <c r="T38" s="41">
        <f t="shared" si="9"/>
        <v>3</v>
      </c>
      <c r="U38" s="41">
        <f t="shared" si="10"/>
        <v>0</v>
      </c>
    </row>
    <row r="39" spans="1:21" x14ac:dyDescent="0.25">
      <c r="A39" s="31" t="s">
        <v>562</v>
      </c>
      <c r="B39" s="26" t="s">
        <v>630</v>
      </c>
      <c r="C39" s="26" t="s">
        <v>693</v>
      </c>
      <c r="D39" s="35">
        <v>1841459476</v>
      </c>
      <c r="E39" s="36" t="str">
        <f>_xlfn.IFNA(VLOOKUP(Table24[[#This Row],[NPI]],'CM Assignments'!$D$1:$E$185,2,FALSE),_xlfn.IFNA(VLOOKUP(Table24[[#This Row],[Last]],'CM Assignments'!$B$1:$E$185,4,FALSE),"N/A"))</f>
        <v>Amanda Fedro</v>
      </c>
      <c r="F39" s="37">
        <v>3</v>
      </c>
      <c r="G39" s="38">
        <v>2</v>
      </c>
      <c r="H39" s="38">
        <v>0</v>
      </c>
      <c r="I39" s="38">
        <v>6</v>
      </c>
      <c r="J39" s="38">
        <v>6</v>
      </c>
      <c r="K39" s="38">
        <v>0</v>
      </c>
      <c r="L39" s="38">
        <v>5</v>
      </c>
      <c r="M39" s="38">
        <v>3</v>
      </c>
      <c r="N39" s="38">
        <v>1</v>
      </c>
      <c r="O39" s="39">
        <f t="shared" si="6"/>
        <v>-0.52083333333333337</v>
      </c>
      <c r="P39" s="40">
        <f>((Table24[[#This Row],[Com Apr]]/$W$2)-(Table24[[#This Row],[Com Mar]]/$Y$2))*$X$2</f>
        <v>-2.8532608695652173</v>
      </c>
      <c r="Q39" s="39">
        <f t="shared" si="7"/>
        <v>1</v>
      </c>
      <c r="R39" s="40">
        <f>Table24[[#This Row],[Com Mar]]-Table24[[#This Row],[Com Feb]]</f>
        <v>3</v>
      </c>
      <c r="S39" s="41">
        <f t="shared" si="8"/>
        <v>1</v>
      </c>
      <c r="T39" s="41">
        <f t="shared" si="9"/>
        <v>0</v>
      </c>
      <c r="U39" s="41">
        <f t="shared" si="10"/>
        <v>1</v>
      </c>
    </row>
    <row r="40" spans="1:21" x14ac:dyDescent="0.25">
      <c r="A40" s="31" t="s">
        <v>563</v>
      </c>
      <c r="B40" s="26" t="s">
        <v>631</v>
      </c>
      <c r="C40" s="26" t="s">
        <v>717</v>
      </c>
      <c r="D40" s="35">
        <v>1245488824</v>
      </c>
      <c r="E40" s="36" t="str">
        <f>_xlfn.IFNA(VLOOKUP(Table24[[#This Row],[NPI]],'CM Assignments'!$D$1:$E$185,2,FALSE),_xlfn.IFNA(VLOOKUP(Table24[[#This Row],[Last]],'CM Assignments'!$B$1:$E$185,4,FALSE),"N/A"))</f>
        <v>Amanda Fedro</v>
      </c>
      <c r="F40" s="37">
        <v>0</v>
      </c>
      <c r="G40" s="38">
        <v>0</v>
      </c>
      <c r="H40" s="38">
        <v>0</v>
      </c>
      <c r="I40" s="38">
        <v>2</v>
      </c>
      <c r="J40" s="38">
        <v>1</v>
      </c>
      <c r="K40" s="38">
        <v>0</v>
      </c>
      <c r="L40" s="38">
        <v>0</v>
      </c>
      <c r="M40" s="38">
        <v>0</v>
      </c>
      <c r="N40" s="38">
        <v>0</v>
      </c>
      <c r="O40" s="39">
        <f t="shared" si="6"/>
        <v>-1</v>
      </c>
      <c r="P40" s="40">
        <f>((Table24[[#This Row],[Com Apr]]/$W$2)-(Table24[[#This Row],[Com Mar]]/$Y$2))*$X$2</f>
        <v>-0.91304347826086951</v>
      </c>
      <c r="Q40" s="39" t="str">
        <f t="shared" si="7"/>
        <v>N/A</v>
      </c>
      <c r="R40" s="40">
        <f>Table24[[#This Row],[Com Mar]]-Table24[[#This Row],[Com Feb]]</f>
        <v>1</v>
      </c>
      <c r="S40" s="41">
        <f t="shared" si="8"/>
        <v>0</v>
      </c>
      <c r="T40" s="41">
        <f t="shared" si="9"/>
        <v>1</v>
      </c>
      <c r="U40" s="41">
        <f t="shared" si="10"/>
        <v>0</v>
      </c>
    </row>
    <row r="41" spans="1:21" x14ac:dyDescent="0.25">
      <c r="A41" s="31" t="s">
        <v>564</v>
      </c>
      <c r="B41" s="26" t="s">
        <v>632</v>
      </c>
      <c r="C41" s="26" t="s">
        <v>718</v>
      </c>
      <c r="D41" s="35">
        <v>1134108343</v>
      </c>
      <c r="E41" s="36" t="str">
        <f>_xlfn.IFNA(VLOOKUP(Table24[[#This Row],[NPI]],'CM Assignments'!$D$1:$E$185,2,FALSE),_xlfn.IFNA(VLOOKUP(Table24[[#This Row],[Last]],'CM Assignments'!$B$1:$E$185,4,FALSE),"N/A"))</f>
        <v>Christy Sanantonio</v>
      </c>
      <c r="F41" s="37">
        <v>32</v>
      </c>
      <c r="G41" s="38">
        <v>29</v>
      </c>
      <c r="H41" s="38">
        <v>2</v>
      </c>
      <c r="I41" s="38">
        <v>34</v>
      </c>
      <c r="J41" s="38">
        <v>29</v>
      </c>
      <c r="K41" s="38">
        <v>0</v>
      </c>
      <c r="L41" s="38">
        <v>48</v>
      </c>
      <c r="M41" s="38">
        <v>46</v>
      </c>
      <c r="N41" s="38">
        <v>1</v>
      </c>
      <c r="O41" s="39">
        <f t="shared" si="6"/>
        <v>0.43749999999999994</v>
      </c>
      <c r="P41" s="40">
        <f>((Table24[[#This Row],[Com Apr]]/$W$2)-(Table24[[#This Row],[Com Mar]]/$Y$2))*$X$2</f>
        <v>11.584239130434781</v>
      </c>
      <c r="Q41" s="39">
        <f t="shared" si="7"/>
        <v>-0.36956521739130432</v>
      </c>
      <c r="R41" s="40">
        <f>Table24[[#This Row],[Com Mar]]-Table24[[#This Row],[Com Feb]]</f>
        <v>-17</v>
      </c>
      <c r="S41" s="41">
        <f t="shared" si="8"/>
        <v>1</v>
      </c>
      <c r="T41" s="41">
        <f t="shared" si="9"/>
        <v>5</v>
      </c>
      <c r="U41" s="41">
        <f t="shared" si="10"/>
        <v>1</v>
      </c>
    </row>
    <row r="42" spans="1:21" x14ac:dyDescent="0.25">
      <c r="A42" s="31" t="s">
        <v>565</v>
      </c>
      <c r="B42" s="26" t="s">
        <v>664</v>
      </c>
      <c r="C42" s="26" t="s">
        <v>719</v>
      </c>
      <c r="D42" s="35">
        <v>1467694687</v>
      </c>
      <c r="E42" s="36" t="str">
        <f>_xlfn.IFNA(VLOOKUP(Table24[[#This Row],[NPI]],'CM Assignments'!$D$1:$E$185,2,FALSE),_xlfn.IFNA(VLOOKUP(Table24[[#This Row],[Last]],'CM Assignments'!$B$1:$E$185,4,FALSE),"N/A"))</f>
        <v>Amanda Fedro</v>
      </c>
      <c r="F42" s="37">
        <v>3</v>
      </c>
      <c r="G42" s="38">
        <v>2</v>
      </c>
      <c r="H42" s="38">
        <v>0</v>
      </c>
      <c r="I42" s="38">
        <v>23</v>
      </c>
      <c r="J42" s="38">
        <v>11</v>
      </c>
      <c r="K42" s="38">
        <v>9</v>
      </c>
      <c r="L42" s="38">
        <v>7</v>
      </c>
      <c r="M42" s="38">
        <v>2</v>
      </c>
      <c r="N42" s="38">
        <v>2</v>
      </c>
      <c r="O42" s="39">
        <f t="shared" si="6"/>
        <v>-0.73863636363636365</v>
      </c>
      <c r="P42" s="40">
        <f>((Table24[[#This Row],[Com Apr]]/$W$2)-(Table24[[#This Row],[Com Mar]]/$Y$2))*$X$2</f>
        <v>-7.4184782608695654</v>
      </c>
      <c r="Q42" s="39">
        <f t="shared" si="7"/>
        <v>4.5</v>
      </c>
      <c r="R42" s="40">
        <f>Table24[[#This Row],[Com Mar]]-Table24[[#This Row],[Com Feb]]</f>
        <v>9</v>
      </c>
      <c r="S42" s="41">
        <f t="shared" si="8"/>
        <v>1</v>
      </c>
      <c r="T42" s="41">
        <f t="shared" si="9"/>
        <v>3</v>
      </c>
      <c r="U42" s="41">
        <f t="shared" si="10"/>
        <v>3</v>
      </c>
    </row>
    <row r="43" spans="1:21" x14ac:dyDescent="0.25">
      <c r="A43" s="31" t="s">
        <v>566</v>
      </c>
      <c r="B43" s="26" t="s">
        <v>633</v>
      </c>
      <c r="C43" s="26" t="s">
        <v>720</v>
      </c>
      <c r="D43" s="35">
        <v>1619171287</v>
      </c>
      <c r="E43" s="36" t="str">
        <f>_xlfn.IFNA(VLOOKUP(Table24[[#This Row],[NPI]],'CM Assignments'!$D$1:$E$185,2,FALSE),_xlfn.IFNA(VLOOKUP(Table24[[#This Row],[Last]],'CM Assignments'!$B$1:$E$185,4,FALSE),"N/A"))</f>
        <v>Dan Vitasovic</v>
      </c>
      <c r="F43" s="37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2</v>
      </c>
      <c r="M43" s="38">
        <v>2</v>
      </c>
      <c r="N43" s="38">
        <v>0</v>
      </c>
      <c r="O43" s="39" t="str">
        <f t="shared" si="6"/>
        <v>N/A</v>
      </c>
      <c r="P43" s="40">
        <f>((Table24[[#This Row],[Com Apr]]/$W$2)-(Table24[[#This Row],[Com Mar]]/$Y$2))*$X$2</f>
        <v>0</v>
      </c>
      <c r="Q43" s="39">
        <f t="shared" si="7"/>
        <v>-1</v>
      </c>
      <c r="R43" s="40">
        <f>Table24[[#This Row],[Com Mar]]-Table24[[#This Row],[Com Feb]]</f>
        <v>-2</v>
      </c>
      <c r="S43" s="41">
        <f t="shared" si="8"/>
        <v>0</v>
      </c>
      <c r="T43" s="41">
        <f t="shared" si="9"/>
        <v>0</v>
      </c>
      <c r="U43" s="41">
        <f t="shared" si="10"/>
        <v>0</v>
      </c>
    </row>
    <row r="44" spans="1:21" x14ac:dyDescent="0.25">
      <c r="A44" s="31" t="s">
        <v>754</v>
      </c>
      <c r="B44" s="26" t="s">
        <v>634</v>
      </c>
      <c r="C44" s="26" t="s">
        <v>721</v>
      </c>
      <c r="D44" s="35">
        <v>1740216852</v>
      </c>
      <c r="E44" s="36" t="str">
        <f>_xlfn.IFNA(VLOOKUP(Table24[[#This Row],[NPI]],'CM Assignments'!$D$1:$E$185,2,FALSE),_xlfn.IFNA(VLOOKUP(Table24[[#This Row],[Last]],'CM Assignments'!$B$1:$E$185,4,FALSE),"N/A"))</f>
        <v>Christy Sanantonio</v>
      </c>
      <c r="F44" s="37">
        <v>5</v>
      </c>
      <c r="G44" s="38">
        <v>4</v>
      </c>
      <c r="H44" s="38">
        <v>0</v>
      </c>
      <c r="I44" s="38">
        <v>8</v>
      </c>
      <c r="J44" s="38">
        <v>7</v>
      </c>
      <c r="K44" s="38">
        <v>1</v>
      </c>
      <c r="L44" s="38">
        <v>18</v>
      </c>
      <c r="M44" s="38">
        <v>14</v>
      </c>
      <c r="N44" s="38">
        <v>3</v>
      </c>
      <c r="O44" s="39">
        <f t="shared" si="6"/>
        <v>-0.17857142857142863</v>
      </c>
      <c r="P44" s="40">
        <f>((Table24[[#This Row],[Com Apr]]/$W$2)-(Table24[[#This Row],[Com Mar]]/$Y$2))*$X$2</f>
        <v>-1.1413043478260874</v>
      </c>
      <c r="Q44" s="39">
        <f t="shared" si="7"/>
        <v>-0.5</v>
      </c>
      <c r="R44" s="40">
        <f>Table24[[#This Row],[Com Mar]]-Table24[[#This Row],[Com Feb]]</f>
        <v>-7</v>
      </c>
      <c r="S44" s="41">
        <f t="shared" si="8"/>
        <v>1</v>
      </c>
      <c r="T44" s="41">
        <f t="shared" si="9"/>
        <v>0</v>
      </c>
      <c r="U44" s="41">
        <f t="shared" si="10"/>
        <v>1</v>
      </c>
    </row>
    <row r="45" spans="1:21" x14ac:dyDescent="0.25">
      <c r="A45" s="31" t="s">
        <v>567</v>
      </c>
      <c r="B45" s="26" t="s">
        <v>634</v>
      </c>
      <c r="C45" s="26" t="s">
        <v>722</v>
      </c>
      <c r="D45" s="35">
        <v>1588609408</v>
      </c>
      <c r="E45" s="36" t="str">
        <f>_xlfn.IFNA(VLOOKUP(Table24[[#This Row],[NPI]],'CM Assignments'!$D$1:$E$185,2,FALSE),_xlfn.IFNA(VLOOKUP(Table24[[#This Row],[Last]],'CM Assignments'!$B$1:$E$185,4,FALSE),"N/A"))</f>
        <v>Christy Sanantonio</v>
      </c>
      <c r="F45" s="37">
        <v>14</v>
      </c>
      <c r="G45" s="38">
        <v>10</v>
      </c>
      <c r="H45" s="38">
        <v>2</v>
      </c>
      <c r="I45" s="38">
        <v>11</v>
      </c>
      <c r="J45" s="38">
        <v>5</v>
      </c>
      <c r="K45" s="38">
        <v>6</v>
      </c>
      <c r="L45" s="38">
        <v>6</v>
      </c>
      <c r="M45" s="38">
        <v>4</v>
      </c>
      <c r="N45" s="38">
        <v>1</v>
      </c>
      <c r="O45" s="39">
        <f t="shared" si="6"/>
        <v>1.8750000000000002</v>
      </c>
      <c r="P45" s="40">
        <f>((Table24[[#This Row],[Com Apr]]/$W$2)-(Table24[[#This Row],[Com Mar]]/$Y$2))*$X$2</f>
        <v>8.5597826086956523</v>
      </c>
      <c r="Q45" s="39">
        <f t="shared" si="7"/>
        <v>0.25</v>
      </c>
      <c r="R45" s="40">
        <f>Table24[[#This Row],[Com Mar]]-Table24[[#This Row],[Com Feb]]</f>
        <v>1</v>
      </c>
      <c r="S45" s="41">
        <f t="shared" si="8"/>
        <v>2</v>
      </c>
      <c r="T45" s="41">
        <f t="shared" si="9"/>
        <v>0</v>
      </c>
      <c r="U45" s="41">
        <f t="shared" si="10"/>
        <v>1</v>
      </c>
    </row>
    <row r="46" spans="1:21" x14ac:dyDescent="0.25">
      <c r="A46" s="31" t="s">
        <v>568</v>
      </c>
      <c r="B46" s="26" t="s">
        <v>635</v>
      </c>
      <c r="C46" s="26" t="s">
        <v>723</v>
      </c>
      <c r="D46" s="35">
        <v>1568410397</v>
      </c>
      <c r="E46" s="36" t="str">
        <f>_xlfn.IFNA(VLOOKUP(Table24[[#This Row],[NPI]],'CM Assignments'!$D$1:$E$185,2,FALSE),_xlfn.IFNA(VLOOKUP(Table24[[#This Row],[Last]],'CM Assignments'!$B$1:$E$185,4,FALSE),"N/A"))</f>
        <v>Dan Vitasovic</v>
      </c>
      <c r="F46" s="37">
        <v>0</v>
      </c>
      <c r="G46" s="38">
        <v>0</v>
      </c>
      <c r="H46" s="38">
        <v>0</v>
      </c>
      <c r="I46" s="38">
        <v>1</v>
      </c>
      <c r="J46" s="38">
        <v>1</v>
      </c>
      <c r="K46" s="38">
        <v>0</v>
      </c>
      <c r="L46" s="38">
        <v>1</v>
      </c>
      <c r="M46" s="38">
        <v>1</v>
      </c>
      <c r="N46" s="38">
        <v>0</v>
      </c>
      <c r="O46" s="39">
        <f t="shared" si="6"/>
        <v>-1</v>
      </c>
      <c r="P46" s="40">
        <f>((Table24[[#This Row],[Com Apr]]/$W$2)-(Table24[[#This Row],[Com Mar]]/$Y$2))*$X$2</f>
        <v>-0.91304347826086951</v>
      </c>
      <c r="Q46" s="39">
        <f t="shared" si="7"/>
        <v>0</v>
      </c>
      <c r="R46" s="40">
        <f>Table24[[#This Row],[Com Mar]]-Table24[[#This Row],[Com Feb]]</f>
        <v>0</v>
      </c>
      <c r="S46" s="41">
        <f t="shared" si="8"/>
        <v>0</v>
      </c>
      <c r="T46" s="41">
        <f t="shared" si="9"/>
        <v>0</v>
      </c>
      <c r="U46" s="41">
        <f t="shared" si="10"/>
        <v>0</v>
      </c>
    </row>
    <row r="47" spans="1:21" x14ac:dyDescent="0.25">
      <c r="A47" s="31" t="s">
        <v>569</v>
      </c>
      <c r="B47" s="26" t="s">
        <v>636</v>
      </c>
      <c r="C47" s="26" t="s">
        <v>710</v>
      </c>
      <c r="D47" s="35">
        <v>1891003109</v>
      </c>
      <c r="E47" s="36" t="str">
        <f>_xlfn.IFNA(VLOOKUP(Table24[[#This Row],[NPI]],'CM Assignments'!$D$1:$E$185,2,FALSE),_xlfn.IFNA(VLOOKUP(Table24[[#This Row],[Last]],'CM Assignments'!$B$1:$E$185,4,FALSE),"N/A"))</f>
        <v>N/A</v>
      </c>
      <c r="F47" s="37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9" t="str">
        <f t="shared" si="6"/>
        <v>N/A</v>
      </c>
      <c r="P47" s="40">
        <f>((Table24[[#This Row],[Com Apr]]/$W$2)-(Table24[[#This Row],[Com Mar]]/$Y$2))*$X$2</f>
        <v>0</v>
      </c>
      <c r="Q47" s="39" t="str">
        <f t="shared" si="7"/>
        <v>N/A</v>
      </c>
      <c r="R47" s="40">
        <f>Table24[[#This Row],[Com Mar]]-Table24[[#This Row],[Com Feb]]</f>
        <v>0</v>
      </c>
      <c r="S47" s="41">
        <f t="shared" si="8"/>
        <v>0</v>
      </c>
      <c r="T47" s="41">
        <f t="shared" si="9"/>
        <v>0</v>
      </c>
      <c r="U47" s="41">
        <f t="shared" si="10"/>
        <v>0</v>
      </c>
    </row>
    <row r="48" spans="1:21" x14ac:dyDescent="0.25">
      <c r="A48" s="31" t="s">
        <v>570</v>
      </c>
      <c r="B48" s="26" t="s">
        <v>637</v>
      </c>
      <c r="C48" s="26" t="s">
        <v>720</v>
      </c>
      <c r="D48" s="35">
        <v>1740216852</v>
      </c>
      <c r="E48" s="36" t="str">
        <f>_xlfn.IFNA(VLOOKUP(Table24[[#This Row],[NPI]],'CM Assignments'!$D$1:$E$185,2,FALSE),_xlfn.IFNA(VLOOKUP(Table24[[#This Row],[Last]],'CM Assignments'!$B$1:$E$185,4,FALSE),"N/A"))</f>
        <v>Christy Sanantonio</v>
      </c>
      <c r="F48" s="37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9" t="str">
        <f t="shared" si="6"/>
        <v>N/A</v>
      </c>
      <c r="P48" s="40">
        <f>((Table24[[#This Row],[Com Apr]]/$W$2)-(Table24[[#This Row],[Com Mar]]/$Y$2))*$X$2</f>
        <v>0</v>
      </c>
      <c r="Q48" s="39" t="str">
        <f t="shared" si="7"/>
        <v>N/A</v>
      </c>
      <c r="R48" s="40">
        <f>Table24[[#This Row],[Com Mar]]-Table24[[#This Row],[Com Feb]]</f>
        <v>0</v>
      </c>
      <c r="S48" s="41">
        <f t="shared" si="8"/>
        <v>0</v>
      </c>
      <c r="T48" s="41">
        <f t="shared" si="9"/>
        <v>0</v>
      </c>
      <c r="U48" s="41">
        <f t="shared" si="10"/>
        <v>0</v>
      </c>
    </row>
    <row r="49" spans="1:21" x14ac:dyDescent="0.25">
      <c r="A49" s="31" t="s">
        <v>571</v>
      </c>
      <c r="B49" s="26" t="s">
        <v>638</v>
      </c>
      <c r="C49" s="26" t="s">
        <v>724</v>
      </c>
      <c r="D49" s="35">
        <v>1669799060</v>
      </c>
      <c r="E49" s="36" t="str">
        <f>_xlfn.IFNA(VLOOKUP(Table24[[#This Row],[NPI]],'CM Assignments'!$D$1:$E$185,2,FALSE),_xlfn.IFNA(VLOOKUP(Table24[[#This Row],[Last]],'CM Assignments'!$B$1:$E$185,4,FALSE),"N/A"))</f>
        <v>N/A</v>
      </c>
      <c r="F49" s="37">
        <v>2</v>
      </c>
      <c r="G49" s="38">
        <v>1</v>
      </c>
      <c r="H49" s="38">
        <v>0</v>
      </c>
      <c r="I49" s="38">
        <v>1</v>
      </c>
      <c r="J49" s="38">
        <v>1</v>
      </c>
      <c r="K49" s="38">
        <v>0</v>
      </c>
      <c r="L49" s="38">
        <v>1</v>
      </c>
      <c r="M49" s="38">
        <v>1</v>
      </c>
      <c r="N49" s="38">
        <v>0</v>
      </c>
      <c r="O49" s="39">
        <f t="shared" si="6"/>
        <v>0.43750000000000006</v>
      </c>
      <c r="P49" s="40">
        <f>((Table24[[#This Row],[Com Apr]]/$W$2)-(Table24[[#This Row],[Com Mar]]/$Y$2))*$X$2</f>
        <v>0.39945652173913049</v>
      </c>
      <c r="Q49" s="39">
        <f t="shared" si="7"/>
        <v>0</v>
      </c>
      <c r="R49" s="40">
        <f>Table24[[#This Row],[Com Mar]]-Table24[[#This Row],[Com Feb]]</f>
        <v>0</v>
      </c>
      <c r="S49" s="41">
        <f t="shared" si="8"/>
        <v>1</v>
      </c>
      <c r="T49" s="41">
        <f t="shared" si="9"/>
        <v>0</v>
      </c>
      <c r="U49" s="41">
        <f t="shared" si="10"/>
        <v>0</v>
      </c>
    </row>
    <row r="50" spans="1:21" x14ac:dyDescent="0.25">
      <c r="A50" s="31" t="s">
        <v>572</v>
      </c>
      <c r="B50" s="26" t="s">
        <v>639</v>
      </c>
      <c r="C50" s="26" t="s">
        <v>725</v>
      </c>
      <c r="D50" s="35">
        <v>1659370591</v>
      </c>
      <c r="E50" s="36" t="str">
        <f>_xlfn.IFNA(VLOOKUP(Table24[[#This Row],[NPI]],'CM Assignments'!$D$1:$E$185,2,FALSE),_xlfn.IFNA(VLOOKUP(Table24[[#This Row],[Last]],'CM Assignments'!$B$1:$E$185,4,FALSE),"N/A"))</f>
        <v>Amanda Fedro</v>
      </c>
      <c r="F50" s="37">
        <v>1</v>
      </c>
      <c r="G50" s="38">
        <v>1</v>
      </c>
      <c r="H50" s="38">
        <v>0</v>
      </c>
      <c r="I50" s="38">
        <v>0</v>
      </c>
      <c r="J50" s="38">
        <v>0</v>
      </c>
      <c r="K50" s="38">
        <v>0</v>
      </c>
      <c r="L50" s="38">
        <v>9</v>
      </c>
      <c r="M50" s="38">
        <v>9</v>
      </c>
      <c r="N50" s="38">
        <v>0</v>
      </c>
      <c r="O50" s="39" t="str">
        <f t="shared" si="6"/>
        <v>N/A</v>
      </c>
      <c r="P50" s="40">
        <f>((Table24[[#This Row],[Com Apr]]/$W$2)-(Table24[[#This Row],[Com Mar]]/$Y$2))*$X$2</f>
        <v>1.3125</v>
      </c>
      <c r="Q50" s="39">
        <f t="shared" si="7"/>
        <v>-1</v>
      </c>
      <c r="R50" s="40">
        <f>Table24[[#This Row],[Com Mar]]-Table24[[#This Row],[Com Feb]]</f>
        <v>-9</v>
      </c>
      <c r="S50" s="41">
        <f t="shared" si="8"/>
        <v>0</v>
      </c>
      <c r="T50" s="41">
        <f t="shared" si="9"/>
        <v>0</v>
      </c>
      <c r="U50" s="41">
        <f t="shared" si="10"/>
        <v>0</v>
      </c>
    </row>
    <row r="51" spans="1:21" x14ac:dyDescent="0.25">
      <c r="A51" s="31" t="s">
        <v>573</v>
      </c>
      <c r="B51" s="26" t="s">
        <v>640</v>
      </c>
      <c r="C51" s="26" t="s">
        <v>720</v>
      </c>
      <c r="D51" s="35">
        <v>1003866179</v>
      </c>
      <c r="E51" s="36" t="str">
        <f>_xlfn.IFNA(VLOOKUP(Table24[[#This Row],[NPI]],'CM Assignments'!$D$1:$E$185,2,FALSE),_xlfn.IFNA(VLOOKUP(Table24[[#This Row],[Last]],'CM Assignments'!$B$1:$E$185,4,FALSE),"N/A"))</f>
        <v>Amanda Fedro</v>
      </c>
      <c r="F51" s="37">
        <v>10</v>
      </c>
      <c r="G51" s="38">
        <v>10</v>
      </c>
      <c r="H51" s="38">
        <v>0</v>
      </c>
      <c r="I51" s="38">
        <v>8</v>
      </c>
      <c r="J51" s="38">
        <v>6</v>
      </c>
      <c r="K51" s="38">
        <v>1</v>
      </c>
      <c r="L51" s="38">
        <v>24</v>
      </c>
      <c r="M51" s="38">
        <v>23</v>
      </c>
      <c r="N51" s="38">
        <v>1</v>
      </c>
      <c r="O51" s="39">
        <f t="shared" si="6"/>
        <v>1.3958333333333335</v>
      </c>
      <c r="P51" s="40">
        <f>((Table24[[#This Row],[Com Apr]]/$W$2)-(Table24[[#This Row],[Com Mar]]/$Y$2))*$X$2</f>
        <v>7.6467391304347831</v>
      </c>
      <c r="Q51" s="39">
        <f t="shared" si="7"/>
        <v>-0.73913043478260865</v>
      </c>
      <c r="R51" s="40">
        <f>Table24[[#This Row],[Com Mar]]-Table24[[#This Row],[Com Feb]]</f>
        <v>-17</v>
      </c>
      <c r="S51" s="41">
        <f t="shared" si="8"/>
        <v>0</v>
      </c>
      <c r="T51" s="41">
        <f t="shared" si="9"/>
        <v>1</v>
      </c>
      <c r="U51" s="41">
        <f t="shared" si="10"/>
        <v>0</v>
      </c>
    </row>
    <row r="52" spans="1:21" x14ac:dyDescent="0.25">
      <c r="A52" s="31" t="s">
        <v>668</v>
      </c>
      <c r="B52" s="26" t="s">
        <v>673</v>
      </c>
      <c r="C52" s="26" t="s">
        <v>762</v>
      </c>
      <c r="D52" s="35">
        <v>1851325823</v>
      </c>
      <c r="E52" s="36" t="str">
        <f>_xlfn.IFNA(VLOOKUP(Table24[[#This Row],[NPI]],'CM Assignments'!$D$1:$E$185,2,FALSE),_xlfn.IFNA(VLOOKUP(Table24[[#This Row],[Last]],'CM Assignments'!$B$1:$E$185,4,FALSE),"N/A"))</f>
        <v>Christy Sanantonio</v>
      </c>
      <c r="F52" s="37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9" t="str">
        <f t="shared" si="6"/>
        <v>N/A</v>
      </c>
      <c r="P52" s="40">
        <f>((Table24[[#This Row],[Com Apr]]/$W$2)-(Table24[[#This Row],[Com Mar]]/$Y$2))*$X$2</f>
        <v>0</v>
      </c>
      <c r="Q52" s="39" t="str">
        <f t="shared" si="7"/>
        <v>N/A</v>
      </c>
      <c r="R52" s="40">
        <f>Table24[[#This Row],[Com Mar]]-Table24[[#This Row],[Com Feb]]</f>
        <v>0</v>
      </c>
      <c r="S52" s="41">
        <f t="shared" si="8"/>
        <v>0</v>
      </c>
      <c r="T52" s="41">
        <f t="shared" si="9"/>
        <v>0</v>
      </c>
      <c r="U52" s="41">
        <f t="shared" si="10"/>
        <v>0</v>
      </c>
    </row>
    <row r="53" spans="1:21" x14ac:dyDescent="0.25">
      <c r="A53" s="31" t="s">
        <v>574</v>
      </c>
      <c r="B53" s="26" t="s">
        <v>641</v>
      </c>
      <c r="C53" s="26" t="s">
        <v>726</v>
      </c>
      <c r="D53" s="35">
        <v>1588945794</v>
      </c>
      <c r="E53" s="36" t="str">
        <f>_xlfn.IFNA(VLOOKUP(Table24[[#This Row],[NPI]],'CM Assignments'!$D$1:$E$185,2,FALSE),_xlfn.IFNA(VLOOKUP(Table24[[#This Row],[Last]],'CM Assignments'!$B$1:$E$185,4,FALSE),"N/A"))</f>
        <v>Whitney Poe</v>
      </c>
      <c r="F53" s="37">
        <v>12</v>
      </c>
      <c r="G53" s="38">
        <v>5</v>
      </c>
      <c r="H53" s="38">
        <v>6</v>
      </c>
      <c r="I53" s="38">
        <v>43</v>
      </c>
      <c r="J53" s="38">
        <v>34</v>
      </c>
      <c r="K53" s="38">
        <v>7</v>
      </c>
      <c r="L53" s="38">
        <v>37</v>
      </c>
      <c r="M53" s="38">
        <v>19</v>
      </c>
      <c r="N53" s="38">
        <v>12</v>
      </c>
      <c r="O53" s="39">
        <f t="shared" si="6"/>
        <v>-0.78860294117647056</v>
      </c>
      <c r="P53" s="40">
        <f>((Table24[[#This Row],[Com Apr]]/$W$2)-(Table24[[#This Row],[Com Mar]]/$Y$2))*$X$2</f>
        <v>-24.480978260869563</v>
      </c>
      <c r="Q53" s="39">
        <f t="shared" si="7"/>
        <v>0.78947368421052633</v>
      </c>
      <c r="R53" s="40">
        <f>Table24[[#This Row],[Com Mar]]-Table24[[#This Row],[Com Feb]]</f>
        <v>15</v>
      </c>
      <c r="S53" s="41">
        <f t="shared" si="8"/>
        <v>1</v>
      </c>
      <c r="T53" s="41">
        <f t="shared" si="9"/>
        <v>2</v>
      </c>
      <c r="U53" s="41">
        <f t="shared" si="10"/>
        <v>6</v>
      </c>
    </row>
    <row r="54" spans="1:21" x14ac:dyDescent="0.25">
      <c r="A54" s="31" t="s">
        <v>575</v>
      </c>
      <c r="B54" s="26" t="s">
        <v>642</v>
      </c>
      <c r="C54" s="26" t="s">
        <v>727</v>
      </c>
      <c r="D54" s="35">
        <v>1497913800</v>
      </c>
      <c r="E54" s="36" t="str">
        <f>_xlfn.IFNA(VLOOKUP(Table24[[#This Row],[NPI]],'CM Assignments'!$D$1:$E$185,2,FALSE),_xlfn.IFNA(VLOOKUP(Table24[[#This Row],[Last]],'CM Assignments'!$B$1:$E$185,4,FALSE),"N/A"))</f>
        <v>Whitney Poe</v>
      </c>
      <c r="F54" s="37">
        <v>1</v>
      </c>
      <c r="G54" s="38">
        <v>0</v>
      </c>
      <c r="H54" s="38">
        <v>0</v>
      </c>
      <c r="I54" s="38">
        <v>2</v>
      </c>
      <c r="J54" s="38">
        <v>1</v>
      </c>
      <c r="K54" s="38">
        <v>0</v>
      </c>
      <c r="L54" s="38">
        <v>20</v>
      </c>
      <c r="M54" s="38">
        <v>8</v>
      </c>
      <c r="N54" s="38">
        <v>11</v>
      </c>
      <c r="O54" s="39">
        <f t="shared" si="6"/>
        <v>-1</v>
      </c>
      <c r="P54" s="40">
        <f>((Table24[[#This Row],[Com Apr]]/$W$2)-(Table24[[#This Row],[Com Mar]]/$Y$2))*$X$2</f>
        <v>-0.91304347826086951</v>
      </c>
      <c r="Q54" s="39">
        <f t="shared" si="7"/>
        <v>-0.875</v>
      </c>
      <c r="R54" s="40">
        <f>Table24[[#This Row],[Com Mar]]-Table24[[#This Row],[Com Feb]]</f>
        <v>-7</v>
      </c>
      <c r="S54" s="41">
        <f t="shared" si="8"/>
        <v>1</v>
      </c>
      <c r="T54" s="41">
        <f t="shared" si="9"/>
        <v>1</v>
      </c>
      <c r="U54" s="41">
        <f t="shared" si="10"/>
        <v>1</v>
      </c>
    </row>
    <row r="55" spans="1:21" x14ac:dyDescent="0.25">
      <c r="A55" s="31" t="s">
        <v>675</v>
      </c>
      <c r="B55" s="26" t="s">
        <v>676</v>
      </c>
      <c r="C55" s="26" t="s">
        <v>728</v>
      </c>
      <c r="D55" s="35">
        <v>1598754103</v>
      </c>
      <c r="E55" s="36" t="str">
        <f>_xlfn.IFNA(VLOOKUP(Table24[[#This Row],[NPI]],'CM Assignments'!$D$1:$E$185,2,FALSE),_xlfn.IFNA(VLOOKUP(Table24[[#This Row],[Last]],'CM Assignments'!$B$1:$E$185,4,FALSE),"N/A"))</f>
        <v>Amanda Fedro</v>
      </c>
      <c r="F55" s="37">
        <v>6</v>
      </c>
      <c r="G55" s="38">
        <v>5</v>
      </c>
      <c r="H55" s="38">
        <v>0</v>
      </c>
      <c r="I55" s="38">
        <v>13</v>
      </c>
      <c r="J55" s="38">
        <v>9</v>
      </c>
      <c r="K55" s="38">
        <v>4</v>
      </c>
      <c r="L55" s="38">
        <v>6</v>
      </c>
      <c r="M55" s="38">
        <v>4</v>
      </c>
      <c r="N55" s="38">
        <v>2</v>
      </c>
      <c r="O55" s="39">
        <f t="shared" si="6"/>
        <v>-0.20138888888888892</v>
      </c>
      <c r="P55" s="40">
        <f>((Table24[[#This Row],[Com Apr]]/$W$2)-(Table24[[#This Row],[Com Mar]]/$Y$2))*$X$2</f>
        <v>-1.6548913043478264</v>
      </c>
      <c r="Q55" s="39">
        <f t="shared" si="7"/>
        <v>1.25</v>
      </c>
      <c r="R55" s="40">
        <f>Table24[[#This Row],[Com Mar]]-Table24[[#This Row],[Com Feb]]</f>
        <v>5</v>
      </c>
      <c r="S55" s="41">
        <f t="shared" si="8"/>
        <v>1</v>
      </c>
      <c r="T55" s="41">
        <f t="shared" si="9"/>
        <v>0</v>
      </c>
      <c r="U55" s="41">
        <f t="shared" si="10"/>
        <v>0</v>
      </c>
    </row>
    <row r="56" spans="1:21" x14ac:dyDescent="0.25">
      <c r="A56" s="31" t="s">
        <v>577</v>
      </c>
      <c r="B56" s="26" t="s">
        <v>644</v>
      </c>
      <c r="C56" s="26" t="s">
        <v>729</v>
      </c>
      <c r="D56" s="35">
        <v>1528093184</v>
      </c>
      <c r="E56" s="36" t="str">
        <f>_xlfn.IFNA(VLOOKUP(Table24[[#This Row],[NPI]],'CM Assignments'!$D$1:$E$185,2,FALSE),_xlfn.IFNA(VLOOKUP(Table24[[#This Row],[Last]],'CM Assignments'!$B$1:$E$185,4,FALSE),"N/A"))</f>
        <v>Whitney Poe</v>
      </c>
      <c r="F56" s="37">
        <v>0</v>
      </c>
      <c r="G56" s="38">
        <v>0</v>
      </c>
      <c r="H56" s="38">
        <v>0</v>
      </c>
      <c r="I56" s="38">
        <v>11</v>
      </c>
      <c r="J56" s="38">
        <v>8</v>
      </c>
      <c r="K56" s="38">
        <v>1</v>
      </c>
      <c r="L56" s="38">
        <v>25</v>
      </c>
      <c r="M56" s="38">
        <v>17</v>
      </c>
      <c r="N56" s="38">
        <v>6</v>
      </c>
      <c r="O56" s="39">
        <f t="shared" si="6"/>
        <v>-1</v>
      </c>
      <c r="P56" s="40">
        <f>((Table24[[#This Row],[Com Apr]]/$W$2)-(Table24[[#This Row],[Com Mar]]/$Y$2))*$X$2</f>
        <v>-7.3043478260869561</v>
      </c>
      <c r="Q56" s="39">
        <f t="shared" si="7"/>
        <v>-0.52941176470588236</v>
      </c>
      <c r="R56" s="40">
        <f>Table24[[#This Row],[Com Mar]]-Table24[[#This Row],[Com Feb]]</f>
        <v>-9</v>
      </c>
      <c r="S56" s="41">
        <f t="shared" si="8"/>
        <v>0</v>
      </c>
      <c r="T56" s="41">
        <f t="shared" si="9"/>
        <v>2</v>
      </c>
      <c r="U56" s="41">
        <f t="shared" si="10"/>
        <v>2</v>
      </c>
    </row>
    <row r="57" spans="1:21" x14ac:dyDescent="0.25">
      <c r="A57" s="31" t="s">
        <v>578</v>
      </c>
      <c r="B57" s="26" t="s">
        <v>645</v>
      </c>
      <c r="C57" s="26" t="s">
        <v>730</v>
      </c>
      <c r="D57" s="35">
        <v>1710914973</v>
      </c>
      <c r="E57" s="36" t="str">
        <f>_xlfn.IFNA(VLOOKUP(Table24[[#This Row],[NPI]],'CM Assignments'!$D$1:$E$185,2,FALSE),_xlfn.IFNA(VLOOKUP(Table24[[#This Row],[Last]],'CM Assignments'!$B$1:$E$185,4,FALSE),"N/A"))</f>
        <v>Christy Sanantonio</v>
      </c>
      <c r="F57" s="37">
        <v>1</v>
      </c>
      <c r="G57" s="38">
        <v>0</v>
      </c>
      <c r="H57" s="38">
        <v>0</v>
      </c>
      <c r="I57" s="38">
        <v>7</v>
      </c>
      <c r="J57" s="38">
        <v>4</v>
      </c>
      <c r="K57" s="38">
        <v>3</v>
      </c>
      <c r="L57" s="38">
        <v>3</v>
      </c>
      <c r="M57" s="38">
        <v>3</v>
      </c>
      <c r="N57" s="38">
        <v>0</v>
      </c>
      <c r="O57" s="39">
        <f t="shared" si="6"/>
        <v>-1</v>
      </c>
      <c r="P57" s="40">
        <f>((Table24[[#This Row],[Com Apr]]/$W$2)-(Table24[[#This Row],[Com Mar]]/$Y$2))*$X$2</f>
        <v>-3.652173913043478</v>
      </c>
      <c r="Q57" s="39">
        <f t="shared" si="7"/>
        <v>0.33333333333333331</v>
      </c>
      <c r="R57" s="40">
        <f>Table24[[#This Row],[Com Mar]]-Table24[[#This Row],[Com Feb]]</f>
        <v>1</v>
      </c>
      <c r="S57" s="41">
        <f t="shared" si="8"/>
        <v>1</v>
      </c>
      <c r="T57" s="41">
        <f t="shared" si="9"/>
        <v>0</v>
      </c>
      <c r="U57" s="41">
        <f t="shared" si="10"/>
        <v>0</v>
      </c>
    </row>
    <row r="58" spans="1:21" x14ac:dyDescent="0.25">
      <c r="A58" s="31" t="s">
        <v>678</v>
      </c>
      <c r="B58" s="26" t="s">
        <v>731</v>
      </c>
      <c r="C58" s="26" t="s">
        <v>732</v>
      </c>
      <c r="D58" s="35">
        <v>1790913739</v>
      </c>
      <c r="E58" s="36" t="str">
        <f>_xlfn.IFNA(VLOOKUP(Table24[[#This Row],[NPI]],'CM Assignments'!$D$1:$E$185,2,FALSE),_xlfn.IFNA(VLOOKUP(Table24[[#This Row],[Last]],'CM Assignments'!$B$1:$E$185,4,FALSE),"N/A"))</f>
        <v>Amanda Fedro</v>
      </c>
      <c r="F58" s="37">
        <v>41</v>
      </c>
      <c r="G58" s="38">
        <v>27</v>
      </c>
      <c r="H58" s="38">
        <v>5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9" t="str">
        <f t="shared" si="6"/>
        <v>N/A</v>
      </c>
      <c r="P58" s="40">
        <f>((Table24[[#This Row],[Com Apr]]/$W$2)-(Table24[[#This Row],[Com Mar]]/$Y$2))*$X$2</f>
        <v>35.4375</v>
      </c>
      <c r="Q58" s="39" t="str">
        <f t="shared" si="7"/>
        <v>N/A</v>
      </c>
      <c r="R58" s="40">
        <f>Table24[[#This Row],[Com Mar]]-Table24[[#This Row],[Com Feb]]</f>
        <v>0</v>
      </c>
      <c r="S58" s="41">
        <f t="shared" si="8"/>
        <v>9</v>
      </c>
      <c r="T58" s="41">
        <f t="shared" si="9"/>
        <v>0</v>
      </c>
      <c r="U58" s="41">
        <f t="shared" si="10"/>
        <v>0</v>
      </c>
    </row>
    <row r="59" spans="1:21" x14ac:dyDescent="0.25">
      <c r="A59" s="31" t="s">
        <v>679</v>
      </c>
      <c r="B59" s="26" t="s">
        <v>733</v>
      </c>
      <c r="C59" s="26" t="s">
        <v>734</v>
      </c>
      <c r="D59" s="35">
        <v>1700866456</v>
      </c>
      <c r="E59" s="36" t="str">
        <f>_xlfn.IFNA(VLOOKUP(Table24[[#This Row],[NPI]],'CM Assignments'!$D$1:$E$185,2,FALSE),_xlfn.IFNA(VLOOKUP(Table24[[#This Row],[Last]],'CM Assignments'!$B$1:$E$185,4,FALSE),"N/A"))</f>
        <v>Whitney Poe</v>
      </c>
      <c r="F59" s="37">
        <v>31</v>
      </c>
      <c r="G59" s="38">
        <v>26</v>
      </c>
      <c r="H59" s="38">
        <v>1</v>
      </c>
      <c r="I59" s="38">
        <v>43</v>
      </c>
      <c r="J59" s="38">
        <v>32</v>
      </c>
      <c r="K59" s="38">
        <v>5</v>
      </c>
      <c r="L59" s="38">
        <v>0</v>
      </c>
      <c r="M59" s="38">
        <v>0</v>
      </c>
      <c r="N59" s="38">
        <v>0</v>
      </c>
      <c r="O59" s="39">
        <f t="shared" si="6"/>
        <v>0.16796875000000003</v>
      </c>
      <c r="P59" s="40">
        <f>((Table24[[#This Row],[Com Apr]]/$W$2)-(Table24[[#This Row],[Com Mar]]/$Y$2))*$X$2</f>
        <v>4.9076086956521747</v>
      </c>
      <c r="Q59" s="39" t="str">
        <f t="shared" si="7"/>
        <v>N/A</v>
      </c>
      <c r="R59" s="40">
        <f>Table24[[#This Row],[Com Mar]]-Table24[[#This Row],[Com Feb]]</f>
        <v>32</v>
      </c>
      <c r="S59" s="41">
        <f t="shared" si="8"/>
        <v>4</v>
      </c>
      <c r="T59" s="41">
        <f t="shared" si="9"/>
        <v>6</v>
      </c>
      <c r="U59" s="41">
        <f t="shared" si="10"/>
        <v>0</v>
      </c>
    </row>
    <row r="60" spans="1:21" x14ac:dyDescent="0.25">
      <c r="A60" s="31" t="s">
        <v>776</v>
      </c>
      <c r="B60" s="26" t="s">
        <v>777</v>
      </c>
      <c r="C60" s="26" t="s">
        <v>778</v>
      </c>
      <c r="D60" s="48">
        <v>1962428656</v>
      </c>
      <c r="E60" s="36" t="str">
        <f>_xlfn.IFNA(VLOOKUP(Table24[[#This Row],[NPI]],'CM Assignments'!$D$1:$E$185,2,FALSE),_xlfn.IFNA(VLOOKUP(Table24[[#This Row],[Last]],'CM Assignments'!$B$1:$E$185,4,FALSE),"N/A"))</f>
        <v>Christy Sanantonio</v>
      </c>
      <c r="F60" s="37">
        <v>23</v>
      </c>
      <c r="G60" s="38">
        <v>19</v>
      </c>
      <c r="H60" s="38">
        <v>2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9" t="str">
        <f t="shared" si="6"/>
        <v>N/A</v>
      </c>
      <c r="P60" s="40">
        <f>((Table24[[#This Row],[Com Apr]]/$W$2)-(Table24[[#This Row],[Com Mar]]/$Y$2))*$X$2</f>
        <v>24.9375</v>
      </c>
      <c r="Q60" s="39" t="str">
        <f t="shared" si="7"/>
        <v>N/A</v>
      </c>
      <c r="R60" s="40">
        <f>Table24[[#This Row],[Com Mar]]-Table24[[#This Row],[Com Feb]]</f>
        <v>0</v>
      </c>
      <c r="S60" s="41">
        <f t="shared" si="8"/>
        <v>2</v>
      </c>
      <c r="T60" s="41">
        <f t="shared" si="9"/>
        <v>0</v>
      </c>
      <c r="U60" s="41">
        <f t="shared" si="10"/>
        <v>0</v>
      </c>
    </row>
    <row r="61" spans="1:21" x14ac:dyDescent="0.25">
      <c r="A61" s="31" t="s">
        <v>579</v>
      </c>
      <c r="B61" s="26" t="s">
        <v>646</v>
      </c>
      <c r="C61" s="26" t="s">
        <v>735</v>
      </c>
      <c r="D61" s="35">
        <v>1285893750</v>
      </c>
      <c r="E61" s="36" t="str">
        <f>_xlfn.IFNA(VLOOKUP(Table24[[#This Row],[NPI]],'CM Assignments'!$D$1:$E$185,2,FALSE),_xlfn.IFNA(VLOOKUP(Table24[[#This Row],[Last]],'CM Assignments'!$B$1:$E$185,4,FALSE),"N/A"))</f>
        <v>Amanda Fedro</v>
      </c>
      <c r="F61" s="37">
        <v>8</v>
      </c>
      <c r="G61" s="38">
        <v>8</v>
      </c>
      <c r="H61" s="38">
        <v>0</v>
      </c>
      <c r="I61" s="38">
        <v>5</v>
      </c>
      <c r="J61" s="38">
        <v>4</v>
      </c>
      <c r="K61" s="38">
        <v>1</v>
      </c>
      <c r="L61" s="38">
        <v>4</v>
      </c>
      <c r="M61" s="38">
        <v>2</v>
      </c>
      <c r="N61" s="38">
        <v>1</v>
      </c>
      <c r="O61" s="39">
        <f t="shared" si="6"/>
        <v>1.875</v>
      </c>
      <c r="P61" s="40">
        <f>((Table24[[#This Row],[Com Apr]]/$W$2)-(Table24[[#This Row],[Com Mar]]/$Y$2))*$X$2</f>
        <v>6.8478260869565215</v>
      </c>
      <c r="Q61" s="39">
        <f t="shared" si="7"/>
        <v>1</v>
      </c>
      <c r="R61" s="40">
        <f>Table24[[#This Row],[Com Mar]]-Table24[[#This Row],[Com Feb]]</f>
        <v>2</v>
      </c>
      <c r="S61" s="41">
        <f t="shared" si="8"/>
        <v>0</v>
      </c>
      <c r="T61" s="41">
        <f t="shared" si="9"/>
        <v>0</v>
      </c>
      <c r="U61" s="41">
        <f t="shared" si="10"/>
        <v>1</v>
      </c>
    </row>
    <row r="62" spans="1:21" x14ac:dyDescent="0.25">
      <c r="A62" s="31" t="s">
        <v>580</v>
      </c>
      <c r="B62" s="26" t="s">
        <v>647</v>
      </c>
      <c r="C62" s="26" t="s">
        <v>736</v>
      </c>
      <c r="D62" s="35">
        <v>1629338991</v>
      </c>
      <c r="E62" s="36" t="str">
        <f>_xlfn.IFNA(VLOOKUP(Table24[[#This Row],[NPI]],'CM Assignments'!$D$1:$E$185,2,FALSE),_xlfn.IFNA(VLOOKUP(Table24[[#This Row],[Last]],'CM Assignments'!$B$1:$E$185,4,FALSE),"N/A"))</f>
        <v>Whitney Poe</v>
      </c>
      <c r="F62" s="37">
        <v>9</v>
      </c>
      <c r="G62" s="38">
        <v>6</v>
      </c>
      <c r="H62" s="38">
        <v>0</v>
      </c>
      <c r="I62" s="38">
        <v>10</v>
      </c>
      <c r="J62" s="38">
        <v>7</v>
      </c>
      <c r="K62" s="38">
        <v>2</v>
      </c>
      <c r="L62" s="38">
        <v>15</v>
      </c>
      <c r="M62" s="38">
        <v>12</v>
      </c>
      <c r="N62" s="38">
        <v>3</v>
      </c>
      <c r="O62" s="39">
        <f t="shared" si="6"/>
        <v>0.23214285714285707</v>
      </c>
      <c r="P62" s="40">
        <f>((Table24[[#This Row],[Com Apr]]/$W$2)-(Table24[[#This Row],[Com Mar]]/$Y$2))*$X$2</f>
        <v>1.4836956521739126</v>
      </c>
      <c r="Q62" s="39">
        <f t="shared" si="7"/>
        <v>-0.41666666666666669</v>
      </c>
      <c r="R62" s="40">
        <f>Table24[[#This Row],[Com Mar]]-Table24[[#This Row],[Com Feb]]</f>
        <v>-5</v>
      </c>
      <c r="S62" s="41">
        <f t="shared" si="8"/>
        <v>3</v>
      </c>
      <c r="T62" s="41">
        <f t="shared" si="9"/>
        <v>1</v>
      </c>
      <c r="U62" s="41">
        <f t="shared" si="10"/>
        <v>0</v>
      </c>
    </row>
    <row r="63" spans="1:21" x14ac:dyDescent="0.25">
      <c r="A63" s="31" t="s">
        <v>582</v>
      </c>
      <c r="B63" s="26" t="s">
        <v>649</v>
      </c>
      <c r="C63" s="26" t="s">
        <v>738</v>
      </c>
      <c r="D63" s="35">
        <v>1043573645</v>
      </c>
      <c r="E63" s="36" t="str">
        <f>_xlfn.IFNA(VLOOKUP(Table24[[#This Row],[NPI]],'CM Assignments'!$D$1:$E$185,2,FALSE),_xlfn.IFNA(VLOOKUP(Table24[[#This Row],[Last]],'CM Assignments'!$B$1:$E$185,4,FALSE),"N/A"))</f>
        <v>Christy Sanantonio</v>
      </c>
      <c r="F63" s="37">
        <v>1</v>
      </c>
      <c r="G63" s="38">
        <v>0</v>
      </c>
      <c r="H63" s="38">
        <v>0</v>
      </c>
      <c r="I63" s="38">
        <v>1</v>
      </c>
      <c r="J63" s="38">
        <v>0</v>
      </c>
      <c r="K63" s="38">
        <v>1</v>
      </c>
      <c r="L63" s="38">
        <v>1</v>
      </c>
      <c r="M63" s="38">
        <v>0</v>
      </c>
      <c r="N63" s="38">
        <v>0</v>
      </c>
      <c r="O63" s="39" t="str">
        <f t="shared" si="6"/>
        <v>N/A</v>
      </c>
      <c r="P63" s="40">
        <f>((Table24[[#This Row],[Com Apr]]/$W$2)-(Table24[[#This Row],[Com Mar]]/$Y$2))*$X$2</f>
        <v>0</v>
      </c>
      <c r="Q63" s="39" t="str">
        <f t="shared" si="7"/>
        <v>N/A</v>
      </c>
      <c r="R63" s="40">
        <f>Table24[[#This Row],[Com Mar]]-Table24[[#This Row],[Com Feb]]</f>
        <v>0</v>
      </c>
      <c r="S63" s="41">
        <f t="shared" si="8"/>
        <v>1</v>
      </c>
      <c r="T63" s="41">
        <f t="shared" si="9"/>
        <v>0</v>
      </c>
      <c r="U63" s="41">
        <f t="shared" si="10"/>
        <v>1</v>
      </c>
    </row>
    <row r="64" spans="1:21" x14ac:dyDescent="0.25">
      <c r="A64" s="31" t="s">
        <v>584</v>
      </c>
      <c r="B64" s="26" t="s">
        <v>651</v>
      </c>
      <c r="C64" s="26" t="s">
        <v>740</v>
      </c>
      <c r="D64" s="35">
        <v>1801081039</v>
      </c>
      <c r="E64" s="36" t="str">
        <f>_xlfn.IFNA(VLOOKUP(Table24[[#This Row],[NPI]],'CM Assignments'!$D$1:$E$185,2,FALSE),_xlfn.IFNA(VLOOKUP(Table24[[#This Row],[Last]],'CM Assignments'!$B$1:$E$185,4,FALSE),"N/A"))</f>
        <v>Whitney Poe</v>
      </c>
      <c r="F64" s="37">
        <v>6</v>
      </c>
      <c r="G64" s="38">
        <v>6</v>
      </c>
      <c r="H64" s="38">
        <v>0</v>
      </c>
      <c r="I64" s="38">
        <v>5</v>
      </c>
      <c r="J64" s="38">
        <v>5</v>
      </c>
      <c r="K64" s="38">
        <v>0</v>
      </c>
      <c r="L64" s="38">
        <v>6</v>
      </c>
      <c r="M64" s="38">
        <v>6</v>
      </c>
      <c r="N64" s="38">
        <v>0</v>
      </c>
      <c r="O64" s="39">
        <f t="shared" si="6"/>
        <v>0.72500000000000009</v>
      </c>
      <c r="P64" s="40">
        <f>((Table24[[#This Row],[Com Apr]]/$W$2)-(Table24[[#This Row],[Com Mar]]/$Y$2))*$X$2</f>
        <v>3.3097826086956523</v>
      </c>
      <c r="Q64" s="39">
        <f t="shared" si="7"/>
        <v>-0.16666666666666666</v>
      </c>
      <c r="R64" s="40">
        <f>Table24[[#This Row],[Com Mar]]-Table24[[#This Row],[Com Feb]]</f>
        <v>-1</v>
      </c>
      <c r="S64" s="41">
        <f t="shared" si="8"/>
        <v>0</v>
      </c>
      <c r="T64" s="41">
        <f t="shared" si="9"/>
        <v>0</v>
      </c>
      <c r="U64" s="41">
        <f t="shared" si="10"/>
        <v>0</v>
      </c>
    </row>
    <row r="65" spans="1:21" x14ac:dyDescent="0.25">
      <c r="A65" s="31" t="s">
        <v>585</v>
      </c>
      <c r="B65" s="26" t="s">
        <v>652</v>
      </c>
      <c r="C65" s="26" t="s">
        <v>741</v>
      </c>
      <c r="D65" s="35">
        <v>1033473731</v>
      </c>
      <c r="E65" s="36" t="str">
        <f>_xlfn.IFNA(VLOOKUP(Table24[[#This Row],[NPI]],'CM Assignments'!$D$1:$E$185,2,FALSE),_xlfn.IFNA(VLOOKUP(Table24[[#This Row],[Last]],'CM Assignments'!$B$1:$E$185,4,FALSE),"N/A"))</f>
        <v>Christy Sanantonio</v>
      </c>
      <c r="F65" s="37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4</v>
      </c>
      <c r="M65" s="38">
        <v>4</v>
      </c>
      <c r="N65" s="38">
        <v>0</v>
      </c>
      <c r="O65" s="39" t="str">
        <f t="shared" si="6"/>
        <v>N/A</v>
      </c>
      <c r="P65" s="40">
        <f>((Table24[[#This Row],[Com Apr]]/$W$2)-(Table24[[#This Row],[Com Mar]]/$Y$2))*$X$2</f>
        <v>0</v>
      </c>
      <c r="Q65" s="39">
        <f t="shared" si="7"/>
        <v>-1</v>
      </c>
      <c r="R65" s="40">
        <f>Table24[[#This Row],[Com Mar]]-Table24[[#This Row],[Com Feb]]</f>
        <v>-4</v>
      </c>
      <c r="S65" s="41">
        <f t="shared" si="8"/>
        <v>0</v>
      </c>
      <c r="T65" s="41">
        <f t="shared" si="9"/>
        <v>0</v>
      </c>
      <c r="U65" s="41">
        <f t="shared" si="10"/>
        <v>0</v>
      </c>
    </row>
    <row r="66" spans="1:21" x14ac:dyDescent="0.25">
      <c r="A66" s="31" t="s">
        <v>586</v>
      </c>
      <c r="B66" s="26" t="s">
        <v>653</v>
      </c>
      <c r="C66" s="26" t="s">
        <v>742</v>
      </c>
      <c r="D66" s="35">
        <v>1821239583</v>
      </c>
      <c r="E66" s="36" t="str">
        <f>_xlfn.IFNA(VLOOKUP(Table24[[#This Row],[NPI]],'CM Assignments'!$D$1:$E$185,2,FALSE),_xlfn.IFNA(VLOOKUP(Table24[[#This Row],[Last]],'CM Assignments'!$B$1:$E$185,4,FALSE),"N/A"))</f>
        <v>Amanda Fedro</v>
      </c>
      <c r="F66" s="37">
        <v>3</v>
      </c>
      <c r="G66" s="38">
        <v>3</v>
      </c>
      <c r="H66" s="38">
        <v>0</v>
      </c>
      <c r="I66" s="38">
        <v>4</v>
      </c>
      <c r="J66" s="38">
        <v>4</v>
      </c>
      <c r="K66" s="38">
        <v>0</v>
      </c>
      <c r="L66" s="38">
        <v>7</v>
      </c>
      <c r="M66" s="38">
        <v>7</v>
      </c>
      <c r="N66" s="38">
        <v>0</v>
      </c>
      <c r="O66" s="39">
        <f t="shared" si="6"/>
        <v>7.8125000000000028E-2</v>
      </c>
      <c r="P66" s="40">
        <f>((Table24[[#This Row],[Com Apr]]/$W$2)-(Table24[[#This Row],[Com Mar]]/$Y$2))*$X$2</f>
        <v>0.28532608695652184</v>
      </c>
      <c r="Q66" s="39">
        <f t="shared" si="7"/>
        <v>-0.42857142857142855</v>
      </c>
      <c r="R66" s="40">
        <f>Table24[[#This Row],[Com Mar]]-Table24[[#This Row],[Com Feb]]</f>
        <v>-3</v>
      </c>
      <c r="S66" s="41">
        <f t="shared" si="8"/>
        <v>0</v>
      </c>
      <c r="T66" s="41">
        <f t="shared" si="9"/>
        <v>0</v>
      </c>
      <c r="U66" s="41">
        <f t="shared" si="10"/>
        <v>0</v>
      </c>
    </row>
    <row r="67" spans="1:21" x14ac:dyDescent="0.25">
      <c r="A67" s="31" t="s">
        <v>587</v>
      </c>
      <c r="B67" s="26" t="s">
        <v>654</v>
      </c>
      <c r="C67" s="26" t="s">
        <v>690</v>
      </c>
      <c r="D67" s="35">
        <v>1467748889</v>
      </c>
      <c r="E67" s="36" t="str">
        <f>_xlfn.IFNA(VLOOKUP(Table24[[#This Row],[NPI]],'CM Assignments'!$D$1:$E$185,2,FALSE),_xlfn.IFNA(VLOOKUP(Table24[[#This Row],[Last]],'CM Assignments'!$B$1:$E$185,4,FALSE),"N/A"))</f>
        <v>Dan Vitasovic</v>
      </c>
      <c r="F67" s="37">
        <v>0</v>
      </c>
      <c r="G67" s="38">
        <v>0</v>
      </c>
      <c r="H67" s="38">
        <v>0</v>
      </c>
      <c r="I67" s="38">
        <v>1</v>
      </c>
      <c r="J67" s="38">
        <v>1</v>
      </c>
      <c r="K67" s="38">
        <v>0</v>
      </c>
      <c r="L67" s="38">
        <v>0</v>
      </c>
      <c r="M67" s="38">
        <v>0</v>
      </c>
      <c r="N67" s="38">
        <v>0</v>
      </c>
      <c r="O67" s="39">
        <f t="shared" si="6"/>
        <v>-1</v>
      </c>
      <c r="P67" s="40">
        <f>((Table24[[#This Row],[Com Apr]]/$W$2)-(Table24[[#This Row],[Com Mar]]/$Y$2))*$X$2</f>
        <v>-0.91304347826086951</v>
      </c>
      <c r="Q67" s="39" t="str">
        <f t="shared" si="7"/>
        <v>N/A</v>
      </c>
      <c r="R67" s="40">
        <f>Table24[[#This Row],[Com Mar]]-Table24[[#This Row],[Com Feb]]</f>
        <v>1</v>
      </c>
      <c r="S67" s="41">
        <f t="shared" si="8"/>
        <v>0</v>
      </c>
      <c r="T67" s="41">
        <f t="shared" si="9"/>
        <v>0</v>
      </c>
      <c r="U67" s="41">
        <f t="shared" si="10"/>
        <v>0</v>
      </c>
    </row>
    <row r="68" spans="1:21" x14ac:dyDescent="0.25">
      <c r="A68" s="31" t="s">
        <v>669</v>
      </c>
      <c r="B68" s="26" t="s">
        <v>674</v>
      </c>
      <c r="C68" s="26" t="s">
        <v>763</v>
      </c>
      <c r="D68" s="35">
        <v>1477728079</v>
      </c>
      <c r="E68" s="36" t="str">
        <f>_xlfn.IFNA(VLOOKUP(Table24[[#This Row],[NPI]],'CM Assignments'!$D$1:$E$185,2,FALSE),_xlfn.IFNA(VLOOKUP(Table24[[#This Row],[Last]],'CM Assignments'!$B$1:$E$185,4,FALSE),"N/A"))</f>
        <v>Dan Vitasovic</v>
      </c>
      <c r="F68" s="37">
        <v>1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9" t="str">
        <f t="shared" ref="O68:O77" si="11">IF(J68=0,"N/A",((G68/$W$2)-(J68/$Y$2))/(J68/$Y$2))</f>
        <v>N/A</v>
      </c>
      <c r="P68" s="40">
        <f>((Table24[[#This Row],[Com Apr]]/$W$2)-(Table24[[#This Row],[Com Mar]]/$Y$2))*$X$2</f>
        <v>0</v>
      </c>
      <c r="Q68" s="39" t="str">
        <f t="shared" ref="Q68:Q78" si="12">IF(M68=0,"N/A",((J68)-(M68))/(M68))</f>
        <v>N/A</v>
      </c>
      <c r="R68" s="40">
        <f>Table24[[#This Row],[Com Mar]]-Table24[[#This Row],[Com Feb]]</f>
        <v>0</v>
      </c>
      <c r="S68" s="41">
        <f t="shared" ref="S68:S78" si="13">F68-G68-H68</f>
        <v>1</v>
      </c>
      <c r="T68" s="41">
        <f t="shared" ref="T68:T78" si="14">I68-J68-K68</f>
        <v>0</v>
      </c>
      <c r="U68" s="41">
        <f t="shared" si="10"/>
        <v>0</v>
      </c>
    </row>
    <row r="69" spans="1:21" x14ac:dyDescent="0.25">
      <c r="A69" s="31" t="s">
        <v>588</v>
      </c>
      <c r="B69" s="26" t="s">
        <v>655</v>
      </c>
      <c r="C69" s="26" t="s">
        <v>743</v>
      </c>
      <c r="D69" s="35">
        <v>1740238450</v>
      </c>
      <c r="E69" s="36" t="str">
        <f>_xlfn.IFNA(VLOOKUP(Table24[[#This Row],[NPI]],'CM Assignments'!$D$1:$E$185,2,FALSE),_xlfn.IFNA(VLOOKUP(Table24[[#This Row],[Last]],'CM Assignments'!$B$1:$E$185,4,FALSE),"N/A"))</f>
        <v>Dan Vitasovic</v>
      </c>
      <c r="F69" s="37">
        <v>16</v>
      </c>
      <c r="G69" s="38">
        <v>9</v>
      </c>
      <c r="H69" s="38">
        <v>2</v>
      </c>
      <c r="I69" s="38">
        <v>7</v>
      </c>
      <c r="J69" s="38">
        <v>5</v>
      </c>
      <c r="K69" s="38">
        <v>2</v>
      </c>
      <c r="L69" s="38">
        <v>15</v>
      </c>
      <c r="M69" s="38">
        <v>7</v>
      </c>
      <c r="N69" s="38">
        <v>7</v>
      </c>
      <c r="O69" s="39">
        <f t="shared" si="11"/>
        <v>1.5875000000000001</v>
      </c>
      <c r="P69" s="40">
        <f>((Table24[[#This Row],[Com Apr]]/$W$2)-(Table24[[#This Row],[Com Mar]]/$Y$2))*$X$2</f>
        <v>7.2472826086956532</v>
      </c>
      <c r="Q69" s="39">
        <f t="shared" si="12"/>
        <v>-0.2857142857142857</v>
      </c>
      <c r="R69" s="40">
        <f>Table24[[#This Row],[Com Mar]]-Table24[[#This Row],[Com Feb]]</f>
        <v>-2</v>
      </c>
      <c r="S69" s="41">
        <f t="shared" si="13"/>
        <v>5</v>
      </c>
      <c r="T69" s="41">
        <f t="shared" si="14"/>
        <v>0</v>
      </c>
      <c r="U69" s="41">
        <f t="shared" si="10"/>
        <v>1</v>
      </c>
    </row>
    <row r="70" spans="1:21" x14ac:dyDescent="0.25">
      <c r="A70" s="31" t="s">
        <v>589</v>
      </c>
      <c r="B70" s="26" t="s">
        <v>656</v>
      </c>
      <c r="C70" s="26" t="s">
        <v>744</v>
      </c>
      <c r="D70" s="35">
        <v>1053373001</v>
      </c>
      <c r="E70" s="36" t="str">
        <f>_xlfn.IFNA(VLOOKUP(Table24[[#This Row],[NPI]],'CM Assignments'!$D$1:$E$185,2,FALSE),_xlfn.IFNA(VLOOKUP(Table24[[#This Row],[Last]],'CM Assignments'!$B$1:$E$185,4,FALSE),"N/A"))</f>
        <v>N/A</v>
      </c>
      <c r="F70" s="37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2</v>
      </c>
      <c r="M70" s="38">
        <v>1</v>
      </c>
      <c r="N70" s="38">
        <v>1</v>
      </c>
      <c r="O70" s="39" t="str">
        <f t="shared" si="11"/>
        <v>N/A</v>
      </c>
      <c r="P70" s="40">
        <f>((Table24[[#This Row],[Com Apr]]/$W$2)-(Table24[[#This Row],[Com Mar]]/$Y$2))*$X$2</f>
        <v>0</v>
      </c>
      <c r="Q70" s="39">
        <f t="shared" si="12"/>
        <v>-1</v>
      </c>
      <c r="R70" s="40">
        <f>Table24[[#This Row],[Com Mar]]-Table24[[#This Row],[Com Feb]]</f>
        <v>-1</v>
      </c>
      <c r="S70" s="41">
        <f t="shared" si="13"/>
        <v>0</v>
      </c>
      <c r="T70" s="41">
        <f t="shared" si="14"/>
        <v>0</v>
      </c>
      <c r="U70" s="41">
        <f t="shared" ref="U70:U74" si="15">L70-M70-N70</f>
        <v>0</v>
      </c>
    </row>
    <row r="71" spans="1:21" x14ac:dyDescent="0.25">
      <c r="A71" s="31" t="s">
        <v>590</v>
      </c>
      <c r="B71" s="26" t="s">
        <v>657</v>
      </c>
      <c r="C71" s="26" t="s">
        <v>745</v>
      </c>
      <c r="D71" s="35">
        <v>1265648109</v>
      </c>
      <c r="E71" s="36" t="str">
        <f>_xlfn.IFNA(VLOOKUP(Table24[[#This Row],[NPI]],'CM Assignments'!$D$1:$E$185,2,FALSE),_xlfn.IFNA(VLOOKUP(Table24[[#This Row],[Last]],'CM Assignments'!$B$1:$E$185,4,FALSE),"N/A"))</f>
        <v>Christy Sanantonio</v>
      </c>
      <c r="F71" s="37">
        <v>2</v>
      </c>
      <c r="G71" s="38">
        <v>2</v>
      </c>
      <c r="H71" s="38">
        <v>0</v>
      </c>
      <c r="I71" s="38">
        <v>5</v>
      </c>
      <c r="J71" s="38">
        <v>5</v>
      </c>
      <c r="K71" s="38">
        <v>0</v>
      </c>
      <c r="L71" s="38">
        <v>14</v>
      </c>
      <c r="M71" s="38">
        <v>13</v>
      </c>
      <c r="N71" s="38">
        <v>0</v>
      </c>
      <c r="O71" s="39">
        <f t="shared" si="11"/>
        <v>-0.42499999999999999</v>
      </c>
      <c r="P71" s="40">
        <f>((Table24[[#This Row],[Com Apr]]/$W$2)-(Table24[[#This Row],[Com Mar]]/$Y$2))*$X$2</f>
        <v>-1.9402173913043477</v>
      </c>
      <c r="Q71" s="39">
        <f t="shared" si="12"/>
        <v>-0.61538461538461542</v>
      </c>
      <c r="R71" s="40">
        <f>Table24[[#This Row],[Com Mar]]-Table24[[#This Row],[Com Feb]]</f>
        <v>-8</v>
      </c>
      <c r="S71" s="41">
        <f t="shared" si="13"/>
        <v>0</v>
      </c>
      <c r="T71" s="41">
        <f t="shared" si="14"/>
        <v>0</v>
      </c>
      <c r="U71" s="41">
        <f t="shared" si="15"/>
        <v>1</v>
      </c>
    </row>
    <row r="72" spans="1:21" x14ac:dyDescent="0.25">
      <c r="A72" s="31" t="s">
        <v>591</v>
      </c>
      <c r="B72" s="26" t="s">
        <v>658</v>
      </c>
      <c r="C72" s="26" t="s">
        <v>746</v>
      </c>
      <c r="D72" s="35">
        <v>1164403408</v>
      </c>
      <c r="E72" s="36" t="str">
        <f>_xlfn.IFNA(VLOOKUP(Table24[[#This Row],[NPI]],'CM Assignments'!$D$1:$E$185,2,FALSE),_xlfn.IFNA(VLOOKUP(Table24[[#This Row],[Last]],'CM Assignments'!$B$1:$E$185,4,FALSE),"N/A"))</f>
        <v>Dan Vitasovic</v>
      </c>
      <c r="F72" s="37">
        <v>8</v>
      </c>
      <c r="G72" s="38">
        <v>6</v>
      </c>
      <c r="H72" s="38">
        <v>0</v>
      </c>
      <c r="I72" s="38">
        <v>6</v>
      </c>
      <c r="J72" s="38">
        <v>6</v>
      </c>
      <c r="K72" s="38">
        <v>0</v>
      </c>
      <c r="L72" s="38">
        <v>4</v>
      </c>
      <c r="M72" s="38">
        <v>4</v>
      </c>
      <c r="N72" s="38">
        <v>0</v>
      </c>
      <c r="O72" s="39">
        <f t="shared" si="11"/>
        <v>0.43750000000000006</v>
      </c>
      <c r="P72" s="40">
        <f>((Table24[[#This Row],[Com Apr]]/$W$2)-(Table24[[#This Row],[Com Mar]]/$Y$2))*$X$2</f>
        <v>2.3967391304347827</v>
      </c>
      <c r="Q72" s="39">
        <f t="shared" si="12"/>
        <v>0.5</v>
      </c>
      <c r="R72" s="40">
        <f>Table24[[#This Row],[Com Mar]]-Table24[[#This Row],[Com Feb]]</f>
        <v>2</v>
      </c>
      <c r="S72" s="41">
        <f t="shared" si="13"/>
        <v>2</v>
      </c>
      <c r="T72" s="41">
        <f t="shared" si="14"/>
        <v>0</v>
      </c>
      <c r="U72" s="41">
        <f t="shared" si="15"/>
        <v>0</v>
      </c>
    </row>
    <row r="73" spans="1:21" x14ac:dyDescent="0.25">
      <c r="A73" s="31" t="s">
        <v>592</v>
      </c>
      <c r="B73" s="26" t="s">
        <v>659</v>
      </c>
      <c r="C73" s="26" t="s">
        <v>747</v>
      </c>
      <c r="D73" s="35">
        <v>1962487785</v>
      </c>
      <c r="E73" s="36" t="str">
        <f>_xlfn.IFNA(VLOOKUP(Table24[[#This Row],[NPI]],'CM Assignments'!$D$1:$E$185,2,FALSE),_xlfn.IFNA(VLOOKUP(Table24[[#This Row],[Last]],'CM Assignments'!$B$1:$E$185,4,FALSE),"N/A"))</f>
        <v>Christy Sanantonio</v>
      </c>
      <c r="F73" s="37">
        <v>19</v>
      </c>
      <c r="G73" s="38">
        <v>18</v>
      </c>
      <c r="H73" s="38">
        <v>1</v>
      </c>
      <c r="I73" s="38">
        <v>50</v>
      </c>
      <c r="J73" s="38">
        <v>46</v>
      </c>
      <c r="K73" s="38">
        <v>4</v>
      </c>
      <c r="L73" s="38">
        <v>42</v>
      </c>
      <c r="M73" s="38">
        <v>40</v>
      </c>
      <c r="N73" s="38">
        <v>1</v>
      </c>
      <c r="O73" s="39">
        <f t="shared" si="11"/>
        <v>-0.4375</v>
      </c>
      <c r="P73" s="40">
        <f>((Table24[[#This Row],[Com Apr]]/$W$2)-(Table24[[#This Row],[Com Mar]]/$Y$2))*$X$2</f>
        <v>-18.375</v>
      </c>
      <c r="Q73" s="39">
        <f t="shared" si="12"/>
        <v>0.15</v>
      </c>
      <c r="R73" s="40">
        <f>Table24[[#This Row],[Com Mar]]-Table24[[#This Row],[Com Feb]]</f>
        <v>6</v>
      </c>
      <c r="S73" s="41">
        <f t="shared" si="13"/>
        <v>0</v>
      </c>
      <c r="T73" s="41">
        <f t="shared" si="14"/>
        <v>0</v>
      </c>
      <c r="U73" s="41">
        <f t="shared" si="15"/>
        <v>1</v>
      </c>
    </row>
    <row r="74" spans="1:21" x14ac:dyDescent="0.25">
      <c r="A74" s="31" t="s">
        <v>593</v>
      </c>
      <c r="B74" s="26" t="s">
        <v>660</v>
      </c>
      <c r="C74" s="26" t="s">
        <v>748</v>
      </c>
      <c r="D74" s="35">
        <v>1790723245</v>
      </c>
      <c r="E74" s="36" t="str">
        <f>_xlfn.IFNA(VLOOKUP(Table24[[#This Row],[NPI]],'CM Assignments'!$D$1:$E$185,2,FALSE),_xlfn.IFNA(VLOOKUP(Table24[[#This Row],[Last]],'CM Assignments'!$B$1:$E$185,4,FALSE),"N/A"))</f>
        <v>N/A</v>
      </c>
      <c r="F74" s="37">
        <v>1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2</v>
      </c>
      <c r="M74" s="38">
        <v>2</v>
      </c>
      <c r="N74" s="38">
        <v>0</v>
      </c>
      <c r="O74" s="39" t="str">
        <f t="shared" si="11"/>
        <v>N/A</v>
      </c>
      <c r="P74" s="40">
        <f>((Table24[[#This Row],[Com Apr]]/$W$2)-(Table24[[#This Row],[Com Mar]]/$Y$2))*$X$2</f>
        <v>0</v>
      </c>
      <c r="Q74" s="39">
        <f t="shared" si="12"/>
        <v>-1</v>
      </c>
      <c r="R74" s="40">
        <f>Table24[[#This Row],[Com Mar]]-Table24[[#This Row],[Com Feb]]</f>
        <v>-2</v>
      </c>
      <c r="S74" s="41">
        <f t="shared" si="13"/>
        <v>1</v>
      </c>
      <c r="T74" s="41">
        <f t="shared" si="14"/>
        <v>0</v>
      </c>
      <c r="U74" s="41">
        <f t="shared" si="15"/>
        <v>0</v>
      </c>
    </row>
    <row r="75" spans="1:21" x14ac:dyDescent="0.25">
      <c r="A75" s="31" t="s">
        <v>681</v>
      </c>
      <c r="B75" s="26" t="s">
        <v>661</v>
      </c>
      <c r="C75" s="26" t="s">
        <v>750</v>
      </c>
      <c r="D75" s="35">
        <v>1497930044</v>
      </c>
      <c r="E75" s="36" t="str">
        <f>_xlfn.IFNA(VLOOKUP(Table24[[#This Row],[NPI]],'CM Assignments'!$D$1:$E$185,2,FALSE),_xlfn.IFNA(VLOOKUP(Table24[[#This Row],[Last]],'CM Assignments'!$B$1:$E$185,4,FALSE),"N/A"))</f>
        <v>Dan Vitasovic</v>
      </c>
      <c r="F75" s="37">
        <v>12</v>
      </c>
      <c r="G75" s="38">
        <v>1</v>
      </c>
      <c r="H75" s="38">
        <v>1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9" t="str">
        <f t="shared" si="11"/>
        <v>N/A</v>
      </c>
      <c r="P75" s="40">
        <f>((Table24[[#This Row],[Com Apr]]/$W$2)-(Table24[[#This Row],[Com Mar]]/$Y$2))*$X$2</f>
        <v>1.3125</v>
      </c>
      <c r="Q75" s="39" t="str">
        <f t="shared" si="12"/>
        <v>N/A</v>
      </c>
      <c r="R75" s="40">
        <f>Table24[[#This Row],[Com Mar]]-Table24[[#This Row],[Com Feb]]</f>
        <v>0</v>
      </c>
      <c r="S75" s="41">
        <f t="shared" si="13"/>
        <v>10</v>
      </c>
      <c r="T75" s="41">
        <f t="shared" si="14"/>
        <v>0</v>
      </c>
      <c r="U75" s="41">
        <f>L75-M75-N75</f>
        <v>0</v>
      </c>
    </row>
    <row r="76" spans="1:21" x14ac:dyDescent="0.25">
      <c r="A76" s="31" t="s">
        <v>594</v>
      </c>
      <c r="B76" s="26" t="s">
        <v>661</v>
      </c>
      <c r="C76" s="26" t="s">
        <v>751</v>
      </c>
      <c r="D76" s="35">
        <v>1841359692</v>
      </c>
      <c r="E76" s="36" t="str">
        <f>_xlfn.IFNA(VLOOKUP(Table24[[#This Row],[NPI]],'CM Assignments'!$D$1:$E$185,2,FALSE),_xlfn.IFNA(VLOOKUP(Table24[[#This Row],[Last]],'CM Assignments'!$B$1:$E$185,4,FALSE),"N/A"))</f>
        <v>Christy Sanantonio</v>
      </c>
      <c r="F76" s="37">
        <v>8</v>
      </c>
      <c r="G76" s="38">
        <v>7</v>
      </c>
      <c r="H76" s="38">
        <v>0</v>
      </c>
      <c r="I76" s="38">
        <v>10</v>
      </c>
      <c r="J76" s="38">
        <v>9</v>
      </c>
      <c r="K76" s="38">
        <v>0</v>
      </c>
      <c r="L76" s="38">
        <v>7</v>
      </c>
      <c r="M76" s="38">
        <v>6</v>
      </c>
      <c r="N76" s="38">
        <v>1</v>
      </c>
      <c r="O76" s="39">
        <f t="shared" si="11"/>
        <v>0.11805555555555551</v>
      </c>
      <c r="P76" s="40">
        <f>((Table24[[#This Row],[Com Apr]]/$W$2)-(Table24[[#This Row],[Com Mar]]/$Y$2))*$X$2</f>
        <v>0.97010869565217361</v>
      </c>
      <c r="Q76" s="39">
        <f t="shared" si="12"/>
        <v>0.5</v>
      </c>
      <c r="R76" s="40">
        <f>Table24[[#This Row],[Com Mar]]-Table24[[#This Row],[Com Feb]]</f>
        <v>3</v>
      </c>
      <c r="S76" s="41">
        <f t="shared" si="13"/>
        <v>1</v>
      </c>
      <c r="T76" s="41">
        <f t="shared" si="14"/>
        <v>1</v>
      </c>
      <c r="U76" s="41">
        <f>L76-M76-N76</f>
        <v>0</v>
      </c>
    </row>
    <row r="77" spans="1:21" x14ac:dyDescent="0.25">
      <c r="A77" s="31" t="s">
        <v>596</v>
      </c>
      <c r="B77" s="26" t="s">
        <v>663</v>
      </c>
      <c r="C77" s="26" t="s">
        <v>753</v>
      </c>
      <c r="D77" s="35">
        <v>1386740645</v>
      </c>
      <c r="E77" s="36" t="str">
        <f>_xlfn.IFNA(VLOOKUP(Table24[[#This Row],[NPI]],'CM Assignments'!$D$1:$E$185,2,FALSE),_xlfn.IFNA(VLOOKUP(Table24[[#This Row],[Last]],'CM Assignments'!$B$1:$E$185,4,FALSE),"N/A"))</f>
        <v>Christy Sanantonio</v>
      </c>
      <c r="F77" s="37">
        <v>1</v>
      </c>
      <c r="G77" s="38">
        <v>1</v>
      </c>
      <c r="H77" s="38">
        <v>0</v>
      </c>
      <c r="I77" s="38">
        <v>11</v>
      </c>
      <c r="J77" s="38">
        <v>11</v>
      </c>
      <c r="K77" s="38">
        <v>0</v>
      </c>
      <c r="L77" s="38">
        <v>46</v>
      </c>
      <c r="M77" s="38">
        <v>45</v>
      </c>
      <c r="N77" s="38">
        <v>1</v>
      </c>
      <c r="O77" s="39">
        <f t="shared" si="11"/>
        <v>-0.86931818181818177</v>
      </c>
      <c r="P77" s="40">
        <f>((Table24[[#This Row],[Com Apr]]/$W$2)-(Table24[[#This Row],[Com Mar]]/$Y$2))*$X$2</f>
        <v>-8.7309782608695663</v>
      </c>
      <c r="Q77" s="39">
        <f t="shared" si="12"/>
        <v>-0.75555555555555554</v>
      </c>
      <c r="R77" s="40">
        <f>Table24[[#This Row],[Com Mar]]-Table24[[#This Row],[Com Feb]]</f>
        <v>-34</v>
      </c>
      <c r="S77" s="41">
        <f t="shared" si="13"/>
        <v>0</v>
      </c>
      <c r="T77" s="41">
        <f t="shared" si="14"/>
        <v>0</v>
      </c>
      <c r="U77" s="41">
        <f>L77-M77-N77</f>
        <v>0</v>
      </c>
    </row>
    <row r="78" spans="1:21" x14ac:dyDescent="0.25">
      <c r="A78" s="45" t="s">
        <v>8</v>
      </c>
      <c r="B78" s="46"/>
      <c r="C78" s="46"/>
      <c r="D78" s="46"/>
      <c r="E78" s="47"/>
      <c r="F78" s="14">
        <f>SUBTOTAL(109,Table24[Total Apr])</f>
        <v>560</v>
      </c>
      <c r="G78" s="14">
        <f>SUBTOTAL(109,Table24[Com Apr])</f>
        <v>445</v>
      </c>
      <c r="H78" s="14">
        <f>SUBTOTAL(109,Table24[Fed Apr])</f>
        <v>39</v>
      </c>
      <c r="I78" s="14">
        <f>SUBTOTAL(109,Table24[Total Mar])</f>
        <v>737</v>
      </c>
      <c r="J78" s="14">
        <f>SUBTOTAL(109,Table24[Com Mar])</f>
        <v>609</v>
      </c>
      <c r="K78" s="14">
        <f>SUBTOTAL(109,Table24[Fed Mar])</f>
        <v>80</v>
      </c>
      <c r="L78" s="14">
        <f>SUBTOTAL(109,Table24[Total Feb])</f>
        <v>962</v>
      </c>
      <c r="M78" s="14">
        <f>SUBTOTAL(109,Table24[Com Feb])</f>
        <v>779</v>
      </c>
      <c r="N78" s="14">
        <f>SUBTOTAL(109,Table24[Fed Feb])</f>
        <v>144</v>
      </c>
      <c r="O78" s="15">
        <f>IF(J78=0,"N/A",((G78/$W$2)-(J78/$Y$2))/(J78/$Y$2))</f>
        <v>5.0389983579638704E-2</v>
      </c>
      <c r="P78" s="16">
        <f>((G78/$W$2)-(J78/$Y$2))*$X$2</f>
        <v>28.019021739130409</v>
      </c>
      <c r="Q78" s="15">
        <f t="shared" si="12"/>
        <v>-0.21822849807445444</v>
      </c>
      <c r="R78" s="16">
        <f>J78-M78</f>
        <v>-170</v>
      </c>
      <c r="S78" s="14">
        <f t="shared" si="13"/>
        <v>76</v>
      </c>
      <c r="T78" s="14">
        <f t="shared" si="14"/>
        <v>48</v>
      </c>
      <c r="U78" s="14">
        <f t="shared" ref="U78" si="16">L78-M78-N78</f>
        <v>39</v>
      </c>
    </row>
  </sheetData>
  <sheetProtection sheet="1" objects="1" scenarios="1" sort="0" autoFilter="0" pivotTables="0"/>
  <mergeCells count="1">
    <mergeCell ref="A78:E78"/>
  </mergeCells>
  <conditionalFormatting sqref="S2:U77">
    <cfRule type="cellIs" dxfId="7" priority="14" operator="greaterThan">
      <formula>10</formula>
    </cfRule>
    <cfRule type="cellIs" dxfId="6" priority="15" operator="between">
      <formula>6</formula>
      <formula>10</formula>
    </cfRule>
    <cfRule type="cellIs" dxfId="5" priority="16" operator="between">
      <formula>1</formula>
      <formula>5</formula>
    </cfRule>
  </conditionalFormatting>
  <conditionalFormatting sqref="O2:O78 Q2:Q78">
    <cfRule type="cellIs" dxfId="4" priority="9" operator="between">
      <formula>0.5000000001</formula>
      <formula>100000000</formula>
    </cfRule>
    <cfRule type="cellIs" dxfId="3" priority="10" operator="between">
      <formula>0.25</formula>
      <formula>0.5</formula>
    </cfRule>
    <cfRule type="cellIs" dxfId="2" priority="11" operator="lessThan">
      <formula>-0.5</formula>
    </cfRule>
    <cfRule type="cellIs" dxfId="1" priority="12" operator="between">
      <formula>-0.250000001</formula>
      <formula>-0.5</formula>
    </cfRule>
    <cfRule type="cellIs" dxfId="0" priority="13" operator="between">
      <formula>-0.0001</formula>
      <formula>-0.25</formula>
    </cfRule>
  </conditionalFormatting>
  <pageMargins left="0.25" right="0.25" top="0.75" bottom="0.75" header="0.3" footer="0.3"/>
  <pageSetup scale="42" orientation="landscape" horizontalDpi="4294967293" verticalDpi="4294967293" r:id="rId1"/>
  <headerFooter>
    <oddHeader>&amp;L&amp;14&amp;F&amp;C&amp;14&amp;A</oddHead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86"/>
  <sheetViews>
    <sheetView workbookViewId="0"/>
  </sheetViews>
  <sheetFormatPr defaultRowHeight="15" x14ac:dyDescent="0.25"/>
  <cols>
    <col min="1" max="1" width="26.42578125" bestFit="1" customWidth="1"/>
    <col min="2" max="2" width="16" customWidth="1"/>
    <col min="3" max="3" width="17.7109375" customWidth="1"/>
    <col min="4" max="4" width="12.42578125" customWidth="1"/>
    <col min="5" max="5" width="17.85546875" bestFit="1" customWidth="1"/>
    <col min="6" max="6" width="11" bestFit="1" customWidth="1"/>
  </cols>
  <sheetData>
    <row r="1" spans="1:5" x14ac:dyDescent="0.25">
      <c r="A1" s="1" t="s">
        <v>15</v>
      </c>
      <c r="B1" s="9" t="s">
        <v>188</v>
      </c>
      <c r="C1" s="9" t="s">
        <v>189</v>
      </c>
      <c r="D1" s="9" t="s">
        <v>190</v>
      </c>
      <c r="E1" s="2" t="s">
        <v>14</v>
      </c>
    </row>
    <row r="2" spans="1:5" x14ac:dyDescent="0.25">
      <c r="A2" s="3" t="s">
        <v>16</v>
      </c>
      <c r="B2" s="7" t="s">
        <v>206</v>
      </c>
      <c r="C2" s="7" t="s">
        <v>207</v>
      </c>
      <c r="D2" s="7">
        <v>1790947398</v>
      </c>
      <c r="E2" s="4" t="s">
        <v>26</v>
      </c>
    </row>
    <row r="3" spans="1:5" x14ac:dyDescent="0.25">
      <c r="A3" s="5" t="s">
        <v>18</v>
      </c>
      <c r="B3" s="8" t="s">
        <v>208</v>
      </c>
      <c r="C3" s="8" t="s">
        <v>209</v>
      </c>
      <c r="D3" s="8">
        <v>1770673428</v>
      </c>
      <c r="E3" s="6" t="s">
        <v>19</v>
      </c>
    </row>
    <row r="4" spans="1:5" x14ac:dyDescent="0.25">
      <c r="A4" s="3" t="s">
        <v>20</v>
      </c>
      <c r="B4" s="7" t="s">
        <v>210</v>
      </c>
      <c r="C4" s="7" t="s">
        <v>211</v>
      </c>
      <c r="D4" s="7">
        <v>1467413567</v>
      </c>
      <c r="E4" s="4" t="s">
        <v>19</v>
      </c>
    </row>
    <row r="5" spans="1:5" x14ac:dyDescent="0.25">
      <c r="A5" s="5" t="s">
        <v>21</v>
      </c>
      <c r="B5" s="8" t="s">
        <v>212</v>
      </c>
      <c r="C5" s="8" t="s">
        <v>213</v>
      </c>
      <c r="D5" s="8">
        <v>1093708745</v>
      </c>
      <c r="E5" s="6" t="s">
        <v>22</v>
      </c>
    </row>
    <row r="6" spans="1:5" x14ac:dyDescent="0.25">
      <c r="A6" s="3" t="s">
        <v>23</v>
      </c>
      <c r="B6" s="7" t="s">
        <v>214</v>
      </c>
      <c r="C6" s="7" t="s">
        <v>215</v>
      </c>
      <c r="D6" s="7">
        <v>1568711638</v>
      </c>
      <c r="E6" s="4" t="s">
        <v>24</v>
      </c>
    </row>
    <row r="7" spans="1:5" x14ac:dyDescent="0.25">
      <c r="A7" s="5" t="s">
        <v>25</v>
      </c>
      <c r="B7" s="8" t="s">
        <v>216</v>
      </c>
      <c r="C7" s="8" t="s">
        <v>217</v>
      </c>
      <c r="D7" s="8">
        <v>1336193903</v>
      </c>
      <c r="E7" s="6" t="s">
        <v>17</v>
      </c>
    </row>
    <row r="8" spans="1:5" x14ac:dyDescent="0.25">
      <c r="A8" s="3" t="s">
        <v>27</v>
      </c>
      <c r="B8" s="7" t="s">
        <v>218</v>
      </c>
      <c r="C8" s="7" t="s">
        <v>219</v>
      </c>
      <c r="D8" s="7">
        <v>1477717411</v>
      </c>
      <c r="E8" s="4" t="s">
        <v>22</v>
      </c>
    </row>
    <row r="9" spans="1:5" x14ac:dyDescent="0.25">
      <c r="A9" s="5" t="s">
        <v>28</v>
      </c>
      <c r="B9" s="8" t="s">
        <v>220</v>
      </c>
      <c r="C9" s="8" t="s">
        <v>221</v>
      </c>
      <c r="D9" s="8">
        <v>1053347849</v>
      </c>
      <c r="E9" s="4" t="s">
        <v>26</v>
      </c>
    </row>
    <row r="10" spans="1:5" x14ac:dyDescent="0.25">
      <c r="A10" s="3" t="s">
        <v>29</v>
      </c>
      <c r="B10" s="7" t="s">
        <v>222</v>
      </c>
      <c r="C10" s="7" t="s">
        <v>223</v>
      </c>
      <c r="D10" s="7">
        <v>1881689818</v>
      </c>
      <c r="E10" s="4" t="s">
        <v>22</v>
      </c>
    </row>
    <row r="11" spans="1:5" x14ac:dyDescent="0.25">
      <c r="A11" s="5" t="s">
        <v>30</v>
      </c>
      <c r="B11" s="8" t="s">
        <v>224</v>
      </c>
      <c r="C11" s="8" t="s">
        <v>225</v>
      </c>
      <c r="D11" s="8">
        <v>1598861809</v>
      </c>
      <c r="E11" s="4" t="s">
        <v>26</v>
      </c>
    </row>
    <row r="12" spans="1:5" x14ac:dyDescent="0.25">
      <c r="A12" s="3" t="s">
        <v>31</v>
      </c>
      <c r="B12" s="7" t="s">
        <v>226</v>
      </c>
      <c r="C12" s="7" t="s">
        <v>227</v>
      </c>
      <c r="D12" s="7">
        <v>1386679637</v>
      </c>
      <c r="E12" s="4" t="s">
        <v>19</v>
      </c>
    </row>
    <row r="13" spans="1:5" x14ac:dyDescent="0.25">
      <c r="A13" s="5" t="s">
        <v>32</v>
      </c>
      <c r="B13" s="8" t="s">
        <v>228</v>
      </c>
      <c r="C13" s="8" t="s">
        <v>221</v>
      </c>
      <c r="D13" s="8">
        <v>1295762847</v>
      </c>
      <c r="E13" s="4" t="s">
        <v>26</v>
      </c>
    </row>
    <row r="14" spans="1:5" x14ac:dyDescent="0.25">
      <c r="A14" s="3" t="s">
        <v>33</v>
      </c>
      <c r="B14" s="7" t="s">
        <v>229</v>
      </c>
      <c r="C14" s="7" t="s">
        <v>230</v>
      </c>
      <c r="D14" s="7">
        <v>1104811413</v>
      </c>
      <c r="E14" s="6" t="s">
        <v>17</v>
      </c>
    </row>
    <row r="15" spans="1:5" x14ac:dyDescent="0.25">
      <c r="A15" s="5" t="s">
        <v>34</v>
      </c>
      <c r="B15" s="8" t="s">
        <v>231</v>
      </c>
      <c r="C15" s="8" t="s">
        <v>232</v>
      </c>
      <c r="D15" s="8">
        <v>1609846328</v>
      </c>
      <c r="E15" s="6" t="s">
        <v>19</v>
      </c>
    </row>
    <row r="16" spans="1:5" x14ac:dyDescent="0.25">
      <c r="A16" s="3" t="s">
        <v>35</v>
      </c>
      <c r="B16" s="7" t="s">
        <v>233</v>
      </c>
      <c r="C16" s="7" t="s">
        <v>234</v>
      </c>
      <c r="D16" s="7">
        <v>1639177371</v>
      </c>
      <c r="E16" s="4" t="s">
        <v>19</v>
      </c>
    </row>
    <row r="17" spans="1:5" x14ac:dyDescent="0.25">
      <c r="A17" s="5" t="s">
        <v>36</v>
      </c>
      <c r="B17" s="8" t="s">
        <v>235</v>
      </c>
      <c r="C17" s="8" t="s">
        <v>236</v>
      </c>
      <c r="D17" s="8">
        <v>1982727590</v>
      </c>
      <c r="E17" s="6" t="s">
        <v>22</v>
      </c>
    </row>
    <row r="18" spans="1:5" x14ac:dyDescent="0.25">
      <c r="A18" s="3" t="s">
        <v>37</v>
      </c>
      <c r="B18" s="7" t="s">
        <v>237</v>
      </c>
      <c r="C18" s="7" t="s">
        <v>238</v>
      </c>
      <c r="D18" s="7">
        <v>1558472555</v>
      </c>
      <c r="E18" s="4" t="s">
        <v>19</v>
      </c>
    </row>
    <row r="19" spans="1:5" x14ac:dyDescent="0.25">
      <c r="A19" s="5" t="s">
        <v>38</v>
      </c>
      <c r="B19" s="8" t="s">
        <v>239</v>
      </c>
      <c r="C19" s="8" t="s">
        <v>240</v>
      </c>
      <c r="D19" s="8">
        <v>1710980875</v>
      </c>
      <c r="E19" s="6" t="s">
        <v>22</v>
      </c>
    </row>
    <row r="20" spans="1:5" x14ac:dyDescent="0.25">
      <c r="A20" s="3" t="s">
        <v>39</v>
      </c>
      <c r="B20" s="7" t="s">
        <v>241</v>
      </c>
      <c r="C20" s="7" t="s">
        <v>242</v>
      </c>
      <c r="D20" s="7">
        <v>1346465010</v>
      </c>
      <c r="E20" s="4" t="s">
        <v>22</v>
      </c>
    </row>
    <row r="21" spans="1:5" x14ac:dyDescent="0.25">
      <c r="A21" s="5" t="s">
        <v>40</v>
      </c>
      <c r="B21" s="8" t="s">
        <v>243</v>
      </c>
      <c r="C21" s="8" t="s">
        <v>244</v>
      </c>
      <c r="D21" s="8">
        <v>1215285135</v>
      </c>
      <c r="E21" s="4" t="s">
        <v>26</v>
      </c>
    </row>
    <row r="22" spans="1:5" x14ac:dyDescent="0.25">
      <c r="A22" s="3" t="s">
        <v>41</v>
      </c>
      <c r="B22" s="7" t="s">
        <v>245</v>
      </c>
      <c r="C22" s="7" t="s">
        <v>246</v>
      </c>
      <c r="D22" s="7">
        <v>1730394040</v>
      </c>
      <c r="E22" s="4" t="s">
        <v>24</v>
      </c>
    </row>
    <row r="23" spans="1:5" x14ac:dyDescent="0.25">
      <c r="A23" s="5" t="s">
        <v>42</v>
      </c>
      <c r="B23" s="8" t="s">
        <v>247</v>
      </c>
      <c r="C23" s="8" t="s">
        <v>248</v>
      </c>
      <c r="D23" s="8">
        <v>1194953210</v>
      </c>
      <c r="E23" s="6" t="s">
        <v>22</v>
      </c>
    </row>
    <row r="24" spans="1:5" x14ac:dyDescent="0.25">
      <c r="A24" s="3" t="s">
        <v>43</v>
      </c>
      <c r="B24" s="7" t="s">
        <v>249</v>
      </c>
      <c r="C24" s="7" t="s">
        <v>250</v>
      </c>
      <c r="D24" s="7">
        <v>1568465615</v>
      </c>
      <c r="E24" s="4" t="s">
        <v>26</v>
      </c>
    </row>
    <row r="25" spans="1:5" x14ac:dyDescent="0.25">
      <c r="A25" s="3" t="s">
        <v>193</v>
      </c>
      <c r="B25" s="7" t="s">
        <v>251</v>
      </c>
      <c r="C25" s="7" t="s">
        <v>252</v>
      </c>
      <c r="D25" s="7">
        <v>1134342918</v>
      </c>
      <c r="E25" s="4" t="s">
        <v>24</v>
      </c>
    </row>
    <row r="26" spans="1:5" x14ac:dyDescent="0.25">
      <c r="A26" s="5" t="s">
        <v>44</v>
      </c>
      <c r="B26" s="8" t="s">
        <v>253</v>
      </c>
      <c r="C26" s="8" t="s">
        <v>221</v>
      </c>
      <c r="D26" s="8">
        <v>1568610434</v>
      </c>
      <c r="E26" s="4" t="s">
        <v>26</v>
      </c>
    </row>
    <row r="27" spans="1:5" x14ac:dyDescent="0.25">
      <c r="A27" s="5" t="s">
        <v>764</v>
      </c>
      <c r="B27" s="8" t="s">
        <v>765</v>
      </c>
      <c r="C27" s="8" t="s">
        <v>766</v>
      </c>
      <c r="D27" s="8">
        <v>1861657355</v>
      </c>
      <c r="E27" s="4" t="s">
        <v>22</v>
      </c>
    </row>
    <row r="28" spans="1:5" x14ac:dyDescent="0.25">
      <c r="A28" s="3" t="s">
        <v>45</v>
      </c>
      <c r="B28" s="7" t="s">
        <v>254</v>
      </c>
      <c r="C28" s="7" t="s">
        <v>255</v>
      </c>
      <c r="D28" s="7">
        <v>1699183954</v>
      </c>
      <c r="E28" s="4" t="s">
        <v>26</v>
      </c>
    </row>
    <row r="29" spans="1:5" x14ac:dyDescent="0.25">
      <c r="A29" s="5" t="s">
        <v>46</v>
      </c>
      <c r="B29" s="8" t="s">
        <v>256</v>
      </c>
      <c r="C29" s="8" t="s">
        <v>515</v>
      </c>
      <c r="D29" s="8">
        <v>1770523821</v>
      </c>
      <c r="E29" s="6" t="s">
        <v>24</v>
      </c>
    </row>
    <row r="30" spans="1:5" x14ac:dyDescent="0.25">
      <c r="A30" s="5" t="s">
        <v>767</v>
      </c>
      <c r="B30" s="8" t="s">
        <v>256</v>
      </c>
      <c r="C30" s="8" t="s">
        <v>768</v>
      </c>
      <c r="D30" s="8">
        <v>1609955350</v>
      </c>
      <c r="E30" s="6" t="s">
        <v>22</v>
      </c>
    </row>
    <row r="31" spans="1:5" x14ac:dyDescent="0.25">
      <c r="A31" s="3" t="s">
        <v>47</v>
      </c>
      <c r="B31" s="7" t="s">
        <v>257</v>
      </c>
      <c r="C31" s="7" t="s">
        <v>258</v>
      </c>
      <c r="D31" s="7">
        <v>1962448811</v>
      </c>
      <c r="E31" s="4" t="s">
        <v>26</v>
      </c>
    </row>
    <row r="32" spans="1:5" x14ac:dyDescent="0.25">
      <c r="A32" s="5" t="s">
        <v>48</v>
      </c>
      <c r="B32" s="8" t="s">
        <v>259</v>
      </c>
      <c r="C32" s="8" t="s">
        <v>260</v>
      </c>
      <c r="D32" s="8">
        <v>1386632966</v>
      </c>
      <c r="E32" s="6" t="s">
        <v>17</v>
      </c>
    </row>
    <row r="33" spans="1:5" x14ac:dyDescent="0.25">
      <c r="A33" s="3" t="s">
        <v>49</v>
      </c>
      <c r="B33" s="7" t="s">
        <v>261</v>
      </c>
      <c r="C33" s="7" t="s">
        <v>262</v>
      </c>
      <c r="D33" s="7">
        <v>1811923923</v>
      </c>
      <c r="E33" s="4" t="s">
        <v>26</v>
      </c>
    </row>
    <row r="34" spans="1:5" x14ac:dyDescent="0.25">
      <c r="A34" s="5" t="s">
        <v>50</v>
      </c>
      <c r="B34" s="8" t="s">
        <v>263</v>
      </c>
      <c r="C34" s="8" t="s">
        <v>264</v>
      </c>
      <c r="D34" s="8">
        <v>1942394663</v>
      </c>
      <c r="E34" s="6" t="s">
        <v>17</v>
      </c>
    </row>
    <row r="35" spans="1:5" x14ac:dyDescent="0.25">
      <c r="A35" s="3" t="s">
        <v>51</v>
      </c>
      <c r="B35" s="7" t="s">
        <v>265</v>
      </c>
      <c r="C35" s="7" t="s">
        <v>266</v>
      </c>
      <c r="D35" s="7" t="s">
        <v>24</v>
      </c>
      <c r="E35" s="4" t="s">
        <v>22</v>
      </c>
    </row>
    <row r="36" spans="1:5" x14ac:dyDescent="0.25">
      <c r="A36" s="5" t="s">
        <v>52</v>
      </c>
      <c r="B36" s="8" t="s">
        <v>267</v>
      </c>
      <c r="C36" s="8" t="s">
        <v>268</v>
      </c>
      <c r="D36" s="8">
        <v>1063465649</v>
      </c>
      <c r="E36" s="6" t="s">
        <v>17</v>
      </c>
    </row>
    <row r="37" spans="1:5" x14ac:dyDescent="0.25">
      <c r="A37" s="3" t="s">
        <v>53</v>
      </c>
      <c r="B37" s="7" t="s">
        <v>269</v>
      </c>
      <c r="C37" s="7" t="s">
        <v>270</v>
      </c>
      <c r="D37" s="7" t="s">
        <v>24</v>
      </c>
      <c r="E37" s="4" t="s">
        <v>26</v>
      </c>
    </row>
    <row r="38" spans="1:5" x14ac:dyDescent="0.25">
      <c r="A38" s="5" t="s">
        <v>54</v>
      </c>
      <c r="B38" s="8" t="s">
        <v>271</v>
      </c>
      <c r="C38" s="8" t="s">
        <v>272</v>
      </c>
      <c r="D38" s="8">
        <v>1487614277</v>
      </c>
      <c r="E38" s="6" t="s">
        <v>22</v>
      </c>
    </row>
    <row r="39" spans="1:5" x14ac:dyDescent="0.25">
      <c r="A39" s="3" t="s">
        <v>769</v>
      </c>
      <c r="B39" s="7" t="s">
        <v>770</v>
      </c>
      <c r="C39" s="7" t="s">
        <v>273</v>
      </c>
      <c r="D39" s="7">
        <v>1942347877</v>
      </c>
      <c r="E39" s="4" t="s">
        <v>19</v>
      </c>
    </row>
    <row r="40" spans="1:5" x14ac:dyDescent="0.25">
      <c r="A40" s="5" t="s">
        <v>55</v>
      </c>
      <c r="B40" s="8" t="s">
        <v>274</v>
      </c>
      <c r="C40" s="8" t="s">
        <v>275</v>
      </c>
      <c r="D40" s="8">
        <v>1417926783</v>
      </c>
      <c r="E40" s="6" t="s">
        <v>24</v>
      </c>
    </row>
    <row r="41" spans="1:5" x14ac:dyDescent="0.25">
      <c r="A41" s="3" t="s">
        <v>56</v>
      </c>
      <c r="B41" s="7" t="s">
        <v>276</v>
      </c>
      <c r="C41" s="7" t="s">
        <v>277</v>
      </c>
      <c r="D41" s="7">
        <v>1962563981</v>
      </c>
      <c r="E41" s="4" t="s">
        <v>19</v>
      </c>
    </row>
    <row r="42" spans="1:5" x14ac:dyDescent="0.25">
      <c r="A42" s="3" t="s">
        <v>58</v>
      </c>
      <c r="B42" s="7" t="s">
        <v>278</v>
      </c>
      <c r="C42" s="7" t="s">
        <v>279</v>
      </c>
      <c r="D42" s="7">
        <v>1538185780</v>
      </c>
      <c r="E42" s="6" t="s">
        <v>17</v>
      </c>
    </row>
    <row r="43" spans="1:5" x14ac:dyDescent="0.25">
      <c r="A43" s="5" t="s">
        <v>57</v>
      </c>
      <c r="B43" s="8" t="s">
        <v>280</v>
      </c>
      <c r="C43" s="8" t="s">
        <v>281</v>
      </c>
      <c r="D43" s="8" t="s">
        <v>24</v>
      </c>
      <c r="E43" s="6" t="s">
        <v>17</v>
      </c>
    </row>
    <row r="44" spans="1:5" x14ac:dyDescent="0.25">
      <c r="A44" s="5" t="s">
        <v>59</v>
      </c>
      <c r="B44" s="8" t="s">
        <v>282</v>
      </c>
      <c r="C44" s="8" t="s">
        <v>283</v>
      </c>
      <c r="D44" s="8">
        <v>1942288451</v>
      </c>
      <c r="E44" s="6" t="s">
        <v>17</v>
      </c>
    </row>
    <row r="45" spans="1:5" x14ac:dyDescent="0.25">
      <c r="A45" s="3" t="s">
        <v>60</v>
      </c>
      <c r="B45" s="7" t="s">
        <v>284</v>
      </c>
      <c r="C45" s="7" t="s">
        <v>285</v>
      </c>
      <c r="D45" s="7">
        <v>1134136252</v>
      </c>
      <c r="E45" s="4" t="s">
        <v>26</v>
      </c>
    </row>
    <row r="46" spans="1:5" x14ac:dyDescent="0.25">
      <c r="A46" s="5" t="s">
        <v>61</v>
      </c>
      <c r="B46" s="8" t="s">
        <v>286</v>
      </c>
      <c r="C46" s="8" t="s">
        <v>287</v>
      </c>
      <c r="D46" s="8">
        <v>1588642532</v>
      </c>
      <c r="E46" s="4" t="s">
        <v>26</v>
      </c>
    </row>
    <row r="47" spans="1:5" x14ac:dyDescent="0.25">
      <c r="A47" s="3" t="s">
        <v>62</v>
      </c>
      <c r="B47" s="7" t="s">
        <v>288</v>
      </c>
      <c r="C47" s="7" t="s">
        <v>289</v>
      </c>
      <c r="D47" s="7" t="s">
        <v>203</v>
      </c>
      <c r="E47" s="4" t="s">
        <v>22</v>
      </c>
    </row>
    <row r="48" spans="1:5" x14ac:dyDescent="0.25">
      <c r="A48" s="5" t="s">
        <v>63</v>
      </c>
      <c r="B48" s="8" t="s">
        <v>290</v>
      </c>
      <c r="C48" s="8" t="s">
        <v>291</v>
      </c>
      <c r="D48" s="8">
        <v>1720247737</v>
      </c>
      <c r="E48" s="6" t="s">
        <v>22</v>
      </c>
    </row>
    <row r="49" spans="1:5" x14ac:dyDescent="0.25">
      <c r="A49" s="3" t="s">
        <v>64</v>
      </c>
      <c r="B49" s="7" t="s">
        <v>292</v>
      </c>
      <c r="C49" s="7" t="s">
        <v>293</v>
      </c>
      <c r="D49" s="7">
        <v>1306899612</v>
      </c>
      <c r="E49" s="4" t="s">
        <v>19</v>
      </c>
    </row>
    <row r="50" spans="1:5" x14ac:dyDescent="0.25">
      <c r="A50" s="5" t="s">
        <v>65</v>
      </c>
      <c r="B50" s="8" t="s">
        <v>294</v>
      </c>
      <c r="C50" s="8" t="s">
        <v>295</v>
      </c>
      <c r="D50" s="8">
        <v>1346500584</v>
      </c>
      <c r="E50" s="4" t="s">
        <v>26</v>
      </c>
    </row>
    <row r="51" spans="1:5" x14ac:dyDescent="0.25">
      <c r="A51" s="3" t="s">
        <v>66</v>
      </c>
      <c r="B51" s="7" t="s">
        <v>296</v>
      </c>
      <c r="C51" s="7" t="s">
        <v>297</v>
      </c>
      <c r="D51" s="7" t="s">
        <v>24</v>
      </c>
      <c r="E51" s="4" t="s">
        <v>19</v>
      </c>
    </row>
    <row r="52" spans="1:5" x14ac:dyDescent="0.25">
      <c r="A52" s="5" t="s">
        <v>67</v>
      </c>
      <c r="B52" s="8" t="s">
        <v>298</v>
      </c>
      <c r="C52" s="8" t="s">
        <v>264</v>
      </c>
      <c r="D52" s="8">
        <v>1881958940</v>
      </c>
      <c r="E52" s="6" t="s">
        <v>26</v>
      </c>
    </row>
    <row r="53" spans="1:5" x14ac:dyDescent="0.25">
      <c r="A53" s="3" t="s">
        <v>68</v>
      </c>
      <c r="B53" s="7" t="s">
        <v>299</v>
      </c>
      <c r="C53" s="7" t="s">
        <v>260</v>
      </c>
      <c r="D53" s="7" t="s">
        <v>24</v>
      </c>
      <c r="E53" s="4" t="s">
        <v>19</v>
      </c>
    </row>
    <row r="54" spans="1:5" x14ac:dyDescent="0.25">
      <c r="A54" s="3" t="s">
        <v>524</v>
      </c>
      <c r="B54" s="7" t="s">
        <v>525</v>
      </c>
      <c r="C54" s="7" t="s">
        <v>526</v>
      </c>
      <c r="D54" s="7">
        <v>1851388698</v>
      </c>
      <c r="E54" s="4" t="s">
        <v>24</v>
      </c>
    </row>
    <row r="55" spans="1:5" x14ac:dyDescent="0.25">
      <c r="A55" s="5" t="s">
        <v>69</v>
      </c>
      <c r="B55" s="8" t="s">
        <v>300</v>
      </c>
      <c r="C55" s="8" t="s">
        <v>301</v>
      </c>
      <c r="D55" s="8">
        <v>1578519757</v>
      </c>
      <c r="E55" s="6" t="s">
        <v>17</v>
      </c>
    </row>
    <row r="56" spans="1:5" x14ac:dyDescent="0.25">
      <c r="A56" s="3" t="s">
        <v>70</v>
      </c>
      <c r="B56" s="7" t="s">
        <v>302</v>
      </c>
      <c r="C56" s="7" t="s">
        <v>244</v>
      </c>
      <c r="D56" s="7">
        <v>1598826885</v>
      </c>
      <c r="E56" s="4" t="s">
        <v>22</v>
      </c>
    </row>
    <row r="57" spans="1:5" x14ac:dyDescent="0.25">
      <c r="A57" s="3" t="s">
        <v>201</v>
      </c>
      <c r="B57" s="7" t="s">
        <v>303</v>
      </c>
      <c r="C57" s="7" t="s">
        <v>304</v>
      </c>
      <c r="D57" s="7">
        <v>1063611895</v>
      </c>
      <c r="E57" s="4" t="s">
        <v>22</v>
      </c>
    </row>
    <row r="58" spans="1:5" x14ac:dyDescent="0.25">
      <c r="A58" s="5" t="s">
        <v>71</v>
      </c>
      <c r="B58" s="8" t="s">
        <v>305</v>
      </c>
      <c r="C58" s="8" t="s">
        <v>306</v>
      </c>
      <c r="D58" s="8" t="s">
        <v>24</v>
      </c>
      <c r="E58" s="6" t="s">
        <v>19</v>
      </c>
    </row>
    <row r="59" spans="1:5" x14ac:dyDescent="0.25">
      <c r="A59" s="3" t="s">
        <v>72</v>
      </c>
      <c r="B59" s="7" t="s">
        <v>307</v>
      </c>
      <c r="C59" s="7" t="s">
        <v>264</v>
      </c>
      <c r="D59" s="7">
        <v>1073541819</v>
      </c>
      <c r="E59" s="4" t="s">
        <v>26</v>
      </c>
    </row>
    <row r="60" spans="1:5" x14ac:dyDescent="0.25">
      <c r="A60" s="5" t="s">
        <v>73</v>
      </c>
      <c r="B60" s="8" t="s">
        <v>308</v>
      </c>
      <c r="C60" s="8" t="s">
        <v>309</v>
      </c>
      <c r="D60" s="8">
        <v>103537779</v>
      </c>
      <c r="E60" s="6" t="s">
        <v>22</v>
      </c>
    </row>
    <row r="61" spans="1:5" x14ac:dyDescent="0.25">
      <c r="A61" s="3" t="s">
        <v>199</v>
      </c>
      <c r="B61" s="7" t="s">
        <v>310</v>
      </c>
      <c r="C61" s="7" t="s">
        <v>311</v>
      </c>
      <c r="D61" s="7">
        <v>1083094908</v>
      </c>
      <c r="E61" s="4" t="s">
        <v>24</v>
      </c>
    </row>
    <row r="62" spans="1:5" x14ac:dyDescent="0.25">
      <c r="A62" s="3" t="s">
        <v>74</v>
      </c>
      <c r="B62" s="7" t="s">
        <v>312</v>
      </c>
      <c r="C62" s="7" t="s">
        <v>264</v>
      </c>
      <c r="D62" s="7">
        <v>1811156979</v>
      </c>
      <c r="E62" s="4" t="s">
        <v>19</v>
      </c>
    </row>
    <row r="63" spans="1:5" x14ac:dyDescent="0.25">
      <c r="A63" s="5" t="s">
        <v>75</v>
      </c>
      <c r="B63" s="8" t="s">
        <v>313</v>
      </c>
      <c r="C63" s="8" t="s">
        <v>314</v>
      </c>
      <c r="D63" s="8">
        <v>1003164146</v>
      </c>
      <c r="E63" s="4" t="s">
        <v>26</v>
      </c>
    </row>
    <row r="64" spans="1:5" x14ac:dyDescent="0.25">
      <c r="A64" s="3" t="s">
        <v>76</v>
      </c>
      <c r="B64" s="7" t="s">
        <v>315</v>
      </c>
      <c r="C64" s="7" t="s">
        <v>316</v>
      </c>
      <c r="D64" s="7">
        <v>1376570671</v>
      </c>
      <c r="E64" s="4" t="s">
        <v>19</v>
      </c>
    </row>
    <row r="65" spans="1:5" x14ac:dyDescent="0.25">
      <c r="A65" s="5" t="s">
        <v>77</v>
      </c>
      <c r="B65" s="8" t="s">
        <v>317</v>
      </c>
      <c r="C65" s="8" t="s">
        <v>318</v>
      </c>
      <c r="D65" s="8">
        <v>1871501874</v>
      </c>
      <c r="E65" s="6" t="s">
        <v>24</v>
      </c>
    </row>
    <row r="66" spans="1:5" x14ac:dyDescent="0.25">
      <c r="A66" s="3" t="s">
        <v>78</v>
      </c>
      <c r="B66" s="7" t="s">
        <v>319</v>
      </c>
      <c r="C66" s="7" t="s">
        <v>320</v>
      </c>
      <c r="D66" s="7">
        <v>1649250028</v>
      </c>
      <c r="E66" s="4" t="s">
        <v>22</v>
      </c>
    </row>
    <row r="67" spans="1:5" x14ac:dyDescent="0.25">
      <c r="A67" s="5" t="s">
        <v>79</v>
      </c>
      <c r="B67" s="8" t="s">
        <v>321</v>
      </c>
      <c r="C67" s="8" t="s">
        <v>322</v>
      </c>
      <c r="D67" s="8" t="s">
        <v>24</v>
      </c>
      <c r="E67" s="6" t="s">
        <v>22</v>
      </c>
    </row>
    <row r="68" spans="1:5" x14ac:dyDescent="0.25">
      <c r="A68" s="3" t="s">
        <v>80</v>
      </c>
      <c r="B68" s="7" t="s">
        <v>323</v>
      </c>
      <c r="C68" s="7" t="s">
        <v>324</v>
      </c>
      <c r="D68" s="7">
        <v>1891003109</v>
      </c>
      <c r="E68" s="4" t="s">
        <v>24</v>
      </c>
    </row>
    <row r="69" spans="1:5" x14ac:dyDescent="0.25">
      <c r="A69" s="5" t="s">
        <v>81</v>
      </c>
      <c r="B69" s="8" t="s">
        <v>325</v>
      </c>
      <c r="C69" s="8" t="s">
        <v>326</v>
      </c>
      <c r="D69" s="8" t="s">
        <v>24</v>
      </c>
      <c r="E69" s="6" t="s">
        <v>19</v>
      </c>
    </row>
    <row r="70" spans="1:5" x14ac:dyDescent="0.25">
      <c r="A70" s="3" t="s">
        <v>82</v>
      </c>
      <c r="B70" s="7" t="s">
        <v>327</v>
      </c>
      <c r="C70" s="7" t="s">
        <v>328</v>
      </c>
      <c r="D70" s="7">
        <v>1265862023</v>
      </c>
      <c r="E70" s="4" t="s">
        <v>22</v>
      </c>
    </row>
    <row r="71" spans="1:5" x14ac:dyDescent="0.25">
      <c r="A71" s="5" t="s">
        <v>83</v>
      </c>
      <c r="B71" s="8" t="s">
        <v>329</v>
      </c>
      <c r="C71" s="8" t="s">
        <v>330</v>
      </c>
      <c r="D71" s="8">
        <v>1356651301</v>
      </c>
      <c r="E71" s="6" t="s">
        <v>22</v>
      </c>
    </row>
    <row r="72" spans="1:5" x14ac:dyDescent="0.25">
      <c r="A72" s="3" t="s">
        <v>84</v>
      </c>
      <c r="B72" s="7" t="s">
        <v>331</v>
      </c>
      <c r="C72" s="7" t="s">
        <v>332</v>
      </c>
      <c r="D72" s="7">
        <v>1740536598</v>
      </c>
      <c r="E72" s="6" t="s">
        <v>17</v>
      </c>
    </row>
    <row r="73" spans="1:5" x14ac:dyDescent="0.25">
      <c r="A73" s="5" t="s">
        <v>85</v>
      </c>
      <c r="B73" s="8" t="s">
        <v>333</v>
      </c>
      <c r="C73" s="8" t="s">
        <v>334</v>
      </c>
      <c r="D73" s="8">
        <v>1932318763</v>
      </c>
      <c r="E73" s="6" t="s">
        <v>17</v>
      </c>
    </row>
    <row r="74" spans="1:5" x14ac:dyDescent="0.25">
      <c r="A74" s="3" t="s">
        <v>86</v>
      </c>
      <c r="B74" s="7" t="s">
        <v>335</v>
      </c>
      <c r="C74" s="7" t="s">
        <v>336</v>
      </c>
      <c r="D74" s="7">
        <v>1649250762</v>
      </c>
      <c r="E74" s="4" t="s">
        <v>22</v>
      </c>
    </row>
    <row r="75" spans="1:5" x14ac:dyDescent="0.25">
      <c r="A75" s="5" t="s">
        <v>87</v>
      </c>
      <c r="B75" s="8" t="s">
        <v>337</v>
      </c>
      <c r="C75" s="8" t="s">
        <v>338</v>
      </c>
      <c r="D75" s="8">
        <v>1003144593</v>
      </c>
      <c r="E75" s="4" t="s">
        <v>26</v>
      </c>
    </row>
    <row r="76" spans="1:5" x14ac:dyDescent="0.25">
      <c r="A76" s="3" t="s">
        <v>88</v>
      </c>
      <c r="B76" s="7" t="s">
        <v>339</v>
      </c>
      <c r="C76" s="7" t="s">
        <v>252</v>
      </c>
      <c r="D76" s="7">
        <v>1588828800</v>
      </c>
      <c r="E76" s="6" t="s">
        <v>17</v>
      </c>
    </row>
    <row r="77" spans="1:5" x14ac:dyDescent="0.25">
      <c r="A77" s="5" t="s">
        <v>89</v>
      </c>
      <c r="B77" s="8" t="s">
        <v>340</v>
      </c>
      <c r="C77" s="8" t="s">
        <v>309</v>
      </c>
      <c r="D77" s="8">
        <v>1457647653</v>
      </c>
      <c r="E77" s="6" t="s">
        <v>22</v>
      </c>
    </row>
    <row r="78" spans="1:5" x14ac:dyDescent="0.25">
      <c r="A78" s="3" t="s">
        <v>90</v>
      </c>
      <c r="B78" s="7" t="s">
        <v>341</v>
      </c>
      <c r="C78" s="7" t="s">
        <v>342</v>
      </c>
      <c r="D78" s="7" t="s">
        <v>24</v>
      </c>
      <c r="E78" s="4" t="s">
        <v>24</v>
      </c>
    </row>
    <row r="79" spans="1:5" x14ac:dyDescent="0.25">
      <c r="A79" s="5" t="s">
        <v>91</v>
      </c>
      <c r="B79" s="8" t="s">
        <v>341</v>
      </c>
      <c r="C79" s="8" t="s">
        <v>343</v>
      </c>
      <c r="D79" s="8">
        <v>1275533457</v>
      </c>
      <c r="E79" s="6" t="s">
        <v>17</v>
      </c>
    </row>
    <row r="80" spans="1:5" x14ac:dyDescent="0.25">
      <c r="A80" s="3" t="s">
        <v>92</v>
      </c>
      <c r="B80" s="7" t="s">
        <v>344</v>
      </c>
      <c r="C80" s="7" t="s">
        <v>345</v>
      </c>
      <c r="D80" s="7" t="s">
        <v>24</v>
      </c>
      <c r="E80" s="4" t="s">
        <v>26</v>
      </c>
    </row>
    <row r="81" spans="1:5" x14ac:dyDescent="0.25">
      <c r="A81" s="5" t="s">
        <v>93</v>
      </c>
      <c r="B81" s="8" t="s">
        <v>346</v>
      </c>
      <c r="C81" s="8" t="s">
        <v>347</v>
      </c>
      <c r="D81" s="8">
        <v>183125026</v>
      </c>
      <c r="E81" s="6" t="s">
        <v>17</v>
      </c>
    </row>
    <row r="82" spans="1:5" x14ac:dyDescent="0.25">
      <c r="A82" s="5" t="s">
        <v>202</v>
      </c>
      <c r="B82" s="8" t="s">
        <v>348</v>
      </c>
      <c r="C82" s="8" t="s">
        <v>349</v>
      </c>
      <c r="D82" s="8">
        <v>1326107467</v>
      </c>
      <c r="E82" s="6" t="s">
        <v>24</v>
      </c>
    </row>
    <row r="83" spans="1:5" x14ac:dyDescent="0.25">
      <c r="A83" s="3" t="s">
        <v>94</v>
      </c>
      <c r="B83" s="7" t="s">
        <v>350</v>
      </c>
      <c r="C83" s="7" t="s">
        <v>318</v>
      </c>
      <c r="D83" s="7">
        <v>1558595371</v>
      </c>
      <c r="E83" s="4" t="s">
        <v>26</v>
      </c>
    </row>
    <row r="84" spans="1:5" x14ac:dyDescent="0.25">
      <c r="A84" s="5" t="s">
        <v>95</v>
      </c>
      <c r="B84" s="8" t="s">
        <v>351</v>
      </c>
      <c r="C84" s="8" t="s">
        <v>268</v>
      </c>
      <c r="D84" s="8">
        <v>1841459476</v>
      </c>
      <c r="E84" s="6" t="s">
        <v>17</v>
      </c>
    </row>
    <row r="85" spans="1:5" x14ac:dyDescent="0.25">
      <c r="A85" s="3" t="s">
        <v>96</v>
      </c>
      <c r="B85" s="7" t="s">
        <v>352</v>
      </c>
      <c r="C85" s="7" t="s">
        <v>353</v>
      </c>
      <c r="D85" s="7">
        <v>1164425195</v>
      </c>
      <c r="E85" s="6" t="s">
        <v>17</v>
      </c>
    </row>
    <row r="86" spans="1:5" x14ac:dyDescent="0.25">
      <c r="A86" s="5" t="s">
        <v>97</v>
      </c>
      <c r="B86" s="8" t="s">
        <v>354</v>
      </c>
      <c r="C86" s="8" t="s">
        <v>258</v>
      </c>
      <c r="D86" s="8">
        <v>1336246487</v>
      </c>
      <c r="E86" s="6" t="s">
        <v>22</v>
      </c>
    </row>
    <row r="87" spans="1:5" x14ac:dyDescent="0.25">
      <c r="A87" s="3" t="s">
        <v>98</v>
      </c>
      <c r="B87" s="7" t="s">
        <v>355</v>
      </c>
      <c r="C87" s="7" t="s">
        <v>356</v>
      </c>
      <c r="D87" s="7">
        <v>1508862145</v>
      </c>
      <c r="E87" s="4" t="s">
        <v>22</v>
      </c>
    </row>
    <row r="88" spans="1:5" x14ac:dyDescent="0.25">
      <c r="A88" s="5" t="s">
        <v>99</v>
      </c>
      <c r="B88" s="8" t="s">
        <v>357</v>
      </c>
      <c r="C88" s="8" t="s">
        <v>358</v>
      </c>
      <c r="D88" s="8">
        <v>1417100918</v>
      </c>
      <c r="E88" s="6" t="s">
        <v>22</v>
      </c>
    </row>
    <row r="89" spans="1:5" x14ac:dyDescent="0.25">
      <c r="A89" s="3" t="s">
        <v>100</v>
      </c>
      <c r="B89" s="7" t="s">
        <v>359</v>
      </c>
      <c r="C89" s="7" t="s">
        <v>360</v>
      </c>
      <c r="D89" s="7">
        <v>1114932845</v>
      </c>
      <c r="E89" s="4" t="s">
        <v>26</v>
      </c>
    </row>
    <row r="90" spans="1:5" x14ac:dyDescent="0.25">
      <c r="A90" s="5" t="s">
        <v>101</v>
      </c>
      <c r="B90" s="8" t="s">
        <v>361</v>
      </c>
      <c r="C90" s="8" t="s">
        <v>252</v>
      </c>
      <c r="D90" s="8">
        <v>1972579324</v>
      </c>
      <c r="E90" s="6" t="s">
        <v>19</v>
      </c>
    </row>
    <row r="91" spans="1:5" x14ac:dyDescent="0.25">
      <c r="A91" s="3" t="s">
        <v>102</v>
      </c>
      <c r="B91" s="7" t="s">
        <v>362</v>
      </c>
      <c r="C91" s="7" t="s">
        <v>264</v>
      </c>
      <c r="D91" s="7">
        <v>1942461058</v>
      </c>
      <c r="E91" s="4" t="s">
        <v>22</v>
      </c>
    </row>
    <row r="92" spans="1:5" x14ac:dyDescent="0.25">
      <c r="A92" s="5" t="s">
        <v>103</v>
      </c>
      <c r="B92" s="8" t="s">
        <v>103</v>
      </c>
      <c r="C92" s="8" t="s">
        <v>516</v>
      </c>
      <c r="D92" s="8" t="s">
        <v>24</v>
      </c>
      <c r="E92" s="6" t="s">
        <v>24</v>
      </c>
    </row>
    <row r="93" spans="1:5" x14ac:dyDescent="0.25">
      <c r="A93" s="3" t="s">
        <v>104</v>
      </c>
      <c r="B93" s="7" t="s">
        <v>363</v>
      </c>
      <c r="C93" s="7" t="s">
        <v>258</v>
      </c>
      <c r="D93" s="7">
        <v>1912980889</v>
      </c>
      <c r="E93" s="4" t="s">
        <v>24</v>
      </c>
    </row>
    <row r="94" spans="1:5" x14ac:dyDescent="0.25">
      <c r="A94" s="5" t="s">
        <v>105</v>
      </c>
      <c r="B94" s="8" t="s">
        <v>364</v>
      </c>
      <c r="C94" s="8" t="s">
        <v>365</v>
      </c>
      <c r="D94" s="8">
        <v>1205214756</v>
      </c>
      <c r="E94" s="6" t="s">
        <v>17</v>
      </c>
    </row>
    <row r="95" spans="1:5" x14ac:dyDescent="0.25">
      <c r="A95" s="3" t="s">
        <v>106</v>
      </c>
      <c r="B95" s="7" t="s">
        <v>366</v>
      </c>
      <c r="C95" s="7" t="s">
        <v>367</v>
      </c>
      <c r="D95" s="7">
        <v>1134108343</v>
      </c>
      <c r="E95" s="4" t="s">
        <v>26</v>
      </c>
    </row>
    <row r="96" spans="1:5" x14ac:dyDescent="0.25">
      <c r="A96" s="5" t="s">
        <v>194</v>
      </c>
      <c r="B96" s="8" t="s">
        <v>368</v>
      </c>
      <c r="C96" s="8" t="s">
        <v>272</v>
      </c>
      <c r="D96" s="8">
        <v>1851392377</v>
      </c>
      <c r="E96" s="6" t="s">
        <v>24</v>
      </c>
    </row>
    <row r="97" spans="1:5" x14ac:dyDescent="0.25">
      <c r="A97" s="5" t="s">
        <v>107</v>
      </c>
      <c r="B97" s="8" t="s">
        <v>369</v>
      </c>
      <c r="C97" s="8" t="s">
        <v>370</v>
      </c>
      <c r="D97" s="8">
        <v>1316905029</v>
      </c>
      <c r="E97" s="6" t="s">
        <v>17</v>
      </c>
    </row>
    <row r="98" spans="1:5" x14ac:dyDescent="0.25">
      <c r="A98" s="3" t="s">
        <v>108</v>
      </c>
      <c r="B98" s="7" t="s">
        <v>371</v>
      </c>
      <c r="C98" s="7" t="s">
        <v>372</v>
      </c>
      <c r="D98" s="7">
        <v>1013255967</v>
      </c>
      <c r="E98" s="4" t="s">
        <v>26</v>
      </c>
    </row>
    <row r="99" spans="1:5" x14ac:dyDescent="0.25">
      <c r="A99" s="3" t="s">
        <v>197</v>
      </c>
      <c r="B99" s="7" t="s">
        <v>373</v>
      </c>
      <c r="C99" s="7" t="s">
        <v>221</v>
      </c>
      <c r="D99" s="7">
        <v>1194785915</v>
      </c>
      <c r="E99" s="4" t="s">
        <v>24</v>
      </c>
    </row>
    <row r="100" spans="1:5" x14ac:dyDescent="0.25">
      <c r="A100" s="5" t="s">
        <v>109</v>
      </c>
      <c r="B100" s="8" t="s">
        <v>374</v>
      </c>
      <c r="C100" s="8" t="s">
        <v>375</v>
      </c>
      <c r="D100" s="8">
        <v>1871672931</v>
      </c>
      <c r="E100" s="6" t="s">
        <v>22</v>
      </c>
    </row>
    <row r="101" spans="1:5" x14ac:dyDescent="0.25">
      <c r="A101" s="5" t="s">
        <v>111</v>
      </c>
      <c r="B101" s="8" t="s">
        <v>376</v>
      </c>
      <c r="C101" s="8" t="s">
        <v>377</v>
      </c>
      <c r="D101" s="8">
        <v>1619171287</v>
      </c>
      <c r="E101" s="6" t="s">
        <v>22</v>
      </c>
    </row>
    <row r="102" spans="1:5" x14ac:dyDescent="0.25">
      <c r="A102" s="3" t="s">
        <v>112</v>
      </c>
      <c r="B102" s="7" t="s">
        <v>378</v>
      </c>
      <c r="C102" s="7" t="s">
        <v>207</v>
      </c>
      <c r="D102" s="7" t="s">
        <v>24</v>
      </c>
      <c r="E102" s="4" t="s">
        <v>19</v>
      </c>
    </row>
    <row r="103" spans="1:5" x14ac:dyDescent="0.25">
      <c r="A103" s="3" t="s">
        <v>110</v>
      </c>
      <c r="B103" s="7" t="s">
        <v>379</v>
      </c>
      <c r="C103" s="7" t="s">
        <v>358</v>
      </c>
      <c r="D103" s="7">
        <v>1467694687</v>
      </c>
      <c r="E103" s="6" t="s">
        <v>17</v>
      </c>
    </row>
    <row r="104" spans="1:5" x14ac:dyDescent="0.25">
      <c r="A104" s="5" t="s">
        <v>113</v>
      </c>
      <c r="B104" s="8" t="s">
        <v>380</v>
      </c>
      <c r="C104" s="8" t="s">
        <v>381</v>
      </c>
      <c r="D104" s="8">
        <v>1760760334</v>
      </c>
      <c r="E104" s="6" t="s">
        <v>19</v>
      </c>
    </row>
    <row r="105" spans="1:5" x14ac:dyDescent="0.25">
      <c r="A105" s="3" t="s">
        <v>114</v>
      </c>
      <c r="B105" s="7" t="s">
        <v>382</v>
      </c>
      <c r="C105" s="7" t="s">
        <v>383</v>
      </c>
      <c r="D105" s="7" t="s">
        <v>24</v>
      </c>
      <c r="E105" s="4" t="s">
        <v>19</v>
      </c>
    </row>
    <row r="106" spans="1:5" x14ac:dyDescent="0.25">
      <c r="A106" s="5" t="s">
        <v>115</v>
      </c>
      <c r="B106" s="8" t="s">
        <v>384</v>
      </c>
      <c r="C106" s="8" t="s">
        <v>385</v>
      </c>
      <c r="D106" s="8">
        <v>1669796793</v>
      </c>
      <c r="E106" s="6" t="s">
        <v>24</v>
      </c>
    </row>
    <row r="107" spans="1:5" x14ac:dyDescent="0.25">
      <c r="A107" s="3" t="s">
        <v>116</v>
      </c>
      <c r="B107" s="7" t="s">
        <v>116</v>
      </c>
      <c r="C107" s="7" t="s">
        <v>516</v>
      </c>
      <c r="D107" s="7">
        <v>1588609408</v>
      </c>
      <c r="E107" s="4" t="s">
        <v>26</v>
      </c>
    </row>
    <row r="108" spans="1:5" x14ac:dyDescent="0.25">
      <c r="A108" s="5" t="s">
        <v>117</v>
      </c>
      <c r="B108" s="8" t="s">
        <v>117</v>
      </c>
      <c r="C108" s="8" t="s">
        <v>516</v>
      </c>
      <c r="D108" s="8">
        <v>1740216852</v>
      </c>
      <c r="E108" s="4" t="s">
        <v>26</v>
      </c>
    </row>
    <row r="109" spans="1:5" x14ac:dyDescent="0.25">
      <c r="A109" s="3" t="s">
        <v>120</v>
      </c>
      <c r="B109" s="7" t="s">
        <v>386</v>
      </c>
      <c r="C109" s="7" t="s">
        <v>387</v>
      </c>
      <c r="D109" s="7">
        <v>1568410397</v>
      </c>
      <c r="E109" s="4" t="s">
        <v>22</v>
      </c>
    </row>
    <row r="110" spans="1:5" x14ac:dyDescent="0.25">
      <c r="A110" s="3" t="s">
        <v>118</v>
      </c>
      <c r="B110" s="7" t="s">
        <v>388</v>
      </c>
      <c r="C110" s="7" t="s">
        <v>248</v>
      </c>
      <c r="D110" s="7" t="s">
        <v>24</v>
      </c>
      <c r="E110" s="4" t="s">
        <v>26</v>
      </c>
    </row>
    <row r="111" spans="1:5" x14ac:dyDescent="0.25">
      <c r="A111" s="5" t="s">
        <v>119</v>
      </c>
      <c r="B111" s="8" t="s">
        <v>389</v>
      </c>
      <c r="C111" s="8" t="s">
        <v>390</v>
      </c>
      <c r="D111" s="8" t="s">
        <v>24</v>
      </c>
      <c r="E111" s="6" t="s">
        <v>22</v>
      </c>
    </row>
    <row r="112" spans="1:5" x14ac:dyDescent="0.25">
      <c r="A112" s="5" t="s">
        <v>121</v>
      </c>
      <c r="B112" s="8" t="s">
        <v>391</v>
      </c>
      <c r="C112" s="8" t="s">
        <v>377</v>
      </c>
      <c r="D112" s="8">
        <v>1740216852</v>
      </c>
      <c r="E112" s="4" t="s">
        <v>26</v>
      </c>
    </row>
    <row r="113" spans="1:5" x14ac:dyDescent="0.25">
      <c r="A113" s="3" t="s">
        <v>122</v>
      </c>
      <c r="B113" s="7" t="s">
        <v>392</v>
      </c>
      <c r="C113" s="7" t="s">
        <v>393</v>
      </c>
      <c r="D113" s="7" t="s">
        <v>24</v>
      </c>
      <c r="E113" s="4" t="s">
        <v>24</v>
      </c>
    </row>
    <row r="114" spans="1:5" x14ac:dyDescent="0.25">
      <c r="A114" s="5" t="s">
        <v>123</v>
      </c>
      <c r="B114" s="8" t="s">
        <v>394</v>
      </c>
      <c r="C114" s="8" t="s">
        <v>395</v>
      </c>
      <c r="D114" s="8">
        <v>1669799060</v>
      </c>
      <c r="E114" s="6" t="s">
        <v>24</v>
      </c>
    </row>
    <row r="115" spans="1:5" x14ac:dyDescent="0.25">
      <c r="A115" s="3" t="s">
        <v>124</v>
      </c>
      <c r="B115" s="7" t="s">
        <v>396</v>
      </c>
      <c r="C115" s="7" t="s">
        <v>397</v>
      </c>
      <c r="D115" s="7" t="s">
        <v>24</v>
      </c>
      <c r="E115" s="4" t="s">
        <v>19</v>
      </c>
    </row>
    <row r="116" spans="1:5" x14ac:dyDescent="0.25">
      <c r="A116" s="5" t="s">
        <v>125</v>
      </c>
      <c r="B116" s="8" t="s">
        <v>398</v>
      </c>
      <c r="C116" s="8" t="s">
        <v>399</v>
      </c>
      <c r="D116" s="8">
        <v>1659370591</v>
      </c>
      <c r="E116" s="6" t="s">
        <v>17</v>
      </c>
    </row>
    <row r="117" spans="1:5" x14ac:dyDescent="0.25">
      <c r="A117" s="3" t="s">
        <v>126</v>
      </c>
      <c r="B117" s="7" t="s">
        <v>400</v>
      </c>
      <c r="C117" s="7" t="s">
        <v>377</v>
      </c>
      <c r="D117" s="7" t="s">
        <v>24</v>
      </c>
      <c r="E117" s="6" t="s">
        <v>17</v>
      </c>
    </row>
    <row r="118" spans="1:5" x14ac:dyDescent="0.25">
      <c r="A118" s="5" t="s">
        <v>127</v>
      </c>
      <c r="B118" s="8" t="s">
        <v>401</v>
      </c>
      <c r="C118" s="8" t="s">
        <v>402</v>
      </c>
      <c r="D118" s="8" t="s">
        <v>24</v>
      </c>
      <c r="E118" s="4" t="s">
        <v>26</v>
      </c>
    </row>
    <row r="119" spans="1:5" x14ac:dyDescent="0.25">
      <c r="A119" s="3" t="s">
        <v>128</v>
      </c>
      <c r="B119" s="7" t="s">
        <v>403</v>
      </c>
      <c r="C119" s="7" t="s">
        <v>404</v>
      </c>
      <c r="D119" s="7" t="s">
        <v>24</v>
      </c>
      <c r="E119" s="4" t="s">
        <v>19</v>
      </c>
    </row>
    <row r="120" spans="1:5" x14ac:dyDescent="0.25">
      <c r="A120" s="5" t="s">
        <v>129</v>
      </c>
      <c r="B120" s="8" t="s">
        <v>405</v>
      </c>
      <c r="C120" s="8" t="s">
        <v>406</v>
      </c>
      <c r="D120" s="8">
        <v>1497913800</v>
      </c>
      <c r="E120" s="6" t="s">
        <v>19</v>
      </c>
    </row>
    <row r="121" spans="1:5" x14ac:dyDescent="0.25">
      <c r="A121" s="3" t="s">
        <v>130</v>
      </c>
      <c r="B121" s="7" t="s">
        <v>407</v>
      </c>
      <c r="C121" s="7" t="s">
        <v>517</v>
      </c>
      <c r="D121" s="7">
        <v>1598754103</v>
      </c>
      <c r="E121" s="6" t="s">
        <v>17</v>
      </c>
    </row>
    <row r="122" spans="1:5" x14ac:dyDescent="0.25">
      <c r="A122" s="5" t="s">
        <v>131</v>
      </c>
      <c r="B122" s="8" t="s">
        <v>408</v>
      </c>
      <c r="C122" s="8" t="s">
        <v>209</v>
      </c>
      <c r="D122" s="8">
        <v>1801854617</v>
      </c>
      <c r="E122" s="6" t="s">
        <v>22</v>
      </c>
    </row>
    <row r="123" spans="1:5" x14ac:dyDescent="0.25">
      <c r="A123" s="3" t="s">
        <v>132</v>
      </c>
      <c r="B123" s="7" t="s">
        <v>409</v>
      </c>
      <c r="C123" s="7" t="s">
        <v>410</v>
      </c>
      <c r="D123" s="7">
        <v>1528093184</v>
      </c>
      <c r="E123" s="4" t="s">
        <v>19</v>
      </c>
    </row>
    <row r="124" spans="1:5" x14ac:dyDescent="0.25">
      <c r="A124" s="5" t="s">
        <v>133</v>
      </c>
      <c r="B124" s="8" t="s">
        <v>411</v>
      </c>
      <c r="C124" s="8" t="s">
        <v>412</v>
      </c>
      <c r="D124" s="8">
        <v>1710914973</v>
      </c>
      <c r="E124" s="4" t="s">
        <v>26</v>
      </c>
    </row>
    <row r="125" spans="1:5" x14ac:dyDescent="0.25">
      <c r="A125" s="3" t="s">
        <v>134</v>
      </c>
      <c r="B125" s="7" t="s">
        <v>413</v>
      </c>
      <c r="C125" s="7" t="s">
        <v>414</v>
      </c>
      <c r="D125" s="7">
        <v>1821288465</v>
      </c>
      <c r="E125" s="4" t="s">
        <v>22</v>
      </c>
    </row>
    <row r="126" spans="1:5" x14ac:dyDescent="0.25">
      <c r="A126" s="5" t="s">
        <v>135</v>
      </c>
      <c r="B126" s="8" t="s">
        <v>415</v>
      </c>
      <c r="C126" s="8" t="s">
        <v>416</v>
      </c>
      <c r="D126" s="8">
        <v>1518383702</v>
      </c>
      <c r="E126" s="6" t="s">
        <v>19</v>
      </c>
    </row>
    <row r="127" spans="1:5" x14ac:dyDescent="0.25">
      <c r="A127" s="3" t="s">
        <v>136</v>
      </c>
      <c r="B127" s="7" t="s">
        <v>417</v>
      </c>
      <c r="C127" s="7" t="s">
        <v>418</v>
      </c>
      <c r="D127" s="7" t="s">
        <v>24</v>
      </c>
      <c r="E127" s="4" t="s">
        <v>24</v>
      </c>
    </row>
    <row r="128" spans="1:5" x14ac:dyDescent="0.25">
      <c r="A128" s="3" t="s">
        <v>779</v>
      </c>
      <c r="B128" s="7" t="s">
        <v>780</v>
      </c>
      <c r="C128" s="7" t="s">
        <v>781</v>
      </c>
      <c r="D128" s="7">
        <v>1790913739</v>
      </c>
      <c r="E128" s="4" t="s">
        <v>17</v>
      </c>
    </row>
    <row r="129" spans="1:5" x14ac:dyDescent="0.25">
      <c r="A129" s="3" t="s">
        <v>191</v>
      </c>
      <c r="B129" s="7" t="s">
        <v>419</v>
      </c>
      <c r="C129" s="7" t="s">
        <v>420</v>
      </c>
      <c r="D129" s="7" t="s">
        <v>24</v>
      </c>
      <c r="E129" s="4" t="s">
        <v>19</v>
      </c>
    </row>
    <row r="130" spans="1:5" x14ac:dyDescent="0.25">
      <c r="A130" s="3" t="s">
        <v>782</v>
      </c>
      <c r="B130" s="7" t="s">
        <v>783</v>
      </c>
      <c r="C130" s="7" t="s">
        <v>784</v>
      </c>
      <c r="D130" s="7">
        <v>1962428656</v>
      </c>
      <c r="E130" s="4" t="s">
        <v>26</v>
      </c>
    </row>
    <row r="131" spans="1:5" x14ac:dyDescent="0.25">
      <c r="A131" s="5" t="s">
        <v>137</v>
      </c>
      <c r="B131" s="8" t="s">
        <v>421</v>
      </c>
      <c r="C131" s="8" t="s">
        <v>422</v>
      </c>
      <c r="D131" s="8">
        <v>1585893750</v>
      </c>
      <c r="E131" s="6" t="s">
        <v>17</v>
      </c>
    </row>
    <row r="132" spans="1:5" x14ac:dyDescent="0.25">
      <c r="A132" s="3" t="s">
        <v>138</v>
      </c>
      <c r="B132" s="7" t="s">
        <v>423</v>
      </c>
      <c r="C132" s="7" t="s">
        <v>283</v>
      </c>
      <c r="D132" s="7">
        <v>1255507091</v>
      </c>
      <c r="E132" s="4" t="s">
        <v>24</v>
      </c>
    </row>
    <row r="133" spans="1:5" x14ac:dyDescent="0.25">
      <c r="A133" s="5" t="s">
        <v>139</v>
      </c>
      <c r="B133" s="8" t="s">
        <v>424</v>
      </c>
      <c r="C133" s="8" t="s">
        <v>425</v>
      </c>
      <c r="D133" s="8" t="s">
        <v>204</v>
      </c>
      <c r="E133" s="6" t="s">
        <v>22</v>
      </c>
    </row>
    <row r="134" spans="1:5" x14ac:dyDescent="0.25">
      <c r="A134" s="3" t="s">
        <v>140</v>
      </c>
      <c r="B134" s="7" t="s">
        <v>426</v>
      </c>
      <c r="C134" s="7" t="s">
        <v>427</v>
      </c>
      <c r="D134" s="7" t="s">
        <v>24</v>
      </c>
      <c r="E134" s="4" t="s">
        <v>26</v>
      </c>
    </row>
    <row r="135" spans="1:5" x14ac:dyDescent="0.25">
      <c r="A135" s="5" t="s">
        <v>141</v>
      </c>
      <c r="B135" s="8" t="s">
        <v>428</v>
      </c>
      <c r="C135" s="8" t="s">
        <v>258</v>
      </c>
      <c r="D135" s="8" t="s">
        <v>24</v>
      </c>
      <c r="E135" s="6" t="s">
        <v>19</v>
      </c>
    </row>
    <row r="136" spans="1:5" x14ac:dyDescent="0.25">
      <c r="A136" s="3" t="s">
        <v>142</v>
      </c>
      <c r="B136" s="7" t="s">
        <v>429</v>
      </c>
      <c r="C136" s="7" t="s">
        <v>430</v>
      </c>
      <c r="D136" s="7" t="s">
        <v>205</v>
      </c>
      <c r="E136" s="6" t="s">
        <v>17</v>
      </c>
    </row>
    <row r="137" spans="1:5" x14ac:dyDescent="0.25">
      <c r="A137" s="5" t="s">
        <v>143</v>
      </c>
      <c r="B137" s="8" t="s">
        <v>431</v>
      </c>
      <c r="C137" s="8" t="s">
        <v>242</v>
      </c>
      <c r="D137" s="8">
        <v>1043573645</v>
      </c>
      <c r="E137" s="4" t="s">
        <v>26</v>
      </c>
    </row>
    <row r="138" spans="1:5" x14ac:dyDescent="0.25">
      <c r="A138" s="3" t="s">
        <v>144</v>
      </c>
      <c r="B138" s="7" t="s">
        <v>432</v>
      </c>
      <c r="C138" s="7" t="s">
        <v>433</v>
      </c>
      <c r="D138" s="7">
        <v>1871595140</v>
      </c>
      <c r="E138" s="4" t="s">
        <v>26</v>
      </c>
    </row>
    <row r="139" spans="1:5" x14ac:dyDescent="0.25">
      <c r="A139" s="5" t="s">
        <v>145</v>
      </c>
      <c r="B139" s="8" t="s">
        <v>434</v>
      </c>
      <c r="C139" s="8" t="s">
        <v>435</v>
      </c>
      <c r="D139" s="8">
        <v>1609961697</v>
      </c>
      <c r="E139" s="6" t="s">
        <v>22</v>
      </c>
    </row>
    <row r="140" spans="1:5" x14ac:dyDescent="0.25">
      <c r="A140" s="3" t="s">
        <v>146</v>
      </c>
      <c r="B140" s="7" t="s">
        <v>436</v>
      </c>
      <c r="C140" s="7" t="s">
        <v>437</v>
      </c>
      <c r="D140" s="7">
        <v>1457534729</v>
      </c>
      <c r="E140" s="4" t="s">
        <v>22</v>
      </c>
    </row>
    <row r="141" spans="1:5" x14ac:dyDescent="0.25">
      <c r="A141" s="5" t="s">
        <v>147</v>
      </c>
      <c r="B141" s="8" t="s">
        <v>436</v>
      </c>
      <c r="C141" s="8" t="s">
        <v>438</v>
      </c>
      <c r="D141" s="8">
        <v>1669728127</v>
      </c>
      <c r="E141" s="6" t="s">
        <v>19</v>
      </c>
    </row>
    <row r="142" spans="1:5" x14ac:dyDescent="0.25">
      <c r="A142" s="3" t="s">
        <v>148</v>
      </c>
      <c r="B142" s="7" t="s">
        <v>439</v>
      </c>
      <c r="C142" s="7" t="s">
        <v>440</v>
      </c>
      <c r="D142" s="7">
        <v>1801081039</v>
      </c>
      <c r="E142" s="4" t="s">
        <v>19</v>
      </c>
    </row>
    <row r="143" spans="1:5" x14ac:dyDescent="0.25">
      <c r="A143" s="5" t="s">
        <v>149</v>
      </c>
      <c r="B143" s="8" t="s">
        <v>441</v>
      </c>
      <c r="C143" s="8" t="s">
        <v>442</v>
      </c>
      <c r="D143" s="8" t="s">
        <v>24</v>
      </c>
      <c r="E143" s="4" t="s">
        <v>26</v>
      </c>
    </row>
    <row r="144" spans="1:5" x14ac:dyDescent="0.25">
      <c r="A144" s="3" t="s">
        <v>150</v>
      </c>
      <c r="B144" s="7" t="s">
        <v>443</v>
      </c>
      <c r="C144" s="7" t="s">
        <v>444</v>
      </c>
      <c r="D144" s="7">
        <v>1821239583</v>
      </c>
      <c r="E144" s="6" t="s">
        <v>17</v>
      </c>
    </row>
    <row r="145" spans="1:5" x14ac:dyDescent="0.25">
      <c r="A145" s="5" t="s">
        <v>151</v>
      </c>
      <c r="B145" s="8" t="s">
        <v>445</v>
      </c>
      <c r="C145" s="8" t="s">
        <v>446</v>
      </c>
      <c r="D145" s="8">
        <v>1184804312</v>
      </c>
      <c r="E145" s="6" t="s">
        <v>19</v>
      </c>
    </row>
    <row r="146" spans="1:5" x14ac:dyDescent="0.25">
      <c r="A146" s="3" t="s">
        <v>152</v>
      </c>
      <c r="B146" s="7" t="s">
        <v>447</v>
      </c>
      <c r="C146" s="7" t="s">
        <v>448</v>
      </c>
      <c r="D146" s="7">
        <v>1093767410</v>
      </c>
      <c r="E146" s="4" t="s">
        <v>26</v>
      </c>
    </row>
    <row r="147" spans="1:5" x14ac:dyDescent="0.25">
      <c r="A147" s="5" t="s">
        <v>153</v>
      </c>
      <c r="B147" s="8" t="s">
        <v>447</v>
      </c>
      <c r="C147" s="8" t="s">
        <v>449</v>
      </c>
      <c r="D147" s="8">
        <v>1720016827</v>
      </c>
      <c r="E147" s="4" t="s">
        <v>26</v>
      </c>
    </row>
    <row r="148" spans="1:5" x14ac:dyDescent="0.25">
      <c r="A148" s="3" t="s">
        <v>154</v>
      </c>
      <c r="B148" s="7" t="s">
        <v>450</v>
      </c>
      <c r="C148" s="7" t="s">
        <v>342</v>
      </c>
      <c r="D148" s="7">
        <v>1467748889</v>
      </c>
      <c r="E148" s="4" t="s">
        <v>22</v>
      </c>
    </row>
    <row r="149" spans="1:5" x14ac:dyDescent="0.25">
      <c r="A149" s="5" t="s">
        <v>192</v>
      </c>
      <c r="B149" s="8" t="s">
        <v>451</v>
      </c>
      <c r="C149" s="8" t="s">
        <v>452</v>
      </c>
      <c r="D149" s="8">
        <v>1578672341</v>
      </c>
      <c r="E149" s="6" t="s">
        <v>24</v>
      </c>
    </row>
    <row r="150" spans="1:5" x14ac:dyDescent="0.25">
      <c r="A150" s="5" t="s">
        <v>155</v>
      </c>
      <c r="B150" s="8" t="s">
        <v>453</v>
      </c>
      <c r="C150" s="8" t="s">
        <v>454</v>
      </c>
      <c r="D150" s="8" t="s">
        <v>24</v>
      </c>
      <c r="E150" s="6" t="s">
        <v>19</v>
      </c>
    </row>
    <row r="151" spans="1:5" x14ac:dyDescent="0.25">
      <c r="A151" s="3" t="s">
        <v>156</v>
      </c>
      <c r="B151" s="7" t="s">
        <v>455</v>
      </c>
      <c r="C151" s="7" t="s">
        <v>456</v>
      </c>
      <c r="D151" s="7">
        <v>1477728079</v>
      </c>
      <c r="E151" s="4" t="s">
        <v>22</v>
      </c>
    </row>
    <row r="152" spans="1:5" x14ac:dyDescent="0.25">
      <c r="A152" s="5" t="s">
        <v>157</v>
      </c>
      <c r="B152" s="8" t="s">
        <v>457</v>
      </c>
      <c r="C152" s="8" t="s">
        <v>458</v>
      </c>
      <c r="D152" s="8">
        <v>1740238450</v>
      </c>
      <c r="E152" s="6" t="s">
        <v>22</v>
      </c>
    </row>
    <row r="153" spans="1:5" x14ac:dyDescent="0.25">
      <c r="A153" s="3" t="s">
        <v>158</v>
      </c>
      <c r="B153" s="7" t="s">
        <v>459</v>
      </c>
      <c r="C153" s="7" t="s">
        <v>460</v>
      </c>
      <c r="D153" s="7">
        <v>1144317314</v>
      </c>
      <c r="E153" s="4" t="s">
        <v>22</v>
      </c>
    </row>
    <row r="154" spans="1:5" x14ac:dyDescent="0.25">
      <c r="A154" s="5" t="s">
        <v>159</v>
      </c>
      <c r="B154" s="8" t="s">
        <v>461</v>
      </c>
      <c r="C154" s="8" t="s">
        <v>297</v>
      </c>
      <c r="D154" s="8">
        <v>1891793790</v>
      </c>
      <c r="E154" s="6" t="s">
        <v>22</v>
      </c>
    </row>
    <row r="155" spans="1:5" x14ac:dyDescent="0.25">
      <c r="A155" s="3" t="s">
        <v>160</v>
      </c>
      <c r="B155" s="7" t="s">
        <v>462</v>
      </c>
      <c r="C155" s="7" t="s">
        <v>463</v>
      </c>
      <c r="D155" s="7">
        <v>1700043783</v>
      </c>
      <c r="E155" s="4" t="s">
        <v>26</v>
      </c>
    </row>
    <row r="156" spans="1:5" x14ac:dyDescent="0.25">
      <c r="A156" s="5" t="s">
        <v>161</v>
      </c>
      <c r="B156" s="8" t="s">
        <v>464</v>
      </c>
      <c r="C156" s="8" t="s">
        <v>465</v>
      </c>
      <c r="D156" s="8">
        <v>1053373001</v>
      </c>
      <c r="E156" s="6" t="s">
        <v>24</v>
      </c>
    </row>
    <row r="157" spans="1:5" x14ac:dyDescent="0.25">
      <c r="A157" s="3" t="s">
        <v>162</v>
      </c>
      <c r="B157" s="7" t="s">
        <v>466</v>
      </c>
      <c r="C157" s="7" t="s">
        <v>467</v>
      </c>
      <c r="D157" s="7">
        <v>1093715641</v>
      </c>
      <c r="E157" s="4" t="s">
        <v>24</v>
      </c>
    </row>
    <row r="158" spans="1:5" x14ac:dyDescent="0.25">
      <c r="A158" s="5" t="s">
        <v>163</v>
      </c>
      <c r="B158" s="8" t="s">
        <v>163</v>
      </c>
      <c r="C158" s="8" t="s">
        <v>522</v>
      </c>
      <c r="D158" s="8">
        <v>1417911181</v>
      </c>
      <c r="E158" s="6" t="s">
        <v>24</v>
      </c>
    </row>
    <row r="159" spans="1:5" x14ac:dyDescent="0.25">
      <c r="A159" s="3" t="s">
        <v>164</v>
      </c>
      <c r="B159" s="7" t="s">
        <v>468</v>
      </c>
      <c r="C159" s="7" t="s">
        <v>252</v>
      </c>
      <c r="D159" s="7">
        <v>1265648109</v>
      </c>
      <c r="E159" s="4" t="s">
        <v>26</v>
      </c>
    </row>
    <row r="160" spans="1:5" x14ac:dyDescent="0.25">
      <c r="A160" s="5" t="s">
        <v>165</v>
      </c>
      <c r="B160" s="8" t="s">
        <v>469</v>
      </c>
      <c r="C160" s="8" t="s">
        <v>470</v>
      </c>
      <c r="D160" s="8">
        <v>1871574590</v>
      </c>
      <c r="E160" s="6" t="s">
        <v>22</v>
      </c>
    </row>
    <row r="161" spans="1:5" x14ac:dyDescent="0.25">
      <c r="A161" s="3" t="s">
        <v>166</v>
      </c>
      <c r="B161" s="7" t="s">
        <v>469</v>
      </c>
      <c r="C161" s="7" t="s">
        <v>471</v>
      </c>
      <c r="D161" s="7">
        <v>1851372577</v>
      </c>
      <c r="E161" s="4" t="s">
        <v>22</v>
      </c>
    </row>
    <row r="162" spans="1:5" x14ac:dyDescent="0.25">
      <c r="A162" s="5" t="s">
        <v>167</v>
      </c>
      <c r="B162" s="8" t="s">
        <v>472</v>
      </c>
      <c r="C162" s="8" t="s">
        <v>473</v>
      </c>
      <c r="D162" s="8" t="s">
        <v>24</v>
      </c>
      <c r="E162" s="6" t="s">
        <v>19</v>
      </c>
    </row>
    <row r="163" spans="1:5" x14ac:dyDescent="0.25">
      <c r="A163" s="3" t="s">
        <v>168</v>
      </c>
      <c r="B163" s="7" t="s">
        <v>474</v>
      </c>
      <c r="C163" s="7" t="s">
        <v>475</v>
      </c>
      <c r="D163" s="7" t="s">
        <v>24</v>
      </c>
      <c r="E163" s="4" t="s">
        <v>19</v>
      </c>
    </row>
    <row r="164" spans="1:5" x14ac:dyDescent="0.25">
      <c r="A164" s="5" t="s">
        <v>169</v>
      </c>
      <c r="B164" s="8" t="s">
        <v>476</v>
      </c>
      <c r="C164" s="8" t="s">
        <v>477</v>
      </c>
      <c r="D164" s="8" t="s">
        <v>24</v>
      </c>
      <c r="E164" s="6" t="s">
        <v>22</v>
      </c>
    </row>
    <row r="165" spans="1:5" x14ac:dyDescent="0.25">
      <c r="A165" s="3" t="s">
        <v>195</v>
      </c>
      <c r="B165" s="7" t="s">
        <v>478</v>
      </c>
      <c r="C165" s="7" t="s">
        <v>479</v>
      </c>
      <c r="D165" s="7">
        <v>1578672341</v>
      </c>
      <c r="E165" s="4" t="s">
        <v>24</v>
      </c>
    </row>
    <row r="166" spans="1:5" x14ac:dyDescent="0.25">
      <c r="A166" s="3" t="s">
        <v>170</v>
      </c>
      <c r="B166" s="7" t="s">
        <v>480</v>
      </c>
      <c r="C166" s="7" t="s">
        <v>438</v>
      </c>
      <c r="D166" s="7">
        <v>1811312838</v>
      </c>
      <c r="E166" s="4" t="s">
        <v>19</v>
      </c>
    </row>
    <row r="167" spans="1:5" x14ac:dyDescent="0.25">
      <c r="A167" s="5" t="s">
        <v>171</v>
      </c>
      <c r="B167" s="8" t="s">
        <v>481</v>
      </c>
      <c r="C167" s="8" t="s">
        <v>377</v>
      </c>
      <c r="D167" s="8">
        <v>1770741902</v>
      </c>
      <c r="E167" s="4" t="s">
        <v>26</v>
      </c>
    </row>
    <row r="168" spans="1:5" x14ac:dyDescent="0.25">
      <c r="A168" s="3" t="s">
        <v>172</v>
      </c>
      <c r="B168" s="7" t="s">
        <v>482</v>
      </c>
      <c r="C168" s="7" t="s">
        <v>375</v>
      </c>
      <c r="D168" s="7">
        <v>1790881977</v>
      </c>
      <c r="E168" s="4" t="s">
        <v>26</v>
      </c>
    </row>
    <row r="169" spans="1:5" x14ac:dyDescent="0.25">
      <c r="A169" s="5" t="s">
        <v>173</v>
      </c>
      <c r="B169" s="8" t="s">
        <v>483</v>
      </c>
      <c r="C169" s="8" t="s">
        <v>484</v>
      </c>
      <c r="D169" s="8">
        <v>125296728</v>
      </c>
      <c r="E169" s="6" t="s">
        <v>17</v>
      </c>
    </row>
    <row r="170" spans="1:5" x14ac:dyDescent="0.25">
      <c r="A170" s="5" t="s">
        <v>196</v>
      </c>
      <c r="B170" s="8" t="s">
        <v>485</v>
      </c>
      <c r="C170" s="8" t="s">
        <v>486</v>
      </c>
      <c r="D170" s="8">
        <v>1083644736</v>
      </c>
      <c r="E170" s="6" t="s">
        <v>24</v>
      </c>
    </row>
    <row r="171" spans="1:5" x14ac:dyDescent="0.25">
      <c r="A171" s="3" t="s">
        <v>174</v>
      </c>
      <c r="B171" s="7" t="s">
        <v>487</v>
      </c>
      <c r="C171" s="7" t="s">
        <v>488</v>
      </c>
      <c r="D171" s="7">
        <v>1164403408</v>
      </c>
      <c r="E171" s="6" t="s">
        <v>22</v>
      </c>
    </row>
    <row r="172" spans="1:5" x14ac:dyDescent="0.25">
      <c r="A172" s="5" t="s">
        <v>175</v>
      </c>
      <c r="B172" s="8" t="s">
        <v>489</v>
      </c>
      <c r="C172" s="8" t="s">
        <v>490</v>
      </c>
      <c r="D172" s="8">
        <v>1962487785</v>
      </c>
      <c r="E172" s="4" t="s">
        <v>26</v>
      </c>
    </row>
    <row r="173" spans="1:5" x14ac:dyDescent="0.25">
      <c r="A173" s="3" t="s">
        <v>176</v>
      </c>
      <c r="B173" s="7" t="s">
        <v>491</v>
      </c>
      <c r="C173" s="7" t="s">
        <v>492</v>
      </c>
      <c r="D173" s="7">
        <v>1790723245</v>
      </c>
      <c r="E173" s="4" t="s">
        <v>24</v>
      </c>
    </row>
    <row r="174" spans="1:5" x14ac:dyDescent="0.25">
      <c r="A174" s="5" t="s">
        <v>177</v>
      </c>
      <c r="B174" s="8" t="s">
        <v>493</v>
      </c>
      <c r="C174" s="8" t="s">
        <v>494</v>
      </c>
      <c r="D174" s="8">
        <v>1720081938</v>
      </c>
      <c r="E174" s="4" t="s">
        <v>26</v>
      </c>
    </row>
    <row r="175" spans="1:5" x14ac:dyDescent="0.25">
      <c r="A175" s="3" t="s">
        <v>178</v>
      </c>
      <c r="B175" s="7" t="s">
        <v>495</v>
      </c>
      <c r="C175" s="7" t="s">
        <v>496</v>
      </c>
      <c r="D175" s="7">
        <v>1255716825</v>
      </c>
      <c r="E175" s="4" t="s">
        <v>24</v>
      </c>
    </row>
    <row r="176" spans="1:5" x14ac:dyDescent="0.25">
      <c r="A176" s="5" t="s">
        <v>179</v>
      </c>
      <c r="B176" s="8" t="s">
        <v>497</v>
      </c>
      <c r="C176" s="8" t="s">
        <v>498</v>
      </c>
      <c r="D176" s="8">
        <v>1497930044</v>
      </c>
      <c r="E176" s="6" t="s">
        <v>22</v>
      </c>
    </row>
    <row r="177" spans="1:5" x14ac:dyDescent="0.25">
      <c r="A177" s="3" t="s">
        <v>180</v>
      </c>
      <c r="B177" s="7" t="s">
        <v>497</v>
      </c>
      <c r="C177" s="7" t="s">
        <v>499</v>
      </c>
      <c r="D177" s="7">
        <v>1841359692</v>
      </c>
      <c r="E177" s="4" t="s">
        <v>26</v>
      </c>
    </row>
    <row r="178" spans="1:5" x14ac:dyDescent="0.25">
      <c r="A178" s="5" t="s">
        <v>181</v>
      </c>
      <c r="B178" s="8" t="s">
        <v>500</v>
      </c>
      <c r="C178" s="8" t="s">
        <v>501</v>
      </c>
      <c r="D178" s="8">
        <v>1578707303</v>
      </c>
      <c r="E178" s="4" t="s">
        <v>26</v>
      </c>
    </row>
    <row r="179" spans="1:5" x14ac:dyDescent="0.25">
      <c r="A179" s="5" t="s">
        <v>198</v>
      </c>
      <c r="B179" s="8" t="s">
        <v>502</v>
      </c>
      <c r="C179" s="8" t="s">
        <v>503</v>
      </c>
      <c r="D179" s="8">
        <v>1770543522</v>
      </c>
      <c r="E179" s="6" t="s">
        <v>24</v>
      </c>
    </row>
    <row r="180" spans="1:5" x14ac:dyDescent="0.25">
      <c r="A180" s="3" t="s">
        <v>182</v>
      </c>
      <c r="B180" s="7" t="s">
        <v>504</v>
      </c>
      <c r="C180" s="7" t="s">
        <v>318</v>
      </c>
      <c r="D180" s="7">
        <v>1508236571</v>
      </c>
      <c r="E180" s="4" t="s">
        <v>19</v>
      </c>
    </row>
    <row r="181" spans="1:5" x14ac:dyDescent="0.25">
      <c r="A181" s="5" t="s">
        <v>183</v>
      </c>
      <c r="B181" s="8" t="s">
        <v>505</v>
      </c>
      <c r="C181" s="8" t="s">
        <v>506</v>
      </c>
      <c r="D181" s="8">
        <v>1295833796</v>
      </c>
      <c r="E181" s="4" t="s">
        <v>26</v>
      </c>
    </row>
    <row r="182" spans="1:5" x14ac:dyDescent="0.25">
      <c r="A182" s="3" t="s">
        <v>184</v>
      </c>
      <c r="B182" s="7" t="s">
        <v>507</v>
      </c>
      <c r="C182" s="7" t="s">
        <v>508</v>
      </c>
      <c r="D182" s="7">
        <v>1932348232</v>
      </c>
      <c r="E182" s="4" t="s">
        <v>19</v>
      </c>
    </row>
    <row r="183" spans="1:5" x14ac:dyDescent="0.25">
      <c r="A183" s="5" t="s">
        <v>185</v>
      </c>
      <c r="B183" s="8" t="s">
        <v>509</v>
      </c>
      <c r="C183" s="8" t="s">
        <v>433</v>
      </c>
      <c r="D183" s="8">
        <v>1386740645</v>
      </c>
      <c r="E183" s="4" t="s">
        <v>26</v>
      </c>
    </row>
    <row r="184" spans="1:5" x14ac:dyDescent="0.25">
      <c r="A184" s="5" t="s">
        <v>200</v>
      </c>
      <c r="B184" s="8" t="s">
        <v>510</v>
      </c>
      <c r="C184" s="8" t="s">
        <v>402</v>
      </c>
      <c r="D184" s="8">
        <v>1114965928</v>
      </c>
      <c r="E184" s="6" t="s">
        <v>24</v>
      </c>
    </row>
    <row r="185" spans="1:5" x14ac:dyDescent="0.25">
      <c r="A185" s="3" t="s">
        <v>186</v>
      </c>
      <c r="B185" s="7" t="s">
        <v>511</v>
      </c>
      <c r="C185" s="7" t="s">
        <v>512</v>
      </c>
      <c r="D185" s="7">
        <v>1013280411</v>
      </c>
      <c r="E185" s="4" t="s">
        <v>19</v>
      </c>
    </row>
    <row r="186" spans="1:5" x14ac:dyDescent="0.25">
      <c r="A186" s="5" t="s">
        <v>187</v>
      </c>
      <c r="B186" s="8" t="s">
        <v>513</v>
      </c>
      <c r="C186" s="8" t="s">
        <v>514</v>
      </c>
      <c r="D186" s="8">
        <v>1669630067</v>
      </c>
      <c r="E186" s="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Tox</vt:lpstr>
      <vt:lpstr>DNA</vt:lpstr>
      <vt:lpstr>CM Assignments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McCabe</dc:creator>
  <cp:lastModifiedBy>Daniel</cp:lastModifiedBy>
  <cp:lastPrinted>2016-04-04T19:35:03Z</cp:lastPrinted>
  <dcterms:created xsi:type="dcterms:W3CDTF">2016-01-21T19:50:12Z</dcterms:created>
  <dcterms:modified xsi:type="dcterms:W3CDTF">2016-04-28T17:30:01Z</dcterms:modified>
</cp:coreProperties>
</file>