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esktop\Project\3. 로봇팔\Robot Arm Model\Robot_Arm_6_v1\"/>
    </mc:Choice>
  </mc:AlternateContent>
  <xr:revisionPtr revIDLastSave="0" documentId="13_ncr:1_{20AC49DF-8AE9-4625-8A05-C6D6C45ECC4E}" xr6:coauthVersionLast="47" xr6:coauthVersionMax="47" xr10:uidLastSave="{00000000-0000-0000-0000-000000000000}"/>
  <bookViews>
    <workbookView xWindow="390" yWindow="180" windowWidth="27600" windowHeight="15300" xr2:uid="{C0FBAF0F-EF5F-4C6E-ACE9-A1AC3E169337}"/>
  </bookViews>
  <sheets>
    <sheet name="Parameter_v1" sheetId="1" r:id="rId1"/>
    <sheet name="변경" sheetId="5" r:id="rId2"/>
    <sheet name="설정" sheetId="3" r:id="rId3"/>
    <sheet name="계산" sheetId="2" r:id="rId4"/>
    <sheet name="소재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26" i="1"/>
  <c r="B24" i="1"/>
  <c r="B22" i="1"/>
  <c r="B28" i="1"/>
  <c r="B6" i="1"/>
  <c r="N14" i="5"/>
  <c r="N3" i="3"/>
  <c r="N2" i="3"/>
  <c r="N6" i="5"/>
  <c r="N7" i="5" s="1"/>
  <c r="B18" i="1"/>
  <c r="B3" i="1"/>
  <c r="B52" i="2" l="1"/>
  <c r="B53" i="2" s="1"/>
  <c r="B43" i="2"/>
  <c r="F114" i="2"/>
  <c r="B17" i="2"/>
  <c r="B32" i="2" s="1"/>
  <c r="B38" i="2" s="1"/>
  <c r="B49" i="2" s="1"/>
  <c r="B68" i="2" s="1"/>
  <c r="B16" i="2"/>
  <c r="B7" i="2"/>
  <c r="F7" i="2"/>
  <c r="B4" i="2"/>
  <c r="B71" i="2"/>
  <c r="B35" i="1"/>
  <c r="B34" i="1"/>
  <c r="B33" i="1"/>
  <c r="B30" i="1"/>
  <c r="B29" i="1"/>
  <c r="B27" i="1"/>
  <c r="B19" i="1"/>
  <c r="B21" i="1"/>
  <c r="B16" i="1"/>
  <c r="B15" i="1"/>
  <c r="B13" i="1"/>
  <c r="B12" i="1"/>
  <c r="B11" i="1"/>
  <c r="B14" i="1"/>
  <c r="B8" i="1"/>
  <c r="B7" i="1"/>
  <c r="B5" i="1"/>
  <c r="B4" i="1"/>
  <c r="B2" i="1"/>
  <c r="B3" i="2"/>
  <c r="B23" i="2" s="1"/>
  <c r="B25" i="2" s="1"/>
  <c r="N27" i="3"/>
  <c r="F55" i="2"/>
  <c r="J2" i="3"/>
  <c r="J3" i="3"/>
  <c r="F32" i="2"/>
  <c r="F48" i="2" s="1"/>
  <c r="F4" i="2"/>
  <c r="F17" i="2" s="1"/>
  <c r="F5" i="2"/>
  <c r="F3" i="2"/>
  <c r="F16" i="2" s="1"/>
  <c r="F23" i="2" s="1"/>
  <c r="B5" i="2"/>
  <c r="B6" i="2" s="1"/>
  <c r="B12" i="2" s="1"/>
  <c r="F118" i="2"/>
  <c r="F37" i="2"/>
  <c r="F38" i="2"/>
  <c r="F101" i="2"/>
  <c r="F96" i="2" s="1"/>
  <c r="B63" i="2"/>
  <c r="B31" i="2"/>
  <c r="B37" i="2" s="1"/>
  <c r="F39" i="2" l="1"/>
  <c r="J18" i="5"/>
  <c r="B25" i="1"/>
  <c r="F107" i="2"/>
  <c r="B31" i="1"/>
  <c r="F8" i="2"/>
  <c r="F58" i="2"/>
  <c r="F49" i="2"/>
  <c r="F24" i="2"/>
  <c r="F6" i="2"/>
  <c r="F12" i="2" s="1"/>
  <c r="F31" i="2"/>
  <c r="F25" i="2"/>
  <c r="B9" i="2"/>
  <c r="B10" i="2" s="1"/>
  <c r="F42" i="2"/>
  <c r="F87" i="2" s="1"/>
  <c r="F93" i="2" s="1"/>
  <c r="F94" i="2" s="1"/>
  <c r="F95" i="2" s="1"/>
  <c r="F108" i="2" s="1"/>
  <c r="F40" i="2"/>
  <c r="B23" i="1" s="1"/>
  <c r="B48" i="2"/>
  <c r="B58" i="2" s="1"/>
  <c r="B20" i="1" l="1"/>
  <c r="F51" i="2"/>
  <c r="F71" i="2"/>
  <c r="F63" i="2"/>
  <c r="F64" i="2" s="1"/>
  <c r="F73" i="2" s="1"/>
  <c r="F50" i="2"/>
  <c r="F27" i="2"/>
  <c r="F29" i="2" s="1"/>
  <c r="F41" i="2"/>
  <c r="F78" i="2" s="1"/>
  <c r="F86" i="2" s="1"/>
  <c r="F92" i="2" s="1"/>
  <c r="F47" i="2"/>
  <c r="F11" i="2"/>
  <c r="F13" i="2" s="1"/>
  <c r="F14" i="2" s="1"/>
  <c r="F15" i="2" s="1"/>
  <c r="F9" i="2"/>
  <c r="F10" i="2" s="1"/>
  <c r="F104" i="2"/>
  <c r="F123" i="2" s="1"/>
  <c r="F125" i="2" s="1"/>
  <c r="F126" i="2" s="1"/>
  <c r="B8" i="2"/>
  <c r="B11" i="2" s="1"/>
  <c r="B13" i="2" s="1"/>
  <c r="B14" i="2" s="1"/>
  <c r="B67" i="2"/>
  <c r="B60" i="2"/>
  <c r="B18" i="2" l="1"/>
  <c r="B24" i="2" s="1"/>
  <c r="B15" i="2"/>
  <c r="F103" i="2"/>
  <c r="F113" i="2" s="1"/>
  <c r="F122" i="2" s="1"/>
  <c r="F97" i="2"/>
  <c r="F26" i="2"/>
  <c r="F28" i="2" s="1"/>
  <c r="F30" i="2" s="1"/>
  <c r="F98" i="2"/>
  <c r="F115" i="2"/>
  <c r="F117" i="2" s="1"/>
  <c r="F120" i="2" s="1"/>
  <c r="B46" i="2"/>
  <c r="F57" i="2"/>
  <c r="F18" i="2"/>
  <c r="F80" i="2"/>
  <c r="D7" i="4"/>
  <c r="D6" i="4"/>
  <c r="D8" i="4"/>
  <c r="D9" i="4"/>
  <c r="D3" i="4"/>
  <c r="D4" i="4"/>
  <c r="D5" i="4"/>
  <c r="D2" i="4"/>
  <c r="B59" i="2"/>
  <c r="F99" i="2" l="1"/>
  <c r="F100" i="2"/>
  <c r="B39" i="2"/>
  <c r="B40" i="2" s="1"/>
  <c r="B9" i="1"/>
  <c r="F52" i="2"/>
  <c r="F53" i="2"/>
  <c r="F116" i="2"/>
  <c r="F119" i="2" s="1"/>
  <c r="F121" i="2" s="1"/>
  <c r="J34" i="5" s="1"/>
  <c r="B42" i="2"/>
  <c r="B45" i="2" s="1"/>
  <c r="B41" i="2"/>
  <c r="F67" i="2"/>
  <c r="F65" i="2"/>
  <c r="F66" i="2" s="1"/>
  <c r="F54" i="2"/>
  <c r="F82" i="2"/>
  <c r="F84" i="2" s="1"/>
  <c r="B62" i="2"/>
  <c r="B65" i="2" s="1"/>
  <c r="F102" i="2" l="1"/>
  <c r="B32" i="1" s="1"/>
  <c r="B44" i="2"/>
  <c r="B47" i="2"/>
  <c r="F56" i="2"/>
  <c r="F70" i="2"/>
  <c r="F69" i="2"/>
  <c r="F68" i="2"/>
  <c r="F81" i="2"/>
  <c r="F83" i="2" s="1"/>
  <c r="F85" i="2" s="1"/>
  <c r="B61" i="2"/>
  <c r="B64" i="2" s="1"/>
  <c r="B27" i="2"/>
  <c r="B10" i="1" l="1"/>
  <c r="B66" i="2"/>
  <c r="F22" i="5" s="1"/>
  <c r="F72" i="2"/>
  <c r="B26" i="2"/>
  <c r="B28" i="2" s="1"/>
  <c r="B29" i="2"/>
  <c r="B30" i="2" l="1"/>
</calcChain>
</file>

<file path=xl/sharedStrings.xml><?xml version="1.0" encoding="utf-8"?>
<sst xmlns="http://schemas.openxmlformats.org/spreadsheetml/2006/main" count="626" uniqueCount="158">
  <si>
    <t>항목</t>
    <phoneticPr fontId="1" type="noConversion"/>
  </si>
  <si>
    <t>값</t>
    <phoneticPr fontId="1" type="noConversion"/>
  </si>
  <si>
    <t>단위</t>
    <phoneticPr fontId="1" type="noConversion"/>
  </si>
  <si>
    <t>Reach</t>
    <phoneticPr fontId="1" type="noConversion"/>
  </si>
  <si>
    <t>mm</t>
    <phoneticPr fontId="1" type="noConversion"/>
  </si>
  <si>
    <t>Pyload</t>
    <phoneticPr fontId="1" type="noConversion"/>
  </si>
  <si>
    <t>kg</t>
    <phoneticPr fontId="1" type="noConversion"/>
  </si>
  <si>
    <t>LinkA</t>
    <phoneticPr fontId="1" type="noConversion"/>
  </si>
  <si>
    <t>LinkB</t>
    <phoneticPr fontId="1" type="noConversion"/>
  </si>
  <si>
    <t>Nm</t>
    <phoneticPr fontId="1" type="noConversion"/>
  </si>
  <si>
    <t>Pa</t>
    <phoneticPr fontId="1" type="noConversion"/>
  </si>
  <si>
    <t>N</t>
    <phoneticPr fontId="1" type="noConversion"/>
  </si>
  <si>
    <t>joint4_miter_z</t>
    <phoneticPr fontId="1" type="noConversion"/>
  </si>
  <si>
    <t>joint4_miter_m</t>
    <phoneticPr fontId="1" type="noConversion"/>
  </si>
  <si>
    <t>joint4_miter_b</t>
    <phoneticPr fontId="1" type="noConversion"/>
  </si>
  <si>
    <t>Safety Factor</t>
    <phoneticPr fontId="1" type="noConversion"/>
  </si>
  <si>
    <t>굽힘강도</t>
    <phoneticPr fontId="1" type="noConversion"/>
  </si>
  <si>
    <t>Motor</t>
    <phoneticPr fontId="1" type="noConversion"/>
  </si>
  <si>
    <t>rpm</t>
    <phoneticPr fontId="1" type="noConversion"/>
  </si>
  <si>
    <t>RPM</t>
    <phoneticPr fontId="1" type="noConversion"/>
  </si>
  <si>
    <t>Torque</t>
    <phoneticPr fontId="1" type="noConversion"/>
  </si>
  <si>
    <t>PLA</t>
    <phoneticPr fontId="1" type="noConversion"/>
  </si>
  <si>
    <t>제조사</t>
    <phoneticPr fontId="1" type="noConversion"/>
  </si>
  <si>
    <t>Cubicon</t>
  </si>
  <si>
    <t>소재</t>
    <phoneticPr fontId="1" type="noConversion"/>
  </si>
  <si>
    <t>PLA+</t>
    <phoneticPr fontId="1" type="noConversion"/>
  </si>
  <si>
    <t>Gripper</t>
    <phoneticPr fontId="1" type="noConversion"/>
  </si>
  <si>
    <t>L</t>
    <phoneticPr fontId="1" type="noConversion"/>
  </si>
  <si>
    <t>Z 작용하중</t>
    <phoneticPr fontId="1" type="noConversion"/>
  </si>
  <si>
    <t>Y 작용하중</t>
    <phoneticPr fontId="1" type="noConversion"/>
  </si>
  <si>
    <t>Miter Gear</t>
    <phoneticPr fontId="1" type="noConversion"/>
  </si>
  <si>
    <t>Timing Belt</t>
    <phoneticPr fontId="1" type="noConversion"/>
  </si>
  <si>
    <t>Efficiency</t>
    <phoneticPr fontId="1" type="noConversion"/>
  </si>
  <si>
    <t>Centor</t>
    <phoneticPr fontId="1" type="noConversion"/>
  </si>
  <si>
    <t>Z1</t>
    <phoneticPr fontId="1" type="noConversion"/>
  </si>
  <si>
    <t>Ln</t>
    <phoneticPr fontId="1" type="noConversion"/>
  </si>
  <si>
    <t>p(피치)</t>
    <phoneticPr fontId="1" type="noConversion"/>
  </si>
  <si>
    <t>인장, 항복 강도</t>
    <phoneticPr fontId="1" type="noConversion"/>
  </si>
  <si>
    <t>esun</t>
    <phoneticPr fontId="1" type="noConversion"/>
  </si>
  <si>
    <t>PLA-i21</t>
  </si>
  <si>
    <t>Pe</t>
    <phoneticPr fontId="1" type="noConversion"/>
  </si>
  <si>
    <t>이음효율</t>
    <phoneticPr fontId="1" type="noConversion"/>
  </si>
  <si>
    <t>D2(피치원 지름)</t>
    <phoneticPr fontId="1" type="noConversion"/>
  </si>
  <si>
    <t>D1(피치원 지름)</t>
    <phoneticPr fontId="1" type="noConversion"/>
  </si>
  <si>
    <t>D20(이끝원지름)</t>
    <phoneticPr fontId="1" type="noConversion"/>
  </si>
  <si>
    <t>m/s</t>
    <phoneticPr fontId="1" type="noConversion"/>
  </si>
  <si>
    <t>장력비</t>
    <phoneticPr fontId="1" type="noConversion"/>
  </si>
  <si>
    <t>접촉각</t>
    <phoneticPr fontId="1" type="noConversion"/>
  </si>
  <si>
    <t>rad</t>
    <phoneticPr fontId="1" type="noConversion"/>
  </si>
  <si>
    <t>PM5</t>
    <phoneticPr fontId="1" type="noConversion"/>
  </si>
  <si>
    <t>마찰계수</t>
    <phoneticPr fontId="1" type="noConversion"/>
  </si>
  <si>
    <t>폭</t>
    <phoneticPr fontId="1" type="noConversion"/>
  </si>
  <si>
    <t>두께</t>
    <phoneticPr fontId="1" type="noConversion"/>
  </si>
  <si>
    <t>허용응력</t>
    <phoneticPr fontId="1" type="noConversion"/>
  </si>
  <si>
    <t>degree</t>
    <phoneticPr fontId="1" type="noConversion"/>
  </si>
  <si>
    <t>Axis2</t>
  </si>
  <si>
    <t>Axis2</t>
    <phoneticPr fontId="1" type="noConversion"/>
  </si>
  <si>
    <t>L</t>
  </si>
  <si>
    <t>Tin</t>
    <phoneticPr fontId="1" type="noConversion"/>
  </si>
  <si>
    <t>M</t>
    <phoneticPr fontId="1" type="noConversion"/>
  </si>
  <si>
    <t>T</t>
    <phoneticPr fontId="1" type="noConversion"/>
  </si>
  <si>
    <t>Me</t>
    <phoneticPr fontId="1" type="noConversion"/>
  </si>
  <si>
    <t>Te</t>
    <phoneticPr fontId="1" type="noConversion"/>
  </si>
  <si>
    <t>d</t>
    <phoneticPr fontId="1" type="noConversion"/>
  </si>
  <si>
    <t>Tout</t>
    <phoneticPr fontId="1" type="noConversion"/>
  </si>
  <si>
    <t>b1</t>
    <phoneticPr fontId="1" type="noConversion"/>
  </si>
  <si>
    <t>b2</t>
    <phoneticPr fontId="1" type="noConversion"/>
  </si>
  <si>
    <t>F</t>
    <phoneticPr fontId="1" type="noConversion"/>
  </si>
  <si>
    <t>종동풀리 무게</t>
    <phoneticPr fontId="1" type="noConversion"/>
  </si>
  <si>
    <t>km</t>
    <phoneticPr fontId="1" type="noConversion"/>
  </si>
  <si>
    <t>kt</t>
    <phoneticPr fontId="1" type="noConversion"/>
  </si>
  <si>
    <r>
      <rPr>
        <sz val="11"/>
        <color theme="1"/>
        <rFont val="Calibri"/>
        <family val="2"/>
        <charset val="161"/>
      </rPr>
      <t>dσ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</si>
  <si>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r>
      <rPr>
        <sz val="11"/>
        <color theme="1"/>
        <rFont val="Calibri"/>
        <family val="2"/>
        <charset val="161"/>
      </rPr>
      <t>dτ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</si>
  <si>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t>m</t>
  </si>
  <si>
    <t>m</t>
    <phoneticPr fontId="1" type="noConversion"/>
  </si>
  <si>
    <t>Miter Gear</t>
  </si>
  <si>
    <t>α</t>
    <phoneticPr fontId="1" type="noConversion"/>
  </si>
  <si>
    <t>D0</t>
    <phoneticPr fontId="1" type="noConversion"/>
  </si>
  <si>
    <t>z</t>
    <phoneticPr fontId="1" type="noConversion"/>
  </si>
  <si>
    <t>fw</t>
    <phoneticPr fontId="1" type="noConversion"/>
  </si>
  <si>
    <t>fv</t>
    <phoneticPr fontId="1" type="noConversion"/>
  </si>
  <si>
    <t>fs</t>
    <phoneticPr fontId="1" type="noConversion"/>
  </si>
  <si>
    <t>fm</t>
    <phoneticPr fontId="1" type="noConversion"/>
  </si>
  <si>
    <t>Ye</t>
    <phoneticPr fontId="1" type="noConversion"/>
  </si>
  <si>
    <t>η</t>
    <phoneticPr fontId="1" type="noConversion"/>
  </si>
  <si>
    <t>b</t>
    <phoneticPr fontId="1" type="noConversion"/>
  </si>
  <si>
    <t>v</t>
    <phoneticPr fontId="1" type="noConversion"/>
  </si>
  <si>
    <t>b면</t>
    <phoneticPr fontId="1" type="noConversion"/>
  </si>
  <si>
    <t>b굽</t>
    <phoneticPr fontId="1" type="noConversion"/>
  </si>
  <si>
    <t>d2</t>
    <phoneticPr fontId="1" type="noConversion"/>
  </si>
  <si>
    <t>d1</t>
    <phoneticPr fontId="1" type="noConversion"/>
  </si>
  <si>
    <r>
      <rPr>
        <sz val="11"/>
        <color theme="1"/>
        <rFont val="맑은 고딕"/>
        <family val="2"/>
        <charset val="129"/>
      </rPr>
      <t>d2σ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</si>
  <si>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r>
      <rPr>
        <sz val="11"/>
        <color theme="1"/>
        <rFont val="Calibri"/>
        <family val="2"/>
        <charset val="161"/>
      </rPr>
      <t>d2τ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</si>
  <si>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t>x</t>
    <phoneticPr fontId="1" type="noConversion"/>
  </si>
  <si>
    <t xml:space="preserve">Planetary </t>
  </si>
  <si>
    <t xml:space="preserve">Planetary </t>
    <phoneticPr fontId="1" type="noConversion"/>
  </si>
  <si>
    <t>i</t>
  </si>
  <si>
    <t>i</t>
    <phoneticPr fontId="1" type="noConversion"/>
  </si>
  <si>
    <t>Zs</t>
  </si>
  <si>
    <t>Np</t>
    <phoneticPr fontId="1" type="noConversion"/>
  </si>
  <si>
    <t>Zr</t>
    <phoneticPr fontId="1" type="noConversion"/>
  </si>
  <si>
    <t>Zg</t>
    <phoneticPr fontId="1" type="noConversion"/>
  </si>
  <si>
    <t>K</t>
  </si>
  <si>
    <t>K</t>
    <phoneticPr fontId="1" type="noConversion"/>
  </si>
  <si>
    <t>Zp</t>
    <phoneticPr fontId="1" type="noConversion"/>
  </si>
  <si>
    <t>Planetary(sun-planet)</t>
  </si>
  <si>
    <t>b굽S</t>
    <phoneticPr fontId="1" type="noConversion"/>
  </si>
  <si>
    <t>b굽P</t>
    <phoneticPr fontId="1" type="noConversion"/>
  </si>
  <si>
    <t>YS</t>
    <phoneticPr fontId="1" type="noConversion"/>
  </si>
  <si>
    <t>YP</t>
    <phoneticPr fontId="1" type="noConversion"/>
  </si>
  <si>
    <t>Planetary(planet-ring)</t>
  </si>
  <si>
    <t>YR</t>
    <phoneticPr fontId="1" type="noConversion"/>
  </si>
  <si>
    <t>Axis3</t>
  </si>
  <si>
    <t>Axis3</t>
    <phoneticPr fontId="1" type="noConversion"/>
  </si>
  <si>
    <t>Axis4</t>
    <phoneticPr fontId="1" type="noConversion"/>
  </si>
  <si>
    <t>Tt</t>
    <phoneticPr fontId="1" type="noConversion"/>
  </si>
  <si>
    <t>Ts</t>
    <phoneticPr fontId="1" type="noConversion"/>
  </si>
  <si>
    <t>gripper</t>
    <phoneticPr fontId="1" type="noConversion"/>
  </si>
  <si>
    <t>Joint4</t>
    <phoneticPr fontId="1" type="noConversion"/>
  </si>
  <si>
    <t>Joint3</t>
    <phoneticPr fontId="1" type="noConversion"/>
  </si>
  <si>
    <t>joint4_belt_centor</t>
    <phoneticPr fontId="1" type="noConversion"/>
  </si>
  <si>
    <t>joint4_axis2_L</t>
    <phoneticPr fontId="1" type="noConversion"/>
  </si>
  <si>
    <t>joint4_axis2_b1</t>
    <phoneticPr fontId="1" type="noConversion"/>
  </si>
  <si>
    <t>joint4_axis2_b2</t>
    <phoneticPr fontId="1" type="noConversion"/>
  </si>
  <si>
    <t>joint4_axis2_d</t>
    <phoneticPr fontId="1" type="noConversion"/>
  </si>
  <si>
    <t>joint4_miter_a</t>
    <phoneticPr fontId="1" type="noConversion"/>
  </si>
  <si>
    <t>joint4_axis3_L</t>
    <phoneticPr fontId="1" type="noConversion"/>
  </si>
  <si>
    <t>joint4_axis3_d1</t>
    <phoneticPr fontId="1" type="noConversion"/>
  </si>
  <si>
    <t>joint4_axis3_d2</t>
    <phoneticPr fontId="1" type="noConversion"/>
  </si>
  <si>
    <t>최소d2</t>
    <phoneticPr fontId="1" type="noConversion"/>
  </si>
  <si>
    <t>joint3_belt_centor</t>
    <phoneticPr fontId="1" type="noConversion"/>
  </si>
  <si>
    <t>joint3_axis2_L</t>
  </si>
  <si>
    <t>joint3_axis2_b1</t>
  </si>
  <si>
    <t>joint3_axis2_d</t>
  </si>
  <si>
    <t>joint3_miter_m</t>
  </si>
  <si>
    <t>joint3_miter_a</t>
  </si>
  <si>
    <t>joint3_miter_z</t>
  </si>
  <si>
    <t>joint3_miter_b</t>
  </si>
  <si>
    <t>joint3_axis3_L</t>
  </si>
  <si>
    <t>joint3_sun_b</t>
    <phoneticPr fontId="1" type="noConversion"/>
  </si>
  <si>
    <t>joint3_sun_z</t>
    <phoneticPr fontId="1" type="noConversion"/>
  </si>
  <si>
    <t>joint3_planetary_a</t>
    <phoneticPr fontId="1" type="noConversion"/>
  </si>
  <si>
    <t>joint3_planetary_m</t>
    <phoneticPr fontId="1" type="noConversion"/>
  </si>
  <si>
    <t>joint3_planet_z</t>
    <phoneticPr fontId="1" type="noConversion"/>
  </si>
  <si>
    <t>joint3_planet_b</t>
    <phoneticPr fontId="1" type="noConversion"/>
  </si>
  <si>
    <t>joint3_ring_z</t>
    <phoneticPr fontId="1" type="noConversion"/>
  </si>
  <si>
    <t>joint3_ring_b</t>
    <phoneticPr fontId="1" type="noConversion"/>
  </si>
  <si>
    <t>joint3_planetary_np</t>
    <phoneticPr fontId="1" type="noConversion"/>
  </si>
  <si>
    <t>joint3_axis3_d</t>
    <phoneticPr fontId="1" type="noConversion"/>
  </si>
  <si>
    <t>joint3_axis4_L</t>
    <phoneticPr fontId="1" type="noConversion"/>
  </si>
  <si>
    <t>joint3_axis4_d1</t>
    <phoneticPr fontId="1" type="noConversion"/>
  </si>
  <si>
    <t>joint3_axis4_d2</t>
    <phoneticPr fontId="1" type="noConversion"/>
  </si>
  <si>
    <t>V</t>
    <phoneticPr fontId="1" type="noConversion"/>
  </si>
  <si>
    <t>Z2</t>
    <phoneticPr fontId="1" type="noConversion"/>
  </si>
  <si>
    <t>λ</t>
    <phoneticPr fontId="1" type="noConversion"/>
  </si>
  <si>
    <t>최소dr0</t>
    <phoneticPr fontId="1" type="noConversion"/>
  </si>
  <si>
    <t>i1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</si>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</sst>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0" xfId="0" applyFill="1">
      <alignment vertical="center"/>
    </xf>
  </cellXfs>
  <cellStyles count="2">
    <cellStyle name="쉼표 [0]" xfId="1" builtinId="6"/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-* #,##0.000_-;\-* #,##0.0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-* #,##0.000_-;\-* #,##0.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602DA-62F1-4EFD-BCE8-54E5C225D723}" name="표2" displayName="표2" ref="A1:C6" totalsRowShown="0">
  <autoFilter ref="A1:C6" xr:uid="{D9E602DA-62F1-4EFD-BCE8-54E5C225D723}"/>
  <tableColumns count="3">
    <tableColumn id="1" xr3:uid="{BCE46365-1725-4E84-8C35-DC8DC5E6A802}" name="항목"/>
    <tableColumn id="2" xr3:uid="{418D947E-DC70-4D7A-A049-32FEC1BF3ACC}" name="값" dataDxfId="1" dataCellStyle="쉼표 [0]"/>
    <tableColumn id="3" xr3:uid="{FE06F8B0-EC86-4ACC-928D-9B568C60D353}" name="단위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089A83-1BDD-4FDB-99AB-D6CDADEEC3EF}" name="표3" displayName="표3" ref="A8:C10" totalsRowShown="0">
  <autoFilter ref="A8:C10" xr:uid="{63089A83-1BDD-4FDB-99AB-D6CDADEEC3EF}"/>
  <tableColumns count="3">
    <tableColumn id="1" xr3:uid="{1FA3065A-5509-4C01-9F53-42020497BDAD}" name="Motor"/>
    <tableColumn id="2" xr3:uid="{088413BE-8FE9-4A4F-B4BE-927F10807995}" name="값"/>
    <tableColumn id="3" xr3:uid="{4F09B2E1-0F15-4D2A-BC14-BF0B9E56429E}" name="단위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2B64A-2CAF-4BF6-A9D6-00F410CE5B21}" name="표4" displayName="표4" ref="E1:G2" totalsRowShown="0">
  <autoFilter ref="E1:G2" xr:uid="{E282B64A-2CAF-4BF6-A9D6-00F410CE5B21}"/>
  <tableColumns count="3">
    <tableColumn id="1" xr3:uid="{53906620-1828-486A-9391-1FC1BDC1FAAD}" name="Gripper"/>
    <tableColumn id="2" xr3:uid="{DA6FA4E7-76EF-4EAC-A7CA-BDB08406EB0C}" name="값" dataDxfId="0" dataCellStyle="쉼표 [0]"/>
    <tableColumn id="3" xr3:uid="{B7F06604-4381-4AC7-A3A3-8D8B4739F48F}" name="단위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3316-72AA-4AAA-9495-4BB37C213118}">
  <dimension ref="A1:C35"/>
  <sheetViews>
    <sheetView tabSelected="1" workbookViewId="0">
      <selection activeCell="E18" sqref="E18"/>
    </sheetView>
  </sheetViews>
  <sheetFormatPr defaultRowHeight="16.5" x14ac:dyDescent="0.3"/>
  <cols>
    <col min="1" max="1" width="18.875" bestFit="1" customWidth="1"/>
    <col min="2" max="2" width="12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120</v>
      </c>
      <c r="B2">
        <f>설정!J12</f>
        <v>157.36699999999999</v>
      </c>
      <c r="C2" t="s">
        <v>4</v>
      </c>
    </row>
    <row r="3" spans="1:3" x14ac:dyDescent="0.3">
      <c r="A3" t="s">
        <v>121</v>
      </c>
      <c r="B3">
        <f>변경!F8*1000+12.803</f>
        <v>58.802999999999997</v>
      </c>
      <c r="C3" t="s">
        <v>4</v>
      </c>
    </row>
    <row r="4" spans="1:3" x14ac:dyDescent="0.3">
      <c r="A4" t="s">
        <v>122</v>
      </c>
      <c r="B4">
        <f>변경!F9*1000</f>
        <v>35</v>
      </c>
      <c r="C4" t="s">
        <v>4</v>
      </c>
    </row>
    <row r="5" spans="1:3" x14ac:dyDescent="0.3">
      <c r="A5" t="s">
        <v>123</v>
      </c>
      <c r="B5">
        <f>변경!F10*1000</f>
        <v>10</v>
      </c>
      <c r="C5" t="s">
        <v>4</v>
      </c>
    </row>
    <row r="6" spans="1:3" x14ac:dyDescent="0.3">
      <c r="A6" t="s">
        <v>124</v>
      </c>
      <c r="B6" s="6">
        <f>ROUNDUP(계산!B30*1000,0)</f>
        <v>19</v>
      </c>
      <c r="C6" t="s">
        <v>4</v>
      </c>
    </row>
    <row r="7" spans="1:3" x14ac:dyDescent="0.3">
      <c r="A7" t="s">
        <v>13</v>
      </c>
      <c r="B7">
        <f>변경!F15</f>
        <v>2</v>
      </c>
    </row>
    <row r="8" spans="1:3" x14ac:dyDescent="0.3">
      <c r="A8" t="s">
        <v>125</v>
      </c>
      <c r="B8">
        <f>설정!J24</f>
        <v>20</v>
      </c>
      <c r="C8" t="s">
        <v>54</v>
      </c>
    </row>
    <row r="9" spans="1:3" x14ac:dyDescent="0.3">
      <c r="A9" t="s">
        <v>12</v>
      </c>
      <c r="B9">
        <f>계산!B46</f>
        <v>79</v>
      </c>
    </row>
    <row r="10" spans="1:3" x14ac:dyDescent="0.3">
      <c r="A10" t="s">
        <v>14</v>
      </c>
      <c r="B10">
        <f>계산!B47</f>
        <v>6.9013924976100682</v>
      </c>
      <c r="C10" t="s">
        <v>4</v>
      </c>
    </row>
    <row r="11" spans="1:3" x14ac:dyDescent="0.3">
      <c r="A11" t="s">
        <v>126</v>
      </c>
      <c r="B11">
        <f>변경!F20*1000</f>
        <v>23.5</v>
      </c>
      <c r="C11" t="s">
        <v>4</v>
      </c>
    </row>
    <row r="12" spans="1:3" x14ac:dyDescent="0.3">
      <c r="A12" t="s">
        <v>127</v>
      </c>
      <c r="B12">
        <f>설정!J37*1000</f>
        <v>30</v>
      </c>
      <c r="C12" t="s">
        <v>4</v>
      </c>
    </row>
    <row r="13" spans="1:3" x14ac:dyDescent="0.3">
      <c r="A13" t="s">
        <v>128</v>
      </c>
      <c r="B13">
        <f>변경!F21*1000</f>
        <v>50</v>
      </c>
      <c r="C13" t="s">
        <v>4</v>
      </c>
    </row>
    <row r="14" spans="1:3" x14ac:dyDescent="0.3">
      <c r="A14" t="s">
        <v>130</v>
      </c>
      <c r="B14">
        <f>설정!N12</f>
        <v>157.36699999999999</v>
      </c>
    </row>
    <row r="15" spans="1:3" x14ac:dyDescent="0.3">
      <c r="A15" t="s">
        <v>131</v>
      </c>
      <c r="B15">
        <f>변경!J8*1000</f>
        <v>16</v>
      </c>
      <c r="C15" t="s">
        <v>4</v>
      </c>
    </row>
    <row r="16" spans="1:3" x14ac:dyDescent="0.3">
      <c r="A16" t="s">
        <v>132</v>
      </c>
      <c r="B16">
        <f>변경!J9*1000</f>
        <v>10</v>
      </c>
    </row>
    <row r="17" spans="1:3" x14ac:dyDescent="0.3">
      <c r="A17" t="s">
        <v>133</v>
      </c>
      <c r="B17" s="6">
        <f>ROUNDUP(계산!F30*1000,0)</f>
        <v>19</v>
      </c>
      <c r="C17" t="s">
        <v>4</v>
      </c>
    </row>
    <row r="18" spans="1:3" x14ac:dyDescent="0.3">
      <c r="A18" t="s">
        <v>142</v>
      </c>
      <c r="B18">
        <f>변경!J16</f>
        <v>1.5</v>
      </c>
    </row>
    <row r="19" spans="1:3" x14ac:dyDescent="0.3">
      <c r="A19" t="s">
        <v>141</v>
      </c>
      <c r="B19">
        <f>설정!N24</f>
        <v>20</v>
      </c>
      <c r="C19" t="s">
        <v>54</v>
      </c>
    </row>
    <row r="20" spans="1:3" x14ac:dyDescent="0.3">
      <c r="A20" t="s">
        <v>147</v>
      </c>
      <c r="B20">
        <f>계산!F39</f>
        <v>4</v>
      </c>
    </row>
    <row r="21" spans="1:3" x14ac:dyDescent="0.3">
      <c r="A21" t="s">
        <v>140</v>
      </c>
      <c r="B21">
        <f>변경!J15</f>
        <v>18</v>
      </c>
    </row>
    <row r="22" spans="1:3" x14ac:dyDescent="0.3">
      <c r="A22" t="s">
        <v>139</v>
      </c>
      <c r="B22">
        <f>ROUNDUP(계산!F56,0)</f>
        <v>17</v>
      </c>
      <c r="C22" t="s">
        <v>4</v>
      </c>
    </row>
    <row r="23" spans="1:3" x14ac:dyDescent="0.3">
      <c r="A23" t="s">
        <v>143</v>
      </c>
      <c r="B23">
        <f>계산!F40</f>
        <v>36</v>
      </c>
    </row>
    <row r="24" spans="1:3" x14ac:dyDescent="0.3">
      <c r="A24" t="s">
        <v>144</v>
      </c>
      <c r="B24">
        <f>ROUNDUP(계산!F56,0)</f>
        <v>17</v>
      </c>
      <c r="C24" t="s">
        <v>4</v>
      </c>
    </row>
    <row r="25" spans="1:3" x14ac:dyDescent="0.3">
      <c r="A25" t="s">
        <v>145</v>
      </c>
      <c r="B25">
        <f>계산!F38</f>
        <v>90</v>
      </c>
    </row>
    <row r="26" spans="1:3" x14ac:dyDescent="0.3">
      <c r="A26" t="s">
        <v>146</v>
      </c>
      <c r="B26">
        <f>ROUNDUP(계산!F72,0)</f>
        <v>9</v>
      </c>
      <c r="C26" t="s">
        <v>4</v>
      </c>
    </row>
    <row r="27" spans="1:3" x14ac:dyDescent="0.3">
      <c r="A27" t="s">
        <v>138</v>
      </c>
      <c r="B27">
        <f>변경!J22*1000</f>
        <v>10</v>
      </c>
      <c r="C27" t="s">
        <v>4</v>
      </c>
    </row>
    <row r="28" spans="1:3" x14ac:dyDescent="0.3">
      <c r="A28" t="s">
        <v>148</v>
      </c>
      <c r="B28" s="6">
        <f>ROUNDUP(계산!F85*1000,0)</f>
        <v>29</v>
      </c>
      <c r="C28" t="s">
        <v>4</v>
      </c>
    </row>
    <row r="29" spans="1:3" x14ac:dyDescent="0.3">
      <c r="A29" t="s">
        <v>134</v>
      </c>
      <c r="B29">
        <f>변경!J27</f>
        <v>5.5</v>
      </c>
    </row>
    <row r="30" spans="1:3" x14ac:dyDescent="0.3">
      <c r="A30" t="s">
        <v>135</v>
      </c>
      <c r="B30">
        <f>설정!N42</f>
        <v>20</v>
      </c>
      <c r="C30" t="s">
        <v>54</v>
      </c>
    </row>
    <row r="31" spans="1:3" x14ac:dyDescent="0.3">
      <c r="A31" t="s">
        <v>136</v>
      </c>
      <c r="B31">
        <f>계산!F101</f>
        <v>28</v>
      </c>
    </row>
    <row r="32" spans="1:3" x14ac:dyDescent="0.3">
      <c r="A32" t="s">
        <v>137</v>
      </c>
      <c r="B32">
        <f>계산!F102</f>
        <v>13.65956918244126</v>
      </c>
      <c r="C32" t="s">
        <v>4</v>
      </c>
    </row>
    <row r="33" spans="1:3" x14ac:dyDescent="0.3">
      <c r="A33" t="s">
        <v>149</v>
      </c>
      <c r="B33">
        <f>변경!J32*1000</f>
        <v>23.5</v>
      </c>
      <c r="C33" t="s">
        <v>4</v>
      </c>
    </row>
    <row r="34" spans="1:3" x14ac:dyDescent="0.3">
      <c r="A34" t="s">
        <v>150</v>
      </c>
      <c r="B34">
        <f>설정!N55*1000</f>
        <v>30</v>
      </c>
      <c r="C34" t="s">
        <v>4</v>
      </c>
    </row>
    <row r="35" spans="1:3" x14ac:dyDescent="0.3">
      <c r="A35" t="s">
        <v>151</v>
      </c>
      <c r="B35">
        <f>변경!J33*1000</f>
        <v>50</v>
      </c>
      <c r="C3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C9C2-75C5-491A-9591-EC2E102B5571}">
  <dimension ref="A1:N34"/>
  <sheetViews>
    <sheetView topLeftCell="D9" workbookViewId="0">
      <selection activeCell="J23" sqref="J23"/>
    </sheetView>
  </sheetViews>
  <sheetFormatPr defaultRowHeight="16.5" x14ac:dyDescent="0.3"/>
  <cols>
    <col min="5" max="5" width="11.375" bestFit="1" customWidth="1"/>
    <col min="9" max="9" width="11.375" bestFit="1" customWidth="1"/>
  </cols>
  <sheetData>
    <row r="1" spans="1:14" x14ac:dyDescent="0.3">
      <c r="A1" t="s">
        <v>117</v>
      </c>
      <c r="E1" t="s">
        <v>118</v>
      </c>
      <c r="I1" t="s">
        <v>119</v>
      </c>
    </row>
    <row r="2" spans="1:14" ht="17.25" thickBot="1" x14ac:dyDescent="0.35">
      <c r="A2" s="10" t="s">
        <v>0</v>
      </c>
      <c r="B2" s="10" t="s">
        <v>1</v>
      </c>
      <c r="C2" s="10" t="s">
        <v>2</v>
      </c>
      <c r="E2" s="10" t="s">
        <v>31</v>
      </c>
      <c r="F2" s="10" t="s">
        <v>1</v>
      </c>
      <c r="G2" s="10" t="s">
        <v>2</v>
      </c>
      <c r="I2" s="10" t="s">
        <v>31</v>
      </c>
      <c r="J2" s="10" t="s">
        <v>1</v>
      </c>
      <c r="K2" s="10" t="s">
        <v>2</v>
      </c>
    </row>
    <row r="3" spans="1:14" x14ac:dyDescent="0.3">
      <c r="E3" t="s">
        <v>97</v>
      </c>
      <c r="F3">
        <v>2</v>
      </c>
      <c r="I3" t="s">
        <v>97</v>
      </c>
      <c r="J3">
        <v>2</v>
      </c>
      <c r="M3" t="s">
        <v>11</v>
      </c>
      <c r="N3">
        <v>210</v>
      </c>
    </row>
    <row r="4" spans="1:14" x14ac:dyDescent="0.3">
      <c r="M4" t="s">
        <v>156</v>
      </c>
      <c r="N4">
        <v>4</v>
      </c>
    </row>
    <row r="5" spans="1:14" x14ac:dyDescent="0.3">
      <c r="M5" t="s">
        <v>157</v>
      </c>
      <c r="N5">
        <v>4</v>
      </c>
    </row>
    <row r="6" spans="1:14" x14ac:dyDescent="0.3">
      <c r="M6" t="s">
        <v>11</v>
      </c>
      <c r="N6">
        <f>N3/(N5*N4)</f>
        <v>13.125</v>
      </c>
    </row>
    <row r="7" spans="1:14" ht="17.25" thickBot="1" x14ac:dyDescent="0.35">
      <c r="E7" s="10" t="s">
        <v>56</v>
      </c>
      <c r="F7" s="10" t="s">
        <v>1</v>
      </c>
      <c r="G7" s="10" t="s">
        <v>2</v>
      </c>
      <c r="I7" s="10" t="s">
        <v>56</v>
      </c>
      <c r="J7" s="10" t="s">
        <v>1</v>
      </c>
      <c r="K7" s="10" t="s">
        <v>2</v>
      </c>
      <c r="M7" s="12" t="s">
        <v>152</v>
      </c>
      <c r="N7">
        <f>0.15*N6*2*PI()/60</f>
        <v>0.20616701789183017</v>
      </c>
    </row>
    <row r="8" spans="1:14" x14ac:dyDescent="0.3">
      <c r="E8" t="s">
        <v>27</v>
      </c>
      <c r="F8">
        <v>4.5999999999999999E-2</v>
      </c>
      <c r="G8" t="s">
        <v>74</v>
      </c>
      <c r="I8" t="s">
        <v>27</v>
      </c>
      <c r="J8">
        <v>1.6E-2</v>
      </c>
      <c r="K8" t="s">
        <v>74</v>
      </c>
    </row>
    <row r="9" spans="1:14" x14ac:dyDescent="0.3">
      <c r="E9" t="s">
        <v>65</v>
      </c>
      <c r="F9">
        <v>3.5000000000000003E-2</v>
      </c>
      <c r="G9" t="s">
        <v>74</v>
      </c>
      <c r="I9" t="s">
        <v>65</v>
      </c>
      <c r="J9">
        <v>0.01</v>
      </c>
      <c r="K9" t="s">
        <v>74</v>
      </c>
    </row>
    <row r="10" spans="1:14" x14ac:dyDescent="0.3">
      <c r="E10" t="s">
        <v>66</v>
      </c>
      <c r="F10">
        <v>0.01</v>
      </c>
      <c r="G10" t="s">
        <v>74</v>
      </c>
    </row>
    <row r="13" spans="1:14" ht="17.25" thickBot="1" x14ac:dyDescent="0.35">
      <c r="I13" s="10" t="s">
        <v>95</v>
      </c>
      <c r="J13" s="10" t="s">
        <v>1</v>
      </c>
      <c r="K13" s="10" t="s">
        <v>2</v>
      </c>
      <c r="N13">
        <v>20</v>
      </c>
    </row>
    <row r="14" spans="1:14" ht="17.25" thickBot="1" x14ac:dyDescent="0.35">
      <c r="E14" s="10" t="s">
        <v>30</v>
      </c>
      <c r="F14" s="10" t="s">
        <v>1</v>
      </c>
      <c r="G14" s="10" t="s">
        <v>2</v>
      </c>
      <c r="I14" t="s">
        <v>96</v>
      </c>
      <c r="J14">
        <v>6</v>
      </c>
      <c r="M14" t="s">
        <v>101</v>
      </c>
      <c r="N14">
        <f>2/(SIN(RADIANS(N13))^2)</f>
        <v>17.097264340826062</v>
      </c>
    </row>
    <row r="15" spans="1:14" x14ac:dyDescent="0.3">
      <c r="E15" t="s">
        <v>74</v>
      </c>
      <c r="F15">
        <v>2</v>
      </c>
      <c r="I15" t="s">
        <v>98</v>
      </c>
      <c r="J15">
        <v>18</v>
      </c>
    </row>
    <row r="16" spans="1:14" x14ac:dyDescent="0.3">
      <c r="I16" t="s">
        <v>73</v>
      </c>
      <c r="J16">
        <v>1.5</v>
      </c>
    </row>
    <row r="17" spans="5:11" x14ac:dyDescent="0.3">
      <c r="I17" t="s">
        <v>102</v>
      </c>
      <c r="J17">
        <v>27</v>
      </c>
    </row>
    <row r="18" spans="5:11" x14ac:dyDescent="0.3">
      <c r="I18" s="7" t="s">
        <v>155</v>
      </c>
      <c r="J18">
        <f>J16*계산!F38</f>
        <v>135</v>
      </c>
      <c r="K18" t="s">
        <v>4</v>
      </c>
    </row>
    <row r="19" spans="5:11" ht="17.25" thickBot="1" x14ac:dyDescent="0.35">
      <c r="E19" s="10" t="s">
        <v>113</v>
      </c>
      <c r="F19" s="10" t="s">
        <v>1</v>
      </c>
      <c r="G19" s="10" t="s">
        <v>2</v>
      </c>
    </row>
    <row r="20" spans="5:11" x14ac:dyDescent="0.3">
      <c r="E20" t="s">
        <v>27</v>
      </c>
      <c r="F20">
        <v>2.35E-2</v>
      </c>
      <c r="G20" t="s">
        <v>74</v>
      </c>
    </row>
    <row r="21" spans="5:11" ht="17.25" thickBot="1" x14ac:dyDescent="0.35">
      <c r="E21" t="s">
        <v>89</v>
      </c>
      <c r="F21">
        <v>0.05</v>
      </c>
      <c r="G21" t="s">
        <v>74</v>
      </c>
      <c r="I21" s="10" t="s">
        <v>113</v>
      </c>
      <c r="J21" s="10" t="s">
        <v>1</v>
      </c>
      <c r="K21" s="10" t="s">
        <v>2</v>
      </c>
    </row>
    <row r="22" spans="5:11" x14ac:dyDescent="0.3">
      <c r="E22" s="7" t="s">
        <v>129</v>
      </c>
      <c r="F22">
        <f>계산!B66</f>
        <v>1.6747901718298187E-2</v>
      </c>
      <c r="G22" t="s">
        <v>74</v>
      </c>
      <c r="I22" t="s">
        <v>57</v>
      </c>
      <c r="J22">
        <v>0.01</v>
      </c>
      <c r="K22" t="s">
        <v>74</v>
      </c>
    </row>
    <row r="26" spans="5:11" ht="17.25" thickBot="1" x14ac:dyDescent="0.35">
      <c r="I26" s="10" t="s">
        <v>30</v>
      </c>
      <c r="J26" s="10" t="s">
        <v>1</v>
      </c>
      <c r="K26" s="10" t="s">
        <v>2</v>
      </c>
    </row>
    <row r="27" spans="5:11" x14ac:dyDescent="0.3">
      <c r="I27" t="s">
        <v>74</v>
      </c>
      <c r="J27">
        <v>5.5</v>
      </c>
    </row>
    <row r="31" spans="5:11" ht="17.25" thickBot="1" x14ac:dyDescent="0.35">
      <c r="I31" s="10" t="s">
        <v>114</v>
      </c>
      <c r="J31" s="10" t="s">
        <v>1</v>
      </c>
      <c r="K31" s="10" t="s">
        <v>2</v>
      </c>
    </row>
    <row r="32" spans="5:11" x14ac:dyDescent="0.3">
      <c r="I32" t="s">
        <v>27</v>
      </c>
      <c r="J32">
        <v>2.35E-2</v>
      </c>
      <c r="K32" t="s">
        <v>74</v>
      </c>
    </row>
    <row r="33" spans="9:11" x14ac:dyDescent="0.3">
      <c r="I33" t="s">
        <v>89</v>
      </c>
      <c r="J33">
        <v>0.05</v>
      </c>
      <c r="K33" t="s">
        <v>74</v>
      </c>
    </row>
    <row r="34" spans="9:11" x14ac:dyDescent="0.3">
      <c r="I34" s="7" t="s">
        <v>129</v>
      </c>
      <c r="J34">
        <f>계산!F121</f>
        <v>2.9006800866157166E-2</v>
      </c>
      <c r="K34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FC2C-1AEF-4AF9-844C-D0988AC2891D}">
  <dimension ref="A1:O55"/>
  <sheetViews>
    <sheetView workbookViewId="0">
      <selection activeCell="M65" sqref="M65"/>
    </sheetView>
  </sheetViews>
  <sheetFormatPr defaultRowHeight="16.5" x14ac:dyDescent="0.3"/>
  <cols>
    <col min="1" max="1" width="14.75" bestFit="1" customWidth="1"/>
    <col min="2" max="2" width="15.625" style="2" bestFit="1" customWidth="1"/>
    <col min="9" max="9" width="13.75" bestFit="1" customWidth="1"/>
    <col min="13" max="13" width="20.75" bestFit="1" customWidth="1"/>
    <col min="14" max="14" width="9.5" bestFit="1" customWidth="1"/>
  </cols>
  <sheetData>
    <row r="1" spans="1:15" ht="17.25" thickBot="1" x14ac:dyDescent="0.35">
      <c r="A1" t="s">
        <v>0</v>
      </c>
      <c r="B1" t="s">
        <v>1</v>
      </c>
      <c r="C1" t="s">
        <v>2</v>
      </c>
      <c r="E1" t="s">
        <v>26</v>
      </c>
      <c r="F1" t="s">
        <v>1</v>
      </c>
      <c r="G1" t="s">
        <v>2</v>
      </c>
      <c r="I1" s="11" t="s">
        <v>118</v>
      </c>
      <c r="J1" s="11" t="s">
        <v>1</v>
      </c>
      <c r="K1" s="11" t="s">
        <v>2</v>
      </c>
      <c r="M1" s="11" t="s">
        <v>119</v>
      </c>
      <c r="N1" s="11" t="s">
        <v>1</v>
      </c>
      <c r="O1" s="11" t="s">
        <v>2</v>
      </c>
    </row>
    <row r="2" spans="1:15" x14ac:dyDescent="0.3">
      <c r="A2" t="s">
        <v>3</v>
      </c>
      <c r="B2" s="2">
        <v>600</v>
      </c>
      <c r="C2" t="s">
        <v>4</v>
      </c>
      <c r="E2" t="s">
        <v>27</v>
      </c>
      <c r="F2" s="2">
        <v>150</v>
      </c>
      <c r="G2" t="s">
        <v>4</v>
      </c>
      <c r="I2" t="s">
        <v>28</v>
      </c>
      <c r="J2" s="3">
        <f>3*9.81</f>
        <v>29.43</v>
      </c>
      <c r="K2" t="s">
        <v>11</v>
      </c>
      <c r="M2" t="s">
        <v>28</v>
      </c>
      <c r="N2" s="3">
        <f>(3+18.657)*9.81</f>
        <v>212.45517000000001</v>
      </c>
      <c r="O2" t="s">
        <v>11</v>
      </c>
    </row>
    <row r="3" spans="1:15" x14ac:dyDescent="0.3">
      <c r="A3" t="s">
        <v>5</v>
      </c>
      <c r="B3" s="2">
        <v>2</v>
      </c>
      <c r="C3" t="s">
        <v>6</v>
      </c>
      <c r="F3" s="2"/>
      <c r="I3" t="s">
        <v>29</v>
      </c>
      <c r="J3" s="3">
        <f>3*9.81</f>
        <v>29.43</v>
      </c>
      <c r="K3" t="s">
        <v>11</v>
      </c>
      <c r="M3" t="s">
        <v>29</v>
      </c>
      <c r="N3" s="3">
        <f>(3+18.657)*9.81</f>
        <v>212.45517000000001</v>
      </c>
      <c r="O3" t="s">
        <v>11</v>
      </c>
    </row>
    <row r="4" spans="1:15" x14ac:dyDescent="0.3">
      <c r="A4" t="s">
        <v>7</v>
      </c>
      <c r="B4" s="2">
        <v>300</v>
      </c>
      <c r="C4" t="s">
        <v>4</v>
      </c>
    </row>
    <row r="5" spans="1:15" x14ac:dyDescent="0.3">
      <c r="A5" t="s">
        <v>8</v>
      </c>
      <c r="B5" s="2">
        <v>300</v>
      </c>
      <c r="C5" t="s">
        <v>4</v>
      </c>
    </row>
    <row r="6" spans="1:15" x14ac:dyDescent="0.3">
      <c r="A6" t="s">
        <v>15</v>
      </c>
      <c r="B6" s="2">
        <v>2</v>
      </c>
    </row>
    <row r="7" spans="1:15" ht="17.25" thickBot="1" x14ac:dyDescent="0.35">
      <c r="I7" s="11" t="s">
        <v>31</v>
      </c>
      <c r="J7" s="11" t="s">
        <v>1</v>
      </c>
      <c r="K7" s="11" t="s">
        <v>2</v>
      </c>
      <c r="M7" s="11" t="s">
        <v>31</v>
      </c>
      <c r="N7" s="11" t="s">
        <v>1</v>
      </c>
      <c r="O7" s="11" t="s">
        <v>2</v>
      </c>
    </row>
    <row r="8" spans="1:15" x14ac:dyDescent="0.3">
      <c r="A8" t="s">
        <v>17</v>
      </c>
      <c r="B8" t="s">
        <v>1</v>
      </c>
      <c r="C8" t="s">
        <v>2</v>
      </c>
      <c r="I8" t="s">
        <v>32</v>
      </c>
      <c r="J8">
        <v>0.85</v>
      </c>
      <c r="K8" s="3"/>
      <c r="M8" t="s">
        <v>32</v>
      </c>
      <c r="N8">
        <v>0.85</v>
      </c>
      <c r="O8" s="3"/>
    </row>
    <row r="9" spans="1:15" x14ac:dyDescent="0.3">
      <c r="A9" t="s">
        <v>20</v>
      </c>
      <c r="B9" s="2">
        <v>5.0599999999999996</v>
      </c>
      <c r="C9" t="s">
        <v>9</v>
      </c>
      <c r="I9" t="s">
        <v>34</v>
      </c>
      <c r="J9">
        <v>24</v>
      </c>
      <c r="K9" s="3"/>
      <c r="M9" t="s">
        <v>34</v>
      </c>
      <c r="N9">
        <v>24</v>
      </c>
      <c r="O9" s="3"/>
    </row>
    <row r="10" spans="1:15" x14ac:dyDescent="0.3">
      <c r="A10" t="s">
        <v>19</v>
      </c>
      <c r="B10">
        <v>280</v>
      </c>
      <c r="C10" t="s">
        <v>18</v>
      </c>
      <c r="I10" t="s">
        <v>153</v>
      </c>
      <c r="J10">
        <v>48</v>
      </c>
      <c r="K10" s="3"/>
      <c r="M10" t="s">
        <v>153</v>
      </c>
      <c r="N10">
        <v>48</v>
      </c>
    </row>
    <row r="11" spans="1:15" x14ac:dyDescent="0.3">
      <c r="B11"/>
      <c r="I11" t="s">
        <v>36</v>
      </c>
      <c r="J11">
        <v>8</v>
      </c>
      <c r="K11" t="s">
        <v>4</v>
      </c>
      <c r="M11" t="s">
        <v>36</v>
      </c>
      <c r="N11">
        <v>8</v>
      </c>
      <c r="O11" t="s">
        <v>4</v>
      </c>
    </row>
    <row r="12" spans="1:15" x14ac:dyDescent="0.3">
      <c r="B12"/>
      <c r="I12" t="s">
        <v>33</v>
      </c>
      <c r="J12">
        <v>157.36699999999999</v>
      </c>
      <c r="K12" t="s">
        <v>4</v>
      </c>
      <c r="M12" t="s">
        <v>33</v>
      </c>
      <c r="N12">
        <v>157.36699999999999</v>
      </c>
      <c r="O12" t="s">
        <v>4</v>
      </c>
    </row>
    <row r="13" spans="1:15" x14ac:dyDescent="0.3">
      <c r="B13"/>
      <c r="I13" t="s">
        <v>68</v>
      </c>
      <c r="J13">
        <v>0.42</v>
      </c>
      <c r="K13" t="s">
        <v>6</v>
      </c>
      <c r="M13" t="s">
        <v>68</v>
      </c>
      <c r="O13" t="s">
        <v>6</v>
      </c>
    </row>
    <row r="14" spans="1:15" x14ac:dyDescent="0.3">
      <c r="B14"/>
    </row>
    <row r="15" spans="1:15" x14ac:dyDescent="0.3">
      <c r="B15"/>
    </row>
    <row r="16" spans="1:15" x14ac:dyDescent="0.3">
      <c r="B16"/>
    </row>
    <row r="17" spans="2:15" ht="17.25" thickBot="1" x14ac:dyDescent="0.35">
      <c r="B17"/>
      <c r="I17" s="11" t="s">
        <v>56</v>
      </c>
      <c r="J17" s="11" t="s">
        <v>1</v>
      </c>
      <c r="K17" s="11" t="s">
        <v>2</v>
      </c>
      <c r="M17" s="11" t="s">
        <v>56</v>
      </c>
      <c r="N17" s="11" t="s">
        <v>1</v>
      </c>
      <c r="O17" s="11" t="s">
        <v>2</v>
      </c>
    </row>
    <row r="18" spans="2:15" x14ac:dyDescent="0.3">
      <c r="B18"/>
      <c r="I18" t="s">
        <v>69</v>
      </c>
      <c r="J18">
        <v>3</v>
      </c>
      <c r="K18" s="3"/>
      <c r="M18" t="s">
        <v>69</v>
      </c>
      <c r="N18">
        <v>3</v>
      </c>
      <c r="O18" s="3"/>
    </row>
    <row r="19" spans="2:15" x14ac:dyDescent="0.3">
      <c r="B19"/>
      <c r="I19" t="s">
        <v>70</v>
      </c>
      <c r="J19">
        <v>3</v>
      </c>
      <c r="K19" s="3"/>
      <c r="M19" t="s">
        <v>70</v>
      </c>
      <c r="N19">
        <v>3</v>
      </c>
      <c r="O19" s="3"/>
    </row>
    <row r="20" spans="2:15" x14ac:dyDescent="0.3">
      <c r="B20"/>
    </row>
    <row r="21" spans="2:15" x14ac:dyDescent="0.3">
      <c r="B21"/>
    </row>
    <row r="22" spans="2:15" x14ac:dyDescent="0.3">
      <c r="B22"/>
    </row>
    <row r="23" spans="2:15" ht="17.25" thickBot="1" x14ac:dyDescent="0.35">
      <c r="B23"/>
      <c r="I23" s="11" t="s">
        <v>30</v>
      </c>
      <c r="J23" s="11" t="s">
        <v>1</v>
      </c>
      <c r="K23" s="11" t="s">
        <v>2</v>
      </c>
      <c r="M23" s="11" t="s">
        <v>95</v>
      </c>
      <c r="N23" s="11" t="s">
        <v>1</v>
      </c>
      <c r="O23" s="11" t="s">
        <v>2</v>
      </c>
    </row>
    <row r="24" spans="2:15" x14ac:dyDescent="0.3">
      <c r="B24"/>
      <c r="I24" t="s">
        <v>76</v>
      </c>
      <c r="J24">
        <v>20</v>
      </c>
      <c r="K24" t="s">
        <v>54</v>
      </c>
      <c r="M24" t="s">
        <v>76</v>
      </c>
      <c r="N24">
        <v>20</v>
      </c>
      <c r="O24" t="s">
        <v>54</v>
      </c>
    </row>
    <row r="25" spans="2:15" x14ac:dyDescent="0.3">
      <c r="I25" t="s">
        <v>77</v>
      </c>
      <c r="J25">
        <v>160</v>
      </c>
      <c r="K25" t="s">
        <v>4</v>
      </c>
      <c r="M25" t="s">
        <v>84</v>
      </c>
      <c r="N25">
        <v>0.85</v>
      </c>
    </row>
    <row r="26" spans="2:15" x14ac:dyDescent="0.3">
      <c r="I26" t="s">
        <v>79</v>
      </c>
      <c r="J26">
        <v>0.67</v>
      </c>
      <c r="M26" t="s">
        <v>79</v>
      </c>
      <c r="N26">
        <v>0.67</v>
      </c>
    </row>
    <row r="27" spans="2:15" x14ac:dyDescent="0.3">
      <c r="I27" t="s">
        <v>81</v>
      </c>
      <c r="J27">
        <v>0.5</v>
      </c>
      <c r="M27" t="s">
        <v>103</v>
      </c>
      <c r="N27">
        <f>20*10^6</f>
        <v>20000000</v>
      </c>
      <c r="O27" t="s">
        <v>10</v>
      </c>
    </row>
    <row r="28" spans="2:15" x14ac:dyDescent="0.3">
      <c r="I28" t="s">
        <v>82</v>
      </c>
      <c r="J28">
        <v>0.67600000000000005</v>
      </c>
      <c r="M28" t="s">
        <v>108</v>
      </c>
      <c r="N28">
        <v>0.33500000000000002</v>
      </c>
    </row>
    <row r="29" spans="2:15" x14ac:dyDescent="0.3">
      <c r="I29" t="s">
        <v>83</v>
      </c>
      <c r="J29">
        <v>0.45423999999999998</v>
      </c>
      <c r="M29" t="s">
        <v>109</v>
      </c>
      <c r="N29">
        <v>0.39400000000000002</v>
      </c>
    </row>
    <row r="30" spans="2:15" x14ac:dyDescent="0.3">
      <c r="I30" t="s">
        <v>84</v>
      </c>
      <c r="J30">
        <v>0.9</v>
      </c>
      <c r="M30" t="s">
        <v>111</v>
      </c>
      <c r="N30">
        <v>0.4496</v>
      </c>
    </row>
    <row r="31" spans="2:15" x14ac:dyDescent="0.3">
      <c r="M31" t="s">
        <v>84</v>
      </c>
      <c r="N31">
        <v>0.9</v>
      </c>
    </row>
    <row r="34" spans="9:15" ht="17.25" thickBot="1" x14ac:dyDescent="0.35">
      <c r="I34" s="11" t="s">
        <v>112</v>
      </c>
      <c r="J34" s="11" t="s">
        <v>1</v>
      </c>
      <c r="K34" s="11" t="s">
        <v>2</v>
      </c>
    </row>
    <row r="35" spans="9:15" ht="17.25" thickBot="1" x14ac:dyDescent="0.35">
      <c r="I35" t="s">
        <v>69</v>
      </c>
      <c r="J35">
        <v>3</v>
      </c>
      <c r="M35" s="11" t="s">
        <v>112</v>
      </c>
      <c r="N35" s="11" t="s">
        <v>1</v>
      </c>
      <c r="O35" s="11" t="s">
        <v>2</v>
      </c>
    </row>
    <row r="36" spans="9:15" x14ac:dyDescent="0.3">
      <c r="I36" t="s">
        <v>70</v>
      </c>
      <c r="J36">
        <v>3</v>
      </c>
      <c r="M36" t="s">
        <v>69</v>
      </c>
      <c r="N36">
        <v>3</v>
      </c>
    </row>
    <row r="37" spans="9:15" x14ac:dyDescent="0.3">
      <c r="I37" t="s">
        <v>90</v>
      </c>
      <c r="J37">
        <v>0.03</v>
      </c>
      <c r="K37" t="s">
        <v>74</v>
      </c>
      <c r="M37" t="s">
        <v>70</v>
      </c>
      <c r="N37">
        <v>3</v>
      </c>
    </row>
    <row r="41" spans="9:15" ht="17.25" thickBot="1" x14ac:dyDescent="0.35">
      <c r="M41" s="11" t="s">
        <v>30</v>
      </c>
      <c r="N41" s="11" t="s">
        <v>1</v>
      </c>
      <c r="O41" s="11" t="s">
        <v>2</v>
      </c>
    </row>
    <row r="42" spans="9:15" x14ac:dyDescent="0.3">
      <c r="M42" t="s">
        <v>76</v>
      </c>
      <c r="N42">
        <v>20</v>
      </c>
      <c r="O42" t="s">
        <v>54</v>
      </c>
    </row>
    <row r="43" spans="9:15" x14ac:dyDescent="0.3">
      <c r="M43" t="s">
        <v>77</v>
      </c>
      <c r="N43">
        <v>160</v>
      </c>
      <c r="O43" t="s">
        <v>4</v>
      </c>
    </row>
    <row r="44" spans="9:15" x14ac:dyDescent="0.3">
      <c r="M44" t="s">
        <v>79</v>
      </c>
      <c r="N44">
        <v>0.67</v>
      </c>
    </row>
    <row r="45" spans="9:15" x14ac:dyDescent="0.3">
      <c r="M45" t="s">
        <v>81</v>
      </c>
      <c r="N45">
        <v>0.5</v>
      </c>
    </row>
    <row r="46" spans="9:15" x14ac:dyDescent="0.3">
      <c r="M46" t="s">
        <v>82</v>
      </c>
      <c r="N46">
        <v>0.67600000000000005</v>
      </c>
    </row>
    <row r="47" spans="9:15" x14ac:dyDescent="0.3">
      <c r="M47" t="s">
        <v>83</v>
      </c>
      <c r="N47">
        <v>0.45423999999999998</v>
      </c>
    </row>
    <row r="48" spans="9:15" x14ac:dyDescent="0.3">
      <c r="M48" t="s">
        <v>84</v>
      </c>
      <c r="N48">
        <v>0.9</v>
      </c>
    </row>
    <row r="52" spans="13:15" ht="17.25" thickBot="1" x14ac:dyDescent="0.35">
      <c r="M52" s="11" t="s">
        <v>112</v>
      </c>
      <c r="N52" s="11" t="s">
        <v>1</v>
      </c>
      <c r="O52" s="11" t="s">
        <v>2</v>
      </c>
    </row>
    <row r="53" spans="13:15" x14ac:dyDescent="0.3">
      <c r="M53" t="s">
        <v>69</v>
      </c>
      <c r="N53">
        <v>3</v>
      </c>
    </row>
    <row r="54" spans="13:15" x14ac:dyDescent="0.3">
      <c r="M54" t="s">
        <v>70</v>
      </c>
      <c r="N54">
        <v>3</v>
      </c>
    </row>
    <row r="55" spans="13:15" x14ac:dyDescent="0.3">
      <c r="M55" t="s">
        <v>90</v>
      </c>
      <c r="N55">
        <v>0.03</v>
      </c>
      <c r="O55" t="s">
        <v>74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A28-AD3B-474D-9824-CC93CCA91A5F}">
  <dimension ref="A1:G126"/>
  <sheetViews>
    <sheetView topLeftCell="A21" zoomScaleNormal="100" workbookViewId="0">
      <selection activeCell="B30" sqref="B30"/>
    </sheetView>
  </sheetViews>
  <sheetFormatPr defaultRowHeight="16.5" x14ac:dyDescent="0.3"/>
  <cols>
    <col min="1" max="1" width="16.125" bestFit="1" customWidth="1"/>
    <col min="2" max="2" width="15.625" bestFit="1" customWidth="1"/>
    <col min="5" max="5" width="16.125" bestFit="1" customWidth="1"/>
    <col min="6" max="6" width="15.625" customWidth="1"/>
  </cols>
  <sheetData>
    <row r="1" spans="1:7" x14ac:dyDescent="0.3">
      <c r="A1" t="s">
        <v>118</v>
      </c>
      <c r="E1" t="s">
        <v>119</v>
      </c>
    </row>
    <row r="2" spans="1:7" ht="17.25" thickBot="1" x14ac:dyDescent="0.35">
      <c r="A2" s="4" t="s">
        <v>31</v>
      </c>
      <c r="B2" s="4" t="s">
        <v>1</v>
      </c>
      <c r="C2" s="4" t="s">
        <v>2</v>
      </c>
      <c r="E2" s="4" t="s">
        <v>31</v>
      </c>
      <c r="F2" s="4" t="s">
        <v>1</v>
      </c>
      <c r="G2" s="4" t="s">
        <v>2</v>
      </c>
    </row>
    <row r="3" spans="1:7" x14ac:dyDescent="0.3">
      <c r="A3" s="8" t="s">
        <v>58</v>
      </c>
      <c r="B3">
        <f>설정!B9</f>
        <v>5.0599999999999996</v>
      </c>
      <c r="C3" t="s">
        <v>9</v>
      </c>
      <c r="E3" s="8" t="s">
        <v>58</v>
      </c>
      <c r="F3">
        <f>설정!$B$9</f>
        <v>5.0599999999999996</v>
      </c>
      <c r="G3" t="s">
        <v>9</v>
      </c>
    </row>
    <row r="4" spans="1:7" x14ac:dyDescent="0.3">
      <c r="A4" s="8" t="s">
        <v>11</v>
      </c>
      <c r="B4">
        <f>설정!B10/4</f>
        <v>70</v>
      </c>
      <c r="C4" t="s">
        <v>18</v>
      </c>
      <c r="E4" s="8" t="s">
        <v>11</v>
      </c>
      <c r="F4">
        <f>설정!B10</f>
        <v>280</v>
      </c>
      <c r="G4" t="s">
        <v>18</v>
      </c>
    </row>
    <row r="5" spans="1:7" x14ac:dyDescent="0.3">
      <c r="A5" s="8" t="s">
        <v>74</v>
      </c>
      <c r="B5">
        <f>설정!J11/PI()</f>
        <v>2.5464790894703255</v>
      </c>
      <c r="E5" s="8" t="s">
        <v>74</v>
      </c>
      <c r="F5">
        <f>설정!N11/PI()</f>
        <v>2.5464790894703255</v>
      </c>
    </row>
    <row r="6" spans="1:7" x14ac:dyDescent="0.3">
      <c r="A6" s="8" t="s">
        <v>43</v>
      </c>
      <c r="B6">
        <f>설정!J9*B5</f>
        <v>61.115498147287809</v>
      </c>
      <c r="C6" t="s">
        <v>4</v>
      </c>
      <c r="E6" s="8" t="s">
        <v>43</v>
      </c>
      <c r="F6">
        <f>설정!N9*F5</f>
        <v>61.115498147287809</v>
      </c>
      <c r="G6" t="s">
        <v>4</v>
      </c>
    </row>
    <row r="7" spans="1:7" x14ac:dyDescent="0.3">
      <c r="A7" s="8" t="s">
        <v>42</v>
      </c>
      <c r="B7">
        <f>설정!J10*B5</f>
        <v>122.23099629457562</v>
      </c>
      <c r="C7" t="s">
        <v>4</v>
      </c>
      <c r="E7" s="8" t="s">
        <v>42</v>
      </c>
      <c r="F7">
        <f>설정!N10*F5</f>
        <v>122.23099629457562</v>
      </c>
      <c r="G7" t="s">
        <v>4</v>
      </c>
    </row>
    <row r="8" spans="1:7" x14ac:dyDescent="0.3">
      <c r="A8" s="8" t="s">
        <v>44</v>
      </c>
      <c r="B8">
        <f>B7+2*B5</f>
        <v>127.32395447351627</v>
      </c>
      <c r="C8" t="s">
        <v>4</v>
      </c>
      <c r="E8" s="8" t="s">
        <v>44</v>
      </c>
      <c r="F8">
        <f>F7+2*F5</f>
        <v>127.32395447351627</v>
      </c>
      <c r="G8" t="s">
        <v>4</v>
      </c>
    </row>
    <row r="9" spans="1:7" x14ac:dyDescent="0.3">
      <c r="A9" s="8" t="s">
        <v>35</v>
      </c>
      <c r="B9">
        <f>ROUNDUP((2*설정!J12+(B7+B6)/2+(B7-B6)^2/4/설정!J12)/설정!J11,0)</f>
        <v>52</v>
      </c>
      <c r="E9" s="8" t="s">
        <v>35</v>
      </c>
      <c r="F9">
        <f>ROUNDUP((2*설정!N12+(F7+F6)/2+(F7-F6)^2/4/설정!N12)/설정!N11,0)</f>
        <v>52</v>
      </c>
    </row>
    <row r="10" spans="1:7" x14ac:dyDescent="0.3">
      <c r="A10" s="8" t="s">
        <v>27</v>
      </c>
      <c r="B10">
        <f>EVEN(B9)*설정!J11</f>
        <v>416</v>
      </c>
      <c r="C10" t="s">
        <v>4</v>
      </c>
      <c r="E10" s="8" t="s">
        <v>27</v>
      </c>
      <c r="F10">
        <f>EVEN(F9)*설정!N11</f>
        <v>416</v>
      </c>
      <c r="G10" t="s">
        <v>4</v>
      </c>
    </row>
    <row r="11" spans="1:7" x14ac:dyDescent="0.3">
      <c r="A11" s="8" t="s">
        <v>47</v>
      </c>
      <c r="B11">
        <f>PI()-2*ASIN((B8-B6)/(2*설정!J12))</f>
        <v>2.7176997051823091</v>
      </c>
      <c r="C11" t="s">
        <v>48</v>
      </c>
      <c r="E11" s="8" t="s">
        <v>47</v>
      </c>
      <c r="F11">
        <f>PI()-2*ASIN((F8-F6)/(2*설정!N12))</f>
        <v>2.7176997051823091</v>
      </c>
      <c r="G11" t="s">
        <v>48</v>
      </c>
    </row>
    <row r="12" spans="1:7" x14ac:dyDescent="0.3">
      <c r="A12" s="8" t="s">
        <v>40</v>
      </c>
      <c r="B12">
        <f>설정!B9/(B6/2000)</f>
        <v>165.58811278296199</v>
      </c>
      <c r="C12" t="s">
        <v>9</v>
      </c>
      <c r="E12" s="8" t="s">
        <v>40</v>
      </c>
      <c r="F12">
        <f>설정!B9/(F6/2000)</f>
        <v>165.58811278296199</v>
      </c>
      <c r="G12" t="s">
        <v>9</v>
      </c>
    </row>
    <row r="13" spans="1:7" x14ac:dyDescent="0.3">
      <c r="A13" s="8" t="s">
        <v>46</v>
      </c>
      <c r="B13">
        <f>EXP(소재!D10*B11)</f>
        <v>5.1070391986423207</v>
      </c>
      <c r="E13" s="8" t="s">
        <v>46</v>
      </c>
      <c r="F13">
        <f>EXP(소재!D10*F11)</f>
        <v>5.1070391986423207</v>
      </c>
    </row>
    <row r="14" spans="1:7" x14ac:dyDescent="0.3">
      <c r="A14" s="8" t="s">
        <v>115</v>
      </c>
      <c r="B14">
        <f>(B12*B13)/(B13-1)</f>
        <v>205.9062360766722</v>
      </c>
      <c r="C14" t="s">
        <v>9</v>
      </c>
      <c r="E14" s="8" t="s">
        <v>115</v>
      </c>
      <c r="F14">
        <f>(F12*F13)/(F13-1)</f>
        <v>205.9062360766722</v>
      </c>
      <c r="G14" t="s">
        <v>9</v>
      </c>
    </row>
    <row r="15" spans="1:7" x14ac:dyDescent="0.3">
      <c r="A15" s="8" t="s">
        <v>116</v>
      </c>
      <c r="B15">
        <f>B14*(1/B13)</f>
        <v>40.318123293710237</v>
      </c>
      <c r="C15" t="s">
        <v>9</v>
      </c>
      <c r="E15" s="8" t="s">
        <v>116</v>
      </c>
      <c r="F15">
        <f>F14*(1/F13)</f>
        <v>40.318123293710237</v>
      </c>
      <c r="G15" t="s">
        <v>9</v>
      </c>
    </row>
    <row r="16" spans="1:7" x14ac:dyDescent="0.3">
      <c r="A16" s="7" t="s">
        <v>64</v>
      </c>
      <c r="B16">
        <f>B3*변경!F3*설정!J8</f>
        <v>8.6019999999999985</v>
      </c>
      <c r="C16" t="s">
        <v>9</v>
      </c>
      <c r="E16" s="7" t="s">
        <v>64</v>
      </c>
      <c r="F16">
        <f>F3*설정!N8*변경!J3</f>
        <v>8.6019999999999985</v>
      </c>
      <c r="G16" t="s">
        <v>9</v>
      </c>
    </row>
    <row r="17" spans="1:7" x14ac:dyDescent="0.3">
      <c r="A17" s="7" t="s">
        <v>11</v>
      </c>
      <c r="B17">
        <f>B4/변경!F3</f>
        <v>35</v>
      </c>
      <c r="C17" t="s">
        <v>18</v>
      </c>
      <c r="E17" s="7" t="s">
        <v>11</v>
      </c>
      <c r="F17">
        <f>F4/변경!J3</f>
        <v>140</v>
      </c>
      <c r="G17" t="s">
        <v>18</v>
      </c>
    </row>
    <row r="18" spans="1:7" x14ac:dyDescent="0.3">
      <c r="A18" s="7" t="s">
        <v>67</v>
      </c>
      <c r="B18">
        <f>B14*(1+1/B13)+설정!J13*9.81</f>
        <v>250.34455937038243</v>
      </c>
      <c r="C18" t="s">
        <v>11</v>
      </c>
      <c r="E18" s="7" t="s">
        <v>67</v>
      </c>
      <c r="F18">
        <f>F14*(1+1/F13)+설정!N13*9.81</f>
        <v>246.22435937038242</v>
      </c>
      <c r="G18" t="s">
        <v>11</v>
      </c>
    </row>
    <row r="22" spans="1:7" ht="17.25" thickBot="1" x14ac:dyDescent="0.35">
      <c r="A22" s="4" t="s">
        <v>55</v>
      </c>
      <c r="B22" s="4" t="s">
        <v>1</v>
      </c>
      <c r="C22" s="4" t="s">
        <v>2</v>
      </c>
      <c r="E22" s="4" t="s">
        <v>55</v>
      </c>
      <c r="F22" s="4" t="s">
        <v>1</v>
      </c>
      <c r="G22" s="4" t="s">
        <v>2</v>
      </c>
    </row>
    <row r="23" spans="1:7" x14ac:dyDescent="0.3">
      <c r="A23" s="8" t="s">
        <v>58</v>
      </c>
      <c r="B23">
        <f>B16</f>
        <v>8.6019999999999985</v>
      </c>
      <c r="C23" t="s">
        <v>9</v>
      </c>
      <c r="E23" s="8" t="s">
        <v>58</v>
      </c>
      <c r="F23">
        <f>F16</f>
        <v>8.6019999999999985</v>
      </c>
      <c r="G23" t="s">
        <v>9</v>
      </c>
    </row>
    <row r="24" spans="1:7" x14ac:dyDescent="0.3">
      <c r="A24" s="8" t="s">
        <v>59</v>
      </c>
      <c r="B24">
        <f>설정!J2/2*변경!F10/2+B18*(변경!F8-변경!F9)</f>
        <v>2.8273651530742057</v>
      </c>
      <c r="C24" t="s">
        <v>9</v>
      </c>
      <c r="E24" s="8" t="s">
        <v>59</v>
      </c>
      <c r="F24">
        <f>설정!N2/2*변경!J9/2+F17*변경!J8</f>
        <v>2.7711379250000001</v>
      </c>
      <c r="G24" t="s">
        <v>9</v>
      </c>
    </row>
    <row r="25" spans="1:7" x14ac:dyDescent="0.3">
      <c r="A25" s="8" t="s">
        <v>60</v>
      </c>
      <c r="B25">
        <f>B23</f>
        <v>8.6019999999999985</v>
      </c>
      <c r="C25" t="s">
        <v>9</v>
      </c>
      <c r="E25" s="8" t="s">
        <v>60</v>
      </c>
      <c r="F25">
        <f>F23</f>
        <v>8.6019999999999985</v>
      </c>
      <c r="G25" t="s">
        <v>9</v>
      </c>
    </row>
    <row r="26" spans="1:7" x14ac:dyDescent="0.3">
      <c r="A26" s="8" t="s">
        <v>61</v>
      </c>
      <c r="B26">
        <f>1/2*(설정!J18*B24+B27)</f>
        <v>17.823164458782841</v>
      </c>
      <c r="C26" t="s">
        <v>9</v>
      </c>
      <c r="E26" s="8" t="s">
        <v>61</v>
      </c>
      <c r="F26">
        <f>1/2*(설정!N18*F24+F27)</f>
        <v>17.712724781726529</v>
      </c>
      <c r="G26" t="s">
        <v>9</v>
      </c>
    </row>
    <row r="27" spans="1:7" x14ac:dyDescent="0.3">
      <c r="A27" s="8" t="s">
        <v>62</v>
      </c>
      <c r="B27">
        <f>SQRT((설정!J18*B24)^2+(설정!J19*B25)^2)</f>
        <v>27.164233458343062</v>
      </c>
      <c r="C27" t="s">
        <v>9</v>
      </c>
      <c r="E27" s="8" t="s">
        <v>62</v>
      </c>
      <c r="F27">
        <f>SQRT((설정!N18*F24)^2+(설정!N19*F25)^2)</f>
        <v>27.11203578845306</v>
      </c>
      <c r="G27" t="s">
        <v>9</v>
      </c>
    </row>
    <row r="28" spans="1:7" x14ac:dyDescent="0.3">
      <c r="A28" s="9" t="s">
        <v>71</v>
      </c>
      <c r="B28">
        <f>(32/PI()*B26/(소재!D5/설정!B6))^(1/3)</f>
        <v>1.8172716312548614E-2</v>
      </c>
      <c r="C28" t="s">
        <v>74</v>
      </c>
      <c r="E28" s="9" t="s">
        <v>71</v>
      </c>
      <c r="F28">
        <f>(32/PI()*F26/(소재!D5/설정!B6))^(1/3)</f>
        <v>1.813510330183388E-2</v>
      </c>
      <c r="G28" t="s">
        <v>74</v>
      </c>
    </row>
    <row r="29" spans="1:7" x14ac:dyDescent="0.3">
      <c r="A29" s="9" t="s">
        <v>72</v>
      </c>
      <c r="B29">
        <f>(16/PI()*B27/(소재!D5/설정!B6))^(1/3)</f>
        <v>1.6598954268491721E-2</v>
      </c>
      <c r="C29" t="s">
        <v>74</v>
      </c>
      <c r="E29" s="9" t="s">
        <v>72</v>
      </c>
      <c r="F29">
        <f>(16/PI()*F27/(소재!D5/설정!B6))^(1/3)</f>
        <v>1.6588315496087285E-2</v>
      </c>
      <c r="G29" t="s">
        <v>74</v>
      </c>
    </row>
    <row r="30" spans="1:7" x14ac:dyDescent="0.3">
      <c r="A30" s="7" t="s">
        <v>63</v>
      </c>
      <c r="B30">
        <f>MAX(B28:B29)</f>
        <v>1.8172716312548614E-2</v>
      </c>
      <c r="C30" t="s">
        <v>74</v>
      </c>
      <c r="E30" s="7" t="s">
        <v>63</v>
      </c>
      <c r="F30">
        <f>MAX(F28:F29)</f>
        <v>1.813510330183388E-2</v>
      </c>
      <c r="G30" t="s">
        <v>74</v>
      </c>
    </row>
    <row r="31" spans="1:7" x14ac:dyDescent="0.3">
      <c r="A31" s="7" t="s">
        <v>64</v>
      </c>
      <c r="B31">
        <f>설정!B9*변경!F3*설정!J8</f>
        <v>8.6019999999999985</v>
      </c>
      <c r="C31" t="s">
        <v>9</v>
      </c>
      <c r="E31" s="7" t="s">
        <v>64</v>
      </c>
      <c r="F31">
        <f>F23</f>
        <v>8.6019999999999985</v>
      </c>
      <c r="G31" t="s">
        <v>9</v>
      </c>
    </row>
    <row r="32" spans="1:7" x14ac:dyDescent="0.3">
      <c r="A32" s="7" t="s">
        <v>11</v>
      </c>
      <c r="B32">
        <f>B17</f>
        <v>35</v>
      </c>
      <c r="C32" t="s">
        <v>18</v>
      </c>
      <c r="E32" s="7" t="s">
        <v>11</v>
      </c>
      <c r="F32">
        <f>설정!B10/변경!J3</f>
        <v>140</v>
      </c>
      <c r="G32" t="s">
        <v>18</v>
      </c>
    </row>
    <row r="36" spans="1:7" ht="17.25" thickBot="1" x14ac:dyDescent="0.35">
      <c r="A36" s="4" t="s">
        <v>75</v>
      </c>
      <c r="B36" s="4" t="s">
        <v>1</v>
      </c>
      <c r="C36" s="4" t="s">
        <v>2</v>
      </c>
      <c r="E36" s="4" t="s">
        <v>94</v>
      </c>
      <c r="F36" s="4" t="s">
        <v>1</v>
      </c>
      <c r="G36" s="4" t="s">
        <v>2</v>
      </c>
    </row>
    <row r="37" spans="1:7" x14ac:dyDescent="0.3">
      <c r="A37" s="8" t="s">
        <v>58</v>
      </c>
      <c r="B37">
        <f>B31</f>
        <v>8.6019999999999985</v>
      </c>
      <c r="C37" t="s">
        <v>9</v>
      </c>
      <c r="E37" s="8" t="s">
        <v>101</v>
      </c>
      <c r="F37">
        <f>2/(SIN(RADIANS(설정!N24))^2)</f>
        <v>17.097264340826062</v>
      </c>
    </row>
    <row r="38" spans="1:7" x14ac:dyDescent="0.3">
      <c r="A38" s="8" t="s">
        <v>11</v>
      </c>
      <c r="B38">
        <f>B32</f>
        <v>35</v>
      </c>
      <c r="C38" t="s">
        <v>18</v>
      </c>
      <c r="E38" s="8" t="s">
        <v>100</v>
      </c>
      <c r="F38">
        <f>변경!J14*변경!J15-변경!J15</f>
        <v>90</v>
      </c>
    </row>
    <row r="39" spans="1:7" x14ac:dyDescent="0.3">
      <c r="A39" s="8" t="s">
        <v>86</v>
      </c>
      <c r="B39">
        <f>(B46*변경!F15/2000)*(B38*2*PI()/60)</f>
        <v>0.28955012290585924</v>
      </c>
      <c r="C39" t="s">
        <v>45</v>
      </c>
      <c r="E39" s="8" t="s">
        <v>99</v>
      </c>
      <c r="F39">
        <f>(변경!J15+F38)/변경!J17</f>
        <v>4</v>
      </c>
    </row>
    <row r="40" spans="1:7" x14ac:dyDescent="0.3">
      <c r="A40" s="8" t="s">
        <v>80</v>
      </c>
      <c r="B40">
        <f>3.05/(3.05+B39)</f>
        <v>0.91329666803925336</v>
      </c>
      <c r="E40" s="8" t="s">
        <v>104</v>
      </c>
      <c r="F40">
        <f>(F38-변경!J15)/2</f>
        <v>36</v>
      </c>
    </row>
    <row r="41" spans="1:7" x14ac:dyDescent="0.3">
      <c r="A41" s="8" t="s">
        <v>27</v>
      </c>
      <c r="B41">
        <f>(변경!F15*B46)/(2*SIN(RADIANS(45)))</f>
        <v>111.72287142747452</v>
      </c>
      <c r="C41" t="s">
        <v>4</v>
      </c>
      <c r="E41" s="7" t="s">
        <v>64</v>
      </c>
      <c r="F41">
        <f>F31*설정!N25*변경!J14</f>
        <v>43.87019999999999</v>
      </c>
      <c r="G41" t="s">
        <v>9</v>
      </c>
    </row>
    <row r="42" spans="1:7" x14ac:dyDescent="0.3">
      <c r="A42" s="8" t="s">
        <v>67</v>
      </c>
      <c r="B42">
        <f>B37/(변경!F15*B46/2000)</f>
        <v>108.88607594936707</v>
      </c>
      <c r="C42" t="s">
        <v>11</v>
      </c>
      <c r="E42" s="7" t="s">
        <v>11</v>
      </c>
      <c r="F42">
        <f>F32/변경!J14</f>
        <v>23.333333333333332</v>
      </c>
      <c r="G42" t="s">
        <v>18</v>
      </c>
    </row>
    <row r="43" spans="1:7" x14ac:dyDescent="0.3">
      <c r="A43" s="8" t="s">
        <v>88</v>
      </c>
      <c r="B43" s="6">
        <f>(B41+SQRT(B41^(2)-4*B42/(B40*설정!J26*(소재!D5/설정!B6/10^(6))*변경!F15*설정!J29)*B41))/2</f>
        <v>104.82147892986444</v>
      </c>
      <c r="C43" t="s">
        <v>4</v>
      </c>
    </row>
    <row r="44" spans="1:7" x14ac:dyDescent="0.3">
      <c r="A44" s="8" t="s">
        <v>88</v>
      </c>
      <c r="B44">
        <f>(B41-SQRT(B41^2-4*B42/(B40*설정!J26*(소재!D5/설정!B6/10^(6))*변경!F15*설정!J29)*B41))/2</f>
        <v>6.9013924976100682</v>
      </c>
      <c r="C44" t="s">
        <v>4</v>
      </c>
    </row>
    <row r="45" spans="1:7" x14ac:dyDescent="0.3">
      <c r="A45" s="8" t="s">
        <v>87</v>
      </c>
      <c r="B45">
        <f>B42/(16.38*설정!J28*설정!J27*SQRT(변경!F15*B46))</f>
        <v>1.5646355937539418</v>
      </c>
      <c r="C45" t="s">
        <v>4</v>
      </c>
    </row>
    <row r="46" spans="1:7" ht="17.25" thickBot="1" x14ac:dyDescent="0.35">
      <c r="A46" s="7" t="s">
        <v>78</v>
      </c>
      <c r="B46">
        <f>ROUNDUP((설정!J25-2*변경!F15*COS(RADIANS(45)))/변경!F15,0)</f>
        <v>79</v>
      </c>
      <c r="E46" s="4" t="s">
        <v>105</v>
      </c>
      <c r="F46" s="4" t="s">
        <v>1</v>
      </c>
      <c r="G46" s="4" t="s">
        <v>2</v>
      </c>
    </row>
    <row r="47" spans="1:7" x14ac:dyDescent="0.3">
      <c r="A47" s="7" t="s">
        <v>85</v>
      </c>
      <c r="B47">
        <f>MAX(B44:B45)</f>
        <v>6.9013924976100682</v>
      </c>
      <c r="C47" t="s">
        <v>4</v>
      </c>
      <c r="E47" s="8" t="s">
        <v>58</v>
      </c>
      <c r="F47">
        <f>F31</f>
        <v>8.6019999999999985</v>
      </c>
      <c r="G47" t="s">
        <v>9</v>
      </c>
    </row>
    <row r="48" spans="1:7" x14ac:dyDescent="0.3">
      <c r="A48" s="7" t="s">
        <v>64</v>
      </c>
      <c r="B48">
        <f>B37*설정!J30</f>
        <v>7.7417999999999987</v>
      </c>
      <c r="C48" t="s">
        <v>9</v>
      </c>
      <c r="E48" s="8" t="s">
        <v>11</v>
      </c>
      <c r="F48">
        <f>F32</f>
        <v>140</v>
      </c>
      <c r="G48" t="s">
        <v>18</v>
      </c>
    </row>
    <row r="49" spans="1:7" x14ac:dyDescent="0.3">
      <c r="A49" s="7" t="s">
        <v>11</v>
      </c>
      <c r="B49">
        <f>B38</f>
        <v>35</v>
      </c>
      <c r="C49" t="s">
        <v>18</v>
      </c>
      <c r="E49" s="8" t="s">
        <v>86</v>
      </c>
      <c r="F49">
        <f>(변경!J15*변경!J17/2000)*(F48*2*PI()/60)</f>
        <v>3.562566069170825</v>
      </c>
      <c r="G49" t="s">
        <v>45</v>
      </c>
    </row>
    <row r="50" spans="1:7" x14ac:dyDescent="0.3">
      <c r="E50" s="8" t="s">
        <v>80</v>
      </c>
      <c r="F50">
        <f>3.05/(3.05+F49)</f>
        <v>0.46124302851501808</v>
      </c>
    </row>
    <row r="51" spans="1:7" x14ac:dyDescent="0.3">
      <c r="A51" s="7" t="s">
        <v>85</v>
      </c>
      <c r="B51">
        <v>10</v>
      </c>
      <c r="C51" t="s">
        <v>4</v>
      </c>
      <c r="E51" s="8" t="s">
        <v>67</v>
      </c>
      <c r="F51">
        <f>F47/(변경!J16*F40/2000)/F39</f>
        <v>79.648148148148138</v>
      </c>
      <c r="G51" t="s">
        <v>11</v>
      </c>
    </row>
    <row r="52" spans="1:7" x14ac:dyDescent="0.3">
      <c r="A52" s="7" t="s">
        <v>154</v>
      </c>
      <c r="B52">
        <f>(B41-B51)/B41</f>
        <v>0.91049281250803193</v>
      </c>
      <c r="E52" s="8" t="s">
        <v>106</v>
      </c>
      <c r="F52">
        <f>F51/(F50*설정!N26*(소재!D5/설정!B6/10^(6))*변경!J16*설정!N28)</f>
        <v>16.955461688956301</v>
      </c>
      <c r="G52" t="s">
        <v>4</v>
      </c>
    </row>
    <row r="53" spans="1:7" x14ac:dyDescent="0.3">
      <c r="A53" s="7" t="s">
        <v>67</v>
      </c>
      <c r="B53" s="6">
        <f>B40*설정!J26*(소재!D5/설정!B6/10^(6))*변경!F15*설정!J29*B51*B52</f>
        <v>153.11013786821209</v>
      </c>
      <c r="C53" t="s">
        <v>11</v>
      </c>
      <c r="E53" s="8" t="s">
        <v>107</v>
      </c>
      <c r="F53">
        <f>F51/(F50*설정!N26*(소재!D5/설정!B6/10^(6))*변경!J16*설정!N29)</f>
        <v>14.416445852285181</v>
      </c>
      <c r="G53" t="s">
        <v>4</v>
      </c>
    </row>
    <row r="54" spans="1:7" x14ac:dyDescent="0.3">
      <c r="E54" s="8" t="s">
        <v>87</v>
      </c>
      <c r="F54">
        <f>F51/(F50*(설정!N27/10^(6))*변경!J16*(2*변경!J15*F40/(변경!J15+F40)))</f>
        <v>0.23983544713876845</v>
      </c>
      <c r="G54" t="s">
        <v>4</v>
      </c>
    </row>
    <row r="55" spans="1:7" x14ac:dyDescent="0.3">
      <c r="E55" s="7" t="s">
        <v>78</v>
      </c>
      <c r="F55">
        <f>변경!J15</f>
        <v>18</v>
      </c>
    </row>
    <row r="56" spans="1:7" x14ac:dyDescent="0.3">
      <c r="E56" s="7" t="s">
        <v>85</v>
      </c>
      <c r="F56">
        <f>MAX(F52:F54)</f>
        <v>16.955461688956301</v>
      </c>
      <c r="G56" t="s">
        <v>4</v>
      </c>
    </row>
    <row r="57" spans="1:7" ht="17.25" thickBot="1" x14ac:dyDescent="0.35">
      <c r="A57" s="4" t="s">
        <v>113</v>
      </c>
      <c r="B57" s="4" t="s">
        <v>1</v>
      </c>
      <c r="C57" s="4" t="s">
        <v>2</v>
      </c>
      <c r="E57" s="7" t="s">
        <v>64</v>
      </c>
      <c r="F57">
        <f>설정!N31*F47</f>
        <v>7.7417999999999987</v>
      </c>
      <c r="G57" t="s">
        <v>9</v>
      </c>
    </row>
    <row r="58" spans="1:7" x14ac:dyDescent="0.3">
      <c r="A58" s="8" t="s">
        <v>58</v>
      </c>
      <c r="B58">
        <f>B48</f>
        <v>7.7417999999999987</v>
      </c>
      <c r="C58" t="s">
        <v>9</v>
      </c>
      <c r="E58" s="7" t="s">
        <v>11</v>
      </c>
      <c r="F58">
        <f>F48</f>
        <v>140</v>
      </c>
      <c r="G58" t="s">
        <v>18</v>
      </c>
    </row>
    <row r="59" spans="1:7" x14ac:dyDescent="0.3">
      <c r="A59" s="8" t="s">
        <v>59</v>
      </c>
      <c r="B59">
        <f>설정!J2*(변경!F20/2)</f>
        <v>0.34580250000000001</v>
      </c>
      <c r="C59" t="s">
        <v>9</v>
      </c>
    </row>
    <row r="60" spans="1:7" x14ac:dyDescent="0.3">
      <c r="A60" s="8" t="s">
        <v>60</v>
      </c>
      <c r="B60">
        <f>B58</f>
        <v>7.7417999999999987</v>
      </c>
      <c r="C60" t="s">
        <v>9</v>
      </c>
    </row>
    <row r="61" spans="1:7" x14ac:dyDescent="0.3">
      <c r="A61" s="8" t="s">
        <v>61</v>
      </c>
      <c r="B61">
        <f>1/2*(설정!J35*B59+B62)</f>
        <v>12.142982431718879</v>
      </c>
      <c r="C61" t="s">
        <v>9</v>
      </c>
    </row>
    <row r="62" spans="1:7" ht="17.25" thickBot="1" x14ac:dyDescent="0.35">
      <c r="A62" s="8" t="s">
        <v>62</v>
      </c>
      <c r="B62">
        <f>SQRT((설정!J35*B59)^2+(설정!J36*B60)^2)</f>
        <v>23.248557363437758</v>
      </c>
      <c r="C62" t="s">
        <v>9</v>
      </c>
      <c r="E62" s="4" t="s">
        <v>110</v>
      </c>
      <c r="F62" s="4" t="s">
        <v>1</v>
      </c>
      <c r="G62" s="4" t="s">
        <v>2</v>
      </c>
    </row>
    <row r="63" spans="1:7" x14ac:dyDescent="0.3">
      <c r="A63" s="8" t="s">
        <v>93</v>
      </c>
      <c r="B63">
        <f>설정!J37/변경!F21</f>
        <v>0.6</v>
      </c>
      <c r="E63" s="8" t="s">
        <v>97</v>
      </c>
      <c r="F63">
        <f>변경!J15/F40</f>
        <v>0.5</v>
      </c>
    </row>
    <row r="64" spans="1:7" x14ac:dyDescent="0.3">
      <c r="A64" s="8" t="s">
        <v>91</v>
      </c>
      <c r="B64">
        <f>(32/PI()*B61/(소재!D5/설정!B6)/(1-B63^(4)))^(1/3)</f>
        <v>1.6747901718298187E-2</v>
      </c>
      <c r="C64" t="s">
        <v>74</v>
      </c>
      <c r="E64" s="8" t="s">
        <v>11</v>
      </c>
      <c r="F64">
        <f>F58*F63</f>
        <v>70</v>
      </c>
      <c r="G64" t="s">
        <v>18</v>
      </c>
    </row>
    <row r="65" spans="1:7" x14ac:dyDescent="0.3">
      <c r="A65" s="9" t="s">
        <v>92</v>
      </c>
      <c r="B65">
        <f>(16/PI()*B62/(소재!D5/설정!B6)/(1-B63^(4)))^(1/3)</f>
        <v>1.6505953571375055E-2</v>
      </c>
      <c r="C65" t="s">
        <v>74</v>
      </c>
      <c r="E65" s="8" t="s">
        <v>86</v>
      </c>
      <c r="F65">
        <f>(F49*F51/2000)*(F64*2*PI()/60)</f>
        <v>1.0400046289625902</v>
      </c>
      <c r="G65" t="s">
        <v>45</v>
      </c>
    </row>
    <row r="66" spans="1:7" x14ac:dyDescent="0.3">
      <c r="A66" s="7" t="s">
        <v>89</v>
      </c>
      <c r="B66">
        <f>MAX(B64:B65)</f>
        <v>1.6747901718298187E-2</v>
      </c>
      <c r="C66" t="s">
        <v>74</v>
      </c>
      <c r="E66" s="8" t="s">
        <v>80</v>
      </c>
      <c r="F66">
        <f>3.05/(3.05+F65)</f>
        <v>0.74572042740538846</v>
      </c>
    </row>
    <row r="67" spans="1:7" x14ac:dyDescent="0.3">
      <c r="A67" s="7" t="s">
        <v>64</v>
      </c>
      <c r="B67">
        <f>B58</f>
        <v>7.7417999999999987</v>
      </c>
      <c r="C67" t="s">
        <v>9</v>
      </c>
      <c r="E67" s="8" t="s">
        <v>67</v>
      </c>
      <c r="F67">
        <f>F51</f>
        <v>79.648148148148138</v>
      </c>
      <c r="G67" t="s">
        <v>11</v>
      </c>
    </row>
    <row r="68" spans="1:7" x14ac:dyDescent="0.3">
      <c r="A68" s="7" t="s">
        <v>11</v>
      </c>
      <c r="B68">
        <f>B49</f>
        <v>35</v>
      </c>
      <c r="C68" t="s">
        <v>18</v>
      </c>
      <c r="E68" s="8" t="s">
        <v>88</v>
      </c>
      <c r="F68">
        <f>F67/(F66*설정!N26*(소재!D5/설정!B6/10^(6))*변경!J16*설정!N29)</f>
        <v>8.9168606638101338</v>
      </c>
      <c r="G68" t="s">
        <v>4</v>
      </c>
    </row>
    <row r="69" spans="1:7" x14ac:dyDescent="0.3">
      <c r="E69" s="8" t="s">
        <v>88</v>
      </c>
      <c r="F69">
        <f>F67/(F66*설정!N26*(소재!D5/설정!B6/10^(6))*변경!J16*설정!N30)</f>
        <v>7.8141528059190239</v>
      </c>
      <c r="G69" t="s">
        <v>4</v>
      </c>
    </row>
    <row r="70" spans="1:7" x14ac:dyDescent="0.3">
      <c r="A70" s="7" t="s">
        <v>11</v>
      </c>
      <c r="B70">
        <v>35</v>
      </c>
      <c r="C70" t="s">
        <v>18</v>
      </c>
      <c r="E70" s="8" t="s">
        <v>87</v>
      </c>
      <c r="F70">
        <f>F67/(F66*(설정!N27/10^(6))*변경!J16*(2*변경!J15*F40/(변경!J15+F40)))</f>
        <v>0.14834303033434612</v>
      </c>
      <c r="G70" t="s">
        <v>4</v>
      </c>
    </row>
    <row r="71" spans="1:7" x14ac:dyDescent="0.3">
      <c r="A71" s="7" t="s">
        <v>152</v>
      </c>
      <c r="B71">
        <f>0.15*B70*2*PI()/60</f>
        <v>0.5497787143782138</v>
      </c>
      <c r="C71" t="s">
        <v>45</v>
      </c>
      <c r="E71" s="7" t="s">
        <v>78</v>
      </c>
      <c r="F71">
        <f>F40</f>
        <v>36</v>
      </c>
    </row>
    <row r="72" spans="1:7" x14ac:dyDescent="0.3">
      <c r="E72" s="7" t="s">
        <v>85</v>
      </c>
      <c r="F72">
        <f>MAX(F68:F70)</f>
        <v>8.9168606638101338</v>
      </c>
      <c r="G72" t="s">
        <v>4</v>
      </c>
    </row>
    <row r="73" spans="1:7" x14ac:dyDescent="0.3">
      <c r="E73" s="7" t="s">
        <v>11</v>
      </c>
      <c r="F73">
        <f>F64</f>
        <v>70</v>
      </c>
      <c r="G73" t="s">
        <v>18</v>
      </c>
    </row>
    <row r="77" spans="1:7" ht="17.25" thickBot="1" x14ac:dyDescent="0.35">
      <c r="E77" s="4" t="s">
        <v>113</v>
      </c>
      <c r="F77" s="4" t="s">
        <v>1</v>
      </c>
      <c r="G77" s="4" t="s">
        <v>2</v>
      </c>
    </row>
    <row r="78" spans="1:7" x14ac:dyDescent="0.3">
      <c r="E78" s="8" t="s">
        <v>58</v>
      </c>
      <c r="F78">
        <f>F41</f>
        <v>43.87019999999999</v>
      </c>
      <c r="G78" t="s">
        <v>9</v>
      </c>
    </row>
    <row r="79" spans="1:7" x14ac:dyDescent="0.3">
      <c r="E79" s="8" t="s">
        <v>59</v>
      </c>
      <c r="F79">
        <v>0</v>
      </c>
      <c r="G79" t="s">
        <v>9</v>
      </c>
    </row>
    <row r="80" spans="1:7" x14ac:dyDescent="0.3">
      <c r="E80" s="8" t="s">
        <v>60</v>
      </c>
      <c r="F80">
        <f>F78</f>
        <v>43.87019999999999</v>
      </c>
      <c r="G80" t="s">
        <v>9</v>
      </c>
    </row>
    <row r="81" spans="5:7" x14ac:dyDescent="0.3">
      <c r="E81" s="8" t="s">
        <v>61</v>
      </c>
      <c r="F81">
        <f>1/2*(설정!N36*F79+F82)</f>
        <v>65.805299999999988</v>
      </c>
      <c r="G81" t="s">
        <v>9</v>
      </c>
    </row>
    <row r="82" spans="5:7" x14ac:dyDescent="0.3">
      <c r="E82" s="8" t="s">
        <v>62</v>
      </c>
      <c r="F82">
        <f>SQRT((설정!N36*F79)^2+(설정!N37*F80)^2)</f>
        <v>131.61059999999998</v>
      </c>
      <c r="G82" t="s">
        <v>9</v>
      </c>
    </row>
    <row r="83" spans="5:7" x14ac:dyDescent="0.3">
      <c r="E83" s="9" t="s">
        <v>71</v>
      </c>
      <c r="F83">
        <f>(32/PI()*F81/(소재!D5/설정!B6))^(1/3)</f>
        <v>2.8087421178358395E-2</v>
      </c>
      <c r="G83" t="s">
        <v>74</v>
      </c>
    </row>
    <row r="84" spans="5:7" x14ac:dyDescent="0.3">
      <c r="E84" s="9" t="s">
        <v>72</v>
      </c>
      <c r="F84">
        <f>(16/PI()*F82/(소재!D5/설정!B6))^(1/3)</f>
        <v>2.8087421178358395E-2</v>
      </c>
      <c r="G84" t="s">
        <v>74</v>
      </c>
    </row>
    <row r="85" spans="5:7" x14ac:dyDescent="0.3">
      <c r="E85" s="7" t="s">
        <v>63</v>
      </c>
      <c r="F85">
        <f>MAX(F83:F84)</f>
        <v>2.8087421178358395E-2</v>
      </c>
      <c r="G85" t="s">
        <v>74</v>
      </c>
    </row>
    <row r="86" spans="5:7" x14ac:dyDescent="0.3">
      <c r="E86" s="7" t="s">
        <v>64</v>
      </c>
      <c r="F86">
        <f>F78</f>
        <v>43.87019999999999</v>
      </c>
      <c r="G86" t="s">
        <v>9</v>
      </c>
    </row>
    <row r="87" spans="5:7" x14ac:dyDescent="0.3">
      <c r="E87" s="7" t="s">
        <v>11</v>
      </c>
      <c r="F87">
        <f>F42</f>
        <v>23.333333333333332</v>
      </c>
      <c r="G87" t="s">
        <v>18</v>
      </c>
    </row>
    <row r="91" spans="5:7" ht="17.25" thickBot="1" x14ac:dyDescent="0.35">
      <c r="E91" s="4" t="s">
        <v>75</v>
      </c>
      <c r="F91" s="4" t="s">
        <v>1</v>
      </c>
      <c r="G91" s="4" t="s">
        <v>2</v>
      </c>
    </row>
    <row r="92" spans="5:7" x14ac:dyDescent="0.3">
      <c r="E92" s="8" t="s">
        <v>58</v>
      </c>
      <c r="F92">
        <f>F86</f>
        <v>43.87019999999999</v>
      </c>
      <c r="G92" t="s">
        <v>9</v>
      </c>
    </row>
    <row r="93" spans="5:7" x14ac:dyDescent="0.3">
      <c r="E93" s="8" t="s">
        <v>11</v>
      </c>
      <c r="F93">
        <f>F87</f>
        <v>23.333333333333332</v>
      </c>
      <c r="G93" t="s">
        <v>18</v>
      </c>
    </row>
    <row r="94" spans="5:7" x14ac:dyDescent="0.3">
      <c r="E94" s="8" t="s">
        <v>86</v>
      </c>
      <c r="F94">
        <f>(F101*변경!J27/2000)*(F93*2*PI()/60)</f>
        <v>0.1881464933649887</v>
      </c>
      <c r="G94" t="s">
        <v>45</v>
      </c>
    </row>
    <row r="95" spans="5:7" x14ac:dyDescent="0.3">
      <c r="E95" s="8" t="s">
        <v>80</v>
      </c>
      <c r="F95">
        <f>3.05/(3.05+F94)</f>
        <v>0.94189685557756464</v>
      </c>
    </row>
    <row r="96" spans="5:7" x14ac:dyDescent="0.3">
      <c r="E96" s="8" t="s">
        <v>27</v>
      </c>
      <c r="F96">
        <f>(변경!J27*F101)/(2*SIN(RADIANS(45)))</f>
        <v>108.89444430272833</v>
      </c>
      <c r="G96" t="s">
        <v>4</v>
      </c>
    </row>
    <row r="97" spans="5:7" x14ac:dyDescent="0.3">
      <c r="E97" s="8" t="s">
        <v>67</v>
      </c>
      <c r="F97">
        <f>F92/(변경!J27*F101/2000)</f>
        <v>569.74285714285702</v>
      </c>
      <c r="G97" t="s">
        <v>11</v>
      </c>
    </row>
    <row r="98" spans="5:7" x14ac:dyDescent="0.3">
      <c r="E98" s="8" t="s">
        <v>88</v>
      </c>
      <c r="F98">
        <f>(F96+SQRT(F96^2-4*F97/(F95*설정!N44*(소재!D5/설정!B6/10^(6))*변경!J27*설정!N47)*F96))/2</f>
        <v>95.234875120287072</v>
      </c>
      <c r="G98" t="s">
        <v>4</v>
      </c>
    </row>
    <row r="99" spans="5:7" x14ac:dyDescent="0.3">
      <c r="E99" s="8" t="s">
        <v>88</v>
      </c>
      <c r="F99">
        <f>(F96-SQRT(F96^2-4*F97/(F95*설정!N44*(소재!D5/설정!B6/10^(6))*변경!J27*설정!N47)*F96))/2</f>
        <v>13.65956918244126</v>
      </c>
      <c r="G99" t="s">
        <v>4</v>
      </c>
    </row>
    <row r="100" spans="5:7" x14ac:dyDescent="0.3">
      <c r="E100" s="8" t="s">
        <v>87</v>
      </c>
      <c r="F100">
        <f>F97/(16.38*설정!N46*설정!N45*SQRT(변경!J27*F101))</f>
        <v>8.2925467967709547</v>
      </c>
      <c r="G100" t="s">
        <v>4</v>
      </c>
    </row>
    <row r="101" spans="5:7" x14ac:dyDescent="0.3">
      <c r="E101" s="7" t="s">
        <v>78</v>
      </c>
      <c r="F101">
        <f>ROUNDUP((설정!N43-2*변경!J27*COS(RADIANS(45)))/변경!J27,0)</f>
        <v>28</v>
      </c>
    </row>
    <row r="102" spans="5:7" x14ac:dyDescent="0.3">
      <c r="E102" s="7" t="s">
        <v>85</v>
      </c>
      <c r="F102">
        <f>MAX(F99:F100)</f>
        <v>13.65956918244126</v>
      </c>
      <c r="G102" t="s">
        <v>4</v>
      </c>
    </row>
    <row r="103" spans="5:7" x14ac:dyDescent="0.3">
      <c r="E103" s="7" t="s">
        <v>64</v>
      </c>
      <c r="F103">
        <f>F92*설정!N48</f>
        <v>39.48317999999999</v>
      </c>
      <c r="G103" t="s">
        <v>9</v>
      </c>
    </row>
    <row r="104" spans="5:7" x14ac:dyDescent="0.3">
      <c r="E104" s="7" t="s">
        <v>11</v>
      </c>
      <c r="F104">
        <f>F93</f>
        <v>23.333333333333332</v>
      </c>
      <c r="G104" t="s">
        <v>18</v>
      </c>
    </row>
    <row r="106" spans="5:7" x14ac:dyDescent="0.3">
      <c r="E106" s="7" t="s">
        <v>85</v>
      </c>
      <c r="F106">
        <v>20</v>
      </c>
      <c r="G106" t="s">
        <v>4</v>
      </c>
    </row>
    <row r="107" spans="5:7" x14ac:dyDescent="0.3">
      <c r="E107" s="7" t="s">
        <v>154</v>
      </c>
      <c r="F107">
        <f>(F96-F106)/F96</f>
        <v>0.81633590099050712</v>
      </c>
    </row>
    <row r="108" spans="5:7" x14ac:dyDescent="0.3">
      <c r="E108" s="7" t="s">
        <v>67</v>
      </c>
      <c r="F108" s="6">
        <f>F95*설정!N44*(소재!D5/설정!B6/10^(6))*변경!J27*설정!N47*F106*F107</f>
        <v>778.66469761120095</v>
      </c>
      <c r="G108" t="s">
        <v>11</v>
      </c>
    </row>
    <row r="109" spans="5:7" x14ac:dyDescent="0.3">
      <c r="F109" s="6"/>
    </row>
    <row r="112" spans="5:7" ht="17.25" thickBot="1" x14ac:dyDescent="0.35">
      <c r="E112" s="4" t="s">
        <v>114</v>
      </c>
      <c r="F112" s="4" t="s">
        <v>1</v>
      </c>
      <c r="G112" s="4" t="s">
        <v>2</v>
      </c>
    </row>
    <row r="113" spans="5:7" x14ac:dyDescent="0.3">
      <c r="E113" s="8" t="s">
        <v>58</v>
      </c>
      <c r="F113">
        <f>F103</f>
        <v>39.48317999999999</v>
      </c>
      <c r="G113" t="s">
        <v>9</v>
      </c>
    </row>
    <row r="114" spans="5:7" x14ac:dyDescent="0.3">
      <c r="E114" s="8" t="s">
        <v>59</v>
      </c>
      <c r="F114">
        <f>설정!N2*(변경!J32/2)</f>
        <v>2.4963482475000003</v>
      </c>
      <c r="G114" t="s">
        <v>9</v>
      </c>
    </row>
    <row r="115" spans="5:7" x14ac:dyDescent="0.3">
      <c r="E115" s="8" t="s">
        <v>60</v>
      </c>
      <c r="F115">
        <f>F113</f>
        <v>39.48317999999999</v>
      </c>
      <c r="G115" t="s">
        <v>9</v>
      </c>
    </row>
    <row r="116" spans="5:7" x14ac:dyDescent="0.3">
      <c r="E116" s="8" t="s">
        <v>61</v>
      </c>
      <c r="F116">
        <f>1/2*(설정!N53*F114+F117)</f>
        <v>63.087549167510488</v>
      </c>
      <c r="G116" t="s">
        <v>9</v>
      </c>
    </row>
    <row r="117" spans="5:7" x14ac:dyDescent="0.3">
      <c r="E117" s="8" t="s">
        <v>62</v>
      </c>
      <c r="F117">
        <f>SQRT((설정!N53*F114)^2+(설정!N54*F115)^2)</f>
        <v>118.68605359252098</v>
      </c>
      <c r="G117" t="s">
        <v>9</v>
      </c>
    </row>
    <row r="118" spans="5:7" x14ac:dyDescent="0.3">
      <c r="E118" s="8" t="s">
        <v>93</v>
      </c>
      <c r="F118">
        <f>설정!N55/변경!J33</f>
        <v>0.6</v>
      </c>
    </row>
    <row r="119" spans="5:7" x14ac:dyDescent="0.3">
      <c r="E119" s="8" t="s">
        <v>91</v>
      </c>
      <c r="F119">
        <f>(32/PI()*F116/(소재!D5/설정!B6)/(1-F118^(4)))^(1/3)</f>
        <v>2.9006800866157166E-2</v>
      </c>
      <c r="G119" t="s">
        <v>74</v>
      </c>
    </row>
    <row r="120" spans="5:7" x14ac:dyDescent="0.3">
      <c r="E120" s="9" t="s">
        <v>92</v>
      </c>
      <c r="F120">
        <f>(16/PI()*F117/(소재!D5/설정!B6)/(1-F118^(4)))^(1/3)</f>
        <v>2.8421163042004587E-2</v>
      </c>
      <c r="G120" t="s">
        <v>74</v>
      </c>
    </row>
    <row r="121" spans="5:7" x14ac:dyDescent="0.3">
      <c r="E121" s="7" t="s">
        <v>89</v>
      </c>
      <c r="F121">
        <f>MAX(F119:F120)</f>
        <v>2.9006800866157166E-2</v>
      </c>
      <c r="G121" t="s">
        <v>74</v>
      </c>
    </row>
    <row r="122" spans="5:7" x14ac:dyDescent="0.3">
      <c r="E122" s="7" t="s">
        <v>64</v>
      </c>
      <c r="F122">
        <f>F113</f>
        <v>39.48317999999999</v>
      </c>
      <c r="G122" t="s">
        <v>9</v>
      </c>
    </row>
    <row r="123" spans="5:7" x14ac:dyDescent="0.3">
      <c r="E123" s="7" t="s">
        <v>11</v>
      </c>
      <c r="F123">
        <f>F104</f>
        <v>23.333333333333332</v>
      </c>
      <c r="G123" t="s">
        <v>18</v>
      </c>
    </row>
    <row r="125" spans="5:7" x14ac:dyDescent="0.3">
      <c r="E125" s="7" t="s">
        <v>11</v>
      </c>
      <c r="F125">
        <f>F123</f>
        <v>23.333333333333332</v>
      </c>
      <c r="G125" t="s">
        <v>18</v>
      </c>
    </row>
    <row r="126" spans="5:7" x14ac:dyDescent="0.3">
      <c r="E126" s="7" t="s">
        <v>152</v>
      </c>
      <c r="F126">
        <f>0.15*F125*2*PI()/60</f>
        <v>0.36651914291880916</v>
      </c>
      <c r="G126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01F5-5C6E-4647-81CE-ABD8A1762016}">
  <dimension ref="A1:E14"/>
  <sheetViews>
    <sheetView workbookViewId="0">
      <selection activeCell="D5" sqref="D5"/>
    </sheetView>
  </sheetViews>
  <sheetFormatPr defaultRowHeight="16.5" x14ac:dyDescent="0.3"/>
  <cols>
    <col min="4" max="4" width="15.625" bestFit="1" customWidth="1"/>
    <col min="7" max="7" width="13.75" bestFit="1" customWidth="1"/>
  </cols>
  <sheetData>
    <row r="1" spans="1:5" ht="17.25" thickBot="1" x14ac:dyDescent="0.35">
      <c r="A1" s="1" t="s">
        <v>22</v>
      </c>
      <c r="B1" s="1" t="s">
        <v>24</v>
      </c>
      <c r="C1" s="1"/>
      <c r="D1" s="1" t="s">
        <v>1</v>
      </c>
      <c r="E1" s="1" t="s">
        <v>2</v>
      </c>
    </row>
    <row r="2" spans="1:5" x14ac:dyDescent="0.3">
      <c r="A2" t="s">
        <v>23</v>
      </c>
      <c r="B2" t="s">
        <v>25</v>
      </c>
      <c r="C2" t="s">
        <v>37</v>
      </c>
      <c r="D2" s="5">
        <f>65*10^6</f>
        <v>65000000</v>
      </c>
      <c r="E2" t="s">
        <v>10</v>
      </c>
    </row>
    <row r="3" spans="1:5" x14ac:dyDescent="0.3">
      <c r="A3" t="s">
        <v>23</v>
      </c>
      <c r="B3" t="s">
        <v>25</v>
      </c>
      <c r="C3" t="s">
        <v>16</v>
      </c>
      <c r="D3" s="5">
        <f>75*10^6</f>
        <v>75000000</v>
      </c>
      <c r="E3" t="s">
        <v>10</v>
      </c>
    </row>
    <row r="4" spans="1:5" x14ac:dyDescent="0.3">
      <c r="A4" t="s">
        <v>23</v>
      </c>
      <c r="B4" t="s">
        <v>39</v>
      </c>
      <c r="C4" t="s">
        <v>37</v>
      </c>
      <c r="D4" s="5">
        <f>39.7*10^6</f>
        <v>39700000</v>
      </c>
      <c r="E4" t="s">
        <v>10</v>
      </c>
    </row>
    <row r="5" spans="1:5" x14ac:dyDescent="0.3">
      <c r="A5" t="s">
        <v>23</v>
      </c>
      <c r="B5" t="s">
        <v>39</v>
      </c>
      <c r="C5" t="s">
        <v>16</v>
      </c>
      <c r="D5" s="5">
        <f>60.5*10^6</f>
        <v>60500000</v>
      </c>
      <c r="E5" t="s">
        <v>10</v>
      </c>
    </row>
    <row r="6" spans="1:5" x14ac:dyDescent="0.3">
      <c r="A6" t="s">
        <v>38</v>
      </c>
      <c r="B6" t="s">
        <v>25</v>
      </c>
      <c r="C6" t="s">
        <v>37</v>
      </c>
      <c r="D6" s="5">
        <f>31.2*10^6</f>
        <v>31200000</v>
      </c>
      <c r="E6" t="s">
        <v>10</v>
      </c>
    </row>
    <row r="7" spans="1:5" x14ac:dyDescent="0.3">
      <c r="A7" t="s">
        <v>38</v>
      </c>
      <c r="B7" t="s">
        <v>25</v>
      </c>
      <c r="C7" t="s">
        <v>16</v>
      </c>
      <c r="D7" s="5">
        <f>59.8*10^6</f>
        <v>59800000</v>
      </c>
      <c r="E7" t="s">
        <v>10</v>
      </c>
    </row>
    <row r="8" spans="1:5" x14ac:dyDescent="0.3">
      <c r="A8" t="s">
        <v>38</v>
      </c>
      <c r="B8" t="s">
        <v>21</v>
      </c>
      <c r="C8" t="s">
        <v>37</v>
      </c>
      <c r="D8" s="5">
        <f>24.18*10^6</f>
        <v>24180000</v>
      </c>
      <c r="E8" t="s">
        <v>10</v>
      </c>
    </row>
    <row r="9" spans="1:5" x14ac:dyDescent="0.3">
      <c r="A9" t="s">
        <v>38</v>
      </c>
      <c r="B9" t="s">
        <v>21</v>
      </c>
      <c r="C9" t="s">
        <v>16</v>
      </c>
      <c r="D9" s="5">
        <f>50*10^6</f>
        <v>50000000</v>
      </c>
      <c r="E9" t="s">
        <v>10</v>
      </c>
    </row>
    <row r="10" spans="1:5" x14ac:dyDescent="0.3">
      <c r="B10" t="s">
        <v>49</v>
      </c>
      <c r="C10" t="s">
        <v>50</v>
      </c>
      <c r="D10">
        <v>0.6</v>
      </c>
    </row>
    <row r="11" spans="1:5" x14ac:dyDescent="0.3">
      <c r="B11" t="s">
        <v>49</v>
      </c>
      <c r="C11" t="s">
        <v>51</v>
      </c>
      <c r="D11">
        <v>15</v>
      </c>
      <c r="E11" t="s">
        <v>4</v>
      </c>
    </row>
    <row r="12" spans="1:5" x14ac:dyDescent="0.3">
      <c r="B12" t="s">
        <v>49</v>
      </c>
      <c r="C12" t="s">
        <v>52</v>
      </c>
      <c r="D12">
        <v>1.8</v>
      </c>
      <c r="E12" t="s">
        <v>4</v>
      </c>
    </row>
    <row r="13" spans="1:5" x14ac:dyDescent="0.3">
      <c r="B13" t="s">
        <v>49</v>
      </c>
      <c r="C13" t="s">
        <v>41</v>
      </c>
    </row>
    <row r="14" spans="1:5" x14ac:dyDescent="0.3">
      <c r="B14" t="s">
        <v>49</v>
      </c>
      <c r="C14" t="s">
        <v>53</v>
      </c>
      <c r="E14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Parameter_v1</vt:lpstr>
      <vt:lpstr>변경</vt:lpstr>
      <vt:lpstr>설정</vt:lpstr>
      <vt:lpstr>계산</vt:lpstr>
      <vt:lpstr>소재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이진원</dc:creator>
  <cp:lastModifiedBy>이진원</cp:lastModifiedBy>
  <dcterms:created xsi:type="dcterms:W3CDTF">2025-09-18T14:20:09Z</dcterms:created>
  <dcterms:modified xsi:type="dcterms:W3CDTF">2025-10-27T15:40:13Z</dcterms:modified>
</cp:coreProperties>
</file>