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ane.lecorney\kDrive\HEIG-VD\_projets\open-net\"/>
    </mc:Choice>
  </mc:AlternateContent>
  <xr:revisionPtr revIDLastSave="0" documentId="8_{EEB2A1E2-188D-422C-A612-4B9E9284E6A5}" xr6:coauthVersionLast="47" xr6:coauthVersionMax="47" xr10:uidLastSave="{00000000-0000-0000-0000-000000000000}"/>
  <bookViews>
    <workbookView xWindow="-110" yWindow="-110" windowWidth="38620" windowHeight="21360" xr2:uid="{D5B0C6E7-2B04-4E94-962D-D2301E946644}"/>
  </bookViews>
  <sheets>
    <sheet name="Fournisseurs" sheetId="1" r:id="rId1"/>
    <sheet name="Hypothèses" sheetId="4" r:id="rId2"/>
    <sheet name="Données complémentaires" sheetId="5" r:id="rId3"/>
    <sheet name="Mesures d'encouragement" sheetId="3" r:id="rId4"/>
    <sheet name="Energie KBO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10" i="1"/>
  <c r="V11" i="1"/>
  <c r="V15" i="1"/>
  <c r="V16" i="1"/>
  <c r="V17" i="1"/>
  <c r="V18" i="1"/>
  <c r="V19" i="1"/>
  <c r="V20" i="1"/>
  <c r="V25" i="1"/>
  <c r="V26" i="1"/>
  <c r="V27" i="1"/>
  <c r="V28" i="1"/>
  <c r="V29" i="1"/>
  <c r="V30" i="1"/>
  <c r="V31" i="1"/>
  <c r="V32" i="1"/>
  <c r="V33" i="1"/>
  <c r="V42" i="1"/>
  <c r="V43" i="1"/>
  <c r="V44" i="1"/>
  <c r="V45" i="1"/>
  <c r="V46" i="1"/>
  <c r="V47" i="1"/>
  <c r="V48" i="1"/>
  <c r="V49" i="1"/>
  <c r="V51" i="1"/>
  <c r="V56" i="1"/>
  <c r="V57" i="1"/>
  <c r="V2" i="1"/>
  <c r="O3" i="4"/>
  <c r="N3" i="4"/>
  <c r="M3" i="4"/>
  <c r="L3" i="4"/>
  <c r="K3" i="4"/>
  <c r="J3" i="4"/>
  <c r="H3" i="4"/>
  <c r="G3" i="4"/>
  <c r="F3" i="4"/>
  <c r="D3" i="4"/>
  <c r="C3" i="4"/>
  <c r="B3" i="4"/>
  <c r="T21" i="1" l="1"/>
  <c r="T22" i="1"/>
  <c r="T23" i="1"/>
  <c r="T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T35" i="1"/>
  <c r="T36" i="1"/>
  <c r="T37" i="1"/>
  <c r="T38" i="1"/>
  <c r="T39" i="1"/>
  <c r="T40" i="1"/>
  <c r="T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1" i="1"/>
  <c r="U51" i="1"/>
  <c r="T52" i="1"/>
  <c r="T53" i="1"/>
  <c r="T54" i="1"/>
  <c r="T55" i="1"/>
  <c r="T56" i="1"/>
  <c r="U56" i="1"/>
  <c r="T57" i="1"/>
  <c r="U57" i="1"/>
  <c r="T3" i="1"/>
  <c r="U3" i="1"/>
  <c r="T4" i="1"/>
  <c r="U4" i="1"/>
  <c r="T5" i="1"/>
  <c r="U5" i="1"/>
  <c r="U6" i="1"/>
  <c r="T7" i="1"/>
  <c r="T8" i="1"/>
  <c r="T9" i="1"/>
  <c r="T10" i="1"/>
  <c r="U10" i="1"/>
  <c r="T11" i="1"/>
  <c r="U11" i="1"/>
  <c r="U12" i="1"/>
  <c r="T13" i="1"/>
  <c r="T14" i="1"/>
  <c r="T15" i="1"/>
  <c r="U15" i="1"/>
  <c r="T16" i="1"/>
  <c r="U16" i="1"/>
  <c r="T17" i="1"/>
  <c r="U17" i="1"/>
  <c r="T18" i="1"/>
  <c r="U18" i="1"/>
  <c r="T19" i="1"/>
  <c r="U19" i="1"/>
  <c r="T20" i="1"/>
  <c r="U20" i="1"/>
  <c r="U2" i="1"/>
  <c r="T2" i="1"/>
  <c r="D15" i="5"/>
  <c r="D14" i="5"/>
  <c r="F15" i="5"/>
  <c r="J15" i="5" s="1"/>
  <c r="F14" i="5"/>
  <c r="J14" i="5" s="1"/>
  <c r="E23" i="5"/>
  <c r="I23" i="5" s="1"/>
  <c r="J16" i="5" l="1"/>
  <c r="I14" i="5"/>
  <c r="I15" i="5"/>
  <c r="G23" i="5"/>
  <c r="H23" i="5"/>
  <c r="J23" i="5"/>
  <c r="E21" i="5"/>
  <c r="H15" i="5"/>
  <c r="C22" i="5"/>
  <c r="B22" i="5"/>
  <c r="D22" i="5"/>
  <c r="B9" i="5"/>
  <c r="B10" i="5" s="1"/>
  <c r="F4" i="5"/>
  <c r="G4" i="5"/>
  <c r="E4" i="5"/>
  <c r="E3" i="4" s="1"/>
  <c r="N55" i="1"/>
  <c r="V55" i="1" s="1"/>
  <c r="N54" i="1"/>
  <c r="V54" i="1" s="1"/>
  <c r="G50" i="1"/>
  <c r="H50" i="1"/>
  <c r="I50" i="1"/>
  <c r="J50" i="1"/>
  <c r="K50" i="1"/>
  <c r="L50" i="1"/>
  <c r="M50" i="1"/>
  <c r="N50" i="1"/>
  <c r="P50" i="1"/>
  <c r="Q50" i="1"/>
  <c r="R50" i="1"/>
  <c r="S50" i="1"/>
  <c r="F50" i="1"/>
  <c r="N53" i="1"/>
  <c r="V53" i="1" s="1"/>
  <c r="N52" i="1"/>
  <c r="V52" i="1" s="1"/>
  <c r="Q41" i="1"/>
  <c r="N41" i="1"/>
  <c r="V41" i="1" s="1"/>
  <c r="N24" i="1"/>
  <c r="V24" i="1" s="1"/>
  <c r="Q23" i="1"/>
  <c r="N23" i="1"/>
  <c r="V23" i="1" s="1"/>
  <c r="Q22" i="1"/>
  <c r="N22" i="1"/>
  <c r="V22" i="1" s="1"/>
  <c r="Q21" i="1"/>
  <c r="N21" i="1"/>
  <c r="V21" i="1" s="1"/>
  <c r="N14" i="1"/>
  <c r="V14" i="1" s="1"/>
  <c r="N13" i="1"/>
  <c r="V13" i="1" s="1"/>
  <c r="N9" i="1"/>
  <c r="V9" i="1" s="1"/>
  <c r="N8" i="1"/>
  <c r="V8" i="1" s="1"/>
  <c r="N7" i="1"/>
  <c r="V7" i="1" s="1"/>
  <c r="Q40" i="1"/>
  <c r="N40" i="1"/>
  <c r="Q39" i="1"/>
  <c r="N39" i="1"/>
  <c r="V39" i="1" s="1"/>
  <c r="Q38" i="1"/>
  <c r="N38" i="1"/>
  <c r="V38" i="1" s="1"/>
  <c r="N37" i="1"/>
  <c r="Q37" i="1"/>
  <c r="Q36" i="1"/>
  <c r="V36" i="1" s="1"/>
  <c r="Q35" i="1"/>
  <c r="V35" i="1" s="1"/>
  <c r="Q34" i="1"/>
  <c r="V34" i="1" s="1"/>
  <c r="I12" i="1"/>
  <c r="G12" i="1"/>
  <c r="F12" i="1"/>
  <c r="I6" i="1"/>
  <c r="G6" i="1"/>
  <c r="F6" i="1"/>
  <c r="H6" i="1"/>
  <c r="H12" i="1"/>
  <c r="V37" i="1" l="1"/>
  <c r="V12" i="1"/>
  <c r="V40" i="1"/>
  <c r="V6" i="1"/>
  <c r="V50" i="1"/>
  <c r="I16" i="5"/>
  <c r="U14" i="1"/>
  <c r="U35" i="1"/>
  <c r="U36" i="1"/>
  <c r="U53" i="1"/>
  <c r="T50" i="1"/>
  <c r="U21" i="1"/>
  <c r="U55" i="1"/>
  <c r="T6" i="1"/>
  <c r="U22" i="1"/>
  <c r="U9" i="1"/>
  <c r="U13" i="1"/>
  <c r="U54" i="1"/>
  <c r="U38" i="1"/>
  <c r="U23" i="1"/>
  <c r="T12" i="1"/>
  <c r="U52" i="1"/>
  <c r="U37" i="1"/>
  <c r="U39" i="1"/>
  <c r="U50" i="1"/>
  <c r="U40" i="1"/>
  <c r="U24" i="1"/>
  <c r="U7" i="1"/>
  <c r="U41" i="1"/>
  <c r="U34" i="1"/>
  <c r="U8" i="1"/>
  <c r="H21" i="5"/>
  <c r="G21" i="5"/>
  <c r="I21" i="5"/>
  <c r="J21" i="5"/>
  <c r="E22" i="5"/>
  <c r="J22" i="5" s="1"/>
  <c r="K14" i="5"/>
  <c r="K15" i="5"/>
  <c r="H14" i="5"/>
  <c r="H16" i="5" s="1"/>
  <c r="H22" i="5" l="1"/>
  <c r="G22" i="5"/>
  <c r="F2" i="3"/>
  <c r="I22" i="5"/>
  <c r="I3" i="4" l="1"/>
</calcChain>
</file>

<file path=xl/sharedStrings.xml><?xml version="1.0" encoding="utf-8"?>
<sst xmlns="http://schemas.openxmlformats.org/spreadsheetml/2006/main" count="1266" uniqueCount="567">
  <si>
    <t>Fournisseur</t>
  </si>
  <si>
    <t>Gamme</t>
  </si>
  <si>
    <t>Hydraulique</t>
  </si>
  <si>
    <t>SIG</t>
  </si>
  <si>
    <t>100% Vitale bleu</t>
  </si>
  <si>
    <t>20% Vitale vert</t>
  </si>
  <si>
    <t>40% Vitale vert</t>
  </si>
  <si>
    <t>100% Vitale vert</t>
  </si>
  <si>
    <t>Cible</t>
  </si>
  <si>
    <t>Ökobilanzdaten im Baubereich</t>
  </si>
  <si>
    <t>KBOB / ecobau / IPB  2009/1:2022</t>
  </si>
  <si>
    <t>Données des écobilans dans la construction</t>
  </si>
  <si>
    <t/>
  </si>
  <si>
    <t>UBP</t>
  </si>
  <si>
    <t>PEF-ges</t>
  </si>
  <si>
    <t>PEF-e</t>
  </si>
  <si>
    <t>PEF-ne</t>
  </si>
  <si>
    <t>PEF-es</t>
  </si>
  <si>
    <t>THG</t>
  </si>
  <si>
    <t>ID-Nummer</t>
  </si>
  <si>
    <t>UUID-Nummer</t>
  </si>
  <si>
    <t xml:space="preserve">ENERGIE
</t>
  </si>
  <si>
    <t>Bezug
Réference</t>
  </si>
  <si>
    <r>
      <t>UBP'</t>
    </r>
    <r>
      <rPr>
        <b/>
        <sz val="9"/>
        <color rgb="FFFF0000"/>
        <rFont val="Arial"/>
        <family val="2"/>
      </rPr>
      <t>21</t>
    </r>
    <r>
      <rPr>
        <b/>
        <sz val="9"/>
        <rFont val="Arial"/>
        <family val="2"/>
      </rPr>
      <t xml:space="preserve">
UBP</t>
    </r>
  </si>
  <si>
    <t>Primärenergie 
Energie primaire</t>
  </si>
  <si>
    <t>Treibhausgas-
emissionen</t>
  </si>
  <si>
    <t>Référence</t>
  </si>
  <si>
    <t>No d'identi-fication</t>
  </si>
  <si>
    <t>gesamt</t>
  </si>
  <si>
    <t>erneuerbar</t>
  </si>
  <si>
    <t>nicht erneuerbar</t>
  </si>
  <si>
    <t>erneuerbar am Standort</t>
  </si>
  <si>
    <t>Emissions de gaz</t>
  </si>
  <si>
    <t>Grösse</t>
  </si>
  <si>
    <t>globale</t>
  </si>
  <si>
    <t>renouvelable</t>
  </si>
  <si>
    <t>non renouvelable</t>
  </si>
  <si>
    <t>renouvelable du site</t>
  </si>
  <si>
    <t>à effet de serre</t>
  </si>
  <si>
    <t>Dimension</t>
  </si>
  <si>
    <t>Einheit
Unité</t>
  </si>
  <si>
    <t>kWh oil-eq</t>
  </si>
  <si>
    <r>
      <t>kg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-eq</t>
    </r>
  </si>
  <si>
    <t>41</t>
  </si>
  <si>
    <r>
      <t>Brennstoffe</t>
    </r>
    <r>
      <rPr>
        <b/>
        <vertAlign val="superscript"/>
        <sz val="10"/>
        <rFont val="Arial"/>
        <family val="2"/>
      </rPr>
      <t>1</t>
    </r>
  </si>
  <si>
    <r>
      <t>Combustibles</t>
    </r>
    <r>
      <rPr>
        <b/>
        <vertAlign val="superscript"/>
        <sz val="10"/>
        <rFont val="Arial"/>
        <family val="2"/>
      </rPr>
      <t>1</t>
    </r>
  </si>
  <si>
    <t>41.001</t>
  </si>
  <si>
    <t>48b15cda-179e-4f9a-81c3-7cd01653e920</t>
  </si>
  <si>
    <t>Heizöl EL</t>
  </si>
  <si>
    <t>Endenergie</t>
  </si>
  <si>
    <t>kWh</t>
  </si>
  <si>
    <t>Enérgie finale</t>
  </si>
  <si>
    <t>Mazout EL</t>
  </si>
  <si>
    <t>41.002</t>
  </si>
  <si>
    <t>76a19c53-8e44-4806-8bd2-f0d87507a1db</t>
  </si>
  <si>
    <t>Erdgas</t>
  </si>
  <si>
    <t>Gaz naturel</t>
  </si>
  <si>
    <t>41.003</t>
  </si>
  <si>
    <t>f12d6f0a-8ea3-450f-b9af-2e8f53758baa</t>
  </si>
  <si>
    <t>Propan/Butan</t>
  </si>
  <si>
    <t>Propane/butane</t>
  </si>
  <si>
    <t>41.004</t>
  </si>
  <si>
    <t>217f6f88-ba46-4c56-850c-80a57dc9daad</t>
  </si>
  <si>
    <t>Kohle Koks</t>
  </si>
  <si>
    <t>Coke de houille</t>
  </si>
  <si>
    <t>41.005</t>
  </si>
  <si>
    <t>0fd32da9-b0cb-424f-ae15-de65666785c4</t>
  </si>
  <si>
    <t>Kohle Brikett</t>
  </si>
  <si>
    <t>Briquette de houille</t>
  </si>
  <si>
    <t>41.006</t>
  </si>
  <si>
    <t>714c90ac-5805-462a-bcaa-d08d11977e3f</t>
  </si>
  <si>
    <t>Stückholz</t>
  </si>
  <si>
    <t>Bûches de bois</t>
  </si>
  <si>
    <t>41.010</t>
  </si>
  <si>
    <t>2db29ccb-52fe-4e84-a135-734d8b38c078</t>
  </si>
  <si>
    <t>Stückholz mit Partikelfilter</t>
  </si>
  <si>
    <t>Bûches de bois avec filtre à particules</t>
  </si>
  <si>
    <t>41.007</t>
  </si>
  <si>
    <t>37e0ceac-f8ff-44f1-a1df-6ac995426b5e</t>
  </si>
  <si>
    <t>Holzschnitzel</t>
  </si>
  <si>
    <t>Particules de bois</t>
  </si>
  <si>
    <t>41.011</t>
  </si>
  <si>
    <t>6e44744b-89c3-4e51-bbce-ad8fdfcc77b6</t>
  </si>
  <si>
    <t>Holzschnitzel mit Partikelfilter</t>
  </si>
  <si>
    <t>Particules de bois avec filtre à particules</t>
  </si>
  <si>
    <t>41.008</t>
  </si>
  <si>
    <t>e7b59798-478f-43ff-a576-379dbf6da60d</t>
  </si>
  <si>
    <t>Pellets</t>
  </si>
  <si>
    <t>Granules (pellets)</t>
  </si>
  <si>
    <t>41.012</t>
  </si>
  <si>
    <t>7ff25854-f861-4a40-9823-65d24b5e1d11</t>
  </si>
  <si>
    <t>Pellets mit Partikelfilter</t>
  </si>
  <si>
    <t>Granules (pellets) avec filtre à particules</t>
  </si>
  <si>
    <t>41.009</t>
  </si>
  <si>
    <t>273feaeb-5b51-4f6b-b42a-f27eb5e1973f</t>
  </si>
  <si>
    <t>Biogas</t>
  </si>
  <si>
    <t>Biogaz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</si>
  <si>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Oberer Heizwert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</si>
  <si>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Pouvoir calorifique supérieur</t>
    </r>
  </si>
  <si>
    <t>42</t>
  </si>
  <si>
    <t>Fernwärme</t>
  </si>
  <si>
    <t>Chauffage urbain</t>
  </si>
  <si>
    <t>42.018</t>
  </si>
  <si>
    <t>d6bcf340-4df2-46b5-8fc3-4c602ae28ef9</t>
  </si>
  <si>
    <t>Atomkraftwerk</t>
  </si>
  <si>
    <t>42.001</t>
  </si>
  <si>
    <t>b5fed222-858b-4b0c-9b79-2004731edfd9</t>
  </si>
  <si>
    <t>Heizzentrale Oel</t>
  </si>
  <si>
    <t>Centrale de chauffage, pétrole</t>
  </si>
  <si>
    <t>42.002</t>
  </si>
  <si>
    <t>4c27aa48-dc77-421c-b747-3cd7bde6ee17</t>
  </si>
  <si>
    <t>Heizzentrale Gas</t>
  </si>
  <si>
    <t>Centrale de chauffage, gaz</t>
  </si>
  <si>
    <t>42.003</t>
  </si>
  <si>
    <t>ff03eee5-5157-4073-ae97-2cb453aadedd</t>
  </si>
  <si>
    <t>Heizzentrale Holz</t>
  </si>
  <si>
    <t>Centrale de chauffage, bois</t>
  </si>
  <si>
    <t>42.004</t>
  </si>
  <si>
    <t>2c1816ea-5584-46cc-970a-ad2510e4ef7b</t>
  </si>
  <si>
    <t>Heizkraftwerk Holz</t>
  </si>
  <si>
    <t>Centrale à cogénération, bois</t>
  </si>
  <si>
    <t>42.006</t>
  </si>
  <si>
    <t>c64180bd-c1b0-4063-9fb3-08cb3fc4c8ab</t>
  </si>
  <si>
    <t>Heizzentrale EWP Abwasser (JAZ 3.4)</t>
  </si>
  <si>
    <t>Centrale de chauffage PACE, eaux usées (COPA 3.4)</t>
  </si>
  <si>
    <t>42.007</t>
  </si>
  <si>
    <t>7e521934-5d8f-40ac-8e17-249fe17da805</t>
  </si>
  <si>
    <t>Heizzentrale EWP Grundwasser (JAZ 3.1)</t>
  </si>
  <si>
    <t>Centrale de chauffage PACE, eaux souterraines (COPA 3.4)</t>
  </si>
  <si>
    <t>42.008</t>
  </si>
  <si>
    <t>9ac34f42-df98-4f3a-b676-3c91f8cff5c1</t>
  </si>
  <si>
    <t>Heizzentrale EWP Erdsonde (JAZ 3.1)</t>
  </si>
  <si>
    <t>Centrale de chauffage PACE, sonde géothermique (COPA 3.9)</t>
  </si>
  <si>
    <t>42.009</t>
  </si>
  <si>
    <t>2601e6f0-975b-4d52-a7bc-d2e4b60f951b</t>
  </si>
  <si>
    <t>Heizzentrale Geothermie</t>
  </si>
  <si>
    <t>Centrale de chauffage, géothermie</t>
  </si>
  <si>
    <t>42.010</t>
  </si>
  <si>
    <t>2b651e64-f7fa-4bcd-a6d8-4f36ea6efe21</t>
  </si>
  <si>
    <t>Heizkraftwerk Geothermie</t>
  </si>
  <si>
    <t>Centrale à cogénération, géothermie</t>
  </si>
  <si>
    <t>42.011</t>
  </si>
  <si>
    <t>8c167af0-64e3-4846-9087-fb1d378e9ee6</t>
  </si>
  <si>
    <t>Kehrichtverbrennung</t>
  </si>
  <si>
    <t>Incinération des ordures ménagères</t>
  </si>
  <si>
    <t>42.012</t>
  </si>
  <si>
    <t>57f12294-3883-4d65-863e-f081764b635a</t>
  </si>
  <si>
    <t>Blockheizkraftwerk Diesel</t>
  </si>
  <si>
    <t>Centrale à cogénération, diesel</t>
  </si>
  <si>
    <t>42.013</t>
  </si>
  <si>
    <t>360395e5-0272-4bfd-913a-e924e088f66f</t>
  </si>
  <si>
    <t>Blockheizkraftwerk Gas</t>
  </si>
  <si>
    <t>Centrale à cogénération, gaz</t>
  </si>
  <si>
    <t>42.014</t>
  </si>
  <si>
    <t>4613ab3e-444a-4a2d-8d5a-b60948fb8dee</t>
  </si>
  <si>
    <t>Blockheizkraftwerk Biogas</t>
  </si>
  <si>
    <t>Centrale à cogénération, biogaz</t>
  </si>
  <si>
    <t>42.016</t>
  </si>
  <si>
    <t>130cb5ce-cd7e-4ed8-96d7-93cb56dd3853</t>
  </si>
  <si>
    <t>Fernwärme Durchschnitt Netze CH</t>
  </si>
  <si>
    <t>Chauffage à distance, moyenne réseaux CH</t>
  </si>
  <si>
    <t>42.017</t>
  </si>
  <si>
    <t>a8516884-b484-4e68-8e30-608d276fa1c0</t>
  </si>
  <si>
    <t>Fernwärme mit Nutzung Kehrichtwärme, Durchschnitt Netze CH</t>
  </si>
  <si>
    <t>Chauffage à distance de l'incinération des ordures, moyenne réseaux CH</t>
  </si>
  <si>
    <t>43</t>
  </si>
  <si>
    <t>Nutzwärme</t>
  </si>
  <si>
    <t>Chaleur utile</t>
  </si>
  <si>
    <t>43.013</t>
  </si>
  <si>
    <t>55460b07-ca34-4a67-8982-2e852bc37223</t>
  </si>
  <si>
    <t>Elektrospeicherofen (Strom CH)</t>
  </si>
  <si>
    <r>
      <t>Nutzwärme</t>
    </r>
    <r>
      <rPr>
        <vertAlign val="superscript"/>
        <sz val="10"/>
        <color rgb="FFFF0000"/>
        <rFont val="Arial"/>
        <family val="2"/>
      </rPr>
      <t>2</t>
    </r>
  </si>
  <si>
    <t>43.014</t>
  </si>
  <si>
    <t>65f87076-fa16-4403-8fae-232d7c9c2f36</t>
  </si>
  <si>
    <t>Elektrospeicherofen (Strom CH zertifiziert)</t>
  </si>
  <si>
    <t>43.001</t>
  </si>
  <si>
    <t>7d9b9d39-8e10-45ca-8ea8-622b3828030b</t>
  </si>
  <si>
    <t>Heizkessel Heizöl EL</t>
  </si>
  <si>
    <r>
      <t>Nutzwärme</t>
    </r>
    <r>
      <rPr>
        <vertAlign val="superscript"/>
        <sz val="10"/>
        <rFont val="Arial"/>
        <family val="2"/>
      </rPr>
      <t>2</t>
    </r>
  </si>
  <si>
    <r>
      <t>Chaleur utile</t>
    </r>
    <r>
      <rPr>
        <vertAlign val="superscript"/>
        <sz val="10"/>
        <rFont val="Arial"/>
        <family val="2"/>
      </rPr>
      <t>2</t>
    </r>
  </si>
  <si>
    <t>Chaudière, mazout EL</t>
  </si>
  <si>
    <t>43.002</t>
  </si>
  <si>
    <t>ba619be9-6606-4dbe-87ed-406ae039d885</t>
  </si>
  <si>
    <t>Heizkessel Erdgas</t>
  </si>
  <si>
    <t>Chaudière, gaz naturel</t>
  </si>
  <si>
    <t>43.003</t>
  </si>
  <si>
    <t>dc135147-dd7c-49a1-a456-3becae0fd4ed</t>
  </si>
  <si>
    <t>Heizkessel Propan / Butan</t>
  </si>
  <si>
    <t>Chaudière, propane/butane</t>
  </si>
  <si>
    <t>43.004</t>
  </si>
  <si>
    <t>8eff895b-6598-421d-8348-73fb966452dc</t>
  </si>
  <si>
    <t>Heizkessel Kohle Koks</t>
  </si>
  <si>
    <t>Chaudière, coke de houille</t>
  </si>
  <si>
    <t>43.005</t>
  </si>
  <si>
    <t>cfc59c80-f1cf-4936-a91e-730144481924</t>
  </si>
  <si>
    <t>Heizkessel Kohle Brikett</t>
  </si>
  <si>
    <t>Chaudière, briquette de houille</t>
  </si>
  <si>
    <t>43.006</t>
  </si>
  <si>
    <t>fc02eb84-74dd-4d52-a0e4-5c20232efbc4</t>
  </si>
  <si>
    <t>Heizkessel Stückholz</t>
  </si>
  <si>
    <t>Chaudière, bûches de bois</t>
  </si>
  <si>
    <t>43.010</t>
  </si>
  <si>
    <t>a3736425-d2ff-4dec-9c77-b28223681b44</t>
  </si>
  <si>
    <t>Heizkessel Stückholz mit Partikelfilter</t>
  </si>
  <si>
    <t>Chaudière, bûches de bois avec filtre à particules</t>
  </si>
  <si>
    <t>43.007</t>
  </si>
  <si>
    <t>5f1933a0-398d-481b-bb23-afcc4517728b</t>
  </si>
  <si>
    <t>Heizkessel Holzschnitzel</t>
  </si>
  <si>
    <t>Chaudière, particules de bois</t>
  </si>
  <si>
    <t>43.011</t>
  </si>
  <si>
    <t>1da5e9bd-101d-4979-b88f-ef3a5c8a60bd</t>
  </si>
  <si>
    <t>Heizkessel Holzschnitzel mit Partikelfilter</t>
  </si>
  <si>
    <t>Chaudière, particules de bois avec filtre à particules</t>
  </si>
  <si>
    <t>43.008</t>
  </si>
  <si>
    <t>c7a584e8-5547-4635-ab55-72ea8498a49d</t>
  </si>
  <si>
    <t>Heizkessel Pellets</t>
  </si>
  <si>
    <t>Chaudière, granules (pellets)</t>
  </si>
  <si>
    <t>43.012</t>
  </si>
  <si>
    <t>678aba03-e476-40da-b927-a3d3f6b3cfd0</t>
  </si>
  <si>
    <t>Heizkessel Pellets mit Partikelfilter</t>
  </si>
  <si>
    <t>Chaudière, granules (pellets) avec filtre à particules</t>
  </si>
  <si>
    <t>43.009</t>
  </si>
  <si>
    <t>e9c79b59-e4d3-49ff-a0d9-290bc7f01055</t>
  </si>
  <si>
    <t>Heizkessel Biogas</t>
  </si>
  <si>
    <t>Chaudière, biogaz</t>
  </si>
  <si>
    <t>44</t>
  </si>
  <si>
    <t>Nutzwärme am Standort erzeugt, inkl. erneuerbare Energien</t>
  </si>
  <si>
    <t>Chaleur utile produite sur place, y compris énergies renouvelables</t>
  </si>
  <si>
    <t>44.001</t>
  </si>
  <si>
    <t>0b18350f-d69a-436d-ae82-e34e89382b2c</t>
  </si>
  <si>
    <t>Elektrowärmepumpe Luft / Wasser (15kW, Altbau, JAZ 2.7, Strom CH)</t>
  </si>
  <si>
    <t>Nutzwärme2</t>
  </si>
  <si>
    <t>Pompe à chaleur électrique air-eau (15kW, XX, COPA XX, XX)</t>
  </si>
  <si>
    <t>44.012</t>
  </si>
  <si>
    <t>4ea61be0-177c-4f44-a0b6-baba4dde43b8</t>
  </si>
  <si>
    <t>Elektrowärmepumpe Luft / Wasser (15kW, Altbau, JAZ 2.7, Strom CH zertifiziert)</t>
  </si>
  <si>
    <r>
      <t>Chaleur utile</t>
    </r>
    <r>
      <rPr>
        <vertAlign val="superscript"/>
        <sz val="10"/>
        <color rgb="FFFF0000"/>
        <rFont val="Arial"/>
        <family val="2"/>
      </rPr>
      <t>2</t>
    </r>
  </si>
  <si>
    <t>44.009</t>
  </si>
  <si>
    <t>58b13ac9-512c-4397-8b96-7c8a77c5cace</t>
  </si>
  <si>
    <t>Elektrowärmepumpe Luft / Wasser (15kW, Neubau, JAZ 4.4, Strom CH)</t>
  </si>
  <si>
    <t>44.015</t>
  </si>
  <si>
    <t>554cbe26-389f-4e9c-9238-10d1258df06d</t>
  </si>
  <si>
    <t>Elektrowärmepumpe Luft / Wasser (15kW, Neubau, JAZ 4.4, Strom CH zertifiziert)</t>
  </si>
  <si>
    <t>44.002</t>
  </si>
  <si>
    <t>a673b8a9-910d-4ddd-85ab-a46bc496654f</t>
  </si>
  <si>
    <t>Elektrowärmepumpe Erdsonden (15kW, Altbau, JAZ 3.2, Strom CH)</t>
  </si>
  <si>
    <t>Pompe à chaleur électrique sondes géothermiques (XXXX)</t>
  </si>
  <si>
    <t>44.013</t>
  </si>
  <si>
    <t>af3e00a5-f765-4c28-b8f3-90f0ef380730</t>
  </si>
  <si>
    <t>Elektrowärmepumpe Erdsonden (15kW, Altbau, JAZ 3.2, Strom CH zertifiziert)</t>
  </si>
  <si>
    <t>44.010</t>
  </si>
  <si>
    <t>b9cb39f8-a5b1-46d5-9ffa-c1e1d5d08e24</t>
  </si>
  <si>
    <t>Elektrowärmepumpe Erdsonden (15kW, Neubau, JAZ 5.3, Strom CH)</t>
  </si>
  <si>
    <t>44.016</t>
  </si>
  <si>
    <t>c807fa71-cf7c-42b1-ac5e-50e329bcc2d9</t>
  </si>
  <si>
    <t>Elektrowärmepumpe Erdsonden (15kW, Neubau, JAZ 5.3, Strom CH zertifiziert)</t>
  </si>
  <si>
    <t>44.003</t>
  </si>
  <si>
    <t>ad4e5263-415c-4a35-b9c4-f9e6fe89d367</t>
  </si>
  <si>
    <t>Elektrowärmepumpe Grundwasser (15kW, Altbau, JAZ 3.2, Strom CH)</t>
  </si>
  <si>
    <t>Pompe à chaleur électrique eaux souterraines (XXXX</t>
  </si>
  <si>
    <t>44.014</t>
  </si>
  <si>
    <t>d3f29196-dca0-4212-b79b-21d85d4343e0</t>
  </si>
  <si>
    <t>Elektrowärmepumpe Grundwasser (15kW, Altbau, JAZ 3.2, Strom CH zertifiziert)</t>
  </si>
  <si>
    <t>44.011</t>
  </si>
  <si>
    <t>d41868f3-7ed1-4518-b290-d9823454d590</t>
  </si>
  <si>
    <t>Elektrowärmepumpe Grundwasser (15kW, Neubau, JAZ 5.3, Strom CH)</t>
  </si>
  <si>
    <t>44.017</t>
  </si>
  <si>
    <t>bdb8bd74-b9bc-4d08-b2a5-490d3b8b381e</t>
  </si>
  <si>
    <t>Elektrowärmepumpe Grundwasser (15kW, Neubau, JAZ 5.3, Strom CH zertifiziert)</t>
  </si>
  <si>
    <t>44.004</t>
  </si>
  <si>
    <t>5d43faac-ced7-442d-9c5b-fd3c98dbf322</t>
  </si>
  <si>
    <t>Flachkollektor für Warmwasser EFH</t>
  </si>
  <si>
    <t>Collecteurs solaires plan, eau chaude maison individuelle</t>
  </si>
  <si>
    <t>44.005</t>
  </si>
  <si>
    <t>5f5c1c64-5015-4b87-98a9-84e4e2552dbe</t>
  </si>
  <si>
    <t>Flachkollektor für Raumheizung und Warmwasser EFH</t>
  </si>
  <si>
    <t>Collecteurs solaires plan, chaleur et eau chaude maison individuelle</t>
  </si>
  <si>
    <t>44.006</t>
  </si>
  <si>
    <t>34b2141d-695b-4223-b7ef-74bfd62d5081</t>
  </si>
  <si>
    <t>Flachkollektor für Warmwasser MFH</t>
  </si>
  <si>
    <t>Collecteurs solaires plan, eau chaude immeuble locatif</t>
  </si>
  <si>
    <t>44.007</t>
  </si>
  <si>
    <t>9867129a-d2ec-4740-a36e-a702062d8d70</t>
  </si>
  <si>
    <t>Röhrenkollektor für Raumheizung und Warmwasser EFH</t>
  </si>
  <si>
    <t>Collecteurs solaires à tubes, chaleur et eau chaude maison individuelle</t>
  </si>
  <si>
    <t>44.008</t>
  </si>
  <si>
    <t>18d9c1bd-bedd-474b-b652-f28cce940ce9</t>
  </si>
  <si>
    <t>Kleinblockheizkraftwerk, Erdgas</t>
  </si>
  <si>
    <t>Centrale à cogénération, petite, gaz</t>
  </si>
  <si>
    <t>44.018</t>
  </si>
  <si>
    <t>a53faab7-4b4b-49c1-b019-e8fb34f5e330</t>
  </si>
  <si>
    <t>Solarthermieanlage Schrägdach mit Erdsondenregeneration</t>
  </si>
  <si>
    <t>44.019</t>
  </si>
  <si>
    <t>5cc125f5-2014-4cae-a3c1-aa9035fce5d6</t>
  </si>
  <si>
    <t>Solarthermieanlage Schrägdach mit Warmwasserspeicher</t>
  </si>
  <si>
    <r>
      <t>2</t>
    </r>
    <r>
      <rPr>
        <sz val="9"/>
        <rFont val="Arial"/>
        <family val="2"/>
      </rPr>
      <t xml:space="preserve">inkl. Verteilverluste (Wärme am Ausgang Wärmeerzeuger)
</t>
    </r>
  </si>
  <si>
    <r>
      <t>2</t>
    </r>
    <r>
      <rPr>
        <sz val="9"/>
        <rFont val="Arial"/>
        <family val="2"/>
      </rPr>
      <t>y compris pertes de distribution (Chaleur à la sortie du producteur de chaleur)</t>
    </r>
    <r>
      <rPr>
        <vertAlign val="superscript"/>
        <sz val="9"/>
        <rFont val="Arial"/>
        <family val="2"/>
      </rPr>
      <t xml:space="preserve">
</t>
    </r>
  </si>
  <si>
    <t>45</t>
  </si>
  <si>
    <t>Elektrizität vom Netz</t>
  </si>
  <si>
    <t>Electricité du réseau</t>
  </si>
  <si>
    <t>45.001</t>
  </si>
  <si>
    <t>435c385f-89c8-4697-b56e-03e6ff69bbf0</t>
  </si>
  <si>
    <t>Centrale nucléaire</t>
  </si>
  <si>
    <t>45.002</t>
  </si>
  <si>
    <t>af5f1204-e32e-4854-a7d7-14358c31b884</t>
  </si>
  <si>
    <t>Erdgaskombikraftwerk GuD</t>
  </si>
  <si>
    <t>Centrale combinée gaz naturel G+V</t>
  </si>
  <si>
    <t>45.024</t>
  </si>
  <si>
    <t>f63eab72-1de0-420c-8980-2c07f13fe242</t>
  </si>
  <si>
    <t>Erdgaskraftwerk</t>
  </si>
  <si>
    <t>45.023</t>
  </si>
  <si>
    <t>72c73906-19ca-4ffa-bcb6-1d0bf591af7a</t>
  </si>
  <si>
    <t>Braunkohlekraftwerk</t>
  </si>
  <si>
    <t>Centrale au lignite</t>
  </si>
  <si>
    <t>45.003</t>
  </si>
  <si>
    <t>aa08451d-646b-465e-ba87-f402946e572b</t>
  </si>
  <si>
    <t>Steinkohlekraftwerk</t>
  </si>
  <si>
    <t>Centrale au charbon</t>
  </si>
  <si>
    <t>45.004</t>
  </si>
  <si>
    <t>824df77c-1694-439b-b3be-ed1751afb72f</t>
  </si>
  <si>
    <t>Kraftwerk Schweröl</t>
  </si>
  <si>
    <t>Centrale, pétrole</t>
  </si>
  <si>
    <t>45.005</t>
  </si>
  <si>
    <t>71f008b1-b010-49c8-b6f3-12c8b17a1768</t>
  </si>
  <si>
    <t>45.006</t>
  </si>
  <si>
    <t>7c4c72bf-4676-4084-bd34-45e41d445ff0</t>
  </si>
  <si>
    <t>45.007</t>
  </si>
  <si>
    <t>e5a3a6ce-588f-4182-ace1-77d8824dcefb</t>
  </si>
  <si>
    <t>45.008</t>
  </si>
  <si>
    <t>796f0ecd-6673-45de-a0ff-dd1518eb07aa</t>
  </si>
  <si>
    <t>45.009</t>
  </si>
  <si>
    <t>5f8e4f54-bff4-45ab-92c3-80542a3a821d</t>
  </si>
  <si>
    <t>45.011</t>
  </si>
  <si>
    <t>fb939bcf-3036-43c4-a53f-f0112ba5b94f</t>
  </si>
  <si>
    <t>Photovoltaik</t>
  </si>
  <si>
    <t>Photovoltaïque</t>
  </si>
  <si>
    <t>45.012</t>
  </si>
  <si>
    <t>b423276c-108a-4f5d-8956-b7d8d853610e</t>
  </si>
  <si>
    <t>Photovoltaik Schrägdach</t>
  </si>
  <si>
    <t>Photovoltaïque toiture inclinée</t>
  </si>
  <si>
    <t>45.013</t>
  </si>
  <si>
    <t>e55b3bc6-ae20-4bd4-a426-4e6d19274567</t>
  </si>
  <si>
    <t>Photovoltaik Flachdach</t>
  </si>
  <si>
    <t>Photovoltaïque toiture plate</t>
  </si>
  <si>
    <t>45.014</t>
  </si>
  <si>
    <t>788e955c-ee9b-40e1-ae75-a2324219a711</t>
  </si>
  <si>
    <t>Photovoltaik Fassade</t>
  </si>
  <si>
    <t>Photovoltaïque façade</t>
  </si>
  <si>
    <t>45.027</t>
  </si>
  <si>
    <t>1e8fb369-a0e8-478c-8ca1-dc78163d5a2e</t>
  </si>
  <si>
    <t>Photovoltaik Schrägdach Mono-Si</t>
  </si>
  <si>
    <t>45.028</t>
  </si>
  <si>
    <t>f480fec1-83bd-4ad0-a86a-ca7accd68ae3</t>
  </si>
  <si>
    <t>Photovoltaik Schrägdach Multi-Si</t>
  </si>
  <si>
    <t>45.029</t>
  </si>
  <si>
    <t>9c7a7e8d-2874-4b08-8700-bbc5459e2760</t>
  </si>
  <si>
    <t>Photovoltaik Schrägdach CdTe</t>
  </si>
  <si>
    <t>45.030</t>
  </si>
  <si>
    <t>7e70fc16-2414-407e-aacd-40ad589cef59</t>
  </si>
  <si>
    <t>Photovoltaik Schrägdach CIS</t>
  </si>
  <si>
    <t>45.015</t>
  </si>
  <si>
    <t>c32126d2-b7b7-4125-829b-8487add5f329</t>
  </si>
  <si>
    <t>Windkraft</t>
  </si>
  <si>
    <t>Energie éolienne</t>
  </si>
  <si>
    <t>45.016</t>
  </si>
  <si>
    <t>ab036a5d-8e74-4184-b240-982ab6af177e</t>
  </si>
  <si>
    <t>Wasserkraft</t>
  </si>
  <si>
    <t>Energie hydraulique</t>
  </si>
  <si>
    <t>45.017</t>
  </si>
  <si>
    <t>e1b166b6-6d08-4c94-9521-4ce41d63750f</t>
  </si>
  <si>
    <t>Pumpspeicherung</t>
  </si>
  <si>
    <t>Accumulation par pompage</t>
  </si>
  <si>
    <t>45.018</t>
  </si>
  <si>
    <t>365dfbc7-e5c3-4afa-aa69-8c3299d6df53</t>
  </si>
  <si>
    <t>45.020</t>
  </si>
  <si>
    <t>e4f13ff2-30e8-4233-88b8-d188890c9368</t>
  </si>
  <si>
    <t>CH-Verbrauchermix</t>
  </si>
  <si>
    <t>Mix consommateur CH</t>
  </si>
  <si>
    <t>45.019</t>
  </si>
  <si>
    <t>8a04a598-219a-46dd-8c73-7710995a9e8d</t>
  </si>
  <si>
    <t>CH-Produktionsmix</t>
  </si>
  <si>
    <t>Mix de production CH</t>
  </si>
  <si>
    <t>45.022</t>
  </si>
  <si>
    <t>10572f84-797c-4cd6-9b75-4b2e5c5dff0e</t>
  </si>
  <si>
    <t>Mix Stromprodukte aus erneuerbaren Energien</t>
  </si>
  <si>
    <t>Mix de produits des énergies renouvelables CH</t>
  </si>
  <si>
    <t>45.025</t>
  </si>
  <si>
    <t>11577786-f0fb-40b4-8429-10d1fed583f4</t>
  </si>
  <si>
    <t>CH-Lieferantenmix HKN</t>
  </si>
  <si>
    <t>45.021</t>
  </si>
  <si>
    <t>9c3a1bd6-d71a-4afe-890b-a0c56eb0b49c</t>
  </si>
  <si>
    <t>ENTSO-E-Mix (ehemals UCTE-Mix)</t>
  </si>
  <si>
    <t xml:space="preserve">Mix ENTSO-E (anc. mix UCTE) </t>
  </si>
  <si>
    <t>46</t>
  </si>
  <si>
    <t>Elektrizität am Standort erzeugt, inkl. erneuerbare Energien</t>
  </si>
  <si>
    <t>Electricité produite sur place, y compris énergies renouvelables</t>
  </si>
  <si>
    <t>46.001</t>
  </si>
  <si>
    <t>7be161d6-03fa-4db1-82bc-e6be259a060b</t>
  </si>
  <si>
    <t>46.002</t>
  </si>
  <si>
    <t>ae86904a-9745-4d24-b427-a8908a7f97bd</t>
  </si>
  <si>
    <t>46.003</t>
  </si>
  <si>
    <t>8c2b3e9f-804c-4d75-850b-c609496459af</t>
  </si>
  <si>
    <t>46.004</t>
  </si>
  <si>
    <t>b9c5acff-d08c-4f15-b034-855c6540dbfb</t>
  </si>
  <si>
    <t>46.009</t>
  </si>
  <si>
    <t>20415a4b-ce1c-4e19-ac75-1e77fe55c081</t>
  </si>
  <si>
    <t>46.010</t>
  </si>
  <si>
    <t>80b93f08-816d-481b-a09d-2ebd2702d33a</t>
  </si>
  <si>
    <t>46.011</t>
  </si>
  <si>
    <t>6213e7fb-e81c-4060-8acd-c794dd8ad545</t>
  </si>
  <si>
    <t>46.012</t>
  </si>
  <si>
    <t>b5b7b671-673c-4585-a656-e03ce245f997</t>
  </si>
  <si>
    <t>46.013</t>
  </si>
  <si>
    <t>6110720a-6002-4ac3-9719-08c40a415d32</t>
  </si>
  <si>
    <t>Photovoltaik Mono-Si in Hybridkollektor</t>
  </si>
  <si>
    <t>46.005</t>
  </si>
  <si>
    <t>3f6aa33a-372f-437b-a03e-d2ead135874f</t>
  </si>
  <si>
    <t>46.006</t>
  </si>
  <si>
    <t>d7868367-6236-4c47-8887-693007b13390</t>
  </si>
  <si>
    <t>46.007</t>
  </si>
  <si>
    <t>316f0045-51cf-4a99-a9cf-c1c2eac282bb</t>
  </si>
  <si>
    <t>Biogas, Landwirtschaft</t>
  </si>
  <si>
    <t>Biogaz agricole</t>
  </si>
  <si>
    <t>46.008</t>
  </si>
  <si>
    <t>7d5bd80b-2e77-4498-8c48-dfd001fb7b7f</t>
  </si>
  <si>
    <t>46.014</t>
  </si>
  <si>
    <t>31ad1ddc-f76c-4caf-b168-9c3e6e0772df</t>
  </si>
  <si>
    <t>Kleinblockheizkraftwerk, Biogas</t>
  </si>
  <si>
    <t xml:space="preserve">Strommixrechner: Mit dem Strommixrechner (https://treeze.ch/de/rechner) können Umweltkennwerte von spezifischen Strommixen berechnet werden. 
Fernwärmerechner: Mit dem Fernwärmerechner (https://treeze.ch/de/rechner) können Umweltkennwerte von spezifischen Fernwärmemixen berechnet werden. 
Wärmepumpenrechner: Mit dem Wärmepumpenrechner (https://treeze.ch/de/rechner) können Umweltkennwerte pro kWh gelieferte Wärme und pro kWh Strom, der von der Wärmepumpe verbraucht wird berechnet werden. </t>
  </si>
  <si>
    <t>https://media.sig-ge.ch/documents/tarifs_reglements/electricite/tarifs/tarifs_electricite_tous_clients.pdf</t>
  </si>
  <si>
    <t>Romande énergie</t>
  </si>
  <si>
    <t>Tous</t>
  </si>
  <si>
    <t>Petites entreprises et indépendants</t>
  </si>
  <si>
    <t>Terre Suisse</t>
  </si>
  <si>
    <t>Terre d'ici</t>
  </si>
  <si>
    <t>Solaire CH</t>
  </si>
  <si>
    <t>Hydraulique CH</t>
  </si>
  <si>
    <t>Eolien CH</t>
  </si>
  <si>
    <t>Biomasse et déchets issus de la biomasse CH</t>
  </si>
  <si>
    <t>Nucléaire CH</t>
  </si>
  <si>
    <t>Hydraulique UE</t>
  </si>
  <si>
    <t>https://media.sig-ge.ch/documents/tarifs_reglements/electricite/marquage/electricite_fournie_par_sig.pdf</t>
  </si>
  <si>
    <t>Source mix</t>
  </si>
  <si>
    <t>Source prix</t>
  </si>
  <si>
    <t>https://www.romande-energie.ch/images/files/prix-electricite/2022_prix-electricite_re.pdf</t>
  </si>
  <si>
    <t>https://www.romande-energie.ch/images/files/2020-marquage.pdf</t>
  </si>
  <si>
    <t>Alpiq</t>
  </si>
  <si>
    <t>https://www.strom.ch/fr/services/marquage-de-lelectricite</t>
  </si>
  <si>
    <t>Entreprises</t>
  </si>
  <si>
    <t>Géothermie CH</t>
  </si>
  <si>
    <t>Mesure d'encouragement CH (voir onglet)</t>
  </si>
  <si>
    <t>GWP énergie (kg CO2eq/kWh)</t>
  </si>
  <si>
    <t>Inconnu</t>
  </si>
  <si>
    <t>https://groupee.sharepoint.com/sites/MediaPoint/Supports%20publicitaires/01_Brochures%20et%20flyers/01_Electricit%c3%a9/Marquage%20de%20l%27%c3%a9lectricit%c3%a9/marquage-plus-fr.pdf</t>
  </si>
  <si>
    <t>Groupe-E</t>
  </si>
  <si>
    <t>Particuliers et PME (&lt;100 MWh/an)</t>
  </si>
  <si>
    <t>https://groupee.sharepoint.com/sites/MediaPoint/Supports publicitaires/01_Brochures et flyers/01_Electricité/Marquage de l'électricité/marquage-basic-fr.pdf</t>
  </si>
  <si>
    <t>Incinération des déchets CH</t>
  </si>
  <si>
    <t>Gaz naturel CH</t>
  </si>
  <si>
    <t>https://groupee.sharepoint.com/sites/MediaPoint/Supports%20publicitaires/01_Brochures%20et%20flyers/01_Electricit%c3%a9/Marquage%20de%20l%27%c3%a9lectricit%c3%a9/marquage-star-fr.pdf</t>
  </si>
  <si>
    <t>Viteos</t>
  </si>
  <si>
    <t>Vivalor</t>
  </si>
  <si>
    <t>Areuse</t>
  </si>
  <si>
    <t>Areuse+</t>
  </si>
  <si>
    <t>Particuliers et entreprises</t>
  </si>
  <si>
    <t>Basic</t>
  </si>
  <si>
    <t>https://viteos.ch/wp-content/uploads/Marquage2020_B_produits-Vivalor.pdf</t>
  </si>
  <si>
    <t>https://viteos.ch/wp-content/uploads/Marquage2019_B_produits-Vivalor.pdf</t>
  </si>
  <si>
    <t>https://viteos.ch/wp-content/uploads/E_Marquage2017_vivalor.pdf</t>
  </si>
  <si>
    <t>https://viteos.ch/wp-content/uploads/Marquage2020_B_produits-Areuse.pdf</t>
  </si>
  <si>
    <t>https://viteos.ch/wp-content/uploads/Marquage2019_B_produits-Areuse.pdf</t>
  </si>
  <si>
    <t>https://viteos.ch/wp-content/uploads/Marquage2019_B_produits-AreusePlus.pdf</t>
  </si>
  <si>
    <t>https://viteos.ch/wp-content/uploads/Marquage2020_B_produits-AreusePlus.pdf</t>
  </si>
  <si>
    <t>https://viteos.ch/wp-content/uploads/E_Marquage2017_areuse.pdf</t>
  </si>
  <si>
    <t>https://viteos.ch/wp-content/uploads/E_Marquage2017_areuseplus.pdf</t>
  </si>
  <si>
    <t>Gaz naturel UE</t>
  </si>
  <si>
    <t>https://viteos.ch/wp-content/uploads/Marquage2020_B_produits-Basic.pdf</t>
  </si>
  <si>
    <t>https://viteos.ch/wp-content/uploads/Marquage2019_B_produits-Basic.pdf</t>
  </si>
  <si>
    <t>Pétrole UE</t>
  </si>
  <si>
    <t>https://viteos.ch/wp-content/uploads/E_Marquage2018_produits_Basic.pdf</t>
  </si>
  <si>
    <t>https://viteos.ch/wp-content/uploads/E_Marquage2017_fourisseur.pdf</t>
  </si>
  <si>
    <t>https://viteos.ch/wp-content/uploads/E_Marquage2020_fournisseur.pdf</t>
  </si>
  <si>
    <t>https://viteos.ch/wp-content/uploads/E_Marquage2019_fournisseur.pdf</t>
  </si>
  <si>
    <t>https://viteos.ch/wp-content/uploads/E_Marquage2018_fournisseur.pdf</t>
  </si>
  <si>
    <t>https://www.strom.ch/fr/service/stromkennzeichnung/services-industriels-de-geneve-sig?tab=map&amp;year=2021#2021</t>
  </si>
  <si>
    <t>https://www.strom.ch/fr/service/stromkennzeichnung/romande-energie-commerce-sa?tab=map&amp;year=2021#2021</t>
  </si>
  <si>
    <t>Données</t>
  </si>
  <si>
    <t>Année</t>
  </si>
  <si>
    <t>Offre commerciale</t>
  </si>
  <si>
    <t>Ensemble</t>
  </si>
  <si>
    <t>Marquage électricité</t>
  </si>
  <si>
    <t>STAR</t>
  </si>
  <si>
    <t>PLUS</t>
  </si>
  <si>
    <t>BASIC</t>
  </si>
  <si>
    <t>Oiken</t>
  </si>
  <si>
    <t>Localité</t>
  </si>
  <si>
    <t>VD</t>
  </si>
  <si>
    <t>VS</t>
  </si>
  <si>
    <t>https://www.strom.ch/fr/service/stromkennzeichnung/oiken-sa-soumis-au-marquage-de-lelectricite-partir-de-lannee-de?tab=suppliers&amp;year=2021#2021</t>
  </si>
  <si>
    <t>Initial</t>
  </si>
  <si>
    <t>Optimal</t>
  </si>
  <si>
    <t>Intégral</t>
  </si>
  <si>
    <t>https://oiken.ch/particulier/electricite/</t>
  </si>
  <si>
    <t>SEIC</t>
  </si>
  <si>
    <t>Logic</t>
  </si>
  <si>
    <t>Déclic</t>
  </si>
  <si>
    <t>Hydric</t>
  </si>
  <si>
    <t>Panoramic</t>
  </si>
  <si>
    <t>Bénéfic</t>
  </si>
  <si>
    <t>Nucléaire UE</t>
  </si>
  <si>
    <t>https://www.strom.ch/fr/service/stromkennzeichnung/societe-electrique-intercommunale-de-la-cote-sa-seic?tab=suppliers&amp;year=2021#2021</t>
  </si>
  <si>
    <t>https://seicgland.ch/particulier/gamme-deco-energie/</t>
  </si>
  <si>
    <t>IWB</t>
  </si>
  <si>
    <t>BL</t>
  </si>
  <si>
    <t>Eolien UE</t>
  </si>
  <si>
    <t>https://www.strom.ch/fr/service/stromkennzeichnung/industrielle-werke-basel-iwb?tab=map&amp;year=2021#2021</t>
  </si>
  <si>
    <t>50% "Centrale combinée gaz naturel G+V" et 50% "Erdgaskraftwerk"</t>
  </si>
  <si>
    <t>voir l'onglet</t>
  </si>
  <si>
    <t>Energie éolienne CH</t>
  </si>
  <si>
    <t>Energie hydraulique CH</t>
  </si>
  <si>
    <t>Centrale nucléaire CH</t>
  </si>
  <si>
    <t>50% "Centrale combinée gaz naturel G+V" CH et 50% "Erdgaskraftwerk" CH</t>
  </si>
  <si>
    <t>Centrale, pétrole CH</t>
  </si>
  <si>
    <t>Biomasse</t>
  </si>
  <si>
    <t>Combustion bois</t>
  </si>
  <si>
    <t>Production (GWh)</t>
  </si>
  <si>
    <t>%</t>
  </si>
  <si>
    <t>Déchets (UIOM)</t>
  </si>
  <si>
    <t>https://www.strom.ch/fr/connaissances-sur-lenergie/production-et-negoce/production-et-mix-electrique</t>
  </si>
  <si>
    <t>58% de la production nationale</t>
  </si>
  <si>
    <t>Centrale au fil de l'eau</t>
  </si>
  <si>
    <t>Centrale à accumulation</t>
  </si>
  <si>
    <t>Centrale de pompage-turbinage</t>
  </si>
  <si>
    <t>13 % combustion bois, 68% déchets, 19% biogaz</t>
  </si>
  <si>
    <t>Gaz</t>
  </si>
  <si>
    <t>Pas de centrale à cycle combiné en Suisse</t>
  </si>
  <si>
    <t>Données ENTSOE</t>
  </si>
  <si>
    <t>Fil de l'eau</t>
  </si>
  <si>
    <t>Accumulation</t>
  </si>
  <si>
    <t>Turbinage</t>
  </si>
  <si>
    <t>% hydraulique/total</t>
  </si>
  <si>
    <t>Données OFEN</t>
  </si>
  <si>
    <t>Nationale</t>
  </si>
  <si>
    <t>Pompage</t>
  </si>
  <si>
    <t>Accumulation (dont turbinage)</t>
  </si>
  <si>
    <t>Moyenne</t>
  </si>
  <si>
    <t>Mix ENTSO-E</t>
  </si>
  <si>
    <t>Origine inconnue</t>
  </si>
  <si>
    <t>https://www.admin.ch/gov/fr/accueil/documentation/communiques.msg-id-74577.html</t>
  </si>
  <si>
    <t>SO</t>
  </si>
  <si>
    <t>FR</t>
  </si>
  <si>
    <t>NE</t>
  </si>
  <si>
    <t>GE</t>
  </si>
  <si>
    <t>Mesure d'encouragement CH</t>
  </si>
  <si>
    <t>https://pubdb.bfe.admin.ch/fr/publication/download/9696</t>
  </si>
  <si>
    <t>https://www.bfe.admin.ch/bfe/fr/home/approvisionnement/statistiques-et-geodonnees/statistiques-de-lenergie/statistique-de-l-electricite.html</t>
  </si>
  <si>
    <t>"L'électricité de sources non vérifiables correspond à de l'énergie fossile et nucléaire provenant du marché européen"</t>
  </si>
  <si>
    <t>Production CH</t>
  </si>
  <si>
    <t>Production UE</t>
  </si>
  <si>
    <t>Commentaire</t>
  </si>
  <si>
    <t>L'offre vitale verte comprend de l'énergie certifiée "Naturemade Star" qui est plus "écologique". Ils différencient ainsi le solaire/hydraulique "simple" et "certifié". Or nous n'avons pas de données d'impact GES selon cette différenciation.</t>
  </si>
  <si>
    <t>https://ww2.sig-ge.ch/particuliers/offres/electricite/offre-electricite-vitale</t>
  </si>
  <si>
    <t>https://www.romande-energie.ch/entreprises/offres-d-energie-petites-entreprises-independant-2018/petites-entreprises-et-independants/offres-d-energie-petites-entreprises-et-independants-2021</t>
  </si>
  <si>
    <t>GES (kgCO2eq/kWh)</t>
  </si>
  <si>
    <t>Donnée UVEK KBOB</t>
  </si>
  <si>
    <t>Le turbinage est inclus dans la donnée "Hydraulique". Il correspond à un mix national consommateur moyen national</t>
  </si>
  <si>
    <t>GWP énergie (g CO2/kWh)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</si>
</sst>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0.000"/>
    <numFmt numFmtId="166" formatCode="0.000"/>
    <numFmt numFmtId="167" formatCode="0.0%"/>
    <numFmt numFmtId="168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vertAlign val="subscript"/>
      <sz val="8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sz val="8"/>
      <color rgb="FFFF0000"/>
      <name val="Arial"/>
      <family val="2"/>
    </font>
    <font>
      <vertAlign val="superscript"/>
      <sz val="10"/>
      <color rgb="FFFF0000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7D7D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55"/>
      </left>
      <right/>
      <top style="thin">
        <color theme="0" tint="-0.499984740745262"/>
      </top>
      <bottom/>
      <diagonal/>
    </border>
    <border>
      <left/>
      <right style="thin">
        <color indexed="55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indexed="55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7" fillId="0" borderId="0" applyNumberForma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9" fillId="3" borderId="13" xfId="2" applyFont="1" applyFill="1" applyBorder="1" applyAlignment="1">
      <alignment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4" fillId="3" borderId="17" xfId="2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 wrapText="1"/>
    </xf>
    <xf numFmtId="0" fontId="7" fillId="3" borderId="18" xfId="2" applyFill="1" applyBorder="1" applyAlignment="1">
      <alignment vertical="center"/>
    </xf>
    <xf numFmtId="0" fontId="16" fillId="3" borderId="18" xfId="0" applyFont="1" applyFill="1" applyBorder="1" applyAlignment="1">
      <alignment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164" fontId="14" fillId="4" borderId="18" xfId="0" applyNumberFormat="1" applyFont="1" applyFill="1" applyBorder="1" applyAlignment="1">
      <alignment horizontal="center" vertical="center" wrapText="1"/>
    </xf>
    <xf numFmtId="3" fontId="14" fillId="3" borderId="18" xfId="0" applyNumberFormat="1" applyFont="1" applyFill="1" applyBorder="1" applyAlignment="1">
      <alignment horizontal="center" vertical="center" wrapText="1"/>
    </xf>
    <xf numFmtId="164" fontId="14" fillId="3" borderId="18" xfId="0" applyNumberFormat="1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vertical="center"/>
    </xf>
    <xf numFmtId="0" fontId="10" fillId="3" borderId="18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vertical="center"/>
    </xf>
    <xf numFmtId="0" fontId="9" fillId="5" borderId="16" xfId="2" quotePrefix="1" applyFont="1" applyFill="1" applyBorder="1" applyAlignment="1">
      <alignment vertical="center" wrapText="1"/>
    </xf>
    <xf numFmtId="0" fontId="9" fillId="6" borderId="16" xfId="0" applyFont="1" applyFill="1" applyBorder="1" applyAlignment="1">
      <alignment vertical="center"/>
    </xf>
    <xf numFmtId="0" fontId="9" fillId="6" borderId="16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vertical="center"/>
    </xf>
    <xf numFmtId="0" fontId="1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165" fontId="7" fillId="3" borderId="16" xfId="2" applyNumberFormat="1" applyFill="1" applyBorder="1" applyAlignment="1">
      <alignment vertical="center"/>
    </xf>
    <xf numFmtId="0" fontId="20" fillId="3" borderId="16" xfId="2" quotePrefix="1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center" vertical="center"/>
    </xf>
    <xf numFmtId="166" fontId="9" fillId="7" borderId="16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shrinkToFit="1"/>
    </xf>
    <xf numFmtId="0" fontId="7" fillId="3" borderId="16" xfId="0" applyFont="1" applyFill="1" applyBorder="1" applyAlignment="1">
      <alignment horizontal="left" vertical="center"/>
    </xf>
    <xf numFmtId="166" fontId="21" fillId="7" borderId="16" xfId="0" applyNumberFormat="1" applyFont="1" applyFill="1" applyBorder="1" applyAlignment="1">
      <alignment horizontal="center" vertical="center"/>
    </xf>
    <xf numFmtId="2" fontId="21" fillId="3" borderId="16" xfId="0" applyNumberFormat="1" applyFont="1" applyFill="1" applyBorder="1" applyAlignment="1">
      <alignment horizontal="center" vertical="center"/>
    </xf>
    <xf numFmtId="165" fontId="20" fillId="3" borderId="16" xfId="2" applyNumberFormat="1" applyFont="1" applyFill="1" applyBorder="1" applyAlignment="1">
      <alignment vertical="center"/>
    </xf>
    <xf numFmtId="0" fontId="21" fillId="5" borderId="16" xfId="2" quotePrefix="1" applyFont="1" applyFill="1" applyBorder="1" applyAlignment="1">
      <alignment vertical="center" wrapText="1"/>
    </xf>
    <xf numFmtId="0" fontId="7" fillId="6" borderId="16" xfId="0" applyFont="1" applyFill="1" applyBorder="1" applyAlignment="1">
      <alignment horizontal="center" vertical="center"/>
    </xf>
    <xf numFmtId="2" fontId="9" fillId="8" borderId="16" xfId="0" applyNumberFormat="1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 shrinkToFit="1"/>
    </xf>
    <xf numFmtId="0" fontId="20" fillId="3" borderId="16" xfId="0" applyFont="1" applyFill="1" applyBorder="1" applyAlignment="1">
      <alignment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 shrinkToFit="1"/>
    </xf>
    <xf numFmtId="0" fontId="20" fillId="3" borderId="16" xfId="0" applyFont="1" applyFill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22" fillId="6" borderId="16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 shrinkToFit="1"/>
    </xf>
    <xf numFmtId="0" fontId="20" fillId="3" borderId="16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left" vertical="center" shrinkToFit="1"/>
    </xf>
    <xf numFmtId="0" fontId="25" fillId="3" borderId="16" xfId="0" applyFont="1" applyFill="1" applyBorder="1" applyAlignment="1">
      <alignment vertical="center" wrapText="1"/>
    </xf>
    <xf numFmtId="49" fontId="7" fillId="3" borderId="16" xfId="2" applyNumberFormat="1" applyFill="1" applyBorder="1" applyAlignment="1">
      <alignment vertical="center"/>
    </xf>
    <xf numFmtId="165" fontId="20" fillId="3" borderId="13" xfId="2" applyNumberFormat="1" applyFont="1" applyFill="1" applyBorder="1" applyAlignment="1">
      <alignment vertical="center"/>
    </xf>
    <xf numFmtId="0" fontId="20" fillId="3" borderId="13" xfId="2" quotePrefix="1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27" fillId="0" borderId="0" xfId="3"/>
    <xf numFmtId="0" fontId="0" fillId="0" borderId="0" xfId="0" applyAlignment="1">
      <alignment wrapText="1"/>
    </xf>
    <xf numFmtId="0" fontId="0" fillId="0" borderId="19" xfId="0" applyBorder="1"/>
    <xf numFmtId="9" fontId="0" fillId="0" borderId="19" xfId="1" applyFont="1" applyBorder="1"/>
    <xf numFmtId="0" fontId="27" fillId="0" borderId="19" xfId="3" applyBorder="1"/>
    <xf numFmtId="9" fontId="0" fillId="0" borderId="19" xfId="1" applyNumberFormat="1" applyFont="1" applyBorder="1"/>
    <xf numFmtId="167" fontId="0" fillId="0" borderId="19" xfId="1" applyNumberFormat="1" applyFont="1" applyBorder="1"/>
    <xf numFmtId="0" fontId="2" fillId="9" borderId="19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9" fontId="0" fillId="0" borderId="19" xfId="1" applyFont="1" applyFill="1" applyBorder="1"/>
    <xf numFmtId="0" fontId="0" fillId="0" borderId="19" xfId="0" applyFill="1" applyBorder="1"/>
    <xf numFmtId="0" fontId="0" fillId="0" borderId="22" xfId="0" applyBorder="1" applyAlignment="1">
      <alignment horizontal="center" vertical="center"/>
    </xf>
    <xf numFmtId="9" fontId="0" fillId="0" borderId="19" xfId="1" applyNumberFormat="1" applyFont="1" applyFill="1" applyBorder="1"/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166" fontId="0" fillId="0" borderId="19" xfId="0" applyNumberFormat="1" applyBorder="1"/>
    <xf numFmtId="0" fontId="2" fillId="9" borderId="22" xfId="0" applyFont="1" applyFill="1" applyBorder="1" applyAlignment="1">
      <alignment vertical="top" wrapText="1"/>
    </xf>
    <xf numFmtId="0" fontId="28" fillId="9" borderId="22" xfId="0" applyFont="1" applyFill="1" applyBorder="1" applyAlignment="1">
      <alignment vertical="top" wrapText="1"/>
    </xf>
    <xf numFmtId="0" fontId="2" fillId="0" borderId="19" xfId="0" applyFont="1" applyBorder="1"/>
    <xf numFmtId="0" fontId="2" fillId="0" borderId="0" xfId="0" applyFont="1"/>
    <xf numFmtId="9" fontId="0" fillId="0" borderId="19" xfId="1" applyFont="1" applyBorder="1" applyAlignment="1">
      <alignment horizontal="center" vertical="center"/>
    </xf>
    <xf numFmtId="1" fontId="0" fillId="0" borderId="19" xfId="0" applyNumberFormat="1" applyBorder="1"/>
    <xf numFmtId="0" fontId="0" fillId="13" borderId="0" xfId="0" applyFill="1"/>
    <xf numFmtId="0" fontId="2" fillId="13" borderId="19" xfId="0" applyFont="1" applyFill="1" applyBorder="1" applyAlignment="1"/>
    <xf numFmtId="0" fontId="0" fillId="13" borderId="19" xfId="0" applyFill="1" applyBorder="1"/>
    <xf numFmtId="0" fontId="0" fillId="13" borderId="20" xfId="0" applyFill="1" applyBorder="1"/>
    <xf numFmtId="1" fontId="0" fillId="13" borderId="19" xfId="0" applyNumberFormat="1" applyFill="1" applyBorder="1"/>
    <xf numFmtId="1" fontId="0" fillId="13" borderId="0" xfId="0" applyNumberFormat="1" applyFill="1"/>
    <xf numFmtId="1" fontId="0" fillId="13" borderId="27" xfId="0" applyNumberFormat="1" applyFill="1" applyBorder="1"/>
    <xf numFmtId="9" fontId="0" fillId="13" borderId="19" xfId="1" applyFont="1" applyFill="1" applyBorder="1"/>
    <xf numFmtId="1" fontId="0" fillId="13" borderId="0" xfId="0" applyNumberFormat="1" applyFill="1" applyBorder="1"/>
    <xf numFmtId="0" fontId="0" fillId="0" borderId="22" xfId="0" applyBorder="1"/>
    <xf numFmtId="9" fontId="0" fillId="0" borderId="0" xfId="0" applyNumberFormat="1"/>
    <xf numFmtId="9" fontId="2" fillId="14" borderId="19" xfId="0" applyNumberFormat="1" applyFont="1" applyFill="1" applyBorder="1"/>
    <xf numFmtId="0" fontId="2" fillId="14" borderId="19" xfId="0" applyFont="1" applyFill="1" applyBorder="1"/>
    <xf numFmtId="9" fontId="2" fillId="14" borderId="19" xfId="1" applyFont="1" applyFill="1" applyBorder="1"/>
    <xf numFmtId="0" fontId="27" fillId="0" borderId="24" xfId="3" applyBorder="1"/>
    <xf numFmtId="0" fontId="0" fillId="0" borderId="24" xfId="0" applyBorder="1"/>
    <xf numFmtId="0" fontId="0" fillId="0" borderId="22" xfId="0" applyFill="1" applyBorder="1" applyAlignment="1">
      <alignment horizontal="left" vertical="center"/>
    </xf>
    <xf numFmtId="9" fontId="0" fillId="0" borderId="22" xfId="1" applyFont="1" applyBorder="1"/>
    <xf numFmtId="0" fontId="0" fillId="0" borderId="29" xfId="0" applyBorder="1"/>
    <xf numFmtId="0" fontId="27" fillId="0" borderId="0" xfId="3" applyFill="1" applyBorder="1"/>
    <xf numFmtId="0" fontId="0" fillId="0" borderId="22" xfId="0" applyBorder="1" applyAlignment="1">
      <alignment vertical="center" wrapText="1"/>
    </xf>
    <xf numFmtId="0" fontId="7" fillId="10" borderId="22" xfId="0" applyFont="1" applyFill="1" applyBorder="1" applyAlignment="1">
      <alignment horizontal="left" vertical="center" wrapText="1"/>
    </xf>
    <xf numFmtId="0" fontId="7" fillId="11" borderId="22" xfId="0" applyFont="1" applyFill="1" applyBorder="1" applyAlignment="1">
      <alignment horizontal="left" vertical="center" wrapText="1"/>
    </xf>
    <xf numFmtId="0" fontId="0" fillId="10" borderId="22" xfId="0" applyFill="1" applyBorder="1" applyAlignment="1">
      <alignment vertical="center" wrapText="1"/>
    </xf>
    <xf numFmtId="0" fontId="7" fillId="12" borderId="22" xfId="0" applyFont="1" applyFill="1" applyBorder="1" applyAlignment="1">
      <alignment horizontal="left" vertical="center" wrapText="1"/>
    </xf>
    <xf numFmtId="0" fontId="7" fillId="12" borderId="13" xfId="0" applyFont="1" applyFill="1" applyBorder="1" applyAlignment="1">
      <alignment horizontal="left" vertical="center" wrapText="1"/>
    </xf>
    <xf numFmtId="0" fontId="0" fillId="0" borderId="30" xfId="0" applyBorder="1"/>
    <xf numFmtId="166" fontId="0" fillId="0" borderId="30" xfId="0" applyNumberFormat="1" applyBorder="1"/>
    <xf numFmtId="2" fontId="0" fillId="0" borderId="30" xfId="0" applyNumberFormat="1" applyBorder="1"/>
    <xf numFmtId="2" fontId="0" fillId="0" borderId="30" xfId="0" quotePrefix="1" applyNumberFormat="1" applyBorder="1"/>
    <xf numFmtId="168" fontId="0" fillId="0" borderId="19" xfId="0" applyNumberFormat="1" applyBorder="1"/>
    <xf numFmtId="0" fontId="29" fillId="9" borderId="23" xfId="0" applyFont="1" applyFill="1" applyBorder="1" applyAlignment="1">
      <alignment vertical="top" wrapText="1"/>
    </xf>
    <xf numFmtId="0" fontId="29" fillId="16" borderId="23" xfId="0" applyFont="1" applyFill="1" applyBorder="1" applyAlignment="1">
      <alignment vertical="top" wrapText="1"/>
    </xf>
    <xf numFmtId="0" fontId="30" fillId="16" borderId="23" xfId="0" applyFont="1" applyFill="1" applyBorder="1" applyAlignment="1">
      <alignment vertical="top" wrapText="1"/>
    </xf>
    <xf numFmtId="0" fontId="29" fillId="15" borderId="23" xfId="0" applyFont="1" applyFill="1" applyBorder="1" applyAlignment="1">
      <alignment vertical="top" wrapText="1"/>
    </xf>
    <xf numFmtId="0" fontId="29" fillId="9" borderId="28" xfId="0" applyFont="1" applyFill="1" applyBorder="1" applyAlignment="1">
      <alignment vertical="top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6" fillId="3" borderId="19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vertical="center" wrapText="1"/>
    </xf>
    <xf numFmtId="0" fontId="10" fillId="3" borderId="17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14" fillId="3" borderId="17" xfId="2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/>
    </xf>
  </cellXfs>
  <cellStyles count="4">
    <cellStyle name="Hyperlink" xfId="3" builtinId="8"/>
    <cellStyle name="Normal" xfId="0" builtinId="0"/>
    <cellStyle name="Percent" xfId="1" builtinId="5"/>
    <cellStyle name="Standard 2 2" xfId="2" xr:uid="{1B9EB0D8-A274-433D-8086-5DECDF4E79A1}"/>
  </cellStyles>
  <dxfs count="34">
    <dxf>
      <numFmt numFmtId="169" formatCode="#,##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3BDBA-66A7-41FD-A4C2-BF863686A13C}" name="Tableau1" displayName="Tableau1" ref="A1:Z57" totalsRowShown="0" headerRowDxfId="33" headerRowBorderDxfId="32" tableBorderDxfId="31">
  <autoFilter ref="A1:Z57" xr:uid="{1D23BDBA-66A7-41FD-A4C2-BF863686A13C}">
    <filterColumn colId="2">
      <filters>
        <filter val="100% Vitale bleu"/>
        <filter val="100% Vitale vert"/>
        <filter val="20% Vitale vert"/>
        <filter val="40% Vitale vert"/>
        <filter val="Areuse"/>
        <filter val="Areuse+"/>
        <filter val="BASIC"/>
        <filter val="Bénéfic"/>
        <filter val="Déclic"/>
        <filter val="Hydric"/>
        <filter val="Initial"/>
        <filter val="Intégral"/>
        <filter val="Logic"/>
        <filter val="Optimal"/>
        <filter val="Panoramic"/>
        <filter val="PLUS"/>
        <filter val="STAR"/>
        <filter val="Terre d'ici"/>
        <filter val="Terre Suisse"/>
        <filter val="Vivalor"/>
      </filters>
    </filterColumn>
    <filterColumn colId="4">
      <filters>
        <filter val="2020"/>
        <filter val="2022"/>
      </filters>
    </filterColumn>
  </autoFilter>
  <tableColumns count="26">
    <tableColumn id="1" xr3:uid="{20601A5C-B33B-4672-9722-0B4B4572939E}" name="Fournisseur" dataDxfId="30"/>
    <tableColumn id="2" xr3:uid="{F0E37E6C-1D41-47B0-9A15-32CAF79201E7}" name="Localité" dataDxfId="29"/>
    <tableColumn id="3" xr3:uid="{D6BD3355-CE32-44B3-ABFB-E7D9EB888AD1}" name="Gamme" dataDxfId="28"/>
    <tableColumn id="4" xr3:uid="{6C4CBCDA-AA6A-4080-831F-A42C25675FC0}" name="Données" dataDxfId="27"/>
    <tableColumn id="5" xr3:uid="{D8C6060F-4EEA-4729-A256-83373782FCE1}" name="Année" dataDxfId="26"/>
    <tableColumn id="6" xr3:uid="{0FCAD4CD-B0C7-44AF-96E8-506322304B03}" name="Solaire CH" dataDxfId="25"/>
    <tableColumn id="7" xr3:uid="{42975FFB-FBF6-4115-8D61-D5F7FB1C48D0}" name="Hydraulique CH" dataDxfId="24"/>
    <tableColumn id="8" xr3:uid="{05A2D2BE-E6B7-43B0-A55E-940B2A162CB5}" name="Eolien CH" dataDxfId="23"/>
    <tableColumn id="9" xr3:uid="{8934EE57-4FA0-4118-B5DD-9E4B68C26703}" name="Biomasse et déchets issus de la biomasse CH" dataDxfId="22"/>
    <tableColumn id="10" xr3:uid="{92FD3EE1-9F11-499E-BDF7-B584BB657B33}" name="Nucléaire CH" dataDxfId="21"/>
    <tableColumn id="11" xr3:uid="{8056924A-BF14-4158-B4EF-F5B854D0095D}" name="Gaz naturel CH" dataDxfId="20"/>
    <tableColumn id="12" xr3:uid="{63C27099-92AF-4316-9858-C52250B66838}" name="Incinération des déchets CH" dataDxfId="19"/>
    <tableColumn id="13" xr3:uid="{88016977-D796-4E00-B4FD-67EE6A5E0C16}" name="Mesure d'encouragement CH" dataDxfId="18"/>
    <tableColumn id="14" xr3:uid="{3FDA1F24-08F2-4EE9-848B-614A98892B64}" name="Hydraulique UE" dataDxfId="17"/>
    <tableColumn id="15" xr3:uid="{2372417C-F0D8-4034-B191-939210CA9B0D}" name="Eolien UE" dataDxfId="16"/>
    <tableColumn id="16" xr3:uid="{82BADE0B-0237-4CF7-83EF-EBA2FC68BFC4}" name="Nucléaire UE" dataDxfId="15"/>
    <tableColumn id="17" xr3:uid="{B7E5664E-2AEB-4115-A317-78D7325431D9}" name="Gaz naturel UE" dataDxfId="14"/>
    <tableColumn id="18" xr3:uid="{BBD6AA82-2DE1-4593-AC1E-A6FB251187CD}" name="Pétrole UE" dataDxfId="13"/>
    <tableColumn id="19" xr3:uid="{3744C34C-3B11-4E28-A623-FEC6678A678B}" name="Inconnu" dataDxfId="12"/>
    <tableColumn id="20" xr3:uid="{4C2258F5-7245-448F-BEF9-0081C3EEAF6B}" name="Production CH" dataDxfId="11">
      <calculatedColumnFormula>SUM(F2:M2)</calculatedColumnFormula>
    </tableColumn>
    <tableColumn id="21" xr3:uid="{2F88CACD-DED5-4D87-8E5D-30530C012807}" name="Production UE" dataDxfId="10">
      <calculatedColumnFormula>SUM(N2:S2)</calculatedColumnFormula>
    </tableColumn>
    <tableColumn id="22" xr3:uid="{6E54B11D-DE21-47B7-9893-C9A7E2703029}" name="GWP énergie (g CO2/kWh)" dataDxfId="9">
      <calculatedColumnFormula>(F2*Hypothèses!$B$3+G2*Hypothèses!$C$3+Fournisseurs!H2*Hypothèses!$D$3+Fournisseurs!I2*Hypothèses!$E$3+Fournisseurs!J2*Hypothèses!$F$3+Fournisseurs!K2*Hypothèses!$G$3+Fournisseurs!L2*Hypothèses!$H$3+Fournisseurs!M2*Hypothèses!$I$3+Fournisseurs!N2*Hypothèses!$J$3+Fournisseurs!O2*Hypothèses!$K$3+Fournisseurs!P2*'Energie KBOB'!$K$76+Fournisseurs!Q2*Hypothèses!$M$3+Fournisseurs!R2*Hypothèses!$N$3+Fournisseurs!S2*Hypothèses!$O$3)*1000</calculatedColumnFormula>
    </tableColumn>
    <tableColumn id="24" xr3:uid="{A16779B9-4109-4BC7-8900-F71EFEEA8823}" name="Cible" dataDxfId="8"/>
    <tableColumn id="25" xr3:uid="{B9250830-12D1-4F8E-8B27-CB3A2783C33C}" name="Source mix" dataDxfId="7"/>
    <tableColumn id="26" xr3:uid="{A5E9CC24-4992-4BD8-8523-91E960001B8B}" name="Source prix" dataDxfId="6"/>
    <tableColumn id="27" xr3:uid="{DFDF0603-DB2D-4C38-AA76-02EB8F93ABCD}" name="Commentair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viteos.ch/wp-content/uploads/Marquage2019_B_produits-Areuse.pdf" TargetMode="External"/><Relationship Id="rId18" Type="http://schemas.openxmlformats.org/officeDocument/2006/relationships/hyperlink" Target="https://viteos.ch/wp-content/uploads/Marquage2020_B_produits-Basic.pdf" TargetMode="External"/><Relationship Id="rId26" Type="http://schemas.openxmlformats.org/officeDocument/2006/relationships/hyperlink" Target="https://www.strom.ch/fr/service/stromkennzeichnung/romande-energie-commerce-sa?tab=map&amp;year=2021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viteos.ch/wp-content/uploads/E_Marquage2017_fourisseur.pdf" TargetMode="External"/><Relationship Id="rId34" Type="http://schemas.openxmlformats.org/officeDocument/2006/relationships/hyperlink" Target="https://www.romande-energie.ch/entreprises/offres-d-energie-petites-entreprises-independant-2018/petites-entreprises-et-independants/offres-d-energie-petites-entreprises-et-independants-2021" TargetMode="External"/><Relationship Id="rId7" Type="http://schemas.openxmlformats.org/officeDocument/2006/relationships/hyperlink" Target="https://groupee.sharepoint.com/sites/MediaPoint/Supports%20publicitaires/01_Brochures%20et%20flyers/01_Electricit%c3%a9/Marquage%20de%20l%27%c3%a9lectricit%c3%a9/marquage-star-fr.pdf" TargetMode="External"/><Relationship Id="rId12" Type="http://schemas.openxmlformats.org/officeDocument/2006/relationships/hyperlink" Target="https://viteos.ch/wp-content/uploads/Marquage2020_B_produits-Areuse.pdf" TargetMode="External"/><Relationship Id="rId17" Type="http://schemas.openxmlformats.org/officeDocument/2006/relationships/hyperlink" Target="https://viteos.ch/wp-content/uploads/E_Marquage2017_areuseplus.pdf" TargetMode="External"/><Relationship Id="rId25" Type="http://schemas.openxmlformats.org/officeDocument/2006/relationships/hyperlink" Target="https://www.strom.ch/fr/service/stromkennzeichnung/services-industriels-de-geneve-sig?tab=map&amp;year=2021" TargetMode="External"/><Relationship Id="rId33" Type="http://schemas.openxmlformats.org/officeDocument/2006/relationships/hyperlink" Target="https://www.romande-energie.ch/entreprises/offres-d-energie-petites-entreprises-independant-2018/petites-entreprises-et-independants/offres-d-energie-petites-entreprises-et-independants-2021" TargetMode="External"/><Relationship Id="rId38" Type="http://schemas.openxmlformats.org/officeDocument/2006/relationships/hyperlink" Target="https://www.strom.ch/fr/service/stromkennzeichnung/societe-electrique-intercommunale-de-la-cote-sa-seic?tab=suppliers&amp;year=2021" TargetMode="External"/><Relationship Id="rId2" Type="http://schemas.openxmlformats.org/officeDocument/2006/relationships/hyperlink" Target="https://www.romande-energie.ch/images/files/prix-electricite/2022_prix-electricite_re.pdf" TargetMode="External"/><Relationship Id="rId16" Type="http://schemas.openxmlformats.org/officeDocument/2006/relationships/hyperlink" Target="https://viteos.ch/wp-content/uploads/E_Marquage2017_areuse.pdf" TargetMode="External"/><Relationship Id="rId20" Type="http://schemas.openxmlformats.org/officeDocument/2006/relationships/hyperlink" Target="https://viteos.ch/wp-content/uploads/E_Marquage2018_produits_Basic.pdf" TargetMode="External"/><Relationship Id="rId29" Type="http://schemas.openxmlformats.org/officeDocument/2006/relationships/hyperlink" Target="https://www.strom.ch/fr/service/stromkennzeichnung/societe-electrique-intercommunale-de-la-cote-sa-seic?tab=suppliers&amp;year=2021" TargetMode="External"/><Relationship Id="rId1" Type="http://schemas.openxmlformats.org/officeDocument/2006/relationships/hyperlink" Target="https://media.sig-ge.ch/documents/tarifs_reglements/electricite/marquage/electricite_fournie_par_sig.pdf" TargetMode="External"/><Relationship Id="rId6" Type="http://schemas.openxmlformats.org/officeDocument/2006/relationships/hyperlink" Target="https://groupee.sharepoint.com/sites/MediaPoint/Supports%20publicitaires/01_Brochures%20et%20flyers/01_Electricit&#233;/Marquage%20de%20l'&#233;lectricit&#233;/marquage-basic-fr.pdf" TargetMode="External"/><Relationship Id="rId11" Type="http://schemas.openxmlformats.org/officeDocument/2006/relationships/hyperlink" Target="https://viteos.ch/wp-content/uploads/E_Marquage2017_vivalor.pdf" TargetMode="External"/><Relationship Id="rId24" Type="http://schemas.openxmlformats.org/officeDocument/2006/relationships/hyperlink" Target="https://viteos.ch/wp-content/uploads/E_Marquage2018_fournisseur.pdf" TargetMode="External"/><Relationship Id="rId32" Type="http://schemas.openxmlformats.org/officeDocument/2006/relationships/hyperlink" Target="https://www.romande-energie.ch/images/files/prix-electricite/2022_prix-electricite_re.pdf" TargetMode="External"/><Relationship Id="rId37" Type="http://schemas.openxmlformats.org/officeDocument/2006/relationships/hyperlink" Target="https://www.strom.ch/fr/service/stromkennzeichnung/industrielle-werke-basel-iwb?tab=map&amp;year=2021" TargetMode="External"/><Relationship Id="rId5" Type="http://schemas.openxmlformats.org/officeDocument/2006/relationships/hyperlink" Target="https://groupee.sharepoint.com/sites/MediaPoint/Supports%20publicitaires/01_Brochures%20et%20flyers/01_Electricit%c3%a9/Marquage%20de%20l%27%c3%a9lectricit%c3%a9/marquage-plus-fr.pdf" TargetMode="External"/><Relationship Id="rId15" Type="http://schemas.openxmlformats.org/officeDocument/2006/relationships/hyperlink" Target="https://viteos.ch/wp-content/uploads/Marquage2020_B_produits-AreusePlus.pdf" TargetMode="External"/><Relationship Id="rId23" Type="http://schemas.openxmlformats.org/officeDocument/2006/relationships/hyperlink" Target="https://viteos.ch/wp-content/uploads/E_Marquage2019_fournisseur.pdf" TargetMode="External"/><Relationship Id="rId28" Type="http://schemas.openxmlformats.org/officeDocument/2006/relationships/hyperlink" Target="https://oiken.ch/particulier/electricite/" TargetMode="External"/><Relationship Id="rId36" Type="http://schemas.openxmlformats.org/officeDocument/2006/relationships/hyperlink" Target="https://oiken.ch/particulier/electricite/" TargetMode="External"/><Relationship Id="rId10" Type="http://schemas.openxmlformats.org/officeDocument/2006/relationships/hyperlink" Target="https://viteos.ch/wp-content/uploads/Marquage2019_B_produits-Vivalor.pdf" TargetMode="External"/><Relationship Id="rId19" Type="http://schemas.openxmlformats.org/officeDocument/2006/relationships/hyperlink" Target="https://viteos.ch/wp-content/uploads/Marquage2019_B_produits-Basic.pdf" TargetMode="External"/><Relationship Id="rId31" Type="http://schemas.openxmlformats.org/officeDocument/2006/relationships/hyperlink" Target="https://media.sig-ge.ch/documents/tarifs_reglements/electricite/marquage/electricite_fournie_par_sig.pdf" TargetMode="External"/><Relationship Id="rId4" Type="http://schemas.openxmlformats.org/officeDocument/2006/relationships/hyperlink" Target="https://www.strom.ch/fr/services/marquage-de-lelectricite" TargetMode="External"/><Relationship Id="rId9" Type="http://schemas.openxmlformats.org/officeDocument/2006/relationships/hyperlink" Target="https://viteos.ch/wp-content/uploads/Marquage2020_B_produits-Vivalor.pdf" TargetMode="External"/><Relationship Id="rId14" Type="http://schemas.openxmlformats.org/officeDocument/2006/relationships/hyperlink" Target="https://viteos.ch/wp-content/uploads/Marquage2019_B_produits-AreusePlus.pdf" TargetMode="External"/><Relationship Id="rId22" Type="http://schemas.openxmlformats.org/officeDocument/2006/relationships/hyperlink" Target="https://viteos.ch/wp-content/uploads/E_Marquage2020_fournisseur.pdf" TargetMode="External"/><Relationship Id="rId27" Type="http://schemas.openxmlformats.org/officeDocument/2006/relationships/hyperlink" Target="https://www.strom.ch/fr/service/stromkennzeichnung/oiken-sa-soumis-au-marquage-de-lelectricite-partir-de-lannee-de?tab=suppliers&amp;year=2021" TargetMode="External"/><Relationship Id="rId30" Type="http://schemas.openxmlformats.org/officeDocument/2006/relationships/hyperlink" Target="https://www.strom.ch/fr/service/stromkennzeichnung/industrielle-werke-basel-iwb?tab=map&amp;year=2021" TargetMode="External"/><Relationship Id="rId35" Type="http://schemas.openxmlformats.org/officeDocument/2006/relationships/hyperlink" Target="https://oiken.ch/particulier/electricite/" TargetMode="External"/><Relationship Id="rId8" Type="http://schemas.openxmlformats.org/officeDocument/2006/relationships/hyperlink" Target="https://www.strom.ch/fr/services/marquage-de-lelectricite" TargetMode="External"/><Relationship Id="rId3" Type="http://schemas.openxmlformats.org/officeDocument/2006/relationships/hyperlink" Target="https://www.romande-energie.ch/images/files/2020-marquag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db.bfe.admin.ch/fr/publication/download/9696" TargetMode="External"/><Relationship Id="rId2" Type="http://schemas.openxmlformats.org/officeDocument/2006/relationships/hyperlink" Target="https://www.admin.ch/gov/fr/accueil/documentation/communiques.msg-id-74577.html" TargetMode="External"/><Relationship Id="rId1" Type="http://schemas.openxmlformats.org/officeDocument/2006/relationships/hyperlink" Target="https://www.strom.ch/fr/connaissances-sur-lenergie/production-et-negoce/production-et-mix-electriqu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rom.ch/fr/connaissances-sur-lenergie/production-et-negoce/production-et-mix-electrique" TargetMode="External"/><Relationship Id="rId4" Type="http://schemas.openxmlformats.org/officeDocument/2006/relationships/hyperlink" Target="https://www.bfe.admin.ch/bfe/fr/home/approvisionnement/statistiques-et-geodonnees/statistiques-de-lenergie/statistique-de-l-electric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A25D-52AB-447D-BFA2-9816F5FFAE0D}">
  <sheetPr codeName="Feuil1"/>
  <dimension ref="A1:Z57"/>
  <sheetViews>
    <sheetView tabSelected="1" zoomScale="85" zoomScaleNormal="85" workbookViewId="0">
      <pane ySplit="1" topLeftCell="A2" activePane="bottomLeft" state="frozen"/>
      <selection pane="bottomLeft" activeCell="L60" sqref="L60"/>
    </sheetView>
  </sheetViews>
  <sheetFormatPr defaultColWidth="10.6328125" defaultRowHeight="14.5" outlineLevelCol="1" x14ac:dyDescent="0.35"/>
  <cols>
    <col min="1" max="1" width="17.08984375" bestFit="1" customWidth="1"/>
    <col min="2" max="2" width="8" customWidth="1"/>
    <col min="3" max="3" width="16.08984375" bestFit="1" customWidth="1"/>
    <col min="4" max="4" width="19.6328125" bestFit="1" customWidth="1"/>
    <col min="5" max="5" width="8.6328125" customWidth="1"/>
    <col min="6" max="21" width="7.81640625" customWidth="1" outlineLevel="1"/>
    <col min="22" max="22" width="13.54296875" customWidth="1"/>
    <col min="23" max="23" width="22.6328125" customWidth="1"/>
    <col min="24" max="24" width="18.36328125" customWidth="1"/>
    <col min="25" max="25" width="92.54296875" hidden="1" customWidth="1"/>
    <col min="26" max="26" width="96.08984375" customWidth="1"/>
  </cols>
  <sheetData>
    <row r="1" spans="1:26" s="86" customFormat="1" ht="61.75" customHeight="1" x14ac:dyDescent="0.35">
      <c r="A1" s="141" t="s">
        <v>0</v>
      </c>
      <c r="B1" s="141" t="s">
        <v>495</v>
      </c>
      <c r="C1" s="141" t="s">
        <v>1</v>
      </c>
      <c r="D1" s="141" t="s">
        <v>486</v>
      </c>
      <c r="E1" s="141" t="s">
        <v>487</v>
      </c>
      <c r="F1" s="142" t="s">
        <v>435</v>
      </c>
      <c r="G1" s="142" t="s">
        <v>436</v>
      </c>
      <c r="H1" s="142" t="s">
        <v>437</v>
      </c>
      <c r="I1" s="142" t="s">
        <v>438</v>
      </c>
      <c r="J1" s="142" t="s">
        <v>439</v>
      </c>
      <c r="K1" s="142" t="s">
        <v>458</v>
      </c>
      <c r="L1" s="142" t="s">
        <v>457</v>
      </c>
      <c r="M1" s="143" t="s">
        <v>553</v>
      </c>
      <c r="N1" s="144" t="s">
        <v>440</v>
      </c>
      <c r="O1" s="144" t="s">
        <v>514</v>
      </c>
      <c r="P1" s="144" t="s">
        <v>509</v>
      </c>
      <c r="Q1" s="144" t="s">
        <v>475</v>
      </c>
      <c r="R1" s="144" t="s">
        <v>478</v>
      </c>
      <c r="S1" s="144" t="s">
        <v>452</v>
      </c>
      <c r="T1" s="142" t="s">
        <v>557</v>
      </c>
      <c r="U1" s="144" t="s">
        <v>558</v>
      </c>
      <c r="V1" s="141" t="s">
        <v>566</v>
      </c>
      <c r="W1" s="141" t="s">
        <v>8</v>
      </c>
      <c r="X1" s="141" t="s">
        <v>442</v>
      </c>
      <c r="Y1" s="145" t="s">
        <v>443</v>
      </c>
      <c r="Z1" s="145" t="s">
        <v>559</v>
      </c>
    </row>
    <row r="2" spans="1:26" x14ac:dyDescent="0.35">
      <c r="A2" s="101" t="s">
        <v>3</v>
      </c>
      <c r="B2" s="97" t="s">
        <v>552</v>
      </c>
      <c r="C2" s="87" t="s">
        <v>4</v>
      </c>
      <c r="D2" s="99" t="s">
        <v>488</v>
      </c>
      <c r="E2" s="99">
        <v>2022</v>
      </c>
      <c r="F2" s="88">
        <v>0</v>
      </c>
      <c r="G2" s="88">
        <v>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  <c r="P2" s="88">
        <v>0</v>
      </c>
      <c r="Q2" s="88">
        <v>0</v>
      </c>
      <c r="R2" s="88">
        <v>0</v>
      </c>
      <c r="S2" s="88">
        <v>0</v>
      </c>
      <c r="T2" s="88">
        <f>SUM(F2:M2)</f>
        <v>1</v>
      </c>
      <c r="U2" s="88">
        <f>SUM(N2:S2)</f>
        <v>0</v>
      </c>
      <c r="V2" s="140">
        <f>(F2*Hypothèses!$B$3+G2*Hypothèses!$C$3+Fournisseurs!H2*Hypothèses!$D$3+Fournisseurs!I2*Hypothèses!$E$3+Fournisseurs!J2*Hypothèses!$F$3+Fournisseurs!K2*Hypothèses!$G$3+Fournisseurs!L2*Hypothèses!$H$3+Fournisseurs!M2*Hypothèses!$I$3+Fournisseurs!N2*Hypothèses!$J$3+Fournisseurs!O2*Hypothèses!$K$3+Fournisseurs!P2*'Energie KBOB'!$K$76+Fournisseurs!Q2*Hypothèses!$M$3+Fournisseurs!R2*Hypothèses!$N$3+Fournisseurs!S2*Hypothèses!$O$3)*1000</f>
        <v>12.4</v>
      </c>
      <c r="W2" s="87" t="s">
        <v>431</v>
      </c>
      <c r="X2" s="89" t="s">
        <v>561</v>
      </c>
      <c r="Y2" s="124" t="s">
        <v>429</v>
      </c>
      <c r="Z2" s="125" t="s">
        <v>560</v>
      </c>
    </row>
    <row r="3" spans="1:26" x14ac:dyDescent="0.35">
      <c r="A3" s="101" t="s">
        <v>3</v>
      </c>
      <c r="B3" s="97" t="s">
        <v>552</v>
      </c>
      <c r="C3" s="87" t="s">
        <v>5</v>
      </c>
      <c r="D3" s="99" t="s">
        <v>488</v>
      </c>
      <c r="E3" s="99">
        <v>2022</v>
      </c>
      <c r="F3" s="88">
        <v>0.1</v>
      </c>
      <c r="G3" s="88">
        <v>0.9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  <c r="P3" s="88">
        <v>0</v>
      </c>
      <c r="Q3" s="88">
        <v>0</v>
      </c>
      <c r="R3" s="88">
        <v>0</v>
      </c>
      <c r="S3" s="88">
        <v>0</v>
      </c>
      <c r="T3" s="88">
        <f t="shared" ref="T3:T20" si="0">SUM(F3:M3)</f>
        <v>1</v>
      </c>
      <c r="U3" s="88">
        <f t="shared" ref="U3:U20" si="1">SUM(N3:S3)</f>
        <v>0</v>
      </c>
      <c r="V3" s="140">
        <f>(F3*Hypothèses!$B$3+G3*Hypothèses!$C$3+Fournisseurs!H3*Hypothèses!$D$3+Fournisseurs!I3*Hypothèses!$E$3+Fournisseurs!J3*Hypothèses!$F$3+Fournisseurs!K3*Hypothèses!$G$3+Fournisseurs!L3*Hypothèses!$H$3+Fournisseurs!M3*Hypothèses!$I$3+Fournisseurs!N3*Hypothèses!$J$3+Fournisseurs!O3*Hypothèses!$K$3+Fournisseurs!P3*'Energie KBOB'!$K$76+Fournisseurs!Q3*Hypothèses!$M$3+Fournisseurs!R3*Hypothèses!$N$3+Fournisseurs!S3*Hypothèses!$O$3)*1000</f>
        <v>15.92</v>
      </c>
      <c r="W3" s="87" t="s">
        <v>431</v>
      </c>
      <c r="X3" s="89" t="s">
        <v>561</v>
      </c>
      <c r="Y3" s="124" t="s">
        <v>429</v>
      </c>
      <c r="Z3" s="125" t="s">
        <v>560</v>
      </c>
    </row>
    <row r="4" spans="1:26" x14ac:dyDescent="0.35">
      <c r="A4" s="101" t="s">
        <v>3</v>
      </c>
      <c r="B4" s="97" t="s">
        <v>552</v>
      </c>
      <c r="C4" s="87" t="s">
        <v>6</v>
      </c>
      <c r="D4" s="99" t="s">
        <v>488</v>
      </c>
      <c r="E4" s="99">
        <v>2022</v>
      </c>
      <c r="F4" s="88">
        <v>0.2</v>
      </c>
      <c r="G4" s="88">
        <v>0.8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  <c r="P4" s="88">
        <v>0</v>
      </c>
      <c r="Q4" s="88">
        <v>0</v>
      </c>
      <c r="R4" s="88">
        <v>0</v>
      </c>
      <c r="S4" s="88">
        <v>0</v>
      </c>
      <c r="T4" s="88">
        <f t="shared" si="0"/>
        <v>1</v>
      </c>
      <c r="U4" s="88">
        <f t="shared" si="1"/>
        <v>0</v>
      </c>
      <c r="V4" s="140">
        <f>(F4*Hypothèses!$B$3+G4*Hypothèses!$C$3+Fournisseurs!H4*Hypothèses!$D$3+Fournisseurs!I4*Hypothèses!$E$3+Fournisseurs!J4*Hypothèses!$F$3+Fournisseurs!K4*Hypothèses!$G$3+Fournisseurs!L4*Hypothèses!$H$3+Fournisseurs!M4*Hypothèses!$I$3+Fournisseurs!N4*Hypothèses!$J$3+Fournisseurs!O4*Hypothèses!$K$3+Fournisseurs!P4*'Energie KBOB'!$K$76+Fournisseurs!Q4*Hypothèses!$M$3+Fournisseurs!R4*Hypothèses!$N$3+Fournisseurs!S4*Hypothèses!$O$3)*1000</f>
        <v>19.439999999999998</v>
      </c>
      <c r="W4" s="87" t="s">
        <v>431</v>
      </c>
      <c r="X4" s="89" t="s">
        <v>561</v>
      </c>
      <c r="Y4" s="124" t="s">
        <v>429</v>
      </c>
      <c r="Z4" s="125" t="s">
        <v>560</v>
      </c>
    </row>
    <row r="5" spans="1:26" x14ac:dyDescent="0.35">
      <c r="A5" s="101" t="s">
        <v>3</v>
      </c>
      <c r="B5" s="97" t="s">
        <v>552</v>
      </c>
      <c r="C5" s="87" t="s">
        <v>7</v>
      </c>
      <c r="D5" s="99" t="s">
        <v>488</v>
      </c>
      <c r="E5" s="99">
        <v>2022</v>
      </c>
      <c r="F5" s="88">
        <v>0.5</v>
      </c>
      <c r="G5" s="88">
        <v>0.5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  <c r="P5" s="88">
        <v>0</v>
      </c>
      <c r="Q5" s="88">
        <v>0</v>
      </c>
      <c r="R5" s="88">
        <v>0</v>
      </c>
      <c r="S5" s="88">
        <v>0</v>
      </c>
      <c r="T5" s="88">
        <f t="shared" si="0"/>
        <v>1</v>
      </c>
      <c r="U5" s="88">
        <f t="shared" si="1"/>
        <v>0</v>
      </c>
      <c r="V5" s="140">
        <f>(F5*Hypothèses!$B$3+G5*Hypothèses!$C$3+Fournisseurs!H5*Hypothèses!$D$3+Fournisseurs!I5*Hypothèses!$E$3+Fournisseurs!J5*Hypothèses!$F$3+Fournisseurs!K5*Hypothèses!$G$3+Fournisseurs!L5*Hypothèses!$H$3+Fournisseurs!M5*Hypothèses!$I$3+Fournisseurs!N5*Hypothèses!$J$3+Fournisseurs!O5*Hypothèses!$K$3+Fournisseurs!P5*'Energie KBOB'!$K$76+Fournisseurs!Q5*Hypothèses!$M$3+Fournisseurs!R5*Hypothèses!$N$3+Fournisseurs!S5*Hypothèses!$O$3)*1000</f>
        <v>30.000000000000004</v>
      </c>
      <c r="W5" s="87" t="s">
        <v>431</v>
      </c>
      <c r="X5" s="89" t="s">
        <v>561</v>
      </c>
      <c r="Y5" s="124" t="s">
        <v>429</v>
      </c>
      <c r="Z5" s="125" t="s">
        <v>560</v>
      </c>
    </row>
    <row r="6" spans="1:26" hidden="1" x14ac:dyDescent="0.35">
      <c r="A6" s="101" t="s">
        <v>3</v>
      </c>
      <c r="B6" s="97" t="s">
        <v>552</v>
      </c>
      <c r="C6" s="99" t="s">
        <v>489</v>
      </c>
      <c r="D6" s="99" t="s">
        <v>490</v>
      </c>
      <c r="E6" s="99">
        <v>2020</v>
      </c>
      <c r="F6" s="91">
        <f>1.4%</f>
        <v>1.3999999999999999E-2</v>
      </c>
      <c r="G6" s="88">
        <f>81.9%</f>
        <v>0.81900000000000006</v>
      </c>
      <c r="H6" s="91">
        <f>0.07*0.03</f>
        <v>2.1000000000000003E-3</v>
      </c>
      <c r="I6" s="88">
        <f>0.2%</f>
        <v>2E-3</v>
      </c>
      <c r="J6" s="88">
        <v>0</v>
      </c>
      <c r="K6" s="88">
        <v>0</v>
      </c>
      <c r="L6" s="88">
        <v>0</v>
      </c>
      <c r="M6" s="88">
        <v>7.0000000000000007E-2</v>
      </c>
      <c r="N6" s="88">
        <v>9.5000000000000001E-2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f t="shared" si="0"/>
        <v>0.90710000000000002</v>
      </c>
      <c r="U6" s="88">
        <f t="shared" si="1"/>
        <v>9.5000000000000001E-2</v>
      </c>
      <c r="V6" s="140">
        <f>(F6*Hypothèses!$B$3+G6*Hypothèses!$C$3+Fournisseurs!H6*Hypothèses!$D$3+Fournisseurs!I6*Hypothèses!$E$3+Fournisseurs!J6*Hypothèses!$F$3+Fournisseurs!K6*Hypothèses!$G$3+Fournisseurs!L6*Hypothèses!$H$3+Fournisseurs!M6*Hypothèses!$I$3+Fournisseurs!N6*Hypothèses!$J$3+Fournisseurs!O6*Hypothèses!$K$3+Fournisseurs!P6*'Energie KBOB'!$K$76+Fournisseurs!Q6*Hypothèses!$M$3+Fournisseurs!R6*Hypothèses!$N$3+Fournisseurs!S6*Hypothèses!$O$3)*1000</f>
        <v>15.372723468617824</v>
      </c>
      <c r="W6" s="87" t="s">
        <v>431</v>
      </c>
      <c r="X6" s="89" t="s">
        <v>441</v>
      </c>
      <c r="Y6" s="125"/>
      <c r="Z6" s="124"/>
    </row>
    <row r="7" spans="1:26" hidden="1" x14ac:dyDescent="0.35">
      <c r="A7" s="101" t="s">
        <v>3</v>
      </c>
      <c r="B7" s="97" t="s">
        <v>552</v>
      </c>
      <c r="C7" s="99" t="s">
        <v>489</v>
      </c>
      <c r="D7" s="99" t="s">
        <v>490</v>
      </c>
      <c r="E7" s="99">
        <v>2019</v>
      </c>
      <c r="F7" s="91">
        <v>1.4E-2</v>
      </c>
      <c r="G7" s="88">
        <v>0.746</v>
      </c>
      <c r="H7" s="91">
        <v>0</v>
      </c>
      <c r="I7" s="88">
        <v>0</v>
      </c>
      <c r="J7" s="88">
        <v>0</v>
      </c>
      <c r="K7" s="88">
        <v>0</v>
      </c>
      <c r="L7" s="88">
        <v>0</v>
      </c>
      <c r="M7" s="88">
        <v>6.3E-2</v>
      </c>
      <c r="N7" s="88">
        <f>0.923-0.746</f>
        <v>0.17700000000000005</v>
      </c>
      <c r="O7" s="88">
        <v>0</v>
      </c>
      <c r="P7" s="88">
        <v>0</v>
      </c>
      <c r="Q7" s="88">
        <v>0</v>
      </c>
      <c r="R7" s="88">
        <v>0</v>
      </c>
      <c r="S7" s="88">
        <v>0</v>
      </c>
      <c r="T7" s="88">
        <f t="shared" si="0"/>
        <v>0.82299999999999995</v>
      </c>
      <c r="U7" s="88">
        <f t="shared" si="1"/>
        <v>0.17700000000000005</v>
      </c>
      <c r="V7" s="140">
        <f>(F7*Hypothèses!$B$3+G7*Hypothèses!$C$3+Fournisseurs!H7*Hypothèses!$D$3+Fournisseurs!I7*Hypothèses!$E$3+Fournisseurs!J7*Hypothèses!$F$3+Fournisseurs!K7*Hypothèses!$G$3+Fournisseurs!L7*Hypothèses!$H$3+Fournisseurs!M7*Hypothèses!$I$3+Fournisseurs!N7*Hypothèses!$J$3+Fournisseurs!O7*Hypothèses!$K$3+Fournisseurs!P7*'Energie KBOB'!$K$76+Fournisseurs!Q7*Hypothèses!$M$3+Fournisseurs!R7*Hypothèses!$N$3+Fournisseurs!S7*Hypothèses!$O$3)*1000</f>
        <v>14.953373121756041</v>
      </c>
      <c r="W7" s="87" t="s">
        <v>431</v>
      </c>
      <c r="X7" s="89" t="s">
        <v>484</v>
      </c>
      <c r="Y7" s="125"/>
      <c r="Z7" s="124"/>
    </row>
    <row r="8" spans="1:26" hidden="1" x14ac:dyDescent="0.35">
      <c r="A8" s="101" t="s">
        <v>3</v>
      </c>
      <c r="B8" s="97" t="s">
        <v>552</v>
      </c>
      <c r="C8" s="99" t="s">
        <v>489</v>
      </c>
      <c r="D8" s="99" t="s">
        <v>490</v>
      </c>
      <c r="E8" s="99">
        <v>2018</v>
      </c>
      <c r="F8" s="91">
        <v>1.4E-2</v>
      </c>
      <c r="G8" s="88">
        <v>0.64500000000000002</v>
      </c>
      <c r="H8" s="91">
        <v>0</v>
      </c>
      <c r="I8" s="88">
        <v>0</v>
      </c>
      <c r="J8" s="88">
        <v>0</v>
      </c>
      <c r="K8" s="88">
        <v>0</v>
      </c>
      <c r="L8" s="88">
        <v>0</v>
      </c>
      <c r="M8" s="88">
        <v>5.6000000000000001E-2</v>
      </c>
      <c r="N8" s="88">
        <f>0.93-0.645</f>
        <v>0.28500000000000003</v>
      </c>
      <c r="O8" s="88">
        <v>0</v>
      </c>
      <c r="P8" s="88">
        <v>0</v>
      </c>
      <c r="Q8" s="88">
        <v>0</v>
      </c>
      <c r="R8" s="88">
        <v>0</v>
      </c>
      <c r="S8" s="88">
        <v>0</v>
      </c>
      <c r="T8" s="88">
        <f t="shared" si="0"/>
        <v>0.71500000000000008</v>
      </c>
      <c r="U8" s="88">
        <f t="shared" si="1"/>
        <v>0.28500000000000003</v>
      </c>
      <c r="V8" s="140">
        <f>(F8*Hypothèses!$B$3+G8*Hypothèses!$C$3+Fournisseurs!H8*Hypothèses!$D$3+Fournisseurs!I8*Hypothèses!$E$3+Fournisseurs!J8*Hypothèses!$F$3+Fournisseurs!K8*Hypothèses!$G$3+Fournisseurs!L8*Hypothèses!$H$3+Fournisseurs!M8*Hypothèses!$I$3+Fournisseurs!N8*Hypothèses!$J$3+Fournisseurs!O8*Hypothèses!$K$3+Fournisseurs!P8*'Energie KBOB'!$K$76+Fournisseurs!Q8*Hypothèses!$M$3+Fournisseurs!R8*Hypothèses!$N$3+Fournisseurs!S8*Hypothèses!$O$3)*1000</f>
        <v>14.724420552672036</v>
      </c>
      <c r="W8" s="87" t="s">
        <v>431</v>
      </c>
      <c r="X8" s="89"/>
      <c r="Y8" s="125"/>
      <c r="Z8" s="124"/>
    </row>
    <row r="9" spans="1:26" hidden="1" x14ac:dyDescent="0.35">
      <c r="A9" s="101" t="s">
        <v>3</v>
      </c>
      <c r="B9" s="97" t="s">
        <v>552</v>
      </c>
      <c r="C9" s="99" t="s">
        <v>489</v>
      </c>
      <c r="D9" s="99" t="s">
        <v>490</v>
      </c>
      <c r="E9" s="99">
        <v>2017</v>
      </c>
      <c r="F9" s="91">
        <v>1.4E-2</v>
      </c>
      <c r="G9" s="88">
        <v>0.57599999999999996</v>
      </c>
      <c r="H9" s="91">
        <v>0</v>
      </c>
      <c r="I9" s="88">
        <v>0</v>
      </c>
      <c r="J9" s="88">
        <v>0</v>
      </c>
      <c r="K9" s="88">
        <v>0</v>
      </c>
      <c r="L9" s="88">
        <v>0</v>
      </c>
      <c r="M9" s="88">
        <v>5.1999999999999998E-2</v>
      </c>
      <c r="N9" s="88">
        <f>0.934-0.576</f>
        <v>0.3580000000000001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f t="shared" si="0"/>
        <v>0.64200000000000002</v>
      </c>
      <c r="U9" s="88">
        <f t="shared" si="1"/>
        <v>0.3580000000000001</v>
      </c>
      <c r="V9" s="140">
        <f>(F9*Hypothèses!$B$3+G9*Hypothèses!$C$3+Fournisseurs!H9*Hypothèses!$D$3+Fournisseurs!I9*Hypothèses!$E$3+Fournisseurs!J9*Hypothèses!$F$3+Fournisseurs!K9*Hypothèses!$G$3+Fournisseurs!L9*Hypothèses!$H$3+Fournisseurs!M9*Hypothèses!$I$3+Fournisseurs!N9*Hypothèses!$J$3+Fournisseurs!O9*Hypothèses!$K$3+Fournisseurs!P9*'Energie KBOB'!$K$76+Fournisseurs!Q9*Hypothèses!$M$3+Fournisseurs!R9*Hypothèses!$N$3+Fournisseurs!S9*Hypothèses!$O$3)*1000</f>
        <v>14.593590513195462</v>
      </c>
      <c r="W9" s="87" t="s">
        <v>431</v>
      </c>
      <c r="X9" s="89"/>
      <c r="Y9" s="125"/>
      <c r="Z9" s="124"/>
    </row>
    <row r="10" spans="1:26" x14ac:dyDescent="0.35">
      <c r="A10" s="101" t="s">
        <v>430</v>
      </c>
      <c r="B10" s="97" t="s">
        <v>496</v>
      </c>
      <c r="C10" s="87" t="s">
        <v>433</v>
      </c>
      <c r="D10" s="99" t="s">
        <v>488</v>
      </c>
      <c r="E10" s="99">
        <v>2022</v>
      </c>
      <c r="F10" s="88">
        <v>0</v>
      </c>
      <c r="G10" s="88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f t="shared" si="0"/>
        <v>1</v>
      </c>
      <c r="U10" s="88">
        <f t="shared" si="1"/>
        <v>0</v>
      </c>
      <c r="V10" s="140">
        <f>(F10*Hypothèses!$B$3+G10*Hypothèses!$C$3+Fournisseurs!H10*Hypothèses!$D$3+Fournisseurs!I10*Hypothèses!$E$3+Fournisseurs!J10*Hypothèses!$F$3+Fournisseurs!K10*Hypothèses!$G$3+Fournisseurs!L10*Hypothèses!$H$3+Fournisseurs!M10*Hypothèses!$I$3+Fournisseurs!N10*Hypothèses!$J$3+Fournisseurs!O10*Hypothèses!$K$3+Fournisseurs!P10*'Energie KBOB'!$K$76+Fournisseurs!Q10*Hypothèses!$M$3+Fournisseurs!R10*Hypothèses!$N$3+Fournisseurs!S10*Hypothèses!$O$3)*1000</f>
        <v>12.4</v>
      </c>
      <c r="W10" s="87" t="s">
        <v>432</v>
      </c>
      <c r="X10" s="89" t="s">
        <v>562</v>
      </c>
      <c r="Y10" s="124" t="s">
        <v>444</v>
      </c>
      <c r="Z10" s="125"/>
    </row>
    <row r="11" spans="1:26" x14ac:dyDescent="0.35">
      <c r="A11" s="101" t="s">
        <v>430</v>
      </c>
      <c r="B11" s="97" t="s">
        <v>496</v>
      </c>
      <c r="C11" s="87" t="s">
        <v>434</v>
      </c>
      <c r="D11" s="99" t="s">
        <v>488</v>
      </c>
      <c r="E11" s="99">
        <v>2022</v>
      </c>
      <c r="F11" s="88">
        <v>0.5</v>
      </c>
      <c r="G11" s="88">
        <v>0.5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f t="shared" si="0"/>
        <v>1</v>
      </c>
      <c r="U11" s="88">
        <f t="shared" si="1"/>
        <v>0</v>
      </c>
      <c r="V11" s="140">
        <f>(F11*Hypothèses!$B$3+G11*Hypothèses!$C$3+Fournisseurs!H11*Hypothèses!$D$3+Fournisseurs!I11*Hypothèses!$E$3+Fournisseurs!J11*Hypothèses!$F$3+Fournisseurs!K11*Hypothèses!$G$3+Fournisseurs!L11*Hypothèses!$H$3+Fournisseurs!M11*Hypothèses!$I$3+Fournisseurs!N11*Hypothèses!$J$3+Fournisseurs!O11*Hypothèses!$K$3+Fournisseurs!P11*'Energie KBOB'!$K$76+Fournisseurs!Q11*Hypothèses!$M$3+Fournisseurs!R11*Hypothèses!$N$3+Fournisseurs!S11*Hypothèses!$O$3)*1000</f>
        <v>30.000000000000004</v>
      </c>
      <c r="W11" s="87" t="s">
        <v>432</v>
      </c>
      <c r="X11" s="89" t="s">
        <v>562</v>
      </c>
      <c r="Y11" s="124" t="s">
        <v>444</v>
      </c>
      <c r="Z11" s="125"/>
    </row>
    <row r="12" spans="1:26" hidden="1" x14ac:dyDescent="0.35">
      <c r="A12" s="101" t="s">
        <v>430</v>
      </c>
      <c r="B12" s="97" t="s">
        <v>496</v>
      </c>
      <c r="C12" s="99" t="s">
        <v>489</v>
      </c>
      <c r="D12" s="99" t="s">
        <v>490</v>
      </c>
      <c r="E12" s="99">
        <v>2020</v>
      </c>
      <c r="F12" s="90">
        <f>0.022</f>
        <v>2.1999999999999999E-2</v>
      </c>
      <c r="G12" s="88">
        <f>0.747</f>
        <v>0.747</v>
      </c>
      <c r="H12" s="91">
        <f>0.07*0.03</f>
        <v>2.1000000000000003E-3</v>
      </c>
      <c r="I12" s="88">
        <f>0.001</f>
        <v>1E-3</v>
      </c>
      <c r="J12" s="88">
        <v>0.11600000000000001</v>
      </c>
      <c r="K12" s="88">
        <v>0</v>
      </c>
      <c r="L12" s="88">
        <v>0</v>
      </c>
      <c r="M12" s="88">
        <v>7.0000000000000007E-2</v>
      </c>
      <c r="N12" s="88">
        <v>4.3999999999999997E-2</v>
      </c>
      <c r="O12" s="88">
        <v>0</v>
      </c>
      <c r="P12" s="88">
        <v>0</v>
      </c>
      <c r="Q12" s="88">
        <v>0</v>
      </c>
      <c r="R12" s="88">
        <v>0</v>
      </c>
      <c r="S12" s="88">
        <v>0</v>
      </c>
      <c r="T12" s="88">
        <f t="shared" si="0"/>
        <v>0.95809999999999995</v>
      </c>
      <c r="U12" s="88">
        <f t="shared" si="1"/>
        <v>4.3999999999999997E-2</v>
      </c>
      <c r="V12" s="140">
        <f>(F12*Hypothèses!$B$3+G12*Hypothèses!$C$3+Fournisseurs!H12*Hypothèses!$D$3+Fournisseurs!I12*Hypothèses!$E$3+Fournisseurs!J12*Hypothèses!$F$3+Fournisseurs!K12*Hypothèses!$G$3+Fournisseurs!L12*Hypothèses!$H$3+Fournisseurs!M12*Hypothèses!$I$3+Fournisseurs!N12*Hypothèses!$J$3+Fournisseurs!O12*Hypothèses!$K$3+Fournisseurs!P12*'Energie KBOB'!$K$76+Fournisseurs!Q12*Hypothèses!$M$3+Fournisseurs!R12*Hypothèses!$N$3+Fournisseurs!S12*Hypothèses!$O$3)*1000</f>
        <v>16.922944579728934</v>
      </c>
      <c r="W12" s="87" t="s">
        <v>431</v>
      </c>
      <c r="X12" s="89" t="s">
        <v>445</v>
      </c>
      <c r="Y12" s="125"/>
      <c r="Z12" s="124"/>
    </row>
    <row r="13" spans="1:26" hidden="1" x14ac:dyDescent="0.35">
      <c r="A13" s="101" t="s">
        <v>430</v>
      </c>
      <c r="B13" s="97" t="s">
        <v>496</v>
      </c>
      <c r="C13" s="99" t="s">
        <v>489</v>
      </c>
      <c r="D13" s="99" t="s">
        <v>490</v>
      </c>
      <c r="E13" s="99">
        <v>2019</v>
      </c>
      <c r="F13" s="90">
        <v>1.9599999999999999E-2</v>
      </c>
      <c r="G13" s="88">
        <v>0.75949999999999995</v>
      </c>
      <c r="H13" s="91">
        <v>0</v>
      </c>
      <c r="I13" s="88">
        <v>6.9999999999999999E-4</v>
      </c>
      <c r="J13" s="88">
        <v>0.1196</v>
      </c>
      <c r="K13" s="88">
        <v>0</v>
      </c>
      <c r="L13" s="88">
        <v>0</v>
      </c>
      <c r="M13" s="88">
        <v>6.3E-2</v>
      </c>
      <c r="N13" s="88">
        <f>0.7971-0.7595</f>
        <v>3.7600000000000078E-2</v>
      </c>
      <c r="O13" s="88">
        <v>0</v>
      </c>
      <c r="P13" s="88">
        <v>0</v>
      </c>
      <c r="Q13" s="88">
        <v>0</v>
      </c>
      <c r="R13" s="88">
        <v>0</v>
      </c>
      <c r="S13" s="88">
        <v>0</v>
      </c>
      <c r="T13" s="88">
        <f t="shared" si="0"/>
        <v>0.96239999999999992</v>
      </c>
      <c r="U13" s="88">
        <f t="shared" si="1"/>
        <v>3.7600000000000078E-2</v>
      </c>
      <c r="V13" s="140">
        <f>(F13*Hypothèses!$B$3+G13*Hypothèses!$C$3+Fournisseurs!H13*Hypothèses!$D$3+Fournisseurs!I13*Hypothèses!$E$3+Fournisseurs!J13*Hypothèses!$F$3+Fournisseurs!K13*Hypothèses!$G$3+Fournisseurs!L13*Hypothèses!$H$3+Fournisseurs!M13*Hypothèses!$I$3+Fournisseurs!N13*Hypothèses!$J$3+Fournisseurs!O13*Hypothèses!$K$3+Fournisseurs!P13*'Energie KBOB'!$K$76+Fournisseurs!Q13*Hypothèses!$M$3+Fournisseurs!R13*Hypothèses!$N$3+Fournisseurs!S13*Hypothèses!$O$3)*1000</f>
        <v>16.57165834397826</v>
      </c>
      <c r="W13" s="87" t="s">
        <v>431</v>
      </c>
      <c r="X13" s="89" t="s">
        <v>485</v>
      </c>
      <c r="Y13" s="125"/>
      <c r="Z13" s="124"/>
    </row>
    <row r="14" spans="1:26" hidden="1" x14ac:dyDescent="0.35">
      <c r="A14" s="101" t="s">
        <v>430</v>
      </c>
      <c r="B14" s="97" t="s">
        <v>496</v>
      </c>
      <c r="C14" s="99" t="s">
        <v>489</v>
      </c>
      <c r="D14" s="99" t="s">
        <v>490</v>
      </c>
      <c r="E14" s="99">
        <v>2018</v>
      </c>
      <c r="F14" s="90">
        <v>1.9E-2</v>
      </c>
      <c r="G14" s="88">
        <v>0.76400000000000001</v>
      </c>
      <c r="H14" s="91">
        <v>0</v>
      </c>
      <c r="I14" s="88">
        <v>1E-3</v>
      </c>
      <c r="J14" s="88">
        <v>0.13800000000000001</v>
      </c>
      <c r="K14" s="88">
        <v>0</v>
      </c>
      <c r="L14" s="88">
        <v>0</v>
      </c>
      <c r="M14" s="88">
        <v>5.6000000000000001E-2</v>
      </c>
      <c r="N14" s="88">
        <f>0.786-0.764</f>
        <v>2.200000000000002E-2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f t="shared" si="0"/>
        <v>0.97800000000000009</v>
      </c>
      <c r="U14" s="88">
        <f t="shared" si="1"/>
        <v>2.200000000000002E-2</v>
      </c>
      <c r="V14" s="140">
        <f>(F14*Hypothèses!$B$3+G14*Hypothèses!$C$3+Fournisseurs!H14*Hypothèses!$D$3+Fournisseurs!I14*Hypothèses!$E$3+Fournisseurs!J14*Hypothèses!$F$3+Fournisseurs!K14*Hypothèses!$G$3+Fournisseurs!L14*Hypothèses!$H$3+Fournisseurs!M14*Hypothèses!$I$3+Fournisseurs!N14*Hypothèses!$J$3+Fournisseurs!O14*Hypothèses!$K$3+Fournisseurs!P14*'Energie KBOB'!$K$76+Fournisseurs!Q14*Hypothèses!$M$3+Fournisseurs!R14*Hypothèses!$N$3+Fournisseurs!S14*Hypothèses!$O$3)*1000</f>
        <v>16.552799441560925</v>
      </c>
      <c r="W14" s="87" t="s">
        <v>431</v>
      </c>
      <c r="X14" s="89"/>
      <c r="Y14" s="125"/>
      <c r="Z14" s="124"/>
    </row>
    <row r="15" spans="1:26" hidden="1" x14ac:dyDescent="0.35">
      <c r="A15" s="101" t="s">
        <v>430</v>
      </c>
      <c r="B15" s="97" t="s">
        <v>496</v>
      </c>
      <c r="C15" s="99" t="s">
        <v>489</v>
      </c>
      <c r="D15" s="99" t="s">
        <v>490</v>
      </c>
      <c r="E15" s="99">
        <v>2017</v>
      </c>
      <c r="F15" s="90">
        <v>7.0000000000000001E-3</v>
      </c>
      <c r="G15" s="88">
        <v>0.53029999999999999</v>
      </c>
      <c r="H15" s="91">
        <v>0</v>
      </c>
      <c r="I15" s="88">
        <v>6.9999999999999999E-4</v>
      </c>
      <c r="J15" s="88">
        <v>0.25</v>
      </c>
      <c r="K15" s="88">
        <v>0</v>
      </c>
      <c r="L15" s="88">
        <v>0</v>
      </c>
      <c r="M15" s="88">
        <v>5.1999999999999998E-2</v>
      </c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0.16</v>
      </c>
      <c r="T15" s="88">
        <f t="shared" si="0"/>
        <v>0.84000000000000008</v>
      </c>
      <c r="U15" s="88">
        <f t="shared" si="1"/>
        <v>0.16</v>
      </c>
      <c r="V15" s="140">
        <f>(F15*Hypothèses!$B$3+G15*Hypothèses!$C$3+Fournisseurs!H15*Hypothèses!$D$3+Fournisseurs!I15*Hypothèses!$E$3+Fournisseurs!J15*Hypothèses!$F$3+Fournisseurs!K15*Hypothèses!$G$3+Fournisseurs!L15*Hypothèses!$H$3+Fournisseurs!M15*Hypothèses!$I$3+Fournisseurs!N15*Hypothèses!$J$3+Fournisseurs!O15*Hypothèses!$K$3+Fournisseurs!P15*'Energie KBOB'!$K$76+Fournisseurs!Q15*Hypothèses!$M$3+Fournisseurs!R15*Hypothèses!$N$3+Fournisseurs!S15*Hypothèses!$O$3)*1000</f>
        <v>98.963955735417684</v>
      </c>
      <c r="W15" s="87" t="s">
        <v>431</v>
      </c>
      <c r="X15" s="89"/>
      <c r="Y15" s="125"/>
      <c r="Z15" s="124"/>
    </row>
    <row r="16" spans="1:26" hidden="1" x14ac:dyDescent="0.35">
      <c r="A16" s="101" t="s">
        <v>446</v>
      </c>
      <c r="B16" s="97" t="s">
        <v>549</v>
      </c>
      <c r="C16" s="99" t="s">
        <v>489</v>
      </c>
      <c r="D16" s="99" t="s">
        <v>490</v>
      </c>
      <c r="E16" s="99">
        <v>2020</v>
      </c>
      <c r="F16" s="88">
        <v>0</v>
      </c>
      <c r="G16" s="95">
        <v>0.25219999999999998</v>
      </c>
      <c r="H16" s="88">
        <v>0</v>
      </c>
      <c r="I16" s="88">
        <v>0</v>
      </c>
      <c r="J16" s="95">
        <v>0.59060000000000001</v>
      </c>
      <c r="K16" s="88">
        <v>0</v>
      </c>
      <c r="L16" s="88">
        <v>0</v>
      </c>
      <c r="M16" s="95">
        <v>7.0000000000000007E-2</v>
      </c>
      <c r="N16" s="88">
        <v>6.0000000000000001E-3</v>
      </c>
      <c r="O16" s="88">
        <v>0</v>
      </c>
      <c r="P16" s="88">
        <v>0</v>
      </c>
      <c r="Q16" s="88">
        <v>0</v>
      </c>
      <c r="R16" s="88">
        <v>0</v>
      </c>
      <c r="S16" s="88">
        <v>8.1199999999999994E-2</v>
      </c>
      <c r="T16" s="88">
        <f t="shared" si="0"/>
        <v>0.91280000000000006</v>
      </c>
      <c r="U16" s="88">
        <f t="shared" si="1"/>
        <v>8.72E-2</v>
      </c>
      <c r="V16" s="140">
        <f>(F16*Hypothèses!$B$3+G16*Hypothèses!$C$3+Fournisseurs!H16*Hypothèses!$D$3+Fournisseurs!I16*Hypothèses!$E$3+Fournisseurs!J16*Hypothèses!$F$3+Fournisseurs!K16*Hypothèses!$G$3+Fournisseurs!L16*Hypothèses!$H$3+Fournisseurs!M16*Hypothèses!$I$3+Fournisseurs!N16*Hypothèses!$J$3+Fournisseurs!O16*Hypothèses!$K$3+Fournisseurs!P16*'Energie KBOB'!$K$76+Fournisseurs!Q16*Hypothèses!$M$3+Fournisseurs!R16*Hypothèses!$N$3+Fournisseurs!S16*Hypothèses!$O$3)*1000</f>
        <v>62.942145690840043</v>
      </c>
      <c r="W16" s="96" t="s">
        <v>448</v>
      </c>
      <c r="X16" s="89" t="s">
        <v>447</v>
      </c>
      <c r="Y16" s="125"/>
      <c r="Z16" s="124"/>
    </row>
    <row r="17" spans="1:26" hidden="1" x14ac:dyDescent="0.35">
      <c r="A17" s="101" t="s">
        <v>446</v>
      </c>
      <c r="B17" s="97" t="s">
        <v>549</v>
      </c>
      <c r="C17" s="99" t="s">
        <v>489</v>
      </c>
      <c r="D17" s="99" t="s">
        <v>490</v>
      </c>
      <c r="E17" s="99">
        <v>2019</v>
      </c>
      <c r="F17" s="88">
        <v>0</v>
      </c>
      <c r="G17" s="95">
        <v>0.115</v>
      </c>
      <c r="H17" s="88">
        <v>0</v>
      </c>
      <c r="I17" s="88">
        <v>0</v>
      </c>
      <c r="J17" s="95">
        <v>0.36620000000000003</v>
      </c>
      <c r="K17" s="88">
        <v>0</v>
      </c>
      <c r="L17" s="88">
        <v>0</v>
      </c>
      <c r="M17" s="95">
        <v>6.3E-2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0.45579999999999998</v>
      </c>
      <c r="T17" s="88">
        <f t="shared" si="0"/>
        <v>0.54420000000000002</v>
      </c>
      <c r="U17" s="88">
        <f t="shared" si="1"/>
        <v>0.45579999999999998</v>
      </c>
      <c r="V17" s="140">
        <f>(F17*Hypothèses!$B$3+G17*Hypothèses!$C$3+Fournisseurs!H17*Hypothèses!$D$3+Fournisseurs!I17*Hypothèses!$E$3+Fournisseurs!J17*Hypothèses!$F$3+Fournisseurs!K17*Hypothèses!$G$3+Fournisseurs!L17*Hypothèses!$H$3+Fournisseurs!M17*Hypothèses!$I$3+Fournisseurs!N17*Hypothèses!$J$3+Fournisseurs!O17*Hypothèses!$K$3+Fournisseurs!P17*'Energie KBOB'!$K$76+Fournisseurs!Q17*Hypothèses!$M$3+Fournisseurs!R17*Hypothèses!$N$3+Fournisseurs!S17*Hypothèses!$O$3)*1000</f>
        <v>251.40335312175606</v>
      </c>
      <c r="W17" s="96"/>
      <c r="X17" s="89"/>
      <c r="Y17" s="125"/>
      <c r="Z17" s="124"/>
    </row>
    <row r="18" spans="1:26" x14ac:dyDescent="0.35">
      <c r="A18" s="100" t="s">
        <v>454</v>
      </c>
      <c r="B18" s="97" t="s">
        <v>550</v>
      </c>
      <c r="C18" s="99" t="s">
        <v>491</v>
      </c>
      <c r="D18" s="99" t="s">
        <v>490</v>
      </c>
      <c r="E18" s="99">
        <v>2020</v>
      </c>
      <c r="F18" s="88">
        <v>0.33</v>
      </c>
      <c r="G18" s="88">
        <v>0.56999999999999995</v>
      </c>
      <c r="H18" s="88">
        <v>0.1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>
        <v>0</v>
      </c>
      <c r="P18" s="88">
        <v>0</v>
      </c>
      <c r="Q18" s="88">
        <v>0</v>
      </c>
      <c r="R18" s="88">
        <v>0</v>
      </c>
      <c r="S18" s="88">
        <v>0</v>
      </c>
      <c r="T18" s="88">
        <f t="shared" si="0"/>
        <v>0.99999999999999989</v>
      </c>
      <c r="U18" s="88">
        <f t="shared" si="1"/>
        <v>0</v>
      </c>
      <c r="V18" s="140">
        <f>(F18*Hypothèses!$B$3+G18*Hypothèses!$C$3+Fournisseurs!H18*Hypothèses!$D$3+Fournisseurs!I18*Hypothèses!$E$3+Fournisseurs!J18*Hypothèses!$F$3+Fournisseurs!K18*Hypothèses!$G$3+Fournisseurs!L18*Hypothèses!$H$3+Fournisseurs!M18*Hypothèses!$I$3+Fournisseurs!N18*Hypothèses!$J$3+Fournisseurs!O18*Hypothèses!$K$3+Fournisseurs!P18*'Energie KBOB'!$K$76+Fournisseurs!Q18*Hypothèses!$M$3+Fournisseurs!R18*Hypothèses!$N$3+Fournisseurs!S18*Hypothèses!$O$3)*1000</f>
        <v>25.616</v>
      </c>
      <c r="W18" s="96" t="s">
        <v>455</v>
      </c>
      <c r="X18" s="89" t="s">
        <v>459</v>
      </c>
      <c r="Y18" s="125"/>
      <c r="Z18" s="124"/>
    </row>
    <row r="19" spans="1:26" x14ac:dyDescent="0.35">
      <c r="A19" s="100" t="s">
        <v>454</v>
      </c>
      <c r="B19" s="97" t="s">
        <v>550</v>
      </c>
      <c r="C19" s="99" t="s">
        <v>492</v>
      </c>
      <c r="D19" s="99" t="s">
        <v>490</v>
      </c>
      <c r="E19" s="99">
        <v>2020</v>
      </c>
      <c r="F19" s="95">
        <v>6.6000000000000003E-2</v>
      </c>
      <c r="G19" s="95">
        <v>0.83799999999999997</v>
      </c>
      <c r="H19" s="95">
        <v>0</v>
      </c>
      <c r="I19" s="95">
        <v>2.5999999999999999E-2</v>
      </c>
      <c r="J19" s="95">
        <v>0</v>
      </c>
      <c r="K19" s="95">
        <v>0</v>
      </c>
      <c r="L19" s="95">
        <v>0</v>
      </c>
      <c r="M19" s="95">
        <v>7.0000000000000007E-2</v>
      </c>
      <c r="N19" s="95">
        <v>0</v>
      </c>
      <c r="O19" s="88">
        <v>0</v>
      </c>
      <c r="P19" s="88">
        <v>0</v>
      </c>
      <c r="Q19" s="88">
        <v>0</v>
      </c>
      <c r="R19" s="88">
        <v>0</v>
      </c>
      <c r="S19" s="95">
        <v>0</v>
      </c>
      <c r="T19" s="88">
        <f t="shared" si="0"/>
        <v>1</v>
      </c>
      <c r="U19" s="88">
        <f t="shared" si="1"/>
        <v>0</v>
      </c>
      <c r="V19" s="140">
        <f>(F19*Hypothèses!$B$3+G19*Hypothèses!$C$3+Fournisseurs!H19*Hypothèses!$D$3+Fournisseurs!I19*Hypothèses!$E$3+Fournisseurs!J19*Hypothèses!$F$3+Fournisseurs!K19*Hypothèses!$G$3+Fournisseurs!L19*Hypothèses!$H$3+Fournisseurs!M19*Hypothèses!$I$3+Fournisseurs!N19*Hypothèses!$J$3+Fournisseurs!O19*Hypothèses!$K$3+Fournisseurs!P19*'Energie KBOB'!$K$76+Fournisseurs!Q19*Hypothèses!$M$3+Fournisseurs!R19*Hypothèses!$N$3+Fournisseurs!S19*Hypothèses!$O$3)*1000</f>
        <v>18.712576801951158</v>
      </c>
      <c r="W19" s="96" t="s">
        <v>455</v>
      </c>
      <c r="X19" s="89" t="s">
        <v>453</v>
      </c>
      <c r="Y19" s="125"/>
      <c r="Z19" s="124"/>
    </row>
    <row r="20" spans="1:26" x14ac:dyDescent="0.35">
      <c r="A20" s="100" t="s">
        <v>454</v>
      </c>
      <c r="B20" s="97" t="s">
        <v>550</v>
      </c>
      <c r="C20" s="99" t="s">
        <v>493</v>
      </c>
      <c r="D20" s="99" t="s">
        <v>490</v>
      </c>
      <c r="E20" s="99">
        <v>2020</v>
      </c>
      <c r="F20" s="90">
        <v>0</v>
      </c>
      <c r="G20" s="90">
        <v>0.27800000000000002</v>
      </c>
      <c r="H20" s="90">
        <v>0</v>
      </c>
      <c r="I20" s="90">
        <v>0</v>
      </c>
      <c r="J20" s="90">
        <v>0.45600000000000002</v>
      </c>
      <c r="K20" s="90">
        <v>5.0000000000000001E-3</v>
      </c>
      <c r="L20" s="90">
        <v>0.191</v>
      </c>
      <c r="M20" s="98">
        <v>7.0000000000000007E-2</v>
      </c>
      <c r="N20" s="90">
        <v>0</v>
      </c>
      <c r="O20" s="88">
        <v>0</v>
      </c>
      <c r="P20" s="88">
        <v>0</v>
      </c>
      <c r="Q20" s="88">
        <v>0</v>
      </c>
      <c r="R20" s="88">
        <v>0</v>
      </c>
      <c r="S20" s="90">
        <v>0</v>
      </c>
      <c r="T20" s="88">
        <f t="shared" si="0"/>
        <v>1</v>
      </c>
      <c r="U20" s="88">
        <f t="shared" si="1"/>
        <v>0</v>
      </c>
      <c r="V20" s="140">
        <f>(F20*Hypothèses!$B$3+G20*Hypothèses!$C$3+Fournisseurs!H20*Hypothèses!$D$3+Fournisseurs!I20*Hypothèses!$E$3+Fournisseurs!J20*Hypothèses!$F$3+Fournisseurs!K20*Hypothèses!$G$3+Fournisseurs!L20*Hypothèses!$H$3+Fournisseurs!M20*Hypothèses!$I$3+Fournisseurs!N20*Hypothèses!$J$3+Fournisseurs!O20*Hypothèses!$K$3+Fournisseurs!P20*'Energie KBOB'!$K$76+Fournisseurs!Q20*Hypothèses!$M$3+Fournisseurs!R20*Hypothèses!$N$3+Fournisseurs!S20*Hypothèses!$O$3)*1000</f>
        <v>21.910995690840046</v>
      </c>
      <c r="W20" s="96" t="s">
        <v>455</v>
      </c>
      <c r="X20" s="89" t="s">
        <v>456</v>
      </c>
      <c r="Y20" s="125"/>
      <c r="Z20" s="124"/>
    </row>
    <row r="21" spans="1:26" hidden="1" x14ac:dyDescent="0.35">
      <c r="A21" s="100" t="s">
        <v>454</v>
      </c>
      <c r="B21" s="97" t="s">
        <v>550</v>
      </c>
      <c r="C21" s="99" t="s">
        <v>489</v>
      </c>
      <c r="D21" s="99" t="s">
        <v>490</v>
      </c>
      <c r="E21" s="99">
        <v>2020</v>
      </c>
      <c r="F21" s="98">
        <v>3.2899999999999999E-2</v>
      </c>
      <c r="G21" s="98">
        <v>0.59109999999999996</v>
      </c>
      <c r="H21" s="88">
        <v>1E-4</v>
      </c>
      <c r="I21" s="95">
        <v>1.26E-2</v>
      </c>
      <c r="J21" s="95">
        <v>0.1028</v>
      </c>
      <c r="K21" s="95">
        <v>4.0000000000000002E-4</v>
      </c>
      <c r="L21" s="95">
        <v>1.24E-2</v>
      </c>
      <c r="M21" s="95">
        <v>7.0000000000000007E-2</v>
      </c>
      <c r="N21" s="88">
        <f>0.6117-0.5911</f>
        <v>2.0600000000000063E-2</v>
      </c>
      <c r="O21" s="88">
        <v>0</v>
      </c>
      <c r="P21" s="88">
        <v>0</v>
      </c>
      <c r="Q21" s="88">
        <f>0.0946-0.004</f>
        <v>9.06E-2</v>
      </c>
      <c r="R21" s="88">
        <v>0</v>
      </c>
      <c r="S21" s="98">
        <v>6.2899999999999998E-2</v>
      </c>
      <c r="T21" s="88">
        <f t="shared" ref="T21:T57" si="2">SUM(F21:M21)</f>
        <v>0.82230000000000003</v>
      </c>
      <c r="U21" s="88">
        <f t="shared" ref="U21:U57" si="3">SUM(N21:S21)</f>
        <v>0.17410000000000006</v>
      </c>
      <c r="V21" s="140">
        <f>(F21*Hypothèses!$B$3+G21*Hypothèses!$C$3+Fournisseurs!H21*Hypothèses!$D$3+Fournisseurs!I21*Hypothèses!$E$3+Fournisseurs!J21*Hypothèses!$F$3+Fournisseurs!K21*Hypothèses!$G$3+Fournisseurs!L21*Hypothèses!$H$3+Fournisseurs!M21*Hypothèses!$I$3+Fournisseurs!N21*Hypothèses!$J$3+Fournisseurs!O21*Hypothèses!$K$3+Fournisseurs!P21*'Energie KBOB'!$K$76+Fournisseurs!Q21*Hypothèses!$M$3+Fournisseurs!R21*Hypothèses!$N$3+Fournisseurs!S21*Hypothèses!$O$3)*1000</f>
        <v>104.37928769084004</v>
      </c>
      <c r="W21" s="87" t="s">
        <v>431</v>
      </c>
      <c r="X21" s="89" t="s">
        <v>447</v>
      </c>
      <c r="Y21" s="125"/>
      <c r="Z21" s="124"/>
    </row>
    <row r="22" spans="1:26" hidden="1" x14ac:dyDescent="0.35">
      <c r="A22" s="100" t="s">
        <v>454</v>
      </c>
      <c r="B22" s="97" t="s">
        <v>550</v>
      </c>
      <c r="C22" s="99" t="s">
        <v>489</v>
      </c>
      <c r="D22" s="99" t="s">
        <v>490</v>
      </c>
      <c r="E22" s="99">
        <v>2019</v>
      </c>
      <c r="F22" s="98">
        <v>0.03</v>
      </c>
      <c r="G22" s="98">
        <v>0.60899999999999999</v>
      </c>
      <c r="H22" s="88">
        <v>1E-4</v>
      </c>
      <c r="I22" s="95">
        <v>8.6999999999999994E-3</v>
      </c>
      <c r="J22" s="95">
        <v>6.8400000000000002E-2</v>
      </c>
      <c r="K22" s="95">
        <v>6.9999999999999999E-4</v>
      </c>
      <c r="L22" s="95">
        <v>8.5000000000000006E-3</v>
      </c>
      <c r="M22" s="95">
        <v>6.3E-2</v>
      </c>
      <c r="N22" s="88">
        <f>0.615-0.609</f>
        <v>6.0000000000000053E-3</v>
      </c>
      <c r="O22" s="88">
        <v>0</v>
      </c>
      <c r="P22" s="88">
        <v>0</v>
      </c>
      <c r="Q22" s="88">
        <f>0.0815-0.0007</f>
        <v>8.0799999999999997E-2</v>
      </c>
      <c r="R22" s="88">
        <v>0</v>
      </c>
      <c r="S22" s="98">
        <v>0.12479999999999999</v>
      </c>
      <c r="T22" s="88">
        <f t="shared" si="2"/>
        <v>0.78839999999999999</v>
      </c>
      <c r="U22" s="88">
        <f t="shared" si="3"/>
        <v>0.21160000000000001</v>
      </c>
      <c r="V22" s="140">
        <f>(F22*Hypothèses!$B$3+G22*Hypothèses!$C$3+Fournisseurs!H22*Hypothèses!$D$3+Fournisseurs!I22*Hypothèses!$E$3+Fournisseurs!J22*Hypothèses!$F$3+Fournisseurs!K22*Hypothèses!$G$3+Fournisseurs!L22*Hypothèses!$H$3+Fournisseurs!M22*Hypothèses!$I$3+Fournisseurs!N22*Hypothèses!$J$3+Fournisseurs!O22*Hypothèses!$K$3+Fournisseurs!P22*'Energie KBOB'!$K$76+Fournisseurs!Q22*Hypothèses!$M$3+Fournisseurs!R22*Hypothèses!$N$3+Fournisseurs!S22*Hypothèses!$O$3)*1000</f>
        <v>129.37779445508937</v>
      </c>
      <c r="W22" s="87"/>
      <c r="X22" s="89"/>
      <c r="Y22" s="125"/>
      <c r="Z22" s="124"/>
    </row>
    <row r="23" spans="1:26" hidden="1" x14ac:dyDescent="0.35">
      <c r="A23" s="100" t="s">
        <v>454</v>
      </c>
      <c r="B23" s="97" t="s">
        <v>550</v>
      </c>
      <c r="C23" s="99" t="s">
        <v>489</v>
      </c>
      <c r="D23" s="99" t="s">
        <v>490</v>
      </c>
      <c r="E23" s="99">
        <v>2018</v>
      </c>
      <c r="F23" s="98">
        <v>2.8799999999999999E-2</v>
      </c>
      <c r="G23" s="98">
        <v>0.60599999999999998</v>
      </c>
      <c r="H23" s="88">
        <v>1E-4</v>
      </c>
      <c r="I23" s="95">
        <v>1.26E-2</v>
      </c>
      <c r="J23" s="95">
        <v>3.6999999999999998E-2</v>
      </c>
      <c r="K23" s="95">
        <v>1.6000000000000001E-3</v>
      </c>
      <c r="L23" s="95">
        <v>1.21E-2</v>
      </c>
      <c r="M23" s="95">
        <v>5.6000000000000001E-2</v>
      </c>
      <c r="N23" s="88">
        <f>0.6129-0.606</f>
        <v>6.9000000000000172E-3</v>
      </c>
      <c r="O23" s="88">
        <v>0</v>
      </c>
      <c r="P23" s="88">
        <v>0</v>
      </c>
      <c r="Q23" s="88">
        <f>0.0314-0.0016</f>
        <v>2.9799999999999997E-2</v>
      </c>
      <c r="R23" s="88">
        <v>0</v>
      </c>
      <c r="S23" s="98">
        <v>0.20899999999999999</v>
      </c>
      <c r="T23" s="88">
        <f t="shared" si="2"/>
        <v>0.75420000000000009</v>
      </c>
      <c r="U23" s="88">
        <f t="shared" si="3"/>
        <v>0.2457</v>
      </c>
      <c r="V23" s="140">
        <f>(F23*Hypothèses!$B$3+G23*Hypothèses!$C$3+Fournisseurs!H23*Hypothèses!$D$3+Fournisseurs!I23*Hypothèses!$E$3+Fournisseurs!J23*Hypothèses!$F$3+Fournisseurs!K23*Hypothèses!$G$3+Fournisseurs!L23*Hypothèses!$H$3+Fournisseurs!M23*Hypothèses!$I$3+Fournisseurs!N23*Hypothèses!$J$3+Fournisseurs!O23*Hypothèses!$K$3+Fournisseurs!P23*'Energie KBOB'!$K$76+Fournisseurs!Q23*Hypothèses!$M$3+Fournisseurs!R23*Hypothèses!$N$3+Fournisseurs!S23*Hypothèses!$O$3)*1000</f>
        <v>141.95766155267202</v>
      </c>
      <c r="W23" s="87"/>
      <c r="X23" s="89"/>
      <c r="Y23" s="125"/>
      <c r="Z23" s="124"/>
    </row>
    <row r="24" spans="1:26" hidden="1" x14ac:dyDescent="0.35">
      <c r="A24" s="100" t="s">
        <v>454</v>
      </c>
      <c r="B24" s="97" t="s">
        <v>550</v>
      </c>
      <c r="C24" s="99" t="s">
        <v>489</v>
      </c>
      <c r="D24" s="99" t="s">
        <v>490</v>
      </c>
      <c r="E24" s="99">
        <v>2017</v>
      </c>
      <c r="F24" s="98">
        <v>2.3E-2</v>
      </c>
      <c r="G24" s="98">
        <v>0.58699999999999997</v>
      </c>
      <c r="H24" s="88">
        <v>0</v>
      </c>
      <c r="I24" s="95">
        <v>1.2999999999999999E-2</v>
      </c>
      <c r="J24" s="95">
        <v>0.17799999999999999</v>
      </c>
      <c r="K24" s="95">
        <v>2E-3</v>
      </c>
      <c r="L24" s="95">
        <v>1.2E-2</v>
      </c>
      <c r="M24" s="95">
        <v>5.1999999999999998E-2</v>
      </c>
      <c r="N24" s="88">
        <f>0.594-0.587</f>
        <v>7.0000000000000062E-3</v>
      </c>
      <c r="O24" s="88">
        <v>0</v>
      </c>
      <c r="P24" s="88">
        <v>0</v>
      </c>
      <c r="Q24" s="88">
        <v>0</v>
      </c>
      <c r="R24" s="88">
        <v>0</v>
      </c>
      <c r="S24" s="98">
        <v>0.126</v>
      </c>
      <c r="T24" s="88">
        <f t="shared" si="2"/>
        <v>0.86699999999999999</v>
      </c>
      <c r="U24" s="88">
        <f t="shared" si="3"/>
        <v>0.13300000000000001</v>
      </c>
      <c r="V24" s="140">
        <f>(F24*Hypothèses!$B$3+G24*Hypothèses!$C$3+Fournisseurs!H24*Hypothèses!$D$3+Fournisseurs!I24*Hypothèses!$E$3+Fournisseurs!J24*Hypothèses!$F$3+Fournisseurs!K24*Hypothèses!$G$3+Fournisseurs!L24*Hypothèses!$H$3+Fournisseurs!M24*Hypothèses!$I$3+Fournisseurs!N24*Hypothèses!$J$3+Fournisseurs!O24*Hypothèses!$K$3+Fournisseurs!P24*'Energie KBOB'!$K$76+Fournisseurs!Q24*Hypothèses!$M$3+Fournisseurs!R24*Hypothèses!$N$3+Fournisseurs!S24*Hypothèses!$O$3)*1000</f>
        <v>83.277156068751026</v>
      </c>
      <c r="W24" s="87"/>
      <c r="X24" s="89"/>
      <c r="Y24" s="125"/>
      <c r="Z24" s="124"/>
    </row>
    <row r="25" spans="1:26" x14ac:dyDescent="0.35">
      <c r="A25" s="101" t="s">
        <v>460</v>
      </c>
      <c r="B25" s="97" t="s">
        <v>551</v>
      </c>
      <c r="C25" s="99" t="s">
        <v>461</v>
      </c>
      <c r="D25" s="99" t="s">
        <v>490</v>
      </c>
      <c r="E25" s="99">
        <v>2020</v>
      </c>
      <c r="F25" s="95">
        <v>0</v>
      </c>
      <c r="G25" s="95">
        <v>0.83399999999999996</v>
      </c>
      <c r="H25" s="95">
        <v>0</v>
      </c>
      <c r="I25" s="95">
        <v>9.6000000000000002E-2</v>
      </c>
      <c r="J25" s="95">
        <v>0</v>
      </c>
      <c r="K25" s="95">
        <v>0</v>
      </c>
      <c r="L25" s="88">
        <v>0</v>
      </c>
      <c r="M25" s="95">
        <v>7.0000000000000007E-2</v>
      </c>
      <c r="N25" s="95">
        <v>0</v>
      </c>
      <c r="O25" s="88">
        <v>0</v>
      </c>
      <c r="P25" s="88">
        <v>0</v>
      </c>
      <c r="Q25" s="88">
        <v>0</v>
      </c>
      <c r="R25" s="88">
        <v>0</v>
      </c>
      <c r="S25" s="95">
        <v>0</v>
      </c>
      <c r="T25" s="88">
        <f t="shared" si="2"/>
        <v>1</v>
      </c>
      <c r="U25" s="88">
        <f t="shared" si="3"/>
        <v>0</v>
      </c>
      <c r="V25" s="140">
        <f>(F25*Hypothèses!$B$3+G25*Hypothèses!$C$3+Fournisseurs!H25*Hypothèses!$D$3+Fournisseurs!I25*Hypothèses!$E$3+Fournisseurs!J25*Hypothèses!$F$3+Fournisseurs!K25*Hypothèses!$G$3+Fournisseurs!L25*Hypothèses!$H$3+Fournisseurs!M25*Hypothèses!$I$3+Fournisseurs!N25*Hypothèses!$J$3+Fournisseurs!O25*Hypothèses!$K$3+Fournisseurs!P25*'Energie KBOB'!$K$76+Fournisseurs!Q25*Hypothèses!$M$3+Fournisseurs!R25*Hypothèses!$N$3+Fournisseurs!S25*Hypothèses!$O$3)*1000</f>
        <v>20.965899024173378</v>
      </c>
      <c r="W25" s="87" t="s">
        <v>464</v>
      </c>
      <c r="X25" s="89" t="s">
        <v>466</v>
      </c>
      <c r="Y25" s="125"/>
      <c r="Z25" s="124"/>
    </row>
    <row r="26" spans="1:26" hidden="1" x14ac:dyDescent="0.35">
      <c r="A26" s="101" t="s">
        <v>460</v>
      </c>
      <c r="B26" s="97" t="s">
        <v>551</v>
      </c>
      <c r="C26" s="99" t="s">
        <v>461</v>
      </c>
      <c r="D26" s="99" t="s">
        <v>490</v>
      </c>
      <c r="E26" s="99">
        <v>2019</v>
      </c>
      <c r="F26" s="95">
        <v>0</v>
      </c>
      <c r="G26" s="95">
        <v>0.81399999999999995</v>
      </c>
      <c r="H26" s="95">
        <v>0</v>
      </c>
      <c r="I26" s="95">
        <v>9.1E-4</v>
      </c>
      <c r="J26" s="95">
        <v>0</v>
      </c>
      <c r="K26" s="95">
        <v>0</v>
      </c>
      <c r="L26" s="88">
        <v>3.2000000000000001E-2</v>
      </c>
      <c r="M26" s="95">
        <v>6.3E-2</v>
      </c>
      <c r="N26" s="95">
        <v>0</v>
      </c>
      <c r="O26" s="88">
        <v>0</v>
      </c>
      <c r="P26" s="88">
        <v>0</v>
      </c>
      <c r="Q26" s="88">
        <v>0</v>
      </c>
      <c r="R26" s="88">
        <v>0</v>
      </c>
      <c r="S26" s="95">
        <v>0</v>
      </c>
      <c r="T26" s="88">
        <f t="shared" si="2"/>
        <v>0.90991</v>
      </c>
      <c r="U26" s="88">
        <f t="shared" si="3"/>
        <v>0</v>
      </c>
      <c r="V26" s="140">
        <f>(F26*Hypothèses!$B$3+G26*Hypothèses!$C$3+Fournisseurs!H26*Hypothèses!$D$3+Fournisseurs!I26*Hypothèses!$E$3+Fournisseurs!J26*Hypothèses!$F$3+Fournisseurs!K26*Hypothèses!$G$3+Fournisseurs!L26*Hypothèses!$H$3+Fournisseurs!M26*Hypothèses!$I$3+Fournisseurs!N26*Hypothèses!$J$3+Fournisseurs!O26*Hypothèses!$K$3+Fournisseurs!P26*'Energie KBOB'!$K$76+Fournisseurs!Q26*Hypothèses!$M$3+Fournisseurs!R26*Hypothèses!$N$3+Fournisseurs!S26*Hypothèses!$O$3)*1000</f>
        <v>13.23239191064493</v>
      </c>
      <c r="W26" s="87" t="s">
        <v>464</v>
      </c>
      <c r="X26" s="89" t="s">
        <v>467</v>
      </c>
      <c r="Y26" s="125"/>
      <c r="Z26" s="124"/>
    </row>
    <row r="27" spans="1:26" hidden="1" x14ac:dyDescent="0.35">
      <c r="A27" s="101" t="s">
        <v>460</v>
      </c>
      <c r="B27" s="97" t="s">
        <v>551</v>
      </c>
      <c r="C27" s="99" t="s">
        <v>461</v>
      </c>
      <c r="D27" s="99" t="s">
        <v>490</v>
      </c>
      <c r="E27" s="99">
        <v>2017</v>
      </c>
      <c r="F27" s="95">
        <v>0</v>
      </c>
      <c r="G27" s="95">
        <v>0.84</v>
      </c>
      <c r="H27" s="95">
        <v>0</v>
      </c>
      <c r="I27" s="95">
        <v>0</v>
      </c>
      <c r="J27" s="95">
        <v>0</v>
      </c>
      <c r="K27" s="95">
        <v>0</v>
      </c>
      <c r="L27" s="88">
        <v>0.108</v>
      </c>
      <c r="M27" s="95">
        <v>5.1999999999999998E-2</v>
      </c>
      <c r="N27" s="95">
        <v>0</v>
      </c>
      <c r="O27" s="88">
        <v>0</v>
      </c>
      <c r="P27" s="88">
        <v>0</v>
      </c>
      <c r="Q27" s="88">
        <v>0</v>
      </c>
      <c r="R27" s="88">
        <v>0</v>
      </c>
      <c r="S27" s="95">
        <v>0</v>
      </c>
      <c r="T27" s="88">
        <f t="shared" si="2"/>
        <v>1</v>
      </c>
      <c r="U27" s="88">
        <f t="shared" si="3"/>
        <v>0</v>
      </c>
      <c r="V27" s="140">
        <f>(F27*Hypothèses!$B$3+G27*Hypothèses!$C$3+Fournisseurs!H27*Hypothèses!$D$3+Fournisseurs!I27*Hypothèses!$E$3+Fournisseurs!J27*Hypothèses!$F$3+Fournisseurs!K27*Hypothèses!$G$3+Fournisseurs!L27*Hypothèses!$H$3+Fournisseurs!M27*Hypothèses!$I$3+Fournisseurs!N27*Hypothèses!$J$3+Fournisseurs!O27*Hypothèses!$K$3+Fournisseurs!P27*'Energie KBOB'!$K$76+Fournisseurs!Q27*Hypothèses!$M$3+Fournisseurs!R27*Hypothèses!$N$3+Fournisseurs!S27*Hypothèses!$O$3)*1000</f>
        <v>13.525150513195461</v>
      </c>
      <c r="W27" s="87" t="s">
        <v>464</v>
      </c>
      <c r="X27" s="89" t="s">
        <v>468</v>
      </c>
      <c r="Y27" s="125"/>
      <c r="Z27" s="124"/>
    </row>
    <row r="28" spans="1:26" x14ac:dyDescent="0.35">
      <c r="A28" s="101" t="s">
        <v>460</v>
      </c>
      <c r="B28" s="97" t="s">
        <v>551</v>
      </c>
      <c r="C28" s="99" t="s">
        <v>462</v>
      </c>
      <c r="D28" s="99" t="s">
        <v>490</v>
      </c>
      <c r="E28" s="99">
        <v>2020</v>
      </c>
      <c r="F28" s="95">
        <v>0</v>
      </c>
      <c r="G28" s="95">
        <v>0.93</v>
      </c>
      <c r="H28" s="95">
        <v>0</v>
      </c>
      <c r="I28" s="95">
        <v>0</v>
      </c>
      <c r="J28" s="95">
        <v>0</v>
      </c>
      <c r="K28" s="95">
        <v>0</v>
      </c>
      <c r="L28" s="88">
        <v>0</v>
      </c>
      <c r="M28" s="95">
        <v>7.0000000000000007E-2</v>
      </c>
      <c r="N28" s="95">
        <v>0</v>
      </c>
      <c r="O28" s="88">
        <v>0</v>
      </c>
      <c r="P28" s="88">
        <v>0</v>
      </c>
      <c r="Q28" s="88">
        <v>0</v>
      </c>
      <c r="R28" s="88">
        <v>0</v>
      </c>
      <c r="S28" s="95">
        <v>0</v>
      </c>
      <c r="T28" s="88">
        <f t="shared" si="2"/>
        <v>1</v>
      </c>
      <c r="U28" s="88">
        <f t="shared" si="3"/>
        <v>0</v>
      </c>
      <c r="V28" s="140">
        <f>(F28*Hypothèses!$B$3+G28*Hypothèses!$C$3+Fournisseurs!H28*Hypothèses!$D$3+Fournisseurs!I28*Hypothèses!$E$3+Fournisseurs!J28*Hypothèses!$F$3+Fournisseurs!K28*Hypothèses!$G$3+Fournisseurs!L28*Hypothèses!$H$3+Fournisseurs!M28*Hypothèses!$I$3+Fournisseurs!N28*Hypothèses!$J$3+Fournisseurs!O28*Hypothèses!$K$3+Fournisseurs!P28*'Energie KBOB'!$K$76+Fournisseurs!Q28*Hypothèses!$M$3+Fournisseurs!R28*Hypothèses!$N$3+Fournisseurs!S28*Hypothèses!$O$3)*1000</f>
        <v>14.689525690840046</v>
      </c>
      <c r="W28" s="87" t="s">
        <v>464</v>
      </c>
      <c r="X28" s="89" t="s">
        <v>469</v>
      </c>
      <c r="Y28" s="125"/>
      <c r="Z28" s="124"/>
    </row>
    <row r="29" spans="1:26" hidden="1" x14ac:dyDescent="0.35">
      <c r="A29" s="101" t="s">
        <v>460</v>
      </c>
      <c r="B29" s="97" t="s">
        <v>551</v>
      </c>
      <c r="C29" s="99" t="s">
        <v>462</v>
      </c>
      <c r="D29" s="99" t="s">
        <v>490</v>
      </c>
      <c r="E29" s="99">
        <v>2019</v>
      </c>
      <c r="F29" s="95">
        <v>0</v>
      </c>
      <c r="G29" s="95">
        <v>0.93700000000000006</v>
      </c>
      <c r="H29" s="95">
        <v>0</v>
      </c>
      <c r="I29" s="95">
        <v>0</v>
      </c>
      <c r="J29" s="95">
        <v>0</v>
      </c>
      <c r="K29" s="95">
        <v>0</v>
      </c>
      <c r="L29" s="88">
        <v>0</v>
      </c>
      <c r="M29" s="95">
        <v>6.3E-2</v>
      </c>
      <c r="N29" s="95">
        <v>0</v>
      </c>
      <c r="O29" s="88">
        <v>0</v>
      </c>
      <c r="P29" s="88">
        <v>0</v>
      </c>
      <c r="Q29" s="88">
        <v>0</v>
      </c>
      <c r="R29" s="88">
        <v>0</v>
      </c>
      <c r="S29" s="95">
        <v>0</v>
      </c>
      <c r="T29" s="88">
        <f t="shared" si="2"/>
        <v>1</v>
      </c>
      <c r="U29" s="88">
        <f t="shared" si="3"/>
        <v>0</v>
      </c>
      <c r="V29" s="140">
        <f>(F29*Hypothèses!$B$3+G29*Hypothèses!$C$3+Fournisseurs!H29*Hypothèses!$D$3+Fournisseurs!I29*Hypothèses!$E$3+Fournisseurs!J29*Hypothèses!$F$3+Fournisseurs!K29*Hypothèses!$G$3+Fournisseurs!L29*Hypothèses!$H$3+Fournisseurs!M29*Hypothèses!$I$3+Fournisseurs!N29*Hypothèses!$J$3+Fournisseurs!O29*Hypothèses!$K$3+Fournisseurs!P29*'Energie KBOB'!$K$76+Fournisseurs!Q29*Hypothèses!$M$3+Fournisseurs!R29*Hypothèses!$N$3+Fournisseurs!S29*Hypothèses!$O$3)*1000</f>
        <v>14.460573121756042</v>
      </c>
      <c r="W29" s="87" t="s">
        <v>464</v>
      </c>
      <c r="X29" s="89" t="s">
        <v>470</v>
      </c>
      <c r="Y29" s="125"/>
      <c r="Z29" s="124"/>
    </row>
    <row r="30" spans="1:26" hidden="1" x14ac:dyDescent="0.35">
      <c r="A30" s="101" t="s">
        <v>460</v>
      </c>
      <c r="B30" s="97" t="s">
        <v>551</v>
      </c>
      <c r="C30" s="99" t="s">
        <v>462</v>
      </c>
      <c r="D30" s="99" t="s">
        <v>490</v>
      </c>
      <c r="E30" s="99">
        <v>2017</v>
      </c>
      <c r="F30" s="95">
        <v>0</v>
      </c>
      <c r="G30" s="95">
        <v>0.94799999999999995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5.1999999999999998E-2</v>
      </c>
      <c r="N30" s="95">
        <v>0</v>
      </c>
      <c r="O30" s="88">
        <v>0</v>
      </c>
      <c r="P30" s="88">
        <v>0</v>
      </c>
      <c r="Q30" s="88">
        <v>0</v>
      </c>
      <c r="R30" s="88">
        <v>0</v>
      </c>
      <c r="S30" s="95">
        <v>0</v>
      </c>
      <c r="T30" s="88">
        <f t="shared" si="2"/>
        <v>1</v>
      </c>
      <c r="U30" s="88">
        <f t="shared" si="3"/>
        <v>0</v>
      </c>
      <c r="V30" s="140">
        <f>(F30*Hypothèses!$B$3+G30*Hypothèses!$C$3+Fournisseurs!H30*Hypothèses!$D$3+Fournisseurs!I30*Hypothèses!$E$3+Fournisseurs!J30*Hypothèses!$F$3+Fournisseurs!K30*Hypothèses!$G$3+Fournisseurs!L30*Hypothèses!$H$3+Fournisseurs!M30*Hypothèses!$I$3+Fournisseurs!N30*Hypothèses!$J$3+Fournisseurs!O30*Hypothèses!$K$3+Fournisseurs!P30*'Energie KBOB'!$K$76+Fournisseurs!Q30*Hypothèses!$M$3+Fournisseurs!R30*Hypothèses!$N$3+Fournisseurs!S30*Hypothèses!$O$3)*1000</f>
        <v>14.100790513195459</v>
      </c>
      <c r="W30" s="87" t="s">
        <v>464</v>
      </c>
      <c r="X30" s="89" t="s">
        <v>473</v>
      </c>
      <c r="Y30" s="125"/>
      <c r="Z30" s="124"/>
    </row>
    <row r="31" spans="1:26" x14ac:dyDescent="0.35">
      <c r="A31" s="101" t="s">
        <v>460</v>
      </c>
      <c r="B31" s="97" t="s">
        <v>551</v>
      </c>
      <c r="C31" s="99" t="s">
        <v>463</v>
      </c>
      <c r="D31" s="99" t="s">
        <v>490</v>
      </c>
      <c r="E31" s="99">
        <v>2020</v>
      </c>
      <c r="F31" s="95">
        <v>5.2999999999999999E-2</v>
      </c>
      <c r="G31" s="95">
        <v>0.877</v>
      </c>
      <c r="H31" s="95">
        <v>0</v>
      </c>
      <c r="I31" s="95">
        <v>0</v>
      </c>
      <c r="J31" s="95">
        <v>0</v>
      </c>
      <c r="K31" s="95">
        <v>0</v>
      </c>
      <c r="L31" s="95">
        <v>0</v>
      </c>
      <c r="M31" s="95">
        <v>7.0000000000000007E-2</v>
      </c>
      <c r="N31" s="95">
        <v>0</v>
      </c>
      <c r="O31" s="88">
        <v>0</v>
      </c>
      <c r="P31" s="88">
        <v>0</v>
      </c>
      <c r="Q31" s="88">
        <v>0</v>
      </c>
      <c r="R31" s="88">
        <v>0</v>
      </c>
      <c r="S31" s="95">
        <v>0</v>
      </c>
      <c r="T31" s="88">
        <f t="shared" si="2"/>
        <v>1</v>
      </c>
      <c r="U31" s="88">
        <f t="shared" si="3"/>
        <v>0</v>
      </c>
      <c r="V31" s="140">
        <f>(F31*Hypothèses!$B$3+G31*Hypothèses!$C$3+Fournisseurs!H31*Hypothèses!$D$3+Fournisseurs!I31*Hypothèses!$E$3+Fournisseurs!J31*Hypothèses!$F$3+Fournisseurs!K31*Hypothèses!$G$3+Fournisseurs!L31*Hypothèses!$H$3+Fournisseurs!M31*Hypothèses!$I$3+Fournisseurs!N31*Hypothèses!$J$3+Fournisseurs!O31*Hypothèses!$K$3+Fournisseurs!P31*'Energie KBOB'!$K$76+Fournisseurs!Q31*Hypothèses!$M$3+Fournisseurs!R31*Hypothèses!$N$3+Fournisseurs!S31*Hypothèses!$O$3)*1000</f>
        <v>16.55512569084005</v>
      </c>
      <c r="W31" s="87" t="s">
        <v>464</v>
      </c>
      <c r="X31" s="89" t="s">
        <v>472</v>
      </c>
      <c r="Y31" s="125"/>
      <c r="Z31" s="124"/>
    </row>
    <row r="32" spans="1:26" hidden="1" x14ac:dyDescent="0.35">
      <c r="A32" s="101" t="s">
        <v>460</v>
      </c>
      <c r="B32" s="97" t="s">
        <v>551</v>
      </c>
      <c r="C32" s="99" t="s">
        <v>463</v>
      </c>
      <c r="D32" s="99" t="s">
        <v>490</v>
      </c>
      <c r="E32" s="99">
        <v>2019</v>
      </c>
      <c r="F32" s="95">
        <v>0.05</v>
      </c>
      <c r="G32" s="95">
        <v>0.88700000000000001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6.3E-2</v>
      </c>
      <c r="N32" s="95">
        <v>0</v>
      </c>
      <c r="O32" s="88">
        <v>0</v>
      </c>
      <c r="P32" s="88">
        <v>0</v>
      </c>
      <c r="Q32" s="88">
        <v>0</v>
      </c>
      <c r="R32" s="88">
        <v>0</v>
      </c>
      <c r="S32" s="95">
        <v>0</v>
      </c>
      <c r="T32" s="88">
        <f t="shared" si="2"/>
        <v>1</v>
      </c>
      <c r="U32" s="88">
        <f t="shared" si="3"/>
        <v>0</v>
      </c>
      <c r="V32" s="140">
        <f>(F32*Hypothèses!$B$3+G32*Hypothèses!$C$3+Fournisseurs!H32*Hypothèses!$D$3+Fournisseurs!I32*Hypothèses!$E$3+Fournisseurs!J32*Hypothèses!$F$3+Fournisseurs!K32*Hypothèses!$G$3+Fournisseurs!L32*Hypothèses!$H$3+Fournisseurs!M32*Hypothèses!$I$3+Fournisseurs!N32*Hypothèses!$J$3+Fournisseurs!O32*Hypothèses!$K$3+Fournisseurs!P32*'Energie KBOB'!$K$76+Fournisseurs!Q32*Hypothèses!$M$3+Fournisseurs!R32*Hypothèses!$N$3+Fournisseurs!S32*Hypothèses!$O$3)*1000</f>
        <v>16.22057312175604</v>
      </c>
      <c r="W32" s="87" t="s">
        <v>464</v>
      </c>
      <c r="X32" s="89" t="s">
        <v>471</v>
      </c>
      <c r="Y32" s="125"/>
      <c r="Z32" s="124"/>
    </row>
    <row r="33" spans="1:26" hidden="1" x14ac:dyDescent="0.35">
      <c r="A33" s="101" t="s">
        <v>460</v>
      </c>
      <c r="B33" s="97" t="s">
        <v>551</v>
      </c>
      <c r="C33" s="99" t="s">
        <v>463</v>
      </c>
      <c r="D33" s="99" t="s">
        <v>490</v>
      </c>
      <c r="E33" s="99">
        <v>2017</v>
      </c>
      <c r="F33" s="88">
        <v>0.05</v>
      </c>
      <c r="G33" s="95">
        <v>0.89800000000000002</v>
      </c>
      <c r="H33" s="95">
        <v>0</v>
      </c>
      <c r="I33" s="95">
        <v>0</v>
      </c>
      <c r="J33" s="95">
        <v>0</v>
      </c>
      <c r="K33" s="95">
        <v>0</v>
      </c>
      <c r="L33" s="88">
        <v>0</v>
      </c>
      <c r="M33" s="95">
        <v>5.1999999999999998E-2</v>
      </c>
      <c r="N33" s="95">
        <v>0</v>
      </c>
      <c r="O33" s="88">
        <v>0</v>
      </c>
      <c r="P33" s="88">
        <v>0</v>
      </c>
      <c r="Q33" s="88">
        <v>0</v>
      </c>
      <c r="R33" s="88">
        <v>0</v>
      </c>
      <c r="S33" s="95">
        <v>0</v>
      </c>
      <c r="T33" s="88">
        <f t="shared" si="2"/>
        <v>1</v>
      </c>
      <c r="U33" s="88">
        <f t="shared" si="3"/>
        <v>0</v>
      </c>
      <c r="V33" s="140">
        <f>(F33*Hypothèses!$B$3+G33*Hypothèses!$C$3+Fournisseurs!H33*Hypothèses!$D$3+Fournisseurs!I33*Hypothèses!$E$3+Fournisseurs!J33*Hypothèses!$F$3+Fournisseurs!K33*Hypothèses!$G$3+Fournisseurs!L33*Hypothèses!$H$3+Fournisseurs!M33*Hypothèses!$I$3+Fournisseurs!N33*Hypothèses!$J$3+Fournisseurs!O33*Hypothèses!$K$3+Fournisseurs!P33*'Energie KBOB'!$K$76+Fournisseurs!Q33*Hypothèses!$M$3+Fournisseurs!R33*Hypothèses!$N$3+Fournisseurs!S33*Hypothèses!$O$3)*1000</f>
        <v>15.860790513195461</v>
      </c>
      <c r="W33" s="87" t="s">
        <v>464</v>
      </c>
      <c r="X33" s="89" t="s">
        <v>474</v>
      </c>
      <c r="Y33" s="125"/>
      <c r="Z33" s="124"/>
    </row>
    <row r="34" spans="1:26" x14ac:dyDescent="0.35">
      <c r="A34" s="101" t="s">
        <v>460</v>
      </c>
      <c r="B34" s="97" t="s">
        <v>551</v>
      </c>
      <c r="C34" s="99" t="s">
        <v>465</v>
      </c>
      <c r="D34" s="99" t="s">
        <v>490</v>
      </c>
      <c r="E34" s="99">
        <v>2020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0.161</v>
      </c>
      <c r="L34" s="88">
        <v>0.13500000000000001</v>
      </c>
      <c r="M34" s="88">
        <v>7.0000000000000007E-2</v>
      </c>
      <c r="N34" s="88">
        <v>0</v>
      </c>
      <c r="O34" s="88">
        <v>0</v>
      </c>
      <c r="P34" s="88">
        <v>0</v>
      </c>
      <c r="Q34" s="88">
        <f>0.795-0.161</f>
        <v>0.63400000000000001</v>
      </c>
      <c r="R34" s="88">
        <v>0</v>
      </c>
      <c r="S34" s="88">
        <v>0</v>
      </c>
      <c r="T34" s="88">
        <f t="shared" si="2"/>
        <v>0.36600000000000005</v>
      </c>
      <c r="U34" s="88">
        <f t="shared" si="3"/>
        <v>0.63400000000000001</v>
      </c>
      <c r="V34" s="140">
        <f>(F34*Hypothèses!$B$3+G34*Hypothèses!$C$3+Fournisseurs!H34*Hypothèses!$D$3+Fournisseurs!I34*Hypothèses!$E$3+Fournisseurs!J34*Hypothèses!$F$3+Fournisseurs!K34*Hypothèses!$G$3+Fournisseurs!L34*Hypothèses!$H$3+Fournisseurs!M34*Hypothèses!$I$3+Fournisseurs!N34*Hypothèses!$J$3+Fournisseurs!O34*Hypothèses!$K$3+Fournisseurs!P34*'Energie KBOB'!$K$76+Fournisseurs!Q34*Hypothèses!$M$3+Fournisseurs!R34*Hypothèses!$N$3+Fournisseurs!S34*Hypothèses!$O$3)*1000</f>
        <v>490.25447569084002</v>
      </c>
      <c r="W34" s="87" t="s">
        <v>464</v>
      </c>
      <c r="X34" s="89" t="s">
        <v>476</v>
      </c>
      <c r="Y34" s="125"/>
      <c r="Z34" s="124"/>
    </row>
    <row r="35" spans="1:26" hidden="1" x14ac:dyDescent="0.35">
      <c r="A35" s="101" t="s">
        <v>460</v>
      </c>
      <c r="B35" s="97" t="s">
        <v>551</v>
      </c>
      <c r="C35" s="99" t="s">
        <v>465</v>
      </c>
      <c r="D35" s="99" t="s">
        <v>490</v>
      </c>
      <c r="E35" s="99">
        <v>2019</v>
      </c>
      <c r="F35" s="88">
        <v>0</v>
      </c>
      <c r="G35" s="88">
        <v>0</v>
      </c>
      <c r="H35" s="88">
        <v>0</v>
      </c>
      <c r="I35" s="88">
        <v>0</v>
      </c>
      <c r="J35" s="88">
        <v>0.223</v>
      </c>
      <c r="K35" s="88">
        <v>0.44600000000000001</v>
      </c>
      <c r="L35" s="88">
        <v>0</v>
      </c>
      <c r="M35" s="88">
        <v>6.3E-2</v>
      </c>
      <c r="N35" s="88">
        <v>0</v>
      </c>
      <c r="O35" s="88">
        <v>0</v>
      </c>
      <c r="P35" s="88">
        <v>0</v>
      </c>
      <c r="Q35" s="88">
        <f>0.714-0.446</f>
        <v>0.26799999999999996</v>
      </c>
      <c r="R35" s="88">
        <v>0</v>
      </c>
      <c r="S35" s="88">
        <v>0</v>
      </c>
      <c r="T35" s="88">
        <f t="shared" si="2"/>
        <v>0.73199999999999998</v>
      </c>
      <c r="U35" s="88">
        <f t="shared" si="3"/>
        <v>0.26799999999999996</v>
      </c>
      <c r="V35" s="140">
        <f>(F35*Hypothèses!$B$3+G35*Hypothèses!$C$3+Fournisseurs!H35*Hypothèses!$D$3+Fournisseurs!I35*Hypothèses!$E$3+Fournisseurs!J35*Hypothèses!$F$3+Fournisseurs!K35*Hypothèses!$G$3+Fournisseurs!L35*Hypothèses!$H$3+Fournisseurs!M35*Hypothèses!$I$3+Fournisseurs!N35*Hypothèses!$J$3+Fournisseurs!O35*Hypothèses!$K$3+Fournisseurs!P35*'Energie KBOB'!$K$76+Fournisseurs!Q35*Hypothèses!$M$3+Fournisseurs!R35*Hypothèses!$N$3+Fournisseurs!S35*Hypothèses!$O$3)*1000</f>
        <v>444.78247312175603</v>
      </c>
      <c r="W35" s="87" t="s">
        <v>464</v>
      </c>
      <c r="X35" s="89" t="s">
        <v>477</v>
      </c>
      <c r="Y35" s="125"/>
      <c r="Z35" s="124"/>
    </row>
    <row r="36" spans="1:26" hidden="1" x14ac:dyDescent="0.35">
      <c r="A36" s="101" t="s">
        <v>460</v>
      </c>
      <c r="B36" s="97" t="s">
        <v>551</v>
      </c>
      <c r="C36" s="99" t="s">
        <v>465</v>
      </c>
      <c r="D36" s="99" t="s">
        <v>490</v>
      </c>
      <c r="E36" s="99">
        <v>2018</v>
      </c>
      <c r="F36" s="88">
        <v>2.3999999999999998E-3</v>
      </c>
      <c r="G36" s="88">
        <v>0.33110000000000001</v>
      </c>
      <c r="H36" s="88">
        <v>0</v>
      </c>
      <c r="I36" s="88">
        <v>0</v>
      </c>
      <c r="J36" s="88">
        <v>0</v>
      </c>
      <c r="K36" s="88">
        <v>0.23730000000000001</v>
      </c>
      <c r="L36" s="88">
        <v>0</v>
      </c>
      <c r="M36" s="88">
        <v>5.6000000000000001E-2</v>
      </c>
      <c r="N36" s="88">
        <v>0</v>
      </c>
      <c r="O36" s="88">
        <v>0</v>
      </c>
      <c r="P36" s="88">
        <v>0</v>
      </c>
      <c r="Q36" s="88">
        <f>0.6103-0.2373</f>
        <v>0.37299999999999994</v>
      </c>
      <c r="R36" s="88">
        <v>2.0000000000000001E-4</v>
      </c>
      <c r="S36" s="88">
        <v>0</v>
      </c>
      <c r="T36" s="88">
        <f t="shared" si="2"/>
        <v>0.62680000000000002</v>
      </c>
      <c r="U36" s="88">
        <f t="shared" si="3"/>
        <v>0.37319999999999992</v>
      </c>
      <c r="V36" s="140">
        <f>(F36*Hypothèses!$B$3+G36*Hypothèses!$C$3+Fournisseurs!H36*Hypothèses!$D$3+Fournisseurs!I36*Hypothèses!$E$3+Fournisseurs!J36*Hypothèses!$F$3+Fournisseurs!K36*Hypothèses!$G$3+Fournisseurs!L36*Hypothèses!$H$3+Fournisseurs!M36*Hypothèses!$I$3+Fournisseurs!N36*Hypothèses!$J$3+Fournisseurs!O36*Hypothèses!$K$3+Fournisseurs!P36*'Energie KBOB'!$K$76+Fournisseurs!Q36*Hypothèses!$M$3+Fournisseurs!R36*Hypothèses!$N$3+Fournisseurs!S36*Hypothèses!$O$3)*1000</f>
        <v>380.15835055267195</v>
      </c>
      <c r="W36" s="87" t="s">
        <v>464</v>
      </c>
      <c r="X36" s="89" t="s">
        <v>479</v>
      </c>
      <c r="Y36" s="125"/>
      <c r="Z36" s="124"/>
    </row>
    <row r="37" spans="1:26" hidden="1" x14ac:dyDescent="0.35">
      <c r="A37" s="101" t="s">
        <v>460</v>
      </c>
      <c r="B37" s="97" t="s">
        <v>551</v>
      </c>
      <c r="C37" s="99" t="s">
        <v>465</v>
      </c>
      <c r="D37" s="99" t="s">
        <v>490</v>
      </c>
      <c r="E37" s="99">
        <v>2017</v>
      </c>
      <c r="F37" s="88">
        <v>2E-3</v>
      </c>
      <c r="G37" s="88">
        <v>0.53600000000000003</v>
      </c>
      <c r="H37" s="88">
        <v>0</v>
      </c>
      <c r="I37" s="88">
        <v>0</v>
      </c>
      <c r="J37" s="88">
        <v>0</v>
      </c>
      <c r="K37" s="88">
        <v>0.187</v>
      </c>
      <c r="L37" s="88">
        <v>5.7000000000000002E-2</v>
      </c>
      <c r="M37" s="88">
        <v>5.1999999999999998E-2</v>
      </c>
      <c r="N37" s="88">
        <f>0.611-0.536</f>
        <v>7.4999999999999956E-2</v>
      </c>
      <c r="O37" s="88">
        <v>0</v>
      </c>
      <c r="P37" s="88">
        <v>0</v>
      </c>
      <c r="Q37" s="88">
        <f>0.278-0.187</f>
        <v>9.1000000000000025E-2</v>
      </c>
      <c r="R37" s="88">
        <v>0</v>
      </c>
      <c r="S37" s="88">
        <v>0</v>
      </c>
      <c r="T37" s="88">
        <f t="shared" si="2"/>
        <v>0.83400000000000019</v>
      </c>
      <c r="U37" s="88">
        <f t="shared" si="3"/>
        <v>0.16599999999999998</v>
      </c>
      <c r="V37" s="140">
        <f>(F37*Hypothèses!$B$3+G37*Hypothèses!$C$3+Fournisseurs!H37*Hypothèses!$D$3+Fournisseurs!I37*Hypothèses!$E$3+Fournisseurs!J37*Hypothèses!$F$3+Fournisseurs!K37*Hypothèses!$G$3+Fournisseurs!L37*Hypothèses!$H$3+Fournisseurs!M37*Hypothèses!$I$3+Fournisseurs!N37*Hypothèses!$J$3+Fournisseurs!O37*Hypothèses!$K$3+Fournisseurs!P37*'Energie KBOB'!$K$76+Fournisseurs!Q37*Hypothèses!$M$3+Fournisseurs!R37*Hypothèses!$N$3+Fournisseurs!S37*Hypothèses!$O$3)*1000</f>
        <v>180.41718051319546</v>
      </c>
      <c r="W37" s="87" t="s">
        <v>464</v>
      </c>
      <c r="X37" s="89" t="s">
        <v>480</v>
      </c>
      <c r="Y37" s="125"/>
      <c r="Z37" s="124"/>
    </row>
    <row r="38" spans="1:26" hidden="1" x14ac:dyDescent="0.35">
      <c r="A38" s="101" t="s">
        <v>460</v>
      </c>
      <c r="B38" s="97" t="s">
        <v>551</v>
      </c>
      <c r="C38" s="99" t="s">
        <v>489</v>
      </c>
      <c r="D38" s="99" t="s">
        <v>490</v>
      </c>
      <c r="E38" s="99">
        <v>2020</v>
      </c>
      <c r="F38" s="88">
        <v>3.2000000000000002E-3</v>
      </c>
      <c r="G38" s="88">
        <v>0.496</v>
      </c>
      <c r="H38" s="88">
        <v>0</v>
      </c>
      <c r="I38" s="88">
        <v>4.4900000000000002E-2</v>
      </c>
      <c r="J38" s="88">
        <v>0</v>
      </c>
      <c r="K38" s="88">
        <v>5.28E-2</v>
      </c>
      <c r="L38" s="88">
        <v>4.4400000000000002E-2</v>
      </c>
      <c r="M38" s="88">
        <v>7.0000000000000007E-2</v>
      </c>
      <c r="N38" s="88">
        <f>0.5763-0.496</f>
        <v>8.0300000000000038E-2</v>
      </c>
      <c r="O38" s="88">
        <v>0</v>
      </c>
      <c r="P38" s="88">
        <v>0</v>
      </c>
      <c r="Q38" s="88">
        <f>0.2612-0.0528</f>
        <v>0.20839999999999997</v>
      </c>
      <c r="R38" s="88">
        <v>0</v>
      </c>
      <c r="S38" s="88">
        <v>0</v>
      </c>
      <c r="T38" s="88">
        <f t="shared" si="2"/>
        <v>0.71130000000000004</v>
      </c>
      <c r="U38" s="88">
        <f t="shared" si="3"/>
        <v>0.28870000000000001</v>
      </c>
      <c r="V38" s="140">
        <f>(F38*Hypothèses!$B$3+G38*Hypothèses!$C$3+Fournisseurs!H38*Hypothèses!$D$3+Fournisseurs!I38*Hypothèses!$E$3+Fournisseurs!J38*Hypothèses!$F$3+Fournisseurs!K38*Hypothèses!$G$3+Fournisseurs!L38*Hypothèses!$H$3+Fournisseurs!M38*Hypothèses!$I$3+Fournisseurs!N38*Hypothèses!$J$3+Fournisseurs!O38*Hypothèses!$K$3+Fournisseurs!P38*'Energie KBOB'!$K$76+Fournisseurs!Q38*Hypothèses!$M$3+Fournisseurs!R38*Hypothèses!$N$3+Fournisseurs!S38*Hypothèses!$O$3)*1000</f>
        <v>173.98594580195115</v>
      </c>
      <c r="W38" s="87" t="s">
        <v>464</v>
      </c>
      <c r="X38" s="89" t="s">
        <v>481</v>
      </c>
      <c r="Y38" s="125"/>
      <c r="Z38" s="124"/>
    </row>
    <row r="39" spans="1:26" hidden="1" x14ac:dyDescent="0.35">
      <c r="A39" s="101" t="s">
        <v>460</v>
      </c>
      <c r="B39" s="97" t="s">
        <v>551</v>
      </c>
      <c r="C39" s="99" t="s">
        <v>489</v>
      </c>
      <c r="D39" s="99" t="s">
        <v>490</v>
      </c>
      <c r="E39" s="99">
        <v>2019</v>
      </c>
      <c r="F39" s="88">
        <v>2.8999999999999998E-3</v>
      </c>
      <c r="G39" s="88">
        <v>0.48230000000000001</v>
      </c>
      <c r="H39" s="88">
        <v>0</v>
      </c>
      <c r="I39" s="88">
        <v>4.19E-2</v>
      </c>
      <c r="J39" s="88">
        <v>7.4499999999999997E-2</v>
      </c>
      <c r="K39" s="88">
        <v>0.1489</v>
      </c>
      <c r="L39" s="88">
        <v>1.49E-2</v>
      </c>
      <c r="M39" s="88">
        <v>6.3E-2</v>
      </c>
      <c r="N39" s="88">
        <f>0.5645-0.4823</f>
        <v>8.2199999999999995E-2</v>
      </c>
      <c r="O39" s="88">
        <v>0</v>
      </c>
      <c r="P39" s="88">
        <v>0</v>
      </c>
      <c r="Q39" s="88">
        <f>0.2383-0.1489</f>
        <v>8.9400000000000007E-2</v>
      </c>
      <c r="R39" s="88">
        <v>0</v>
      </c>
      <c r="S39" s="88">
        <v>0</v>
      </c>
      <c r="T39" s="88">
        <f t="shared" si="2"/>
        <v>0.82840000000000003</v>
      </c>
      <c r="U39" s="88">
        <f t="shared" si="3"/>
        <v>0.1716</v>
      </c>
      <c r="V39" s="140">
        <f>(F39*Hypothèses!$B$3+G39*Hypothèses!$C$3+Fournisseurs!H39*Hypothèses!$D$3+Fournisseurs!I39*Hypothèses!$E$3+Fournisseurs!J39*Hypothèses!$F$3+Fournisseurs!K39*Hypothèses!$G$3+Fournisseurs!L39*Hypothèses!$H$3+Fournisseurs!M39*Hypothèses!$I$3+Fournisseurs!N39*Hypothèses!$J$3+Fournisseurs!O39*Hypothèses!$K$3+Fournisseurs!P39*'Energie KBOB'!$K$76+Fournisseurs!Q39*Hypothèses!$M$3+Fournisseurs!R39*Hypothèses!$N$3+Fournisseurs!S39*Hypothèses!$O$3)*1000</f>
        <v>160.84489156620046</v>
      </c>
      <c r="W39" s="87" t="s">
        <v>464</v>
      </c>
      <c r="X39" s="89" t="s">
        <v>482</v>
      </c>
      <c r="Y39" s="125"/>
      <c r="Z39" s="124"/>
    </row>
    <row r="40" spans="1:26" hidden="1" x14ac:dyDescent="0.35">
      <c r="A40" s="101" t="s">
        <v>460</v>
      </c>
      <c r="B40" s="97" t="s">
        <v>551</v>
      </c>
      <c r="C40" s="99" t="s">
        <v>489</v>
      </c>
      <c r="D40" s="99" t="s">
        <v>490</v>
      </c>
      <c r="E40" s="99">
        <v>2018</v>
      </c>
      <c r="F40" s="88">
        <v>4.0000000000000001E-3</v>
      </c>
      <c r="G40" s="88">
        <v>0.58899999999999997</v>
      </c>
      <c r="H40" s="88">
        <v>0</v>
      </c>
      <c r="I40" s="88">
        <v>0</v>
      </c>
      <c r="J40" s="88">
        <v>0</v>
      </c>
      <c r="K40" s="88">
        <v>7.0999999999999994E-2</v>
      </c>
      <c r="L40" s="88">
        <v>8.3000000000000004E-2</v>
      </c>
      <c r="M40" s="88">
        <v>5.6000000000000001E-2</v>
      </c>
      <c r="N40" s="88">
        <f>0.674-0.589</f>
        <v>8.5000000000000075E-2</v>
      </c>
      <c r="O40" s="88">
        <v>0</v>
      </c>
      <c r="P40" s="88">
        <v>0</v>
      </c>
      <c r="Q40" s="88">
        <f>0.183-0.071</f>
        <v>0.112</v>
      </c>
      <c r="R40" s="88">
        <v>0</v>
      </c>
      <c r="S40" s="88">
        <v>0</v>
      </c>
      <c r="T40" s="88">
        <f t="shared" si="2"/>
        <v>0.80299999999999994</v>
      </c>
      <c r="U40" s="88">
        <f t="shared" si="3"/>
        <v>0.19700000000000006</v>
      </c>
      <c r="V40" s="140">
        <f>(F40*Hypothèses!$B$3+G40*Hypothèses!$C$3+Fournisseurs!H40*Hypothèses!$D$3+Fournisseurs!I40*Hypothèses!$E$3+Fournisseurs!J40*Hypothèses!$F$3+Fournisseurs!K40*Hypothèses!$G$3+Fournisseurs!L40*Hypothèses!$H$3+Fournisseurs!M40*Hypothèses!$I$3+Fournisseurs!N40*Hypothèses!$J$3+Fournisseurs!O40*Hypothèses!$K$3+Fournisseurs!P40*'Energie KBOB'!$K$76+Fournisseurs!Q40*Hypothèses!$M$3+Fournisseurs!R40*Hypothèses!$N$3+Fournisseurs!S40*Hypothèses!$O$3)*1000</f>
        <v>123.56533055267202</v>
      </c>
      <c r="W40" s="87" t="s">
        <v>464</v>
      </c>
      <c r="X40" s="89" t="s">
        <v>483</v>
      </c>
      <c r="Y40" s="125"/>
      <c r="Z40" s="124"/>
    </row>
    <row r="41" spans="1:26" hidden="1" x14ac:dyDescent="0.35">
      <c r="A41" s="101" t="s">
        <v>460</v>
      </c>
      <c r="B41" s="97" t="s">
        <v>551</v>
      </c>
      <c r="C41" s="99" t="s">
        <v>489</v>
      </c>
      <c r="D41" s="99" t="s">
        <v>490</v>
      </c>
      <c r="E41" s="99">
        <v>2017</v>
      </c>
      <c r="F41" s="95">
        <v>2E-3</v>
      </c>
      <c r="G41" s="95">
        <v>0.53600000000000003</v>
      </c>
      <c r="H41" s="95">
        <v>0</v>
      </c>
      <c r="I41" s="95">
        <v>0</v>
      </c>
      <c r="J41" s="95">
        <v>0</v>
      </c>
      <c r="K41" s="95">
        <v>0.187</v>
      </c>
      <c r="L41" s="95">
        <v>5.7000000000000002E-2</v>
      </c>
      <c r="M41" s="95">
        <v>5.2000000000000005E-2</v>
      </c>
      <c r="N41" s="88">
        <f>0.611-0.536</f>
        <v>7.4999999999999956E-2</v>
      </c>
      <c r="O41" s="88">
        <v>0</v>
      </c>
      <c r="P41" s="88">
        <v>0</v>
      </c>
      <c r="Q41" s="88">
        <f>0.278-0.187</f>
        <v>9.1000000000000025E-2</v>
      </c>
      <c r="R41" s="95">
        <v>0</v>
      </c>
      <c r="S41" s="95">
        <v>0</v>
      </c>
      <c r="T41" s="88">
        <f t="shared" si="2"/>
        <v>0.83400000000000019</v>
      </c>
      <c r="U41" s="88">
        <f t="shared" si="3"/>
        <v>0.16599999999999998</v>
      </c>
      <c r="V41" s="140">
        <f>(F41*Hypothèses!$B$3+G41*Hypothèses!$C$3+Fournisseurs!H41*Hypothèses!$D$3+Fournisseurs!I41*Hypothèses!$E$3+Fournisseurs!J41*Hypothèses!$F$3+Fournisseurs!K41*Hypothèses!$G$3+Fournisseurs!L41*Hypothèses!$H$3+Fournisseurs!M41*Hypothèses!$I$3+Fournisseurs!N41*Hypothèses!$J$3+Fournisseurs!O41*Hypothèses!$K$3+Fournisseurs!P41*'Energie KBOB'!$K$76+Fournisseurs!Q41*Hypothèses!$M$3+Fournisseurs!R41*Hypothèses!$N$3+Fournisseurs!S41*Hypothèses!$O$3)*1000</f>
        <v>180.41718051319546</v>
      </c>
      <c r="W41" s="87" t="s">
        <v>464</v>
      </c>
      <c r="X41" s="87"/>
      <c r="Y41" s="125"/>
      <c r="Z41" s="125"/>
    </row>
    <row r="42" spans="1:26" x14ac:dyDescent="0.35">
      <c r="A42" s="101" t="s">
        <v>494</v>
      </c>
      <c r="B42" s="97" t="s">
        <v>497</v>
      </c>
      <c r="C42" s="99" t="s">
        <v>499</v>
      </c>
      <c r="D42" s="99" t="s">
        <v>488</v>
      </c>
      <c r="E42" s="99">
        <v>2022</v>
      </c>
      <c r="F42" s="95">
        <v>0</v>
      </c>
      <c r="G42" s="95">
        <v>1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88">
        <v>0</v>
      </c>
      <c r="P42" s="88">
        <v>0</v>
      </c>
      <c r="Q42" s="95">
        <v>0</v>
      </c>
      <c r="R42" s="95">
        <v>0</v>
      </c>
      <c r="S42" s="95">
        <v>0</v>
      </c>
      <c r="T42" s="88">
        <f t="shared" si="2"/>
        <v>1</v>
      </c>
      <c r="U42" s="88">
        <f t="shared" si="3"/>
        <v>0</v>
      </c>
      <c r="V42" s="140">
        <f>(F42*Hypothèses!$B$3+G42*Hypothèses!$C$3+Fournisseurs!H42*Hypothèses!$D$3+Fournisseurs!I42*Hypothèses!$E$3+Fournisseurs!J42*Hypothèses!$F$3+Fournisseurs!K42*Hypothèses!$G$3+Fournisseurs!L42*Hypothèses!$H$3+Fournisseurs!M42*Hypothèses!$I$3+Fournisseurs!N42*Hypothèses!$J$3+Fournisseurs!O42*Hypothèses!$K$3+Fournisseurs!P42*'Energie KBOB'!$K$76+Fournisseurs!Q42*Hypothèses!$M$3+Fournisseurs!R42*Hypothèses!$N$3+Fournisseurs!S42*Hypothèses!$O$3)*1000</f>
        <v>12.4</v>
      </c>
      <c r="W42" s="87"/>
      <c r="X42" s="89" t="s">
        <v>502</v>
      </c>
      <c r="Y42" s="125"/>
      <c r="Z42" s="124"/>
    </row>
    <row r="43" spans="1:26" x14ac:dyDescent="0.35">
      <c r="A43" s="101" t="s">
        <v>494</v>
      </c>
      <c r="B43" s="97" t="s">
        <v>497</v>
      </c>
      <c r="C43" s="99" t="s">
        <v>500</v>
      </c>
      <c r="D43" s="99" t="s">
        <v>488</v>
      </c>
      <c r="E43" s="99">
        <v>2022</v>
      </c>
      <c r="F43" s="95">
        <v>0.25</v>
      </c>
      <c r="G43" s="95">
        <v>0.75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88">
        <v>0</v>
      </c>
      <c r="P43" s="88">
        <v>0</v>
      </c>
      <c r="Q43" s="95">
        <v>0</v>
      </c>
      <c r="R43" s="95">
        <v>0</v>
      </c>
      <c r="S43" s="95">
        <v>0</v>
      </c>
      <c r="T43" s="88">
        <f t="shared" si="2"/>
        <v>1</v>
      </c>
      <c r="U43" s="88">
        <f t="shared" si="3"/>
        <v>0</v>
      </c>
      <c r="V43" s="140">
        <f>(F43*Hypothèses!$B$3+G43*Hypothèses!$C$3+Fournisseurs!H43*Hypothèses!$D$3+Fournisseurs!I43*Hypothèses!$E$3+Fournisseurs!J43*Hypothèses!$F$3+Fournisseurs!K43*Hypothèses!$G$3+Fournisseurs!L43*Hypothèses!$H$3+Fournisseurs!M43*Hypothèses!$I$3+Fournisseurs!N43*Hypothèses!$J$3+Fournisseurs!O43*Hypothèses!$K$3+Fournisseurs!P43*'Energie KBOB'!$K$76+Fournisseurs!Q43*Hypothèses!$M$3+Fournisseurs!R43*Hypothèses!$N$3+Fournisseurs!S43*Hypothèses!$O$3)*1000</f>
        <v>21.2</v>
      </c>
      <c r="W43" s="87"/>
      <c r="X43" s="89" t="s">
        <v>502</v>
      </c>
      <c r="Y43" s="125"/>
      <c r="Z43" s="125"/>
    </row>
    <row r="44" spans="1:26" x14ac:dyDescent="0.35">
      <c r="A44" s="101" t="s">
        <v>494</v>
      </c>
      <c r="B44" s="97" t="s">
        <v>497</v>
      </c>
      <c r="C44" s="99" t="s">
        <v>501</v>
      </c>
      <c r="D44" s="99" t="s">
        <v>488</v>
      </c>
      <c r="E44" s="99">
        <v>2022</v>
      </c>
      <c r="F44" s="95">
        <v>0.5</v>
      </c>
      <c r="G44" s="95">
        <v>0.5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88">
        <v>0</v>
      </c>
      <c r="P44" s="88">
        <v>0</v>
      </c>
      <c r="Q44" s="95">
        <v>0</v>
      </c>
      <c r="R44" s="95">
        <v>0</v>
      </c>
      <c r="S44" s="95">
        <v>0</v>
      </c>
      <c r="T44" s="88">
        <f t="shared" si="2"/>
        <v>1</v>
      </c>
      <c r="U44" s="88">
        <f t="shared" si="3"/>
        <v>0</v>
      </c>
      <c r="V44" s="140">
        <f>(F44*Hypothèses!$B$3+G44*Hypothèses!$C$3+Fournisseurs!H44*Hypothèses!$D$3+Fournisseurs!I44*Hypothèses!$E$3+Fournisseurs!J44*Hypothèses!$F$3+Fournisseurs!K44*Hypothèses!$G$3+Fournisseurs!L44*Hypothèses!$H$3+Fournisseurs!M44*Hypothèses!$I$3+Fournisseurs!N44*Hypothèses!$J$3+Fournisseurs!O44*Hypothèses!$K$3+Fournisseurs!P44*'Energie KBOB'!$K$76+Fournisseurs!Q44*Hypothèses!$M$3+Fournisseurs!R44*Hypothèses!$N$3+Fournisseurs!S44*Hypothèses!$O$3)*1000</f>
        <v>30.000000000000004</v>
      </c>
      <c r="W44" s="87"/>
      <c r="X44" s="89" t="s">
        <v>502</v>
      </c>
      <c r="Y44" s="124"/>
      <c r="Z44" s="125"/>
    </row>
    <row r="45" spans="1:26" hidden="1" x14ac:dyDescent="0.35">
      <c r="A45" s="101" t="s">
        <v>494</v>
      </c>
      <c r="B45" s="97" t="s">
        <v>497</v>
      </c>
      <c r="C45" s="102" t="s">
        <v>489</v>
      </c>
      <c r="D45" s="99" t="s">
        <v>490</v>
      </c>
      <c r="E45" s="102">
        <v>2020</v>
      </c>
      <c r="F45" s="95">
        <v>1.1000000000000001E-2</v>
      </c>
      <c r="G45" s="95">
        <v>0.84200000000000008</v>
      </c>
      <c r="H45" s="95">
        <v>0</v>
      </c>
      <c r="I45" s="95">
        <v>1.6E-2</v>
      </c>
      <c r="J45" s="95">
        <v>4.4999999999999998E-2</v>
      </c>
      <c r="K45" s="95">
        <v>0</v>
      </c>
      <c r="L45" s="95">
        <v>1.6E-2</v>
      </c>
      <c r="M45" s="95">
        <v>7.0000000000000007E-2</v>
      </c>
      <c r="N45" s="95">
        <v>0</v>
      </c>
      <c r="O45" s="88">
        <v>0</v>
      </c>
      <c r="P45" s="88">
        <v>0</v>
      </c>
      <c r="Q45" s="95">
        <v>0</v>
      </c>
      <c r="R45" s="95">
        <v>0</v>
      </c>
      <c r="S45" s="95">
        <v>0</v>
      </c>
      <c r="T45" s="88">
        <f t="shared" si="2"/>
        <v>1.0000000000000002</v>
      </c>
      <c r="U45" s="88">
        <f t="shared" si="3"/>
        <v>0</v>
      </c>
      <c r="V45" s="140">
        <f>(F45*Hypothèses!$B$3+G45*Hypothèses!$C$3+Fournisseurs!H45*Hypothèses!$D$3+Fournisseurs!I45*Hypothèses!$E$3+Fournisseurs!J45*Hypothèses!$F$3+Fournisseurs!K45*Hypothèses!$G$3+Fournisseurs!L45*Hypothèses!$H$3+Fournisseurs!M45*Hypothèses!$I$3+Fournisseurs!N45*Hypothèses!$J$3+Fournisseurs!O45*Hypothèses!$K$3+Fournisseurs!P45*'Energie KBOB'!$K$76+Fournisseurs!Q45*Hypothèses!$M$3+Fournisseurs!R45*Hypothèses!$N$3+Fournisseurs!S45*Hypothèses!$O$3)*1000</f>
        <v>16.555007913062269</v>
      </c>
      <c r="W45" s="87"/>
      <c r="X45" s="89" t="s">
        <v>498</v>
      </c>
      <c r="Y45" s="125"/>
      <c r="Z45" s="124"/>
    </row>
    <row r="46" spans="1:26" x14ac:dyDescent="0.35">
      <c r="A46" s="99" t="s">
        <v>503</v>
      </c>
      <c r="B46" s="97" t="s">
        <v>496</v>
      </c>
      <c r="C46" s="102" t="s">
        <v>465</v>
      </c>
      <c r="D46" s="99" t="s">
        <v>488</v>
      </c>
      <c r="E46" s="99">
        <v>2022</v>
      </c>
      <c r="F46" s="95">
        <v>0</v>
      </c>
      <c r="G46" s="95">
        <v>0</v>
      </c>
      <c r="H46" s="95">
        <v>0</v>
      </c>
      <c r="I46" s="95">
        <v>0</v>
      </c>
      <c r="J46" s="95">
        <v>0.5</v>
      </c>
      <c r="K46" s="95">
        <v>0</v>
      </c>
      <c r="L46" s="95">
        <v>0</v>
      </c>
      <c r="M46" s="95">
        <v>0</v>
      </c>
      <c r="N46" s="95">
        <v>0</v>
      </c>
      <c r="O46" s="88">
        <v>0</v>
      </c>
      <c r="P46" s="95">
        <v>0.5</v>
      </c>
      <c r="Q46" s="95">
        <v>0</v>
      </c>
      <c r="R46" s="95">
        <v>0</v>
      </c>
      <c r="S46" s="95">
        <v>0</v>
      </c>
      <c r="T46" s="88">
        <f t="shared" si="2"/>
        <v>0.5</v>
      </c>
      <c r="U46" s="88">
        <f t="shared" si="3"/>
        <v>0.5</v>
      </c>
      <c r="V46" s="140">
        <f>(F46*Hypothèses!$B$3+G46*Hypothèses!$C$3+Fournisseurs!H46*Hypothèses!$D$3+Fournisseurs!I46*Hypothèses!$E$3+Fournisseurs!J46*Hypothèses!$F$3+Fournisseurs!K46*Hypothèses!$G$3+Fournisseurs!L46*Hypothèses!$H$3+Fournisseurs!M46*Hypothèses!$I$3+Fournisseurs!N46*Hypothèses!$J$3+Fournisseurs!O46*Hypothèses!$K$3+Fournisseurs!P46*'Energie KBOB'!$K$76+Fournisseurs!Q46*Hypothèses!$M$3+Fournisseurs!R46*Hypothèses!$N$3+Fournisseurs!S46*Hypothèses!$O$3)*1000</f>
        <v>23.900000000000002</v>
      </c>
      <c r="W46" s="87"/>
      <c r="X46" s="89" t="s">
        <v>511</v>
      </c>
      <c r="Y46" s="125"/>
      <c r="Z46" s="124"/>
    </row>
    <row r="47" spans="1:26" x14ac:dyDescent="0.35">
      <c r="A47" s="99" t="s">
        <v>503</v>
      </c>
      <c r="B47" s="97" t="s">
        <v>496</v>
      </c>
      <c r="C47" s="102" t="s">
        <v>504</v>
      </c>
      <c r="D47" s="99" t="s">
        <v>488</v>
      </c>
      <c r="E47" s="99">
        <v>2022</v>
      </c>
      <c r="F47" s="88">
        <v>0</v>
      </c>
      <c r="G47" s="88">
        <v>0.3</v>
      </c>
      <c r="H47" s="88">
        <v>0</v>
      </c>
      <c r="I47" s="88">
        <v>0</v>
      </c>
      <c r="J47" s="88">
        <v>0.2</v>
      </c>
      <c r="K47" s="95">
        <v>0</v>
      </c>
      <c r="L47" s="95">
        <v>0</v>
      </c>
      <c r="M47" s="95">
        <v>0</v>
      </c>
      <c r="N47" s="88">
        <v>0.3</v>
      </c>
      <c r="O47" s="88">
        <v>0</v>
      </c>
      <c r="P47" s="88">
        <v>0.2</v>
      </c>
      <c r="Q47" s="95">
        <v>0</v>
      </c>
      <c r="R47" s="95">
        <v>0</v>
      </c>
      <c r="S47" s="95">
        <v>0</v>
      </c>
      <c r="T47" s="88">
        <f t="shared" si="2"/>
        <v>0.5</v>
      </c>
      <c r="U47" s="88">
        <f t="shared" si="3"/>
        <v>0.5</v>
      </c>
      <c r="V47" s="140">
        <f>(F47*Hypothèses!$B$3+G47*Hypothèses!$C$3+Fournisseurs!H47*Hypothèses!$D$3+Fournisseurs!I47*Hypothèses!$E$3+Fournisseurs!J47*Hypothèses!$F$3+Fournisseurs!K47*Hypothèses!$G$3+Fournisseurs!L47*Hypothèses!$H$3+Fournisseurs!M47*Hypothèses!$I$3+Fournisseurs!N47*Hypothèses!$J$3+Fournisseurs!O47*Hypothèses!$K$3+Fournisseurs!P47*'Energie KBOB'!$K$76+Fournisseurs!Q47*Hypothèses!$M$3+Fournisseurs!R47*Hypothèses!$N$3+Fournisseurs!S47*Hypothèses!$O$3)*1000</f>
        <v>17</v>
      </c>
      <c r="W47" s="87"/>
      <c r="X47" s="89" t="s">
        <v>511</v>
      </c>
      <c r="Y47" s="125"/>
      <c r="Z47" s="125"/>
    </row>
    <row r="48" spans="1:26" x14ac:dyDescent="0.35">
      <c r="A48" s="99" t="s">
        <v>503</v>
      </c>
      <c r="B48" s="97" t="s">
        <v>496</v>
      </c>
      <c r="C48" s="102" t="s">
        <v>505</v>
      </c>
      <c r="D48" s="99" t="s">
        <v>488</v>
      </c>
      <c r="E48" s="99">
        <v>2022</v>
      </c>
      <c r="F48" s="88">
        <v>0</v>
      </c>
      <c r="G48" s="88">
        <v>0.65</v>
      </c>
      <c r="H48" s="88">
        <v>0</v>
      </c>
      <c r="I48" s="88">
        <v>0</v>
      </c>
      <c r="J48" s="88">
        <v>0.1</v>
      </c>
      <c r="K48" s="95">
        <v>0</v>
      </c>
      <c r="L48" s="95">
        <v>0</v>
      </c>
      <c r="M48" s="95">
        <v>0</v>
      </c>
      <c r="N48" s="88">
        <v>0.15</v>
      </c>
      <c r="O48" s="88">
        <v>0</v>
      </c>
      <c r="P48" s="88">
        <v>0.1</v>
      </c>
      <c r="Q48" s="95">
        <v>0</v>
      </c>
      <c r="R48" s="95">
        <v>0</v>
      </c>
      <c r="S48" s="95">
        <v>0</v>
      </c>
      <c r="T48" s="88">
        <f t="shared" si="2"/>
        <v>0.75</v>
      </c>
      <c r="U48" s="88">
        <f t="shared" si="3"/>
        <v>0.25</v>
      </c>
      <c r="V48" s="140">
        <f>(F48*Hypothèses!$B$3+G48*Hypothèses!$C$3+Fournisseurs!H48*Hypothèses!$D$3+Fournisseurs!I48*Hypothèses!$E$3+Fournisseurs!J48*Hypothèses!$F$3+Fournisseurs!K48*Hypothèses!$G$3+Fournisseurs!L48*Hypothèses!$H$3+Fournisseurs!M48*Hypothèses!$I$3+Fournisseurs!N48*Hypothèses!$J$3+Fournisseurs!O48*Hypothèses!$K$3+Fournisseurs!P48*'Energie KBOB'!$K$76+Fournisseurs!Q48*Hypothèses!$M$3+Fournisseurs!R48*Hypothèses!$N$3+Fournisseurs!S48*Hypothèses!$O$3)*1000</f>
        <v>14.7</v>
      </c>
      <c r="W48" s="87"/>
      <c r="X48" s="89" t="s">
        <v>511</v>
      </c>
      <c r="Y48" s="125"/>
      <c r="Z48" s="125"/>
    </row>
    <row r="49" spans="1:26" x14ac:dyDescent="0.35">
      <c r="A49" s="99" t="s">
        <v>503</v>
      </c>
      <c r="B49" s="97" t="s">
        <v>496</v>
      </c>
      <c r="C49" s="102" t="s">
        <v>506</v>
      </c>
      <c r="D49" s="99" t="s">
        <v>488</v>
      </c>
      <c r="E49" s="99">
        <v>2022</v>
      </c>
      <c r="F49" s="88">
        <v>0</v>
      </c>
      <c r="G49" s="88">
        <v>1</v>
      </c>
      <c r="H49" s="88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8">
        <v>0</v>
      </c>
      <c r="P49" s="88">
        <v>0</v>
      </c>
      <c r="Q49" s="88">
        <v>0</v>
      </c>
      <c r="R49" s="88">
        <v>0</v>
      </c>
      <c r="S49" s="88">
        <v>0</v>
      </c>
      <c r="T49" s="88">
        <f t="shared" si="2"/>
        <v>1</v>
      </c>
      <c r="U49" s="88">
        <f t="shared" si="3"/>
        <v>0</v>
      </c>
      <c r="V49" s="140">
        <f>(F49*Hypothèses!$B$3+G49*Hypothèses!$C$3+Fournisseurs!H49*Hypothèses!$D$3+Fournisseurs!I49*Hypothèses!$E$3+Fournisseurs!J49*Hypothèses!$F$3+Fournisseurs!K49*Hypothèses!$G$3+Fournisseurs!L49*Hypothèses!$H$3+Fournisseurs!M49*Hypothèses!$I$3+Fournisseurs!N49*Hypothèses!$J$3+Fournisseurs!O49*Hypothèses!$K$3+Fournisseurs!P49*'Energie KBOB'!$K$76+Fournisseurs!Q49*Hypothèses!$M$3+Fournisseurs!R49*Hypothèses!$N$3+Fournisseurs!S49*Hypothèses!$O$3)*1000</f>
        <v>12.4</v>
      </c>
      <c r="W49" s="87"/>
      <c r="X49" s="89" t="s">
        <v>511</v>
      </c>
      <c r="Y49" s="125"/>
      <c r="Z49" s="125"/>
    </row>
    <row r="50" spans="1:26" x14ac:dyDescent="0.35">
      <c r="A50" s="99" t="s">
        <v>503</v>
      </c>
      <c r="B50" s="97" t="s">
        <v>496</v>
      </c>
      <c r="C50" s="102" t="s">
        <v>507</v>
      </c>
      <c r="D50" s="99" t="s">
        <v>488</v>
      </c>
      <c r="E50" s="99">
        <v>2022</v>
      </c>
      <c r="F50" s="88">
        <f>0.4*F51+0.6*F49</f>
        <v>4.0000000000000008E-2</v>
      </c>
      <c r="G50" s="88">
        <f t="shared" ref="G50:S50" si="4">0.4*G51+0.6*G49</f>
        <v>0.96</v>
      </c>
      <c r="H50" s="88">
        <f t="shared" si="4"/>
        <v>0</v>
      </c>
      <c r="I50" s="88">
        <f t="shared" si="4"/>
        <v>0</v>
      </c>
      <c r="J50" s="88">
        <f t="shared" si="4"/>
        <v>0</v>
      </c>
      <c r="K50" s="88">
        <f t="shared" si="4"/>
        <v>0</v>
      </c>
      <c r="L50" s="88">
        <f t="shared" si="4"/>
        <v>0</v>
      </c>
      <c r="M50" s="88">
        <f t="shared" si="4"/>
        <v>0</v>
      </c>
      <c r="N50" s="88">
        <f t="shared" si="4"/>
        <v>0</v>
      </c>
      <c r="O50" s="88">
        <v>0</v>
      </c>
      <c r="P50" s="88">
        <f t="shared" si="4"/>
        <v>0</v>
      </c>
      <c r="Q50" s="88">
        <f t="shared" si="4"/>
        <v>0</v>
      </c>
      <c r="R50" s="88">
        <f t="shared" si="4"/>
        <v>0</v>
      </c>
      <c r="S50" s="88">
        <f t="shared" si="4"/>
        <v>0</v>
      </c>
      <c r="T50" s="88">
        <f t="shared" si="2"/>
        <v>1</v>
      </c>
      <c r="U50" s="88">
        <f t="shared" si="3"/>
        <v>0</v>
      </c>
      <c r="V50" s="140">
        <f>(F50*Hypothèses!$B$3+G50*Hypothèses!$C$3+Fournisseurs!H50*Hypothèses!$D$3+Fournisseurs!I50*Hypothèses!$E$3+Fournisseurs!J50*Hypothèses!$F$3+Fournisseurs!K50*Hypothèses!$G$3+Fournisseurs!L50*Hypothèses!$H$3+Fournisseurs!M50*Hypothèses!$I$3+Fournisseurs!N50*Hypothèses!$J$3+Fournisseurs!O50*Hypothèses!$K$3+Fournisseurs!P50*'Energie KBOB'!$K$76+Fournisseurs!Q50*Hypothèses!$M$3+Fournisseurs!R50*Hypothèses!$N$3+Fournisseurs!S50*Hypothèses!$O$3)*1000</f>
        <v>13.808000000000002</v>
      </c>
      <c r="W50" s="87"/>
      <c r="X50" s="89" t="s">
        <v>511</v>
      </c>
      <c r="Y50" s="125"/>
      <c r="Z50" s="125"/>
    </row>
    <row r="51" spans="1:26" x14ac:dyDescent="0.35">
      <c r="A51" s="99" t="s">
        <v>503</v>
      </c>
      <c r="B51" s="97" t="s">
        <v>496</v>
      </c>
      <c r="C51" s="102" t="s">
        <v>508</v>
      </c>
      <c r="D51" s="99" t="s">
        <v>488</v>
      </c>
      <c r="E51" s="99">
        <v>2022</v>
      </c>
      <c r="F51" s="88">
        <v>0.1</v>
      </c>
      <c r="G51" s="88">
        <v>0.9</v>
      </c>
      <c r="H51" s="88">
        <v>0</v>
      </c>
      <c r="I51" s="88">
        <v>0</v>
      </c>
      <c r="J51" s="88">
        <v>0</v>
      </c>
      <c r="K51" s="88">
        <v>0</v>
      </c>
      <c r="L51" s="88">
        <v>0</v>
      </c>
      <c r="M51" s="88">
        <v>0</v>
      </c>
      <c r="N51" s="88">
        <v>0</v>
      </c>
      <c r="O51" s="88">
        <v>0</v>
      </c>
      <c r="P51" s="88">
        <v>0</v>
      </c>
      <c r="Q51" s="88">
        <v>0</v>
      </c>
      <c r="R51" s="88">
        <v>0</v>
      </c>
      <c r="S51" s="88">
        <v>0</v>
      </c>
      <c r="T51" s="88">
        <f t="shared" si="2"/>
        <v>1</v>
      </c>
      <c r="U51" s="88">
        <f t="shared" si="3"/>
        <v>0</v>
      </c>
      <c r="V51" s="140">
        <f>(F51*Hypothèses!$B$3+G51*Hypothèses!$C$3+Fournisseurs!H51*Hypothèses!$D$3+Fournisseurs!I51*Hypothèses!$E$3+Fournisseurs!J51*Hypothèses!$F$3+Fournisseurs!K51*Hypothèses!$G$3+Fournisseurs!L51*Hypothèses!$H$3+Fournisseurs!M51*Hypothèses!$I$3+Fournisseurs!N51*Hypothèses!$J$3+Fournisseurs!O51*Hypothèses!$K$3+Fournisseurs!P51*'Energie KBOB'!$K$76+Fournisseurs!Q51*Hypothèses!$M$3+Fournisseurs!R51*Hypothèses!$N$3+Fournisseurs!S51*Hypothèses!$O$3)*1000</f>
        <v>15.92</v>
      </c>
      <c r="W51" s="87"/>
      <c r="X51" s="89" t="s">
        <v>511</v>
      </c>
      <c r="Y51" s="125"/>
      <c r="Z51" s="125"/>
    </row>
    <row r="52" spans="1:26" hidden="1" x14ac:dyDescent="0.35">
      <c r="A52" s="99" t="s">
        <v>503</v>
      </c>
      <c r="B52" s="97" t="s">
        <v>496</v>
      </c>
      <c r="C52" s="99" t="s">
        <v>489</v>
      </c>
      <c r="D52" s="99" t="s">
        <v>490</v>
      </c>
      <c r="E52" s="102">
        <v>2020</v>
      </c>
      <c r="F52" s="88">
        <v>1.6000000000000001E-3</v>
      </c>
      <c r="G52" s="88">
        <v>0.37280000000000002</v>
      </c>
      <c r="H52" s="88">
        <v>0</v>
      </c>
      <c r="I52" s="88">
        <v>0</v>
      </c>
      <c r="J52" s="88">
        <v>0</v>
      </c>
      <c r="K52" s="88">
        <v>0</v>
      </c>
      <c r="L52" s="88">
        <v>0</v>
      </c>
      <c r="M52" s="88">
        <v>7.0000000000000007E-2</v>
      </c>
      <c r="N52" s="88">
        <f>0.7406-0.3728</f>
        <v>0.36780000000000002</v>
      </c>
      <c r="O52" s="88">
        <v>0</v>
      </c>
      <c r="P52" s="88">
        <v>0.18779999999999999</v>
      </c>
      <c r="Q52" s="88">
        <v>0</v>
      </c>
      <c r="R52" s="88">
        <v>0</v>
      </c>
      <c r="S52" s="88">
        <v>0</v>
      </c>
      <c r="T52" s="88">
        <f t="shared" si="2"/>
        <v>0.44440000000000002</v>
      </c>
      <c r="U52" s="88">
        <f t="shared" si="3"/>
        <v>0.55559999999999998</v>
      </c>
      <c r="V52" s="140">
        <f>(F52*Hypothèses!$B$3+G52*Hypothèses!$C$3+Fournisseurs!H52*Hypothèses!$D$3+Fournisseurs!I52*Hypothèses!$E$3+Fournisseurs!J52*Hypothèses!$F$3+Fournisseurs!K52*Hypothèses!$G$3+Fournisseurs!L52*Hypothèses!$H$3+Fournisseurs!M52*Hypothèses!$I$3+Fournisseurs!N52*Hypothèses!$J$3+Fournisseurs!O52*Hypothèses!$K$3+Fournisseurs!P52*'Energie KBOB'!$K$76+Fournisseurs!Q52*Hypothèses!$M$3+Fournisseurs!R52*Hypothèses!$N$3+Fournisseurs!S52*Hypothèses!$O$3)*1000</f>
        <v>16.905545690840047</v>
      </c>
      <c r="W52" s="87"/>
      <c r="X52" s="89" t="s">
        <v>510</v>
      </c>
      <c r="Y52" s="125"/>
      <c r="Z52" s="124"/>
    </row>
    <row r="53" spans="1:26" hidden="1" x14ac:dyDescent="0.35">
      <c r="A53" s="99" t="s">
        <v>503</v>
      </c>
      <c r="B53" s="97" t="s">
        <v>496</v>
      </c>
      <c r="C53" s="99" t="s">
        <v>489</v>
      </c>
      <c r="D53" s="99" t="s">
        <v>490</v>
      </c>
      <c r="E53" s="102">
        <v>2019</v>
      </c>
      <c r="F53" s="88">
        <v>1.4E-3</v>
      </c>
      <c r="G53" s="88">
        <v>0.22750000000000001</v>
      </c>
      <c r="H53" s="88">
        <v>0</v>
      </c>
      <c r="I53" s="88">
        <v>0</v>
      </c>
      <c r="J53" s="88">
        <v>0.29659999999999997</v>
      </c>
      <c r="K53" s="88">
        <v>0</v>
      </c>
      <c r="L53" s="88">
        <v>0</v>
      </c>
      <c r="M53" s="88">
        <v>6.3E-2</v>
      </c>
      <c r="N53" s="88">
        <f>0.557-0.2275</f>
        <v>0.32950000000000002</v>
      </c>
      <c r="O53" s="88">
        <v>0</v>
      </c>
      <c r="P53" s="88">
        <v>0</v>
      </c>
      <c r="Q53" s="88">
        <v>0</v>
      </c>
      <c r="R53" s="88">
        <v>0</v>
      </c>
      <c r="S53" s="88">
        <v>0</v>
      </c>
      <c r="T53" s="88">
        <f t="shared" si="2"/>
        <v>0.58850000000000002</v>
      </c>
      <c r="U53" s="88">
        <f t="shared" si="3"/>
        <v>0.32950000000000002</v>
      </c>
      <c r="V53" s="140">
        <f>(F53*Hypothèses!$B$3+G53*Hypothèses!$C$3+Fournisseurs!H53*Hypothèses!$D$3+Fournisseurs!I53*Hypothèses!$E$3+Fournisseurs!J53*Hypothèses!$F$3+Fournisseurs!K53*Hypothèses!$G$3+Fournisseurs!L53*Hypothèses!$H$3+Fournisseurs!M53*Hypothèses!$I$3+Fournisseurs!N53*Hypothèses!$J$3+Fournisseurs!O53*Hypothèses!$K$3+Fournisseurs!P53*'Energie KBOB'!$K$76+Fournisseurs!Q53*Hypothèses!$M$3+Fournisseurs!R53*Hypothèses!$N$3+Fournisseurs!S53*Hypothèses!$O$3)*1000</f>
        <v>16.903953121756043</v>
      </c>
      <c r="W53" s="87"/>
      <c r="X53" s="89" t="s">
        <v>510</v>
      </c>
      <c r="Y53" s="125"/>
      <c r="Z53" s="125"/>
    </row>
    <row r="54" spans="1:26" hidden="1" x14ac:dyDescent="0.35">
      <c r="A54" s="101" t="s">
        <v>512</v>
      </c>
      <c r="B54" s="97" t="s">
        <v>513</v>
      </c>
      <c r="C54" s="99" t="s">
        <v>489</v>
      </c>
      <c r="D54" s="99" t="s">
        <v>490</v>
      </c>
      <c r="E54" s="102">
        <v>2020</v>
      </c>
      <c r="F54" s="95">
        <v>1.1599999999999999E-2</v>
      </c>
      <c r="G54" s="95">
        <v>0.75700000000000001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7.0000000000000007E-2</v>
      </c>
      <c r="N54" s="88">
        <f>0.8927-0.757</f>
        <v>0.13570000000000004</v>
      </c>
      <c r="O54" s="88">
        <v>2.5700000000000001E-2</v>
      </c>
      <c r="P54" s="95">
        <v>0</v>
      </c>
      <c r="Q54" s="95">
        <v>0</v>
      </c>
      <c r="R54" s="95">
        <v>0</v>
      </c>
      <c r="S54" s="95">
        <v>0</v>
      </c>
      <c r="T54" s="88">
        <f t="shared" si="2"/>
        <v>0.83860000000000001</v>
      </c>
      <c r="U54" s="88">
        <f t="shared" si="3"/>
        <v>0.16140000000000004</v>
      </c>
      <c r="V54" s="140">
        <f>(F54*Hypothèses!$B$3+G54*Hypothèses!$C$3+Fournisseurs!H54*Hypothèses!$D$3+Fournisseurs!I54*Hypothèses!$E$3+Fournisseurs!J54*Hypothèses!$F$3+Fournisseurs!K54*Hypothèses!$G$3+Fournisseurs!L54*Hypothèses!$H$3+Fournisseurs!M54*Hypothèses!$I$3+Fournisseurs!N54*Hypothèses!$J$3+Fournisseurs!O54*Hypothèses!$K$3+Fournisseurs!P54*'Energie KBOB'!$K$76+Fournisseurs!Q54*Hypothèses!$M$3+Fournisseurs!R54*Hypothèses!$N$3+Fournisseurs!S54*Hypothèses!$O$3)*1000</f>
        <v>15.509045690840045</v>
      </c>
      <c r="W54" s="87"/>
      <c r="X54" s="89" t="s">
        <v>515</v>
      </c>
      <c r="Y54" s="125"/>
      <c r="Z54" s="124"/>
    </row>
    <row r="55" spans="1:26" hidden="1" x14ac:dyDescent="0.35">
      <c r="A55" s="101" t="s">
        <v>512</v>
      </c>
      <c r="B55" s="97" t="s">
        <v>513</v>
      </c>
      <c r="C55" s="99" t="s">
        <v>489</v>
      </c>
      <c r="D55" s="99" t="s">
        <v>490</v>
      </c>
      <c r="E55" s="102">
        <v>2019</v>
      </c>
      <c r="F55" s="95">
        <v>1.1200000000000002E-2</v>
      </c>
      <c r="G55" s="95">
        <v>0.84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6.3E-2</v>
      </c>
      <c r="N55" s="88">
        <f>0.9258-0.84</f>
        <v>8.5799999999999987E-2</v>
      </c>
      <c r="O55" s="88">
        <v>0</v>
      </c>
      <c r="P55" s="95">
        <v>0</v>
      </c>
      <c r="Q55" s="95">
        <v>0</v>
      </c>
      <c r="R55" s="95">
        <v>0</v>
      </c>
      <c r="S55" s="95">
        <v>0</v>
      </c>
      <c r="T55" s="88">
        <f t="shared" si="2"/>
        <v>0.9141999999999999</v>
      </c>
      <c r="U55" s="88">
        <f t="shared" si="3"/>
        <v>8.5799999999999987E-2</v>
      </c>
      <c r="V55" s="140">
        <f>(F55*Hypothèses!$B$3+G55*Hypothèses!$C$3+Fournisseurs!H55*Hypothèses!$D$3+Fournisseurs!I55*Hypothèses!$E$3+Fournisseurs!J55*Hypothèses!$F$3+Fournisseurs!K55*Hypothèses!$G$3+Fournisseurs!L55*Hypothèses!$H$3+Fournisseurs!M55*Hypothèses!$I$3+Fournisseurs!N55*Hypothèses!$J$3+Fournisseurs!O55*Hypothèses!$K$3+Fournisseurs!P55*'Energie KBOB'!$K$76+Fournisseurs!Q55*Hypothèses!$M$3+Fournisseurs!R55*Hypothèses!$N$3+Fournisseurs!S55*Hypothèses!$O$3)*1000</f>
        <v>14.85481312175604</v>
      </c>
      <c r="W55" s="87"/>
      <c r="X55" s="89" t="s">
        <v>515</v>
      </c>
      <c r="Y55" s="125"/>
      <c r="Z55" s="125"/>
    </row>
    <row r="56" spans="1:26" hidden="1" x14ac:dyDescent="0.35">
      <c r="A56" s="101" t="s">
        <v>512</v>
      </c>
      <c r="B56" s="97" t="s">
        <v>513</v>
      </c>
      <c r="C56" s="99" t="s">
        <v>489</v>
      </c>
      <c r="D56" s="99" t="s">
        <v>490</v>
      </c>
      <c r="E56" s="102">
        <v>2018</v>
      </c>
      <c r="F56" s="95">
        <v>9.4999999999999998E-3</v>
      </c>
      <c r="G56" s="95">
        <v>0.93169999999999997</v>
      </c>
      <c r="H56" s="95">
        <v>2.7000000000000001E-3</v>
      </c>
      <c r="I56" s="88">
        <v>0</v>
      </c>
      <c r="J56" s="88">
        <v>0</v>
      </c>
      <c r="K56" s="88">
        <v>0</v>
      </c>
      <c r="L56" s="88">
        <v>0</v>
      </c>
      <c r="M56" s="88">
        <v>5.6000000000000001E-2</v>
      </c>
      <c r="N56" s="88">
        <v>1E-4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f t="shared" si="2"/>
        <v>0.99990000000000001</v>
      </c>
      <c r="U56" s="88">
        <f t="shared" si="3"/>
        <v>1E-4</v>
      </c>
      <c r="V56" s="140">
        <f>(F56*Hypothèses!$B$3+G56*Hypothèses!$C$3+Fournisseurs!H56*Hypothèses!$D$3+Fournisseurs!I56*Hypothèses!$E$3+Fournisseurs!J56*Hypothèses!$F$3+Fournisseurs!K56*Hypothèses!$G$3+Fournisseurs!L56*Hypothèses!$H$3+Fournisseurs!M56*Hypothèses!$I$3+Fournisseurs!N56*Hypothèses!$J$3+Fournisseurs!O56*Hypothèses!$K$3+Fournisseurs!P56*'Energie KBOB'!$K$76+Fournisseurs!Q56*Hypothèses!$M$3+Fournisseurs!R56*Hypothèses!$N$3+Fournisseurs!S56*Hypothèses!$O$3)*1000</f>
        <v>14.609220552672035</v>
      </c>
      <c r="W56" s="87"/>
      <c r="X56" s="89" t="s">
        <v>515</v>
      </c>
      <c r="Y56" s="125"/>
      <c r="Z56" s="125"/>
    </row>
    <row r="57" spans="1:26" hidden="1" x14ac:dyDescent="0.35">
      <c r="A57" s="101" t="s">
        <v>512</v>
      </c>
      <c r="B57" s="97" t="s">
        <v>513</v>
      </c>
      <c r="C57" s="101" t="s">
        <v>489</v>
      </c>
      <c r="D57" s="101" t="s">
        <v>490</v>
      </c>
      <c r="E57" s="126">
        <v>2017</v>
      </c>
      <c r="F57" s="127">
        <v>7.9000000000000008E-3</v>
      </c>
      <c r="G57" s="127">
        <v>0.93479999999999996</v>
      </c>
      <c r="H57" s="127">
        <v>5.3E-3</v>
      </c>
      <c r="I57" s="127">
        <v>0</v>
      </c>
      <c r="J57" s="127">
        <v>0</v>
      </c>
      <c r="K57" s="127">
        <v>0</v>
      </c>
      <c r="L57" s="127">
        <v>0</v>
      </c>
      <c r="M57" s="127">
        <v>5.1999999999999998E-2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f t="shared" si="2"/>
        <v>1</v>
      </c>
      <c r="U57" s="127">
        <f t="shared" si="3"/>
        <v>0</v>
      </c>
      <c r="V57" s="140">
        <f>(F57*Hypothèses!$B$3+G57*Hypothèses!$C$3+Fournisseurs!H57*Hypothèses!$D$3+Fournisseurs!I57*Hypothèses!$E$3+Fournisseurs!J57*Hypothèses!$F$3+Fournisseurs!K57*Hypothèses!$G$3+Fournisseurs!L57*Hypothèses!$H$3+Fournisseurs!M57*Hypothèses!$I$3+Fournisseurs!N57*Hypothèses!$J$3+Fournisseurs!O57*Hypothèses!$K$3+Fournisseurs!P57*'Energie KBOB'!$K$76+Fournisseurs!Q57*Hypothèses!$M$3+Fournisseurs!R57*Hypothèses!$N$3+Fournisseurs!S57*Hypothèses!$O$3)*1000</f>
        <v>14.46367051319546</v>
      </c>
      <c r="W57" s="119"/>
      <c r="X57" s="89" t="s">
        <v>515</v>
      </c>
      <c r="Y57" s="128"/>
      <c r="Z57" s="128"/>
    </row>
  </sheetData>
  <conditionalFormatting sqref="V2:V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X6" r:id="rId1" xr:uid="{5ED0E8A0-4097-40E1-BDA0-0422B7EB1231}"/>
    <hyperlink ref="Y10" r:id="rId2" xr:uid="{3B322993-20D1-49BA-AD66-8824101E5D17}"/>
    <hyperlink ref="X12" r:id="rId3" xr:uid="{C49A2A30-0D34-4D52-B442-8CCA1ADF555D}"/>
    <hyperlink ref="X16" r:id="rId4" xr:uid="{110570AC-A3FF-404E-984A-9C33865B2457}"/>
    <hyperlink ref="X19" r:id="rId5" xr:uid="{83B359F2-317D-4BE9-85E5-3B6C7F321E6B}"/>
    <hyperlink ref="X20" r:id="rId6" xr:uid="{6C2554A5-132E-4BA1-95B8-A520FE4EC151}"/>
    <hyperlink ref="X18" r:id="rId7" xr:uid="{1321ECBF-9772-423E-AB28-DEC10F8C38F8}"/>
    <hyperlink ref="X21" r:id="rId8" xr:uid="{793ECB93-8DAC-4ABC-BDE0-E0919BFACB10}"/>
    <hyperlink ref="X25" r:id="rId9" xr:uid="{BA872C00-5037-4F00-B189-7B3423948B62}"/>
    <hyperlink ref="X26" r:id="rId10" xr:uid="{9F4E049E-5F2C-4DB7-9F6F-4D29A6E87F67}"/>
    <hyperlink ref="X27" r:id="rId11" xr:uid="{F8AB74CA-E9B2-4C86-A2FB-77B21631C441}"/>
    <hyperlink ref="X28" r:id="rId12" xr:uid="{0414DCAC-59EF-434B-8D5B-14BB40AF527B}"/>
    <hyperlink ref="X29" r:id="rId13" xr:uid="{96B233FB-869A-4454-8138-A3838C23982A}"/>
    <hyperlink ref="X32" r:id="rId14" xr:uid="{67B03A48-4646-43C4-A57B-20AD47E804B4}"/>
    <hyperlink ref="X31" r:id="rId15" xr:uid="{6D2EDA12-DD63-469D-AE58-788F118C8A1F}"/>
    <hyperlink ref="X30" r:id="rId16" xr:uid="{A5D2B575-AE9F-472F-9899-732D57DE4F29}"/>
    <hyperlink ref="X33" r:id="rId17" xr:uid="{1E72C1CD-70F3-41E8-95B2-3A815FFFDE45}"/>
    <hyperlink ref="X34" r:id="rId18" xr:uid="{940ED8FF-E08B-4074-B40B-43DAC5D88161}"/>
    <hyperlink ref="X35" r:id="rId19" xr:uid="{DF886A54-E582-45F9-A710-E1C894694F2B}"/>
    <hyperlink ref="X36" r:id="rId20" xr:uid="{BF653C39-E337-44B0-AF82-F2EDBFD417B9}"/>
    <hyperlink ref="X37" r:id="rId21" xr:uid="{60AC678C-444A-4E54-B84B-4BFE15D7D0F4}"/>
    <hyperlink ref="X38" r:id="rId22" xr:uid="{16CBC99D-1E34-45EA-8BE9-486F347AE8DA}"/>
    <hyperlink ref="X39" r:id="rId23" xr:uid="{A9D4E0B4-A0DC-47CC-AE4A-54A4BAF9FC6B}"/>
    <hyperlink ref="X40" r:id="rId24" xr:uid="{515AD277-CC19-4C59-A737-F2EA7E72B230}"/>
    <hyperlink ref="X7" r:id="rId25" location="2021" xr:uid="{0B6BEFC4-3FA4-430F-80B7-1AA0C15EAA81}"/>
    <hyperlink ref="X13" r:id="rId26" location="2021" xr:uid="{B37F239A-1F55-4726-A5EE-87FD113D9203}"/>
    <hyperlink ref="X45" r:id="rId27" location="2021" xr:uid="{DE9744BB-521D-4910-9B89-DAE8605E1E92}"/>
    <hyperlink ref="X42" r:id="rId28" xr:uid="{7AF459C2-6775-4CDD-B829-34E4F984DB36}"/>
    <hyperlink ref="X52" r:id="rId29" location="2021" xr:uid="{96F10AA4-021C-4831-806F-4F164C95C7F0}"/>
    <hyperlink ref="X54" r:id="rId30" location="2021" xr:uid="{393317AB-D8EF-4C66-8997-022FC5451C59}"/>
    <hyperlink ref="Y2:Y5" r:id="rId31" display="https://media.sig-ge.ch/documents/tarifs_reglements/electricite/marquage/electricite_fournie_par_sig.pdf" xr:uid="{735187DC-4E34-4016-9FB6-5E245887986F}"/>
    <hyperlink ref="Y11" r:id="rId32" xr:uid="{3F226E37-60F6-4E05-8FAA-481DE657EDFD}"/>
    <hyperlink ref="X10" r:id="rId33" xr:uid="{0F011B16-C62D-4DD1-A49B-F42B03EF3C24}"/>
    <hyperlink ref="X11" r:id="rId34" xr:uid="{68D2DDDF-26EE-41B4-B9D3-5302A27A4A58}"/>
    <hyperlink ref="X43" r:id="rId35" xr:uid="{22C24644-8A28-4FEC-B1BD-DB7A985D6767}"/>
    <hyperlink ref="X44" r:id="rId36" xr:uid="{6365F533-2678-441E-B0D3-D1882FA16C57}"/>
    <hyperlink ref="X55:X57" r:id="rId37" location="2021" display="https://www.strom.ch/fr/service/stromkennzeichnung/industrielle-werke-basel-iwb?tab=map&amp;year=2021#2021" xr:uid="{AA61EBFA-6129-4D97-B767-E8D57B4D18FC}"/>
    <hyperlink ref="X53" r:id="rId38" location="2021" xr:uid="{07D499CA-2BC4-4EEA-B679-5CA8A737F004}"/>
  </hyperlinks>
  <pageMargins left="0.7" right="0.7" top="0.75" bottom="0.75" header="0.3" footer="0.3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5EF0-6F22-4B1B-9AF3-44AAECDC922A}">
  <dimension ref="A1:O3"/>
  <sheetViews>
    <sheetView workbookViewId="0">
      <selection activeCell="A5" sqref="A5:B7"/>
    </sheetView>
  </sheetViews>
  <sheetFormatPr defaultColWidth="10.6328125" defaultRowHeight="14.5" x14ac:dyDescent="0.35"/>
  <cols>
    <col min="1" max="1" width="13.08984375" bestFit="1" customWidth="1"/>
    <col min="2" max="15" width="13.6328125" customWidth="1"/>
  </cols>
  <sheetData>
    <row r="1" spans="1:15" ht="58" x14ac:dyDescent="0.35">
      <c r="B1" s="104" t="s">
        <v>435</v>
      </c>
      <c r="C1" s="104" t="s">
        <v>436</v>
      </c>
      <c r="D1" s="104" t="s">
        <v>437</v>
      </c>
      <c r="E1" s="104" t="s">
        <v>438</v>
      </c>
      <c r="F1" s="104" t="s">
        <v>439</v>
      </c>
      <c r="G1" s="104" t="s">
        <v>458</v>
      </c>
      <c r="H1" s="104" t="s">
        <v>457</v>
      </c>
      <c r="I1" s="105" t="s">
        <v>450</v>
      </c>
      <c r="J1" s="104" t="s">
        <v>440</v>
      </c>
      <c r="K1" s="104" t="s">
        <v>514</v>
      </c>
      <c r="L1" s="104" t="s">
        <v>509</v>
      </c>
      <c r="M1" s="104" t="s">
        <v>475</v>
      </c>
      <c r="N1" s="104" t="s">
        <v>478</v>
      </c>
      <c r="O1" s="104" t="s">
        <v>452</v>
      </c>
    </row>
    <row r="2" spans="1:15" ht="113.5" customHeight="1" x14ac:dyDescent="0.35">
      <c r="A2" s="130" t="s">
        <v>564</v>
      </c>
      <c r="B2" s="131" t="s">
        <v>335</v>
      </c>
      <c r="C2" s="131" t="s">
        <v>2</v>
      </c>
      <c r="D2" s="131" t="s">
        <v>363</v>
      </c>
      <c r="E2" s="131" t="s">
        <v>533</v>
      </c>
      <c r="F2" s="131" t="s">
        <v>302</v>
      </c>
      <c r="G2" s="132" t="s">
        <v>516</v>
      </c>
      <c r="H2" s="133" t="s">
        <v>144</v>
      </c>
      <c r="I2" s="133" t="s">
        <v>517</v>
      </c>
      <c r="J2" s="134" t="s">
        <v>519</v>
      </c>
      <c r="K2" s="134" t="s">
        <v>518</v>
      </c>
      <c r="L2" s="134" t="s">
        <v>520</v>
      </c>
      <c r="M2" s="134" t="s">
        <v>521</v>
      </c>
      <c r="N2" s="135" t="s">
        <v>522</v>
      </c>
      <c r="O2" s="133" t="s">
        <v>546</v>
      </c>
    </row>
    <row r="3" spans="1:15" ht="15" customHeight="1" x14ac:dyDescent="0.35">
      <c r="A3" s="136" t="s">
        <v>563</v>
      </c>
      <c r="B3" s="137">
        <f>'Energie KBOB'!K87</f>
        <v>4.7600000000000003E-2</v>
      </c>
      <c r="C3" s="137">
        <f>'Energie KBOB'!K96</f>
        <v>1.24E-2</v>
      </c>
      <c r="D3" s="137">
        <f>'Energie KBOB'!K95</f>
        <v>2.8400000000000002E-2</v>
      </c>
      <c r="E3" s="137">
        <f>'Données complémentaires'!$E$4*'Energie KBOB'!$K$83+'Données complémentaires'!$F$4*'Energie KBOB'!$K$82+'Données complémentaires'!$G$4*'Energie KBOB'!$K$86</f>
        <v>7.7778888888888884E-2</v>
      </c>
      <c r="F3" s="138">
        <f>'Energie KBOB'!K76</f>
        <v>2.3900000000000001E-2</v>
      </c>
      <c r="G3" s="137">
        <f>0.5*'Energie KBOB'!$K$77+0.5*'Energie KBOB'!$K$78</f>
        <v>0.61149999999999993</v>
      </c>
      <c r="H3" s="137">
        <f>'Energie KBOB'!$K$82</f>
        <v>7.0699999999999999E-3</v>
      </c>
      <c r="I3" s="137">
        <f>'Mesures d''encouragement'!F2</f>
        <v>4.5107509869143511E-2</v>
      </c>
      <c r="J3" s="137">
        <f>'Energie KBOB'!K96</f>
        <v>1.24E-2</v>
      </c>
      <c r="K3" s="137">
        <f>'Energie KBOB'!K95</f>
        <v>2.8400000000000002E-2</v>
      </c>
      <c r="L3" s="137">
        <f>'Energie KBOB'!K76</f>
        <v>2.3900000000000001E-2</v>
      </c>
      <c r="M3" s="137">
        <f>0.5*'Energie KBOB'!$K$77+0.5*'Energie KBOB'!$K$78</f>
        <v>0.61149999999999993</v>
      </c>
      <c r="N3" s="139">
        <f>'Energie KBOB'!$K$81</f>
        <v>1.07</v>
      </c>
      <c r="O3" s="138">
        <f>'Energie KBOB'!$K$103</f>
        <v>0.52300000000000002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6660-5840-4CE6-94F0-352B576C710F}">
  <dimension ref="A2:K32"/>
  <sheetViews>
    <sheetView workbookViewId="0">
      <selection activeCell="A25" sqref="A25"/>
    </sheetView>
  </sheetViews>
  <sheetFormatPr defaultColWidth="10.6328125" defaultRowHeight="14.5" outlineLevelRow="1" x14ac:dyDescent="0.35"/>
  <cols>
    <col min="1" max="1" width="25.81640625" customWidth="1"/>
    <col min="2" max="2" width="15.453125" bestFit="1" customWidth="1"/>
    <col min="3" max="3" width="14" bestFit="1" customWidth="1"/>
    <col min="4" max="4" width="9" bestFit="1" customWidth="1"/>
    <col min="5" max="5" width="14.54296875" bestFit="1" customWidth="1"/>
    <col min="6" max="6" width="14" bestFit="1" customWidth="1"/>
    <col min="7" max="7" width="9" bestFit="1" customWidth="1"/>
  </cols>
  <sheetData>
    <row r="2" spans="1:11" x14ac:dyDescent="0.35">
      <c r="A2" s="106" t="s">
        <v>523</v>
      </c>
      <c r="B2" s="146" t="s">
        <v>525</v>
      </c>
      <c r="C2" s="147"/>
      <c r="D2" s="148"/>
      <c r="E2" s="149" t="s">
        <v>526</v>
      </c>
      <c r="F2" s="150"/>
      <c r="G2" s="151"/>
    </row>
    <row r="3" spans="1:11" x14ac:dyDescent="0.35">
      <c r="A3" s="87" t="s">
        <v>487</v>
      </c>
      <c r="B3" s="87" t="s">
        <v>524</v>
      </c>
      <c r="C3" s="87" t="s">
        <v>527</v>
      </c>
      <c r="D3" s="87" t="s">
        <v>96</v>
      </c>
      <c r="E3" s="122" t="s">
        <v>524</v>
      </c>
      <c r="F3" s="122" t="s">
        <v>527</v>
      </c>
      <c r="G3" s="122" t="s">
        <v>96</v>
      </c>
    </row>
    <row r="4" spans="1:11" x14ac:dyDescent="0.35">
      <c r="A4" s="87">
        <v>2017</v>
      </c>
      <c r="B4" s="87">
        <v>220</v>
      </c>
      <c r="C4" s="87">
        <v>1170</v>
      </c>
      <c r="D4" s="87">
        <v>320</v>
      </c>
      <c r="E4" s="123">
        <f>B4/SUM($B$4:$D$4)</f>
        <v>0.12865497076023391</v>
      </c>
      <c r="F4" s="123">
        <f t="shared" ref="F4:G4" si="0">C4/SUM($B$4:$D$4)</f>
        <v>0.68421052631578949</v>
      </c>
      <c r="G4" s="123">
        <f t="shared" si="0"/>
        <v>0.1871345029239766</v>
      </c>
    </row>
    <row r="5" spans="1:11" x14ac:dyDescent="0.35">
      <c r="A5" s="85" t="s">
        <v>528</v>
      </c>
    </row>
    <row r="7" spans="1:11" x14ac:dyDescent="0.35">
      <c r="A7" s="107" t="s">
        <v>2</v>
      </c>
    </row>
    <row r="8" spans="1:11" x14ac:dyDescent="0.35">
      <c r="A8" t="s">
        <v>529</v>
      </c>
    </row>
    <row r="9" spans="1:11" x14ac:dyDescent="0.35">
      <c r="A9" s="87" t="s">
        <v>530</v>
      </c>
      <c r="B9" s="108">
        <f>0.25/(0.304+0.25)</f>
        <v>0.45126353790613716</v>
      </c>
    </row>
    <row r="10" spans="1:11" x14ac:dyDescent="0.35">
      <c r="A10" s="87" t="s">
        <v>531</v>
      </c>
      <c r="B10" s="152">
        <f>1-B9</f>
        <v>0.54873646209386284</v>
      </c>
    </row>
    <row r="11" spans="1:11" x14ac:dyDescent="0.35">
      <c r="A11" s="119" t="s">
        <v>532</v>
      </c>
      <c r="B11" s="153"/>
    </row>
    <row r="12" spans="1:11" x14ac:dyDescent="0.35">
      <c r="A12" s="106" t="s">
        <v>541</v>
      </c>
      <c r="B12" s="146" t="s">
        <v>525</v>
      </c>
      <c r="C12" s="147"/>
      <c r="D12" s="147"/>
      <c r="E12" s="147"/>
      <c r="F12" s="147"/>
      <c r="G12" s="148"/>
      <c r="H12" s="149" t="s">
        <v>526</v>
      </c>
      <c r="I12" s="150"/>
      <c r="J12" s="151"/>
      <c r="K12" s="87" t="s">
        <v>540</v>
      </c>
    </row>
    <row r="13" spans="1:11" x14ac:dyDescent="0.35">
      <c r="A13" s="87" t="s">
        <v>487</v>
      </c>
      <c r="B13" s="87" t="s">
        <v>537</v>
      </c>
      <c r="C13" s="87" t="s">
        <v>544</v>
      </c>
      <c r="D13" s="96" t="s">
        <v>2</v>
      </c>
      <c r="E13" s="87" t="s">
        <v>543</v>
      </c>
      <c r="F13" s="87" t="s">
        <v>539</v>
      </c>
      <c r="G13" s="96" t="s">
        <v>542</v>
      </c>
      <c r="H13" s="122" t="s">
        <v>537</v>
      </c>
      <c r="I13" s="122" t="s">
        <v>538</v>
      </c>
      <c r="J13" s="122" t="s">
        <v>539</v>
      </c>
      <c r="K13" s="87"/>
    </row>
    <row r="14" spans="1:11" x14ac:dyDescent="0.35">
      <c r="A14" s="87">
        <v>2018</v>
      </c>
      <c r="B14" s="87">
        <v>16908</v>
      </c>
      <c r="C14" s="87">
        <v>20520</v>
      </c>
      <c r="D14" s="87">
        <f>SUM(B14:C14)</f>
        <v>37428</v>
      </c>
      <c r="E14" s="96">
        <v>3987</v>
      </c>
      <c r="F14" s="109">
        <f>E14*0.75</f>
        <v>2990.25</v>
      </c>
      <c r="G14" s="96">
        <v>63571</v>
      </c>
      <c r="H14" s="95">
        <f>B14/$D14</f>
        <v>0.45174735492144918</v>
      </c>
      <c r="I14" s="95">
        <f>(C14-F14)/$D14</f>
        <v>0.4683592497595383</v>
      </c>
      <c r="J14" s="95">
        <f>F14/D14</f>
        <v>7.9893395319012503E-2</v>
      </c>
      <c r="K14" s="88">
        <f>D14/G14</f>
        <v>0.58875902534174385</v>
      </c>
    </row>
    <row r="15" spans="1:11" x14ac:dyDescent="0.35">
      <c r="A15" s="87">
        <v>2019</v>
      </c>
      <c r="B15" s="87">
        <v>17700</v>
      </c>
      <c r="C15" s="87">
        <v>22856</v>
      </c>
      <c r="D15" s="87">
        <f>SUM(B15:C15)</f>
        <v>40556</v>
      </c>
      <c r="E15" s="96">
        <v>4133</v>
      </c>
      <c r="F15" s="109">
        <f>E15*0.75</f>
        <v>3099.75</v>
      </c>
      <c r="G15" s="96">
        <v>67761</v>
      </c>
      <c r="H15" s="95">
        <f>B15/$D15</f>
        <v>0.43643357333070321</v>
      </c>
      <c r="I15" s="95">
        <f>(C15-F15)/$D15</f>
        <v>0.48713507249235627</v>
      </c>
      <c r="J15" s="95">
        <f>F15/D15</f>
        <v>7.6431354176940525E-2</v>
      </c>
      <c r="K15" s="88">
        <f>D15/G15</f>
        <v>0.59851537019819656</v>
      </c>
    </row>
    <row r="16" spans="1:11" x14ac:dyDescent="0.35">
      <c r="A16" s="96" t="s">
        <v>545</v>
      </c>
      <c r="B16" s="87"/>
      <c r="C16" s="87"/>
      <c r="D16" s="87"/>
      <c r="E16" s="87"/>
      <c r="F16" s="87"/>
      <c r="G16" s="87"/>
      <c r="H16" s="121">
        <f>AVERAGE(H14:H15)</f>
        <v>0.44409046412607622</v>
      </c>
      <c r="I16" s="121">
        <f>AVERAGE(I14:I15)</f>
        <v>0.47774716112594728</v>
      </c>
      <c r="J16" s="121">
        <f>AVERAGE(J14:J15)</f>
        <v>7.8162374747976521E-2</v>
      </c>
      <c r="K16" s="87"/>
    </row>
    <row r="17" spans="1:11" x14ac:dyDescent="0.35">
      <c r="A17" s="129" t="s">
        <v>554</v>
      </c>
      <c r="H17" s="120"/>
      <c r="I17" s="120"/>
      <c r="J17" s="120"/>
    </row>
    <row r="18" spans="1:11" x14ac:dyDescent="0.35">
      <c r="A18" s="129" t="s">
        <v>555</v>
      </c>
      <c r="H18" s="120"/>
      <c r="I18" s="120"/>
      <c r="J18" s="120"/>
    </row>
    <row r="19" spans="1:11" hidden="1" outlineLevel="1" x14ac:dyDescent="0.35">
      <c r="A19" s="110" t="s">
        <v>536</v>
      </c>
      <c r="B19" s="111" t="s">
        <v>525</v>
      </c>
      <c r="C19" s="111"/>
      <c r="D19" s="111"/>
      <c r="E19" s="110"/>
      <c r="F19" s="110"/>
      <c r="G19" s="111" t="s">
        <v>526</v>
      </c>
      <c r="H19" s="111"/>
      <c r="I19" s="111"/>
      <c r="J19" s="112" t="s">
        <v>540</v>
      </c>
      <c r="K19" s="110"/>
    </row>
    <row r="20" spans="1:11" hidden="1" outlineLevel="1" x14ac:dyDescent="0.35">
      <c r="A20" s="110"/>
      <c r="B20" s="112" t="s">
        <v>537</v>
      </c>
      <c r="C20" s="112" t="s">
        <v>538</v>
      </c>
      <c r="D20" s="112" t="s">
        <v>539</v>
      </c>
      <c r="E20" s="113" t="s">
        <v>2</v>
      </c>
      <c r="F20" s="113" t="s">
        <v>542</v>
      </c>
      <c r="G20" s="112" t="s">
        <v>537</v>
      </c>
      <c r="H20" s="112" t="s">
        <v>538</v>
      </c>
      <c r="I20" s="112" t="s">
        <v>539</v>
      </c>
      <c r="J20" s="112"/>
      <c r="K20" s="110"/>
    </row>
    <row r="21" spans="1:11" hidden="1" outlineLevel="1" x14ac:dyDescent="0.35">
      <c r="A21" s="112">
        <v>2017</v>
      </c>
      <c r="B21" s="114">
        <v>90.31</v>
      </c>
      <c r="C21" s="114">
        <v>1933.1</v>
      </c>
      <c r="D21" s="114">
        <v>1174.8240000000001</v>
      </c>
      <c r="E21" s="115">
        <f>SUM(B21:D21)</f>
        <v>3198.2339999999999</v>
      </c>
      <c r="F21" s="116"/>
      <c r="G21" s="117">
        <f>B21/$E21</f>
        <v>2.8237458547435867E-2</v>
      </c>
      <c r="H21" s="117">
        <f t="shared" ref="H21:I21" si="1">C21/$E21</f>
        <v>0.60442731832630137</v>
      </c>
      <c r="I21" s="117">
        <f t="shared" si="1"/>
        <v>0.36733522312626282</v>
      </c>
      <c r="J21" s="117" t="e">
        <f>E21/F21</f>
        <v>#DIV/0!</v>
      </c>
      <c r="K21" s="110"/>
    </row>
    <row r="22" spans="1:11" hidden="1" outlineLevel="1" x14ac:dyDescent="0.35">
      <c r="A22" s="112">
        <v>2018</v>
      </c>
      <c r="B22" s="114">
        <f>1534281/1000</f>
        <v>1534.2809999999999</v>
      </c>
      <c r="C22" s="114">
        <f>10290610/1000</f>
        <v>10290.61</v>
      </c>
      <c r="D22" s="114">
        <f>6885838/1000</f>
        <v>6885.8379999999997</v>
      </c>
      <c r="E22" s="115">
        <f>SUM(B22:D22)</f>
        <v>18710.728999999999</v>
      </c>
      <c r="F22" s="115"/>
      <c r="G22" s="117">
        <f>B22/$E22</f>
        <v>8.2000065310122341E-2</v>
      </c>
      <c r="H22" s="117">
        <f t="shared" ref="H22" si="2">C22/$E22</f>
        <v>0.54998445009812291</v>
      </c>
      <c r="I22" s="117">
        <f t="shared" ref="I22" si="3">D22/$E22</f>
        <v>0.36801548459175482</v>
      </c>
      <c r="J22" s="117" t="e">
        <f>E22/F22</f>
        <v>#DIV/0!</v>
      </c>
      <c r="K22" s="110"/>
    </row>
    <row r="23" spans="1:11" hidden="1" outlineLevel="1" x14ac:dyDescent="0.35">
      <c r="A23" s="112">
        <v>2019</v>
      </c>
      <c r="B23" s="114">
        <v>1946.6949999999999</v>
      </c>
      <c r="C23" s="114">
        <v>11861</v>
      </c>
      <c r="D23" s="114">
        <v>7679.1559999999999</v>
      </c>
      <c r="E23" s="115">
        <f>SUM(B23:D23)</f>
        <v>21486.850999999999</v>
      </c>
      <c r="F23" s="118">
        <v>47711.402999999998</v>
      </c>
      <c r="G23" s="117">
        <f>B23/$E23</f>
        <v>9.0599362372829784E-2</v>
      </c>
      <c r="H23" s="117">
        <f t="shared" ref="H23" si="4">C23/$E23</f>
        <v>0.55201201888541052</v>
      </c>
      <c r="I23" s="117">
        <f t="shared" ref="I23" si="5">D23/$E23</f>
        <v>0.35738861874175981</v>
      </c>
      <c r="J23" s="117">
        <f>E23/F23</f>
        <v>0.45035043299816607</v>
      </c>
      <c r="K23" s="110"/>
    </row>
    <row r="24" spans="1:11" collapsed="1" x14ac:dyDescent="0.35">
      <c r="A24" t="s">
        <v>565</v>
      </c>
    </row>
    <row r="26" spans="1:11" x14ac:dyDescent="0.35">
      <c r="A26" s="107" t="s">
        <v>534</v>
      </c>
    </row>
    <row r="27" spans="1:11" x14ac:dyDescent="0.35">
      <c r="A27" t="s">
        <v>535</v>
      </c>
    </row>
    <row r="28" spans="1:11" x14ac:dyDescent="0.35">
      <c r="A28" s="85" t="s">
        <v>528</v>
      </c>
    </row>
    <row r="29" spans="1:11" x14ac:dyDescent="0.35">
      <c r="A29" s="85"/>
    </row>
    <row r="30" spans="1:11" x14ac:dyDescent="0.35">
      <c r="A30" s="107" t="s">
        <v>547</v>
      </c>
    </row>
    <row r="31" spans="1:11" x14ac:dyDescent="0.35">
      <c r="A31" t="s">
        <v>556</v>
      </c>
    </row>
    <row r="32" spans="1:11" x14ac:dyDescent="0.35">
      <c r="A32" s="85" t="s">
        <v>548</v>
      </c>
    </row>
  </sheetData>
  <mergeCells count="5">
    <mergeCell ref="B12:G12"/>
    <mergeCell ref="H12:J12"/>
    <mergeCell ref="B2:D2"/>
    <mergeCell ref="E2:G2"/>
    <mergeCell ref="B10:B11"/>
  </mergeCells>
  <hyperlinks>
    <hyperlink ref="A5" r:id="rId1" xr:uid="{AE7F990A-129C-475C-82C2-8F336D514849}"/>
    <hyperlink ref="A32" r:id="rId2" xr:uid="{AF5A9F05-FA44-427A-8B28-27BE0B8D8781}"/>
    <hyperlink ref="A17" r:id="rId3" xr:uid="{A395A381-BB43-45E4-97F7-529E5015178A}"/>
    <hyperlink ref="A18" r:id="rId4" xr:uid="{A0034D5A-45E8-435A-A1F9-905A15DFB25A}"/>
    <hyperlink ref="A28" r:id="rId5" xr:uid="{C2B8C23D-AFD7-4113-A262-F815FBF5C34D}"/>
  </hyperlinks>
  <pageMargins left="0.7" right="0.7" top="0.75" bottom="0.75" header="0.3" footer="0.3"/>
  <pageSetup paperSize="9" orientation="portrait" horizontalDpi="1200" verticalDpi="12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416C-78E3-4086-B663-E8A5028C949E}">
  <dimension ref="A1:F2"/>
  <sheetViews>
    <sheetView workbookViewId="0">
      <selection activeCell="F30" sqref="F30"/>
    </sheetView>
  </sheetViews>
  <sheetFormatPr defaultColWidth="10.6328125" defaultRowHeight="14.5" x14ac:dyDescent="0.35"/>
  <cols>
    <col min="1" max="6" width="16.81640625" customWidth="1"/>
  </cols>
  <sheetData>
    <row r="1" spans="1:6" s="94" customFormat="1" ht="43.5" x14ac:dyDescent="0.35">
      <c r="A1" s="93" t="s">
        <v>435</v>
      </c>
      <c r="B1" s="93" t="s">
        <v>436</v>
      </c>
      <c r="C1" s="93" t="s">
        <v>437</v>
      </c>
      <c r="D1" s="93" t="s">
        <v>438</v>
      </c>
      <c r="E1" s="93" t="s">
        <v>449</v>
      </c>
      <c r="F1" s="92" t="s">
        <v>451</v>
      </c>
    </row>
    <row r="2" spans="1:6" x14ac:dyDescent="0.35">
      <c r="A2" s="91">
        <v>0.17599999999999999</v>
      </c>
      <c r="B2" s="91">
        <v>0.48699999999999999</v>
      </c>
      <c r="C2" s="91">
        <v>0.03</v>
      </c>
      <c r="D2" s="91">
        <v>0.307</v>
      </c>
      <c r="E2" s="91">
        <v>0</v>
      </c>
      <c r="F2" s="103">
        <f>A2*'Energie KBOB'!$K$87+'Mesures d''encouragement'!B2*(('Données complémentaires'!$H$16+'Données complémentaires'!$I$16)*'Energie KBOB'!$K$96+'Données complémentaires'!$J$16*'Energie KBOB'!$K$97)+'Mesures d''encouragement'!C2*'Energie KBOB'!$K$95+'Mesures d''encouragement'!D2*('Données complémentaires'!$E$4*'Energie KBOB'!$K$83+'Données complémentaires'!$F$4*'Energie KBOB'!$K$82+'Données complémentaires'!$G$4*'Energie KBOB'!$K$86)+'Mesures d''encouragement'!E2*'Energie KBOB'!$K$98</f>
        <v>4.5107509869143511E-2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B935-AAF9-423C-9579-3FAEEEBFB02D}">
  <sheetPr codeName="Feuil2"/>
  <dimension ref="A1:U128"/>
  <sheetViews>
    <sheetView workbookViewId="0">
      <selection activeCell="M95" sqref="M95"/>
    </sheetView>
  </sheetViews>
  <sheetFormatPr defaultColWidth="11.453125" defaultRowHeight="13" outlineLevelRow="1" outlineLevelCol="1" x14ac:dyDescent="0.3"/>
  <cols>
    <col min="1" max="1" width="10.81640625" style="81" customWidth="1" collapsed="1"/>
    <col min="2" max="2" width="41.81640625" style="81" hidden="1" customWidth="1" outlineLevel="1"/>
    <col min="3" max="3" width="56.54296875" style="82" customWidth="1" collapsed="1"/>
    <col min="4" max="4" width="16.453125" style="83" customWidth="1"/>
    <col min="5" max="5" width="7.1796875" style="81" customWidth="1"/>
    <col min="6" max="6" width="18.81640625" style="81" customWidth="1"/>
    <col min="7" max="7" width="18.81640625" style="81" hidden="1" customWidth="1" outlineLevel="1"/>
    <col min="8" max="8" width="18.81640625" style="81" customWidth="1" collapsed="1"/>
    <col min="9" max="9" width="18.81640625" style="81" customWidth="1"/>
    <col min="10" max="10" width="18.81640625" style="81" hidden="1" customWidth="1" outlineLevel="1"/>
    <col min="11" max="11" width="18.81640625" style="81" customWidth="1" collapsed="1"/>
    <col min="12" max="12" width="18.81640625" style="83" customWidth="1" collapsed="1"/>
    <col min="13" max="13" width="65.81640625" style="84" customWidth="1"/>
    <col min="14" max="14" width="11.453125" style="81"/>
    <col min="15" max="15" width="63" style="81" customWidth="1"/>
    <col min="16" max="16384" width="11.453125" style="81"/>
  </cols>
  <sheetData>
    <row r="1" spans="1:21" s="8" customFormat="1" ht="19.5" customHeight="1" thickBot="1" x14ac:dyDescent="0.4">
      <c r="A1" s="1"/>
      <c r="B1" s="2"/>
      <c r="C1" s="3" t="s">
        <v>9</v>
      </c>
      <c r="D1" s="4"/>
      <c r="E1" s="4"/>
      <c r="F1" s="4"/>
      <c r="G1" s="5"/>
      <c r="H1" s="5" t="s">
        <v>10</v>
      </c>
      <c r="I1" s="2"/>
      <c r="J1" s="2"/>
      <c r="K1" s="2"/>
      <c r="L1" s="6"/>
      <c r="M1" s="7" t="s">
        <v>11</v>
      </c>
    </row>
    <row r="2" spans="1:21" s="13" customFormat="1" ht="14.25" customHeight="1" x14ac:dyDescent="0.35">
      <c r="A2" s="9"/>
      <c r="B2" s="10"/>
      <c r="C2" s="155"/>
      <c r="D2" s="156"/>
      <c r="E2" s="156"/>
      <c r="F2" s="156"/>
      <c r="G2" s="10"/>
      <c r="H2" s="10"/>
      <c r="I2" s="10"/>
      <c r="J2" s="10"/>
      <c r="K2" s="10"/>
      <c r="L2" s="11"/>
      <c r="M2" s="12"/>
    </row>
    <row r="3" spans="1:21" s="15" customFormat="1" ht="12.75" hidden="1" customHeight="1" outlineLevel="1" x14ac:dyDescent="0.35">
      <c r="A3" s="14"/>
      <c r="C3" s="16" t="s">
        <v>12</v>
      </c>
      <c r="D3" s="17"/>
      <c r="E3" s="17" t="s">
        <v>12</v>
      </c>
      <c r="F3" s="17" t="s">
        <v>13</v>
      </c>
      <c r="G3" s="17" t="s">
        <v>14</v>
      </c>
      <c r="H3" s="17" t="s">
        <v>15</v>
      </c>
      <c r="I3" s="17" t="s">
        <v>16</v>
      </c>
      <c r="J3" s="17" t="s">
        <v>17</v>
      </c>
      <c r="K3" s="17" t="s">
        <v>18</v>
      </c>
      <c r="L3" s="17"/>
      <c r="M3" s="18" t="s">
        <v>12</v>
      </c>
    </row>
    <row r="4" spans="1:21" s="15" customFormat="1" ht="25.5" customHeight="1" collapsed="1" x14ac:dyDescent="0.35">
      <c r="A4" s="19" t="s">
        <v>19</v>
      </c>
      <c r="B4" s="19" t="s">
        <v>20</v>
      </c>
      <c r="C4" s="157" t="s">
        <v>21</v>
      </c>
      <c r="D4" s="159" t="s">
        <v>22</v>
      </c>
      <c r="E4" s="160"/>
      <c r="F4" s="20" t="s">
        <v>23</v>
      </c>
      <c r="G4" s="161" t="s">
        <v>24</v>
      </c>
      <c r="H4" s="162"/>
      <c r="I4" s="162"/>
      <c r="J4" s="163"/>
      <c r="K4" s="21" t="s">
        <v>25</v>
      </c>
      <c r="L4" s="22" t="s">
        <v>26</v>
      </c>
      <c r="M4" s="164" t="s">
        <v>21</v>
      </c>
    </row>
    <row r="5" spans="1:21" s="15" customFormat="1" ht="14.25" customHeight="1" x14ac:dyDescent="0.35">
      <c r="A5" s="166" t="s">
        <v>27</v>
      </c>
      <c r="B5" s="23"/>
      <c r="C5" s="158"/>
      <c r="D5" s="21"/>
      <c r="E5" s="24"/>
      <c r="F5" s="25"/>
      <c r="G5" s="26" t="s">
        <v>28</v>
      </c>
      <c r="H5" s="26" t="s">
        <v>29</v>
      </c>
      <c r="I5" s="27" t="s">
        <v>30</v>
      </c>
      <c r="J5" s="27" t="s">
        <v>31</v>
      </c>
      <c r="K5" s="26" t="s">
        <v>32</v>
      </c>
      <c r="L5" s="21"/>
      <c r="M5" s="165"/>
    </row>
    <row r="6" spans="1:21" s="15" customFormat="1" ht="12.75" customHeight="1" x14ac:dyDescent="0.35">
      <c r="A6" s="167"/>
      <c r="B6" s="28"/>
      <c r="C6" s="158"/>
      <c r="D6" s="26" t="s">
        <v>33</v>
      </c>
      <c r="E6" s="29"/>
      <c r="F6" s="25"/>
      <c r="G6" s="26" t="s">
        <v>34</v>
      </c>
      <c r="H6" s="26" t="s">
        <v>35</v>
      </c>
      <c r="I6" s="27" t="s">
        <v>36</v>
      </c>
      <c r="J6" s="27" t="s">
        <v>37</v>
      </c>
      <c r="K6" s="26" t="s">
        <v>38</v>
      </c>
      <c r="L6" s="26" t="s">
        <v>39</v>
      </c>
      <c r="M6" s="165"/>
    </row>
    <row r="7" spans="1:21" s="39" customFormat="1" ht="23" x14ac:dyDescent="0.35">
      <c r="A7" s="30"/>
      <c r="B7" s="30"/>
      <c r="C7" s="31"/>
      <c r="D7" s="32"/>
      <c r="E7" s="33" t="s">
        <v>40</v>
      </c>
      <c r="F7" s="34" t="s">
        <v>13</v>
      </c>
      <c r="G7" s="35" t="s">
        <v>41</v>
      </c>
      <c r="H7" s="35" t="s">
        <v>41</v>
      </c>
      <c r="I7" s="35" t="s">
        <v>41</v>
      </c>
      <c r="J7" s="35" t="s">
        <v>41</v>
      </c>
      <c r="K7" s="36" t="s">
        <v>42</v>
      </c>
      <c r="L7" s="37"/>
      <c r="M7" s="38"/>
      <c r="U7" s="15"/>
    </row>
    <row r="8" spans="1:21" s="15" customFormat="1" ht="15.75" customHeight="1" x14ac:dyDescent="0.35">
      <c r="A8" s="40" t="s">
        <v>43</v>
      </c>
      <c r="B8" s="40"/>
      <c r="C8" s="41" t="s">
        <v>44</v>
      </c>
      <c r="D8" s="42"/>
      <c r="E8" s="43"/>
      <c r="F8" s="43"/>
      <c r="G8" s="43"/>
      <c r="H8" s="43"/>
      <c r="I8" s="44"/>
      <c r="J8" s="44"/>
      <c r="K8" s="43"/>
      <c r="L8" s="42"/>
      <c r="M8" s="45" t="s">
        <v>45</v>
      </c>
      <c r="N8" s="46"/>
      <c r="O8" s="46"/>
      <c r="P8" s="46"/>
      <c r="Q8" s="46"/>
      <c r="R8" s="46"/>
      <c r="S8" s="46"/>
      <c r="T8" s="46"/>
      <c r="U8" s="46"/>
    </row>
    <row r="9" spans="1:21" s="15" customFormat="1" ht="15.75" customHeight="1" x14ac:dyDescent="0.35">
      <c r="A9" s="47" t="s">
        <v>46</v>
      </c>
      <c r="B9" s="48" t="s">
        <v>47</v>
      </c>
      <c r="C9" s="49" t="s">
        <v>48</v>
      </c>
      <c r="D9" s="50" t="s">
        <v>49</v>
      </c>
      <c r="E9" s="50" t="s">
        <v>50</v>
      </c>
      <c r="F9" s="51">
        <v>409</v>
      </c>
      <c r="G9" s="52">
        <v>1.27</v>
      </c>
      <c r="H9" s="52">
        <v>1.3599999999999999E-2</v>
      </c>
      <c r="I9" s="52">
        <v>1.25</v>
      </c>
      <c r="J9" s="52">
        <v>0</v>
      </c>
      <c r="K9" s="52">
        <v>0.32400000000000001</v>
      </c>
      <c r="L9" s="53" t="s">
        <v>51</v>
      </c>
      <c r="M9" s="54" t="s">
        <v>52</v>
      </c>
    </row>
    <row r="10" spans="1:21" s="15" customFormat="1" ht="15.75" customHeight="1" x14ac:dyDescent="0.35">
      <c r="A10" s="47" t="s">
        <v>53</v>
      </c>
      <c r="B10" s="48" t="s">
        <v>54</v>
      </c>
      <c r="C10" s="49" t="s">
        <v>55</v>
      </c>
      <c r="D10" s="50" t="s">
        <v>49</v>
      </c>
      <c r="E10" s="50" t="s">
        <v>50</v>
      </c>
      <c r="F10" s="55">
        <v>274</v>
      </c>
      <c r="G10" s="56">
        <v>1.05</v>
      </c>
      <c r="H10" s="56">
        <v>2.9199999999999999E-3</v>
      </c>
      <c r="I10" s="56">
        <v>1.05</v>
      </c>
      <c r="J10" s="56">
        <v>0</v>
      </c>
      <c r="K10" s="56">
        <v>0.23</v>
      </c>
      <c r="L10" s="53" t="s">
        <v>51</v>
      </c>
      <c r="M10" s="54" t="s">
        <v>56</v>
      </c>
    </row>
    <row r="11" spans="1:21" s="15" customFormat="1" ht="15.75" customHeight="1" x14ac:dyDescent="0.35">
      <c r="A11" s="47" t="s">
        <v>57</v>
      </c>
      <c r="B11" s="48" t="s">
        <v>58</v>
      </c>
      <c r="C11" s="49" t="s">
        <v>59</v>
      </c>
      <c r="D11" s="50" t="s">
        <v>49</v>
      </c>
      <c r="E11" s="50" t="s">
        <v>50</v>
      </c>
      <c r="F11" s="51">
        <v>368</v>
      </c>
      <c r="G11" s="52">
        <v>1.22</v>
      </c>
      <c r="H11" s="52">
        <v>5.7000000000000002E-3</v>
      </c>
      <c r="I11" s="52">
        <v>1.21</v>
      </c>
      <c r="J11" s="52">
        <v>0</v>
      </c>
      <c r="K11" s="52">
        <v>0.29299999999999998</v>
      </c>
      <c r="L11" s="53" t="s">
        <v>51</v>
      </c>
      <c r="M11" s="54" t="s">
        <v>60</v>
      </c>
      <c r="N11" s="39"/>
    </row>
    <row r="12" spans="1:21" s="15" customFormat="1" ht="15.75" customHeight="1" x14ac:dyDescent="0.35">
      <c r="A12" s="47" t="s">
        <v>61</v>
      </c>
      <c r="B12" s="48" t="s">
        <v>62</v>
      </c>
      <c r="C12" s="49" t="s">
        <v>63</v>
      </c>
      <c r="D12" s="50" t="s">
        <v>49</v>
      </c>
      <c r="E12" s="50" t="s">
        <v>50</v>
      </c>
      <c r="F12" s="51">
        <v>597</v>
      </c>
      <c r="G12" s="52">
        <v>1.45</v>
      </c>
      <c r="H12" s="52">
        <v>1.43E-2</v>
      </c>
      <c r="I12" s="52">
        <v>1.43</v>
      </c>
      <c r="J12" s="52">
        <v>0</v>
      </c>
      <c r="K12" s="52">
        <v>0.435</v>
      </c>
      <c r="L12" s="53" t="s">
        <v>51</v>
      </c>
      <c r="M12" s="54" t="s">
        <v>64</v>
      </c>
      <c r="N12" s="39"/>
    </row>
    <row r="13" spans="1:21" s="15" customFormat="1" ht="15.75" customHeight="1" x14ac:dyDescent="0.35">
      <c r="A13" s="47" t="s">
        <v>65</v>
      </c>
      <c r="B13" s="48" t="s">
        <v>66</v>
      </c>
      <c r="C13" s="49" t="s">
        <v>67</v>
      </c>
      <c r="D13" s="50" t="s">
        <v>49</v>
      </c>
      <c r="E13" s="50" t="s">
        <v>50</v>
      </c>
      <c r="F13" s="51">
        <v>726</v>
      </c>
      <c r="G13" s="52">
        <v>1.18</v>
      </c>
      <c r="H13" s="52">
        <v>9.3200000000000002E-3</v>
      </c>
      <c r="I13" s="52">
        <v>1.18</v>
      </c>
      <c r="J13" s="52">
        <v>0</v>
      </c>
      <c r="K13" s="52">
        <v>0.39800000000000002</v>
      </c>
      <c r="L13" s="53" t="s">
        <v>51</v>
      </c>
      <c r="M13" s="54" t="s">
        <v>68</v>
      </c>
      <c r="N13" s="39"/>
    </row>
    <row r="14" spans="1:21" s="15" customFormat="1" ht="15.75" customHeight="1" x14ac:dyDescent="0.35">
      <c r="A14" s="47" t="s">
        <v>69</v>
      </c>
      <c r="B14" s="48" t="s">
        <v>70</v>
      </c>
      <c r="C14" s="49" t="s">
        <v>71</v>
      </c>
      <c r="D14" s="50" t="s">
        <v>49</v>
      </c>
      <c r="E14" s="50" t="s">
        <v>50</v>
      </c>
      <c r="F14" s="55">
        <v>175</v>
      </c>
      <c r="G14" s="56">
        <v>1.05</v>
      </c>
      <c r="H14" s="56">
        <v>1.01</v>
      </c>
      <c r="I14" s="56">
        <v>4.3900000000000002E-2</v>
      </c>
      <c r="J14" s="56">
        <v>0</v>
      </c>
      <c r="K14" s="56">
        <v>2.3099999999999999E-2</v>
      </c>
      <c r="L14" s="53" t="s">
        <v>51</v>
      </c>
      <c r="M14" s="54" t="s">
        <v>72</v>
      </c>
      <c r="N14" s="39"/>
    </row>
    <row r="15" spans="1:21" s="15" customFormat="1" ht="15.75" customHeight="1" outlineLevel="1" x14ac:dyDescent="0.35">
      <c r="A15" s="47" t="s">
        <v>73</v>
      </c>
      <c r="B15" s="48" t="s">
        <v>74</v>
      </c>
      <c r="C15" s="49" t="s">
        <v>75</v>
      </c>
      <c r="D15" s="50" t="s">
        <v>49</v>
      </c>
      <c r="E15" s="50" t="s">
        <v>50</v>
      </c>
      <c r="F15" s="55">
        <v>175</v>
      </c>
      <c r="G15" s="56">
        <v>1.05</v>
      </c>
      <c r="H15" s="56">
        <v>1.01</v>
      </c>
      <c r="I15" s="56">
        <v>4.3900000000000002E-2</v>
      </c>
      <c r="J15" s="56">
        <v>0</v>
      </c>
      <c r="K15" s="56">
        <v>2.3099999999999999E-2</v>
      </c>
      <c r="L15" s="53" t="s">
        <v>51</v>
      </c>
      <c r="M15" s="54" t="s">
        <v>76</v>
      </c>
      <c r="N15" s="39"/>
    </row>
    <row r="16" spans="1:21" s="15" customFormat="1" ht="15.75" customHeight="1" x14ac:dyDescent="0.35">
      <c r="A16" s="47" t="s">
        <v>77</v>
      </c>
      <c r="B16" s="48" t="s">
        <v>78</v>
      </c>
      <c r="C16" s="49" t="s">
        <v>79</v>
      </c>
      <c r="D16" s="50" t="s">
        <v>49</v>
      </c>
      <c r="E16" s="50" t="s">
        <v>50</v>
      </c>
      <c r="F16" s="55">
        <v>115</v>
      </c>
      <c r="G16" s="56">
        <v>1.06</v>
      </c>
      <c r="H16" s="56">
        <v>1.03</v>
      </c>
      <c r="I16" s="56">
        <v>3.0800000000000001E-2</v>
      </c>
      <c r="J16" s="56">
        <v>0</v>
      </c>
      <c r="K16" s="56">
        <v>1.0699999999999999E-2</v>
      </c>
      <c r="L16" s="53" t="s">
        <v>51</v>
      </c>
      <c r="M16" s="54" t="s">
        <v>80</v>
      </c>
      <c r="N16" s="39"/>
    </row>
    <row r="17" spans="1:14" s="15" customFormat="1" ht="15.75" customHeight="1" outlineLevel="1" x14ac:dyDescent="0.35">
      <c r="A17" s="47" t="s">
        <v>81</v>
      </c>
      <c r="B17" s="48" t="s">
        <v>82</v>
      </c>
      <c r="C17" s="49" t="s">
        <v>83</v>
      </c>
      <c r="D17" s="50" t="s">
        <v>49</v>
      </c>
      <c r="E17" s="50" t="s">
        <v>50</v>
      </c>
      <c r="F17" s="55">
        <v>115</v>
      </c>
      <c r="G17" s="56">
        <v>1.06</v>
      </c>
      <c r="H17" s="56">
        <v>1.03</v>
      </c>
      <c r="I17" s="56">
        <v>3.0800000000000001E-2</v>
      </c>
      <c r="J17" s="56">
        <v>0</v>
      </c>
      <c r="K17" s="56">
        <v>1.0699999999999999E-2</v>
      </c>
      <c r="L17" s="53" t="s">
        <v>51</v>
      </c>
      <c r="M17" s="54" t="s">
        <v>84</v>
      </c>
      <c r="N17" s="39"/>
    </row>
    <row r="18" spans="1:14" s="15" customFormat="1" ht="15.75" customHeight="1" x14ac:dyDescent="0.35">
      <c r="A18" s="47" t="s">
        <v>85</v>
      </c>
      <c r="B18" s="48" t="s">
        <v>86</v>
      </c>
      <c r="C18" s="49" t="s">
        <v>87</v>
      </c>
      <c r="D18" s="50" t="s">
        <v>49</v>
      </c>
      <c r="E18" s="50" t="s">
        <v>50</v>
      </c>
      <c r="F18" s="55">
        <v>111</v>
      </c>
      <c r="G18" s="56">
        <v>1.18</v>
      </c>
      <c r="H18" s="56">
        <v>1.05</v>
      </c>
      <c r="I18" s="56">
        <v>0.128</v>
      </c>
      <c r="J18" s="56">
        <v>0</v>
      </c>
      <c r="K18" s="56">
        <v>2.7799999999999998E-2</v>
      </c>
      <c r="L18" s="53" t="s">
        <v>51</v>
      </c>
      <c r="M18" s="54" t="s">
        <v>88</v>
      </c>
      <c r="N18" s="39"/>
    </row>
    <row r="19" spans="1:14" s="15" customFormat="1" ht="15.75" customHeight="1" outlineLevel="1" x14ac:dyDescent="0.35">
      <c r="A19" s="47" t="s">
        <v>89</v>
      </c>
      <c r="B19" s="48" t="s">
        <v>90</v>
      </c>
      <c r="C19" s="49" t="s">
        <v>91</v>
      </c>
      <c r="D19" s="50" t="s">
        <v>49</v>
      </c>
      <c r="E19" s="50" t="s">
        <v>50</v>
      </c>
      <c r="F19" s="55">
        <v>111</v>
      </c>
      <c r="G19" s="56">
        <v>1.18</v>
      </c>
      <c r="H19" s="56">
        <v>1.05</v>
      </c>
      <c r="I19" s="56">
        <v>0.128</v>
      </c>
      <c r="J19" s="56">
        <v>0</v>
      </c>
      <c r="K19" s="56">
        <v>2.7799999999999998E-2</v>
      </c>
      <c r="L19" s="53" t="s">
        <v>51</v>
      </c>
      <c r="M19" s="54" t="s">
        <v>92</v>
      </c>
      <c r="N19" s="39"/>
    </row>
    <row r="20" spans="1:14" s="15" customFormat="1" ht="15.75" customHeight="1" x14ac:dyDescent="0.35">
      <c r="A20" s="47" t="s">
        <v>93</v>
      </c>
      <c r="B20" s="48" t="s">
        <v>94</v>
      </c>
      <c r="C20" s="49" t="s">
        <v>95</v>
      </c>
      <c r="D20" s="50" t="s">
        <v>49</v>
      </c>
      <c r="E20" s="50" t="s">
        <v>50</v>
      </c>
      <c r="F20" s="55">
        <v>155</v>
      </c>
      <c r="G20" s="56">
        <v>0.32100000000000001</v>
      </c>
      <c r="H20" s="56">
        <v>2.8299999999999999E-2</v>
      </c>
      <c r="I20" s="56">
        <v>0.29299999999999998</v>
      </c>
      <c r="J20" s="56">
        <v>0</v>
      </c>
      <c r="K20" s="56">
        <v>0.124</v>
      </c>
      <c r="L20" s="53" t="s">
        <v>51</v>
      </c>
      <c r="M20" s="54" t="s">
        <v>96</v>
      </c>
      <c r="N20" s="39"/>
    </row>
    <row r="21" spans="1:14" s="15" customFormat="1" ht="15.65" customHeight="1" x14ac:dyDescent="0.35">
      <c r="A21" s="47"/>
      <c r="B21" s="57"/>
      <c r="C21" s="49" t="s">
        <v>97</v>
      </c>
      <c r="D21" s="50"/>
      <c r="E21" s="50"/>
      <c r="F21" s="51"/>
      <c r="G21" s="52"/>
      <c r="H21" s="52"/>
      <c r="I21" s="52"/>
      <c r="J21" s="52"/>
      <c r="K21" s="52"/>
      <c r="L21" s="53"/>
      <c r="M21" s="54" t="s">
        <v>98</v>
      </c>
      <c r="N21" s="39"/>
    </row>
    <row r="22" spans="1:14" s="15" customFormat="1" ht="15.75" customHeight="1" x14ac:dyDescent="0.35">
      <c r="A22" s="40" t="s">
        <v>99</v>
      </c>
      <c r="B22" s="58"/>
      <c r="C22" s="41" t="s">
        <v>100</v>
      </c>
      <c r="D22" s="42"/>
      <c r="E22" s="59" t="s">
        <v>12</v>
      </c>
      <c r="F22" s="60"/>
      <c r="G22" s="60"/>
      <c r="H22" s="60"/>
      <c r="I22" s="60"/>
      <c r="J22" s="60"/>
      <c r="K22" s="60"/>
      <c r="L22" s="61"/>
      <c r="M22" s="45" t="s">
        <v>101</v>
      </c>
      <c r="N22" s="39"/>
    </row>
    <row r="23" spans="1:14" s="67" customFormat="1" ht="15.75" customHeight="1" x14ac:dyDescent="0.35">
      <c r="A23" s="57" t="s">
        <v>102</v>
      </c>
      <c r="B23" s="48" t="s">
        <v>103</v>
      </c>
      <c r="C23" s="62" t="s">
        <v>104</v>
      </c>
      <c r="D23" s="63" t="s">
        <v>49</v>
      </c>
      <c r="E23" s="63" t="s">
        <v>50</v>
      </c>
      <c r="F23" s="55">
        <v>13.7</v>
      </c>
      <c r="G23" s="56">
        <v>6.9599999999999995E-2</v>
      </c>
      <c r="H23" s="56">
        <v>1.0699999999999999E-2</v>
      </c>
      <c r="I23" s="56">
        <v>5.8799999999999998E-2</v>
      </c>
      <c r="J23" s="56">
        <v>0</v>
      </c>
      <c r="K23" s="56">
        <v>3.3999999999999998E-3</v>
      </c>
      <c r="L23" s="64" t="s">
        <v>51</v>
      </c>
      <c r="M23" s="65"/>
      <c r="N23" s="66"/>
    </row>
    <row r="24" spans="1:14" s="15" customFormat="1" ht="15.75" customHeight="1" x14ac:dyDescent="0.35">
      <c r="A24" s="47" t="s">
        <v>105</v>
      </c>
      <c r="B24" s="48" t="s">
        <v>106</v>
      </c>
      <c r="C24" s="49" t="s">
        <v>107</v>
      </c>
      <c r="D24" s="50" t="s">
        <v>49</v>
      </c>
      <c r="E24" s="50" t="s">
        <v>50</v>
      </c>
      <c r="F24" s="55">
        <v>509</v>
      </c>
      <c r="G24" s="56">
        <v>1.58</v>
      </c>
      <c r="H24" s="56">
        <v>2.12E-2</v>
      </c>
      <c r="I24" s="56">
        <v>1.56</v>
      </c>
      <c r="J24" s="56">
        <v>0</v>
      </c>
      <c r="K24" s="56">
        <v>0.40200000000000002</v>
      </c>
      <c r="L24" s="53" t="s">
        <v>51</v>
      </c>
      <c r="M24" s="54" t="s">
        <v>108</v>
      </c>
      <c r="N24" s="39"/>
    </row>
    <row r="25" spans="1:14" s="15" customFormat="1" ht="15.75" customHeight="1" x14ac:dyDescent="0.35">
      <c r="A25" s="47" t="s">
        <v>109</v>
      </c>
      <c r="B25" s="48" t="s">
        <v>110</v>
      </c>
      <c r="C25" s="49" t="s">
        <v>111</v>
      </c>
      <c r="D25" s="50" t="s">
        <v>49</v>
      </c>
      <c r="E25" s="50" t="s">
        <v>50</v>
      </c>
      <c r="F25" s="55">
        <v>365</v>
      </c>
      <c r="G25" s="56">
        <v>1.41</v>
      </c>
      <c r="H25" s="56">
        <v>1.4500000000000001E-2</v>
      </c>
      <c r="I25" s="56">
        <v>1.4</v>
      </c>
      <c r="J25" s="56">
        <v>0</v>
      </c>
      <c r="K25" s="56">
        <v>0.30199999999999999</v>
      </c>
      <c r="L25" s="53" t="s">
        <v>51</v>
      </c>
      <c r="M25" s="54" t="s">
        <v>112</v>
      </c>
      <c r="N25" s="39"/>
    </row>
    <row r="26" spans="1:14" s="15" customFormat="1" ht="15.75" customHeight="1" x14ac:dyDescent="0.35">
      <c r="A26" s="47" t="s">
        <v>113</v>
      </c>
      <c r="B26" s="48" t="s">
        <v>114</v>
      </c>
      <c r="C26" s="49" t="s">
        <v>115</v>
      </c>
      <c r="D26" s="50" t="s">
        <v>49</v>
      </c>
      <c r="E26" s="50" t="s">
        <v>50</v>
      </c>
      <c r="F26" s="55">
        <v>165</v>
      </c>
      <c r="G26" s="56">
        <v>1.61</v>
      </c>
      <c r="H26" s="56">
        <v>1.46</v>
      </c>
      <c r="I26" s="56">
        <v>0.14499999999999999</v>
      </c>
      <c r="J26" s="56">
        <v>0</v>
      </c>
      <c r="K26" s="56">
        <v>2.46E-2</v>
      </c>
      <c r="L26" s="53" t="s">
        <v>51</v>
      </c>
      <c r="M26" s="54" t="s">
        <v>116</v>
      </c>
      <c r="N26" s="39"/>
    </row>
    <row r="27" spans="1:14" s="15" customFormat="1" ht="15.75" customHeight="1" x14ac:dyDescent="0.35">
      <c r="A27" s="47" t="s">
        <v>117</v>
      </c>
      <c r="B27" s="48" t="s">
        <v>118</v>
      </c>
      <c r="C27" s="49" t="s">
        <v>119</v>
      </c>
      <c r="D27" s="50" t="s">
        <v>49</v>
      </c>
      <c r="E27" s="50" t="s">
        <v>50</v>
      </c>
      <c r="F27" s="55">
        <v>82.8</v>
      </c>
      <c r="G27" s="56">
        <v>1.31</v>
      </c>
      <c r="H27" s="56">
        <v>1.19</v>
      </c>
      <c r="I27" s="56">
        <v>0.111</v>
      </c>
      <c r="J27" s="56">
        <v>0</v>
      </c>
      <c r="K27" s="56">
        <v>2.1999999999999999E-2</v>
      </c>
      <c r="L27" s="53" t="s">
        <v>51</v>
      </c>
      <c r="M27" s="54" t="s">
        <v>120</v>
      </c>
      <c r="N27" s="39"/>
    </row>
    <row r="28" spans="1:14" s="15" customFormat="1" ht="15.75" customHeight="1" x14ac:dyDescent="0.35">
      <c r="A28" s="47" t="s">
        <v>121</v>
      </c>
      <c r="B28" s="48" t="s">
        <v>122</v>
      </c>
      <c r="C28" s="62" t="s">
        <v>123</v>
      </c>
      <c r="D28" s="50" t="s">
        <v>49</v>
      </c>
      <c r="E28" s="50" t="s">
        <v>50</v>
      </c>
      <c r="F28" s="55">
        <v>176</v>
      </c>
      <c r="G28" s="56">
        <v>0.874</v>
      </c>
      <c r="H28" s="56">
        <v>0.183</v>
      </c>
      <c r="I28" s="56">
        <v>0.69099999999999995</v>
      </c>
      <c r="J28" s="56">
        <v>0</v>
      </c>
      <c r="K28" s="56">
        <v>4.6100000000000002E-2</v>
      </c>
      <c r="L28" s="53" t="s">
        <v>51</v>
      </c>
      <c r="M28" s="54" t="s">
        <v>124</v>
      </c>
      <c r="N28" s="39"/>
    </row>
    <row r="29" spans="1:14" s="15" customFormat="1" ht="15.75" customHeight="1" x14ac:dyDescent="0.35">
      <c r="A29" s="47" t="s">
        <v>125</v>
      </c>
      <c r="B29" s="48" t="s">
        <v>126</v>
      </c>
      <c r="C29" s="62" t="s">
        <v>127</v>
      </c>
      <c r="D29" s="50" t="s">
        <v>49</v>
      </c>
      <c r="E29" s="50" t="s">
        <v>50</v>
      </c>
      <c r="F29" s="55">
        <v>208</v>
      </c>
      <c r="G29" s="56">
        <v>1.1200000000000001</v>
      </c>
      <c r="H29" s="56">
        <v>0.32600000000000001</v>
      </c>
      <c r="I29" s="56">
        <v>0.79500000000000004</v>
      </c>
      <c r="J29" s="56">
        <v>0</v>
      </c>
      <c r="K29" s="56">
        <v>5.6099999999999997E-2</v>
      </c>
      <c r="L29" s="53" t="s">
        <v>51</v>
      </c>
      <c r="M29" s="54" t="s">
        <v>128</v>
      </c>
      <c r="N29" s="39"/>
    </row>
    <row r="30" spans="1:14" s="15" customFormat="1" ht="15.75" customHeight="1" x14ac:dyDescent="0.35">
      <c r="A30" s="47" t="s">
        <v>129</v>
      </c>
      <c r="B30" s="48" t="s">
        <v>130</v>
      </c>
      <c r="C30" s="62" t="s">
        <v>131</v>
      </c>
      <c r="D30" s="50" t="s">
        <v>49</v>
      </c>
      <c r="E30" s="50" t="s">
        <v>50</v>
      </c>
      <c r="F30" s="55">
        <v>225</v>
      </c>
      <c r="G30" s="56">
        <v>1.1599999999999999</v>
      </c>
      <c r="H30" s="56">
        <v>0.32700000000000001</v>
      </c>
      <c r="I30" s="56">
        <v>0.82899999999999996</v>
      </c>
      <c r="J30" s="56">
        <v>0</v>
      </c>
      <c r="K30" s="56">
        <v>6.4199999999999993E-2</v>
      </c>
      <c r="L30" s="53" t="s">
        <v>51</v>
      </c>
      <c r="M30" s="54" t="s">
        <v>132</v>
      </c>
      <c r="N30" s="39"/>
    </row>
    <row r="31" spans="1:14" s="15" customFormat="1" ht="15.75" customHeight="1" x14ac:dyDescent="0.35">
      <c r="A31" s="47" t="s">
        <v>133</v>
      </c>
      <c r="B31" s="48" t="s">
        <v>134</v>
      </c>
      <c r="C31" s="49" t="s">
        <v>135</v>
      </c>
      <c r="D31" s="50" t="s">
        <v>49</v>
      </c>
      <c r="E31" s="50" t="s">
        <v>50</v>
      </c>
      <c r="F31" s="51">
        <v>88.5</v>
      </c>
      <c r="G31" s="52">
        <v>1.41</v>
      </c>
      <c r="H31" s="52">
        <v>1.26</v>
      </c>
      <c r="I31" s="52">
        <v>0.14599999999999999</v>
      </c>
      <c r="J31" s="52">
        <v>0</v>
      </c>
      <c r="K31" s="52">
        <v>0.02</v>
      </c>
      <c r="L31" s="53" t="s">
        <v>51</v>
      </c>
      <c r="M31" s="54" t="s">
        <v>136</v>
      </c>
      <c r="N31" s="39"/>
    </row>
    <row r="32" spans="1:14" s="15" customFormat="1" ht="15.75" customHeight="1" x14ac:dyDescent="0.35">
      <c r="A32" s="47" t="s">
        <v>137</v>
      </c>
      <c r="B32" s="48" t="s">
        <v>138</v>
      </c>
      <c r="C32" s="49" t="s">
        <v>139</v>
      </c>
      <c r="D32" s="50" t="s">
        <v>49</v>
      </c>
      <c r="E32" s="50" t="s">
        <v>50</v>
      </c>
      <c r="F32" s="51">
        <v>63.2</v>
      </c>
      <c r="G32" s="52">
        <v>0.54400000000000004</v>
      </c>
      <c r="H32" s="52">
        <v>0.432</v>
      </c>
      <c r="I32" s="52">
        <v>0.112</v>
      </c>
      <c r="J32" s="52">
        <v>0</v>
      </c>
      <c r="K32" s="52">
        <v>1.4500000000000001E-2</v>
      </c>
      <c r="L32" s="53" t="s">
        <v>51</v>
      </c>
      <c r="M32" s="54" t="s">
        <v>140</v>
      </c>
      <c r="N32" s="39"/>
    </row>
    <row r="33" spans="1:14" s="15" customFormat="1" ht="15.75" customHeight="1" x14ac:dyDescent="0.35">
      <c r="A33" s="47" t="s">
        <v>141</v>
      </c>
      <c r="B33" s="48" t="s">
        <v>142</v>
      </c>
      <c r="C33" s="49" t="s">
        <v>143</v>
      </c>
      <c r="D33" s="50" t="s">
        <v>49</v>
      </c>
      <c r="E33" s="50" t="s">
        <v>50</v>
      </c>
      <c r="F33" s="55">
        <v>11.4</v>
      </c>
      <c r="G33" s="56">
        <v>5.3100000000000001E-2</v>
      </c>
      <c r="H33" s="56">
        <v>1.0699999999999999E-2</v>
      </c>
      <c r="I33" s="56">
        <v>4.24E-2</v>
      </c>
      <c r="J33" s="56">
        <v>0</v>
      </c>
      <c r="K33" s="56">
        <v>3.3400000000000001E-3</v>
      </c>
      <c r="L33" s="53" t="s">
        <v>51</v>
      </c>
      <c r="M33" s="54" t="s">
        <v>144</v>
      </c>
      <c r="N33" s="39"/>
    </row>
    <row r="34" spans="1:14" s="15" customFormat="1" ht="15.75" customHeight="1" x14ac:dyDescent="0.35">
      <c r="A34" s="47" t="s">
        <v>145</v>
      </c>
      <c r="B34" s="48" t="s">
        <v>146</v>
      </c>
      <c r="C34" s="49" t="s">
        <v>147</v>
      </c>
      <c r="D34" s="50" t="s">
        <v>49</v>
      </c>
      <c r="E34" s="50" t="s">
        <v>50</v>
      </c>
      <c r="F34" s="55">
        <v>184</v>
      </c>
      <c r="G34" s="56">
        <v>0.54800000000000004</v>
      </c>
      <c r="H34" s="56">
        <v>1.34E-2</v>
      </c>
      <c r="I34" s="56">
        <v>0.53400000000000003</v>
      </c>
      <c r="J34" s="56">
        <v>0</v>
      </c>
      <c r="K34" s="56">
        <v>0.13100000000000001</v>
      </c>
      <c r="L34" s="53" t="s">
        <v>51</v>
      </c>
      <c r="M34" s="54" t="s">
        <v>148</v>
      </c>
      <c r="N34" s="39"/>
    </row>
    <row r="35" spans="1:14" s="15" customFormat="1" ht="15.75" customHeight="1" x14ac:dyDescent="0.35">
      <c r="A35" s="47" t="s">
        <v>149</v>
      </c>
      <c r="B35" s="48" t="s">
        <v>150</v>
      </c>
      <c r="C35" s="49" t="s">
        <v>151</v>
      </c>
      <c r="D35" s="50" t="s">
        <v>49</v>
      </c>
      <c r="E35" s="50" t="s">
        <v>50</v>
      </c>
      <c r="F35" s="55">
        <v>134</v>
      </c>
      <c r="G35" s="56">
        <v>0.50700000000000001</v>
      </c>
      <c r="H35" s="56">
        <v>1.2E-2</v>
      </c>
      <c r="I35" s="56">
        <v>0.495</v>
      </c>
      <c r="J35" s="56">
        <v>0</v>
      </c>
      <c r="K35" s="56">
        <v>0.106</v>
      </c>
      <c r="L35" s="53" t="s">
        <v>51</v>
      </c>
      <c r="M35" s="54" t="s">
        <v>152</v>
      </c>
      <c r="N35" s="39"/>
    </row>
    <row r="36" spans="1:14" s="15" customFormat="1" ht="15.75" customHeight="1" x14ac:dyDescent="0.35">
      <c r="A36" s="47" t="s">
        <v>153</v>
      </c>
      <c r="B36" s="48" t="s">
        <v>154</v>
      </c>
      <c r="C36" s="49" t="s">
        <v>155</v>
      </c>
      <c r="D36" s="50" t="s">
        <v>49</v>
      </c>
      <c r="E36" s="50" t="s">
        <v>50</v>
      </c>
      <c r="F36" s="55">
        <v>83.4</v>
      </c>
      <c r="G36" s="56">
        <v>0.19400000000000001</v>
      </c>
      <c r="H36" s="56">
        <v>2.2800000000000001E-2</v>
      </c>
      <c r="I36" s="56">
        <v>0.17100000000000001</v>
      </c>
      <c r="J36" s="56">
        <v>0</v>
      </c>
      <c r="K36" s="56">
        <v>6.0499999999999998E-2</v>
      </c>
      <c r="L36" s="53" t="s">
        <v>51</v>
      </c>
      <c r="M36" s="54" t="s">
        <v>156</v>
      </c>
      <c r="N36" s="39"/>
    </row>
    <row r="37" spans="1:14" s="15" customFormat="1" ht="15.75" customHeight="1" x14ac:dyDescent="0.35">
      <c r="A37" s="47" t="s">
        <v>157</v>
      </c>
      <c r="B37" s="48" t="s">
        <v>158</v>
      </c>
      <c r="C37" s="49" t="s">
        <v>159</v>
      </c>
      <c r="D37" s="50" t="s">
        <v>49</v>
      </c>
      <c r="E37" s="50" t="s">
        <v>50</v>
      </c>
      <c r="F37" s="55">
        <v>126</v>
      </c>
      <c r="G37" s="56">
        <v>0.82899999999999996</v>
      </c>
      <c r="H37" s="56">
        <v>0.49</v>
      </c>
      <c r="I37" s="56">
        <v>0.33900000000000002</v>
      </c>
      <c r="J37" s="56">
        <v>0</v>
      </c>
      <c r="K37" s="56">
        <v>6.6799999999999998E-2</v>
      </c>
      <c r="L37" s="53" t="s">
        <v>51</v>
      </c>
      <c r="M37" s="54" t="s">
        <v>160</v>
      </c>
      <c r="N37" s="39"/>
    </row>
    <row r="38" spans="1:14" s="15" customFormat="1" ht="15.75" customHeight="1" outlineLevel="1" x14ac:dyDescent="0.35">
      <c r="A38" s="47" t="s">
        <v>161</v>
      </c>
      <c r="B38" s="48" t="s">
        <v>162</v>
      </c>
      <c r="C38" s="68" t="s">
        <v>163</v>
      </c>
      <c r="D38" s="50" t="s">
        <v>49</v>
      </c>
      <c r="E38" s="50" t="s">
        <v>50</v>
      </c>
      <c r="F38" s="55">
        <v>126</v>
      </c>
      <c r="G38" s="56">
        <v>0.82899999999999996</v>
      </c>
      <c r="H38" s="56">
        <v>0.49</v>
      </c>
      <c r="I38" s="56">
        <v>0.33900000000000002</v>
      </c>
      <c r="J38" s="56">
        <v>0</v>
      </c>
      <c r="K38" s="56">
        <v>6.6799999999999998E-2</v>
      </c>
      <c r="L38" s="53" t="s">
        <v>51</v>
      </c>
      <c r="M38" s="54" t="s">
        <v>164</v>
      </c>
      <c r="N38" s="39"/>
    </row>
    <row r="39" spans="1:14" s="15" customFormat="1" ht="15.75" customHeight="1" x14ac:dyDescent="0.35">
      <c r="A39" s="40" t="s">
        <v>165</v>
      </c>
      <c r="B39" s="58"/>
      <c r="C39" s="41" t="s">
        <v>166</v>
      </c>
      <c r="D39" s="69"/>
      <c r="E39" s="59" t="s">
        <v>12</v>
      </c>
      <c r="F39" s="60"/>
      <c r="G39" s="60"/>
      <c r="H39" s="60"/>
      <c r="I39" s="60"/>
      <c r="J39" s="60"/>
      <c r="K39" s="60"/>
      <c r="L39" s="70"/>
      <c r="M39" s="41" t="s">
        <v>167</v>
      </c>
      <c r="N39" s="39"/>
    </row>
    <row r="40" spans="1:14" s="67" customFormat="1" ht="17.149999999999999" customHeight="1" x14ac:dyDescent="0.35">
      <c r="A40" s="57" t="s">
        <v>168</v>
      </c>
      <c r="B40" s="48" t="s">
        <v>169</v>
      </c>
      <c r="C40" s="62" t="s">
        <v>170</v>
      </c>
      <c r="D40" s="63" t="s">
        <v>171</v>
      </c>
      <c r="E40" s="63" t="s">
        <v>50</v>
      </c>
      <c r="F40" s="55">
        <v>519</v>
      </c>
      <c r="G40" s="56">
        <v>2.65</v>
      </c>
      <c r="H40" s="56">
        <v>0.55700000000000005</v>
      </c>
      <c r="I40" s="56">
        <v>2.09</v>
      </c>
      <c r="J40" s="56">
        <v>0</v>
      </c>
      <c r="K40" s="56">
        <v>0.127</v>
      </c>
      <c r="L40" s="64"/>
      <c r="M40" s="65"/>
      <c r="N40" s="66"/>
    </row>
    <row r="41" spans="1:14" s="67" customFormat="1" ht="17.149999999999999" customHeight="1" x14ac:dyDescent="0.35">
      <c r="A41" s="57" t="s">
        <v>172</v>
      </c>
      <c r="B41" s="48" t="s">
        <v>173</v>
      </c>
      <c r="C41" s="62" t="s">
        <v>174</v>
      </c>
      <c r="D41" s="63" t="s">
        <v>171</v>
      </c>
      <c r="E41" s="63" t="s">
        <v>50</v>
      </c>
      <c r="F41" s="55">
        <v>87</v>
      </c>
      <c r="G41" s="56">
        <v>1.2</v>
      </c>
      <c r="H41" s="56">
        <v>1.1599999999999999</v>
      </c>
      <c r="I41" s="56">
        <v>4.07E-2</v>
      </c>
      <c r="J41" s="56">
        <v>0</v>
      </c>
      <c r="K41" s="56">
        <v>1.7399999999999999E-2</v>
      </c>
      <c r="L41" s="64"/>
      <c r="M41" s="65"/>
      <c r="N41" s="66"/>
    </row>
    <row r="42" spans="1:14" s="15" customFormat="1" ht="17.149999999999999" customHeight="1" x14ac:dyDescent="0.35">
      <c r="A42" s="47" t="s">
        <v>175</v>
      </c>
      <c r="B42" s="48" t="s">
        <v>176</v>
      </c>
      <c r="C42" s="49" t="s">
        <v>177</v>
      </c>
      <c r="D42" s="50" t="s">
        <v>178</v>
      </c>
      <c r="E42" s="50" t="s">
        <v>50</v>
      </c>
      <c r="F42" s="51">
        <v>438</v>
      </c>
      <c r="G42" s="52">
        <v>1.32</v>
      </c>
      <c r="H42" s="52">
        <v>1.0999999999999999E-2</v>
      </c>
      <c r="I42" s="52">
        <v>1.31</v>
      </c>
      <c r="J42" s="52">
        <v>0</v>
      </c>
      <c r="K42" s="52">
        <v>0.34300000000000003</v>
      </c>
      <c r="L42" s="53" t="s">
        <v>179</v>
      </c>
      <c r="M42" s="54" t="s">
        <v>180</v>
      </c>
      <c r="N42" s="39"/>
    </row>
    <row r="43" spans="1:14" s="15" customFormat="1" ht="17.149999999999999" customHeight="1" x14ac:dyDescent="0.35">
      <c r="A43" s="47" t="s">
        <v>181</v>
      </c>
      <c r="B43" s="48" t="s">
        <v>182</v>
      </c>
      <c r="C43" s="49" t="s">
        <v>183</v>
      </c>
      <c r="D43" s="50" t="s">
        <v>178</v>
      </c>
      <c r="E43" s="50" t="s">
        <v>50</v>
      </c>
      <c r="F43" s="55">
        <v>279</v>
      </c>
      <c r="G43" s="56">
        <v>1.07</v>
      </c>
      <c r="H43" s="56">
        <v>3.14E-3</v>
      </c>
      <c r="I43" s="56">
        <v>1.06</v>
      </c>
      <c r="J43" s="56">
        <v>0</v>
      </c>
      <c r="K43" s="56">
        <v>0.23400000000000001</v>
      </c>
      <c r="L43" s="53" t="s">
        <v>179</v>
      </c>
      <c r="M43" s="54" t="s">
        <v>184</v>
      </c>
      <c r="N43" s="39"/>
    </row>
    <row r="44" spans="1:14" s="15" customFormat="1" ht="17.149999999999999" customHeight="1" x14ac:dyDescent="0.35">
      <c r="A44" s="47" t="s">
        <v>185</v>
      </c>
      <c r="B44" s="48" t="s">
        <v>186</v>
      </c>
      <c r="C44" s="49" t="s">
        <v>187</v>
      </c>
      <c r="D44" s="50" t="s">
        <v>178</v>
      </c>
      <c r="E44" s="50" t="s">
        <v>50</v>
      </c>
      <c r="F44" s="55">
        <v>364</v>
      </c>
      <c r="G44" s="56">
        <v>1.2</v>
      </c>
      <c r="H44" s="56">
        <v>5.8100000000000001E-3</v>
      </c>
      <c r="I44" s="56">
        <v>1.2</v>
      </c>
      <c r="J44" s="56">
        <v>0</v>
      </c>
      <c r="K44" s="56">
        <v>0.28899999999999998</v>
      </c>
      <c r="L44" s="53" t="s">
        <v>179</v>
      </c>
      <c r="M44" s="54" t="s">
        <v>188</v>
      </c>
      <c r="N44" s="39"/>
    </row>
    <row r="45" spans="1:14" s="15" customFormat="1" ht="17.149999999999999" customHeight="1" x14ac:dyDescent="0.35">
      <c r="A45" s="47" t="s">
        <v>189</v>
      </c>
      <c r="B45" s="48" t="s">
        <v>190</v>
      </c>
      <c r="C45" s="49" t="s">
        <v>191</v>
      </c>
      <c r="D45" s="50" t="s">
        <v>178</v>
      </c>
      <c r="E45" s="50" t="s">
        <v>50</v>
      </c>
      <c r="F45" s="51">
        <v>886</v>
      </c>
      <c r="G45" s="52">
        <v>2.0099999999999998</v>
      </c>
      <c r="H45" s="52">
        <v>2.1499999999999998E-2</v>
      </c>
      <c r="I45" s="52">
        <v>1.99</v>
      </c>
      <c r="J45" s="52">
        <v>0</v>
      </c>
      <c r="K45" s="52">
        <v>0.64300000000000002</v>
      </c>
      <c r="L45" s="53" t="s">
        <v>179</v>
      </c>
      <c r="M45" s="54" t="s">
        <v>192</v>
      </c>
      <c r="N45" s="39"/>
    </row>
    <row r="46" spans="1:14" s="15" customFormat="1" ht="17.149999999999999" customHeight="1" x14ac:dyDescent="0.35">
      <c r="A46" s="47" t="s">
        <v>193</v>
      </c>
      <c r="B46" s="48" t="s">
        <v>194</v>
      </c>
      <c r="C46" s="49" t="s">
        <v>195</v>
      </c>
      <c r="D46" s="50" t="s">
        <v>178</v>
      </c>
      <c r="E46" s="50" t="s">
        <v>50</v>
      </c>
      <c r="F46" s="51">
        <v>1080</v>
      </c>
      <c r="G46" s="52">
        <v>1.51</v>
      </c>
      <c r="H46" s="52">
        <v>1.41E-2</v>
      </c>
      <c r="I46" s="52">
        <v>1.49</v>
      </c>
      <c r="J46" s="52">
        <v>0</v>
      </c>
      <c r="K46" s="52">
        <v>0.58799999999999997</v>
      </c>
      <c r="L46" s="53" t="s">
        <v>179</v>
      </c>
      <c r="M46" s="54" t="s">
        <v>196</v>
      </c>
      <c r="N46" s="39"/>
    </row>
    <row r="47" spans="1:14" s="15" customFormat="1" ht="17.149999999999999" customHeight="1" x14ac:dyDescent="0.35">
      <c r="A47" s="47" t="s">
        <v>197</v>
      </c>
      <c r="B47" s="48" t="s">
        <v>198</v>
      </c>
      <c r="C47" s="49" t="s">
        <v>199</v>
      </c>
      <c r="D47" s="50" t="s">
        <v>178</v>
      </c>
      <c r="E47" s="50" t="s">
        <v>50</v>
      </c>
      <c r="F47" s="55">
        <v>239</v>
      </c>
      <c r="G47" s="56">
        <v>1.41</v>
      </c>
      <c r="H47" s="56">
        <v>1.35</v>
      </c>
      <c r="I47" s="56">
        <v>6.8500000000000005E-2</v>
      </c>
      <c r="J47" s="56">
        <v>0</v>
      </c>
      <c r="K47" s="56">
        <v>3.3399999999999999E-2</v>
      </c>
      <c r="L47" s="53" t="s">
        <v>179</v>
      </c>
      <c r="M47" s="54" t="s">
        <v>200</v>
      </c>
      <c r="N47" s="39"/>
    </row>
    <row r="48" spans="1:14" s="15" customFormat="1" ht="17.149999999999999" customHeight="1" outlineLevel="1" x14ac:dyDescent="0.35">
      <c r="A48" s="47" t="s">
        <v>201</v>
      </c>
      <c r="B48" s="48" t="s">
        <v>202</v>
      </c>
      <c r="C48" s="49" t="s">
        <v>203</v>
      </c>
      <c r="D48" s="50" t="s">
        <v>178</v>
      </c>
      <c r="E48" s="50" t="s">
        <v>50</v>
      </c>
      <c r="F48" s="55">
        <v>239</v>
      </c>
      <c r="G48" s="56">
        <v>1.41</v>
      </c>
      <c r="H48" s="56">
        <v>1.35</v>
      </c>
      <c r="I48" s="56">
        <v>6.8500000000000005E-2</v>
      </c>
      <c r="J48" s="56">
        <v>0</v>
      </c>
      <c r="K48" s="56">
        <v>3.3399999999999999E-2</v>
      </c>
      <c r="L48" s="53" t="s">
        <v>179</v>
      </c>
      <c r="M48" s="54" t="s">
        <v>204</v>
      </c>
      <c r="N48" s="39"/>
    </row>
    <row r="49" spans="1:14" s="15" customFormat="1" ht="17.149999999999999" customHeight="1" x14ac:dyDescent="0.35">
      <c r="A49" s="47" t="s">
        <v>205</v>
      </c>
      <c r="B49" s="48" t="s">
        <v>206</v>
      </c>
      <c r="C49" s="49" t="s">
        <v>207</v>
      </c>
      <c r="D49" s="50" t="s">
        <v>178</v>
      </c>
      <c r="E49" s="50" t="s">
        <v>50</v>
      </c>
      <c r="F49" s="55">
        <v>164</v>
      </c>
      <c r="G49" s="56">
        <v>1.38</v>
      </c>
      <c r="H49" s="56">
        <v>1.33</v>
      </c>
      <c r="I49" s="56">
        <v>5.5899999999999998E-2</v>
      </c>
      <c r="J49" s="56">
        <v>0</v>
      </c>
      <c r="K49" s="56">
        <v>2.12E-2</v>
      </c>
      <c r="L49" s="53" t="s">
        <v>179</v>
      </c>
      <c r="M49" s="54" t="s">
        <v>208</v>
      </c>
      <c r="N49" s="39"/>
    </row>
    <row r="50" spans="1:14" s="15" customFormat="1" ht="17.149999999999999" customHeight="1" outlineLevel="1" x14ac:dyDescent="0.35">
      <c r="A50" s="47" t="s">
        <v>209</v>
      </c>
      <c r="B50" s="48" t="s">
        <v>210</v>
      </c>
      <c r="C50" s="49" t="s">
        <v>211</v>
      </c>
      <c r="D50" s="50" t="s">
        <v>178</v>
      </c>
      <c r="E50" s="50" t="s">
        <v>50</v>
      </c>
      <c r="F50" s="55">
        <v>164</v>
      </c>
      <c r="G50" s="56">
        <v>1.38</v>
      </c>
      <c r="H50" s="56">
        <v>1.33</v>
      </c>
      <c r="I50" s="56">
        <v>5.5899999999999998E-2</v>
      </c>
      <c r="J50" s="56">
        <v>0</v>
      </c>
      <c r="K50" s="56">
        <v>2.12E-2</v>
      </c>
      <c r="L50" s="53" t="s">
        <v>179</v>
      </c>
      <c r="M50" s="54" t="s">
        <v>212</v>
      </c>
      <c r="N50" s="39"/>
    </row>
    <row r="51" spans="1:14" s="15" customFormat="1" ht="17.149999999999999" customHeight="1" x14ac:dyDescent="0.35">
      <c r="A51" s="47" t="s">
        <v>213</v>
      </c>
      <c r="B51" s="48" t="s">
        <v>214</v>
      </c>
      <c r="C51" s="49" t="s">
        <v>215</v>
      </c>
      <c r="D51" s="50" t="s">
        <v>178</v>
      </c>
      <c r="E51" s="50" t="s">
        <v>50</v>
      </c>
      <c r="F51" s="55">
        <v>143</v>
      </c>
      <c r="G51" s="56">
        <v>1.44</v>
      </c>
      <c r="H51" s="56">
        <v>1.28</v>
      </c>
      <c r="I51" s="56">
        <v>0.16600000000000001</v>
      </c>
      <c r="J51" s="56">
        <v>0</v>
      </c>
      <c r="K51" s="56">
        <v>3.78E-2</v>
      </c>
      <c r="L51" s="53" t="s">
        <v>179</v>
      </c>
      <c r="M51" s="54" t="s">
        <v>216</v>
      </c>
      <c r="N51" s="39"/>
    </row>
    <row r="52" spans="1:14" s="15" customFormat="1" ht="17.149999999999999" customHeight="1" outlineLevel="1" x14ac:dyDescent="0.35">
      <c r="A52" s="47" t="s">
        <v>217</v>
      </c>
      <c r="B52" s="48" t="s">
        <v>218</v>
      </c>
      <c r="C52" s="49" t="s">
        <v>219</v>
      </c>
      <c r="D52" s="50" t="s">
        <v>178</v>
      </c>
      <c r="E52" s="50" t="s">
        <v>50</v>
      </c>
      <c r="F52" s="55">
        <v>143</v>
      </c>
      <c r="G52" s="56">
        <v>1.44</v>
      </c>
      <c r="H52" s="56">
        <v>1.28</v>
      </c>
      <c r="I52" s="56">
        <v>0.16600000000000001</v>
      </c>
      <c r="J52" s="56">
        <v>0</v>
      </c>
      <c r="K52" s="56">
        <v>3.78E-2</v>
      </c>
      <c r="L52" s="53" t="s">
        <v>179</v>
      </c>
      <c r="M52" s="54" t="s">
        <v>220</v>
      </c>
      <c r="N52" s="39"/>
    </row>
    <row r="53" spans="1:14" s="15" customFormat="1" ht="17.149999999999999" customHeight="1" x14ac:dyDescent="0.35">
      <c r="A53" s="47" t="s">
        <v>221</v>
      </c>
      <c r="B53" s="48" t="s">
        <v>222</v>
      </c>
      <c r="C53" s="49" t="s">
        <v>223</v>
      </c>
      <c r="D53" s="50" t="s">
        <v>178</v>
      </c>
      <c r="E53" s="50" t="s">
        <v>50</v>
      </c>
      <c r="F53" s="55">
        <v>159</v>
      </c>
      <c r="G53" s="56">
        <v>0.32800000000000001</v>
      </c>
      <c r="H53" s="56">
        <v>2.8799999999999999E-2</v>
      </c>
      <c r="I53" s="56">
        <v>0.3</v>
      </c>
      <c r="J53" s="56">
        <v>0</v>
      </c>
      <c r="K53" s="56">
        <v>0.127</v>
      </c>
      <c r="L53" s="53" t="s">
        <v>179</v>
      </c>
      <c r="M53" s="54" t="s">
        <v>224</v>
      </c>
      <c r="N53" s="39"/>
    </row>
    <row r="54" spans="1:14" s="15" customFormat="1" ht="17.149999999999999" customHeight="1" x14ac:dyDescent="0.35">
      <c r="A54" s="40" t="s">
        <v>225</v>
      </c>
      <c r="B54" s="58"/>
      <c r="C54" s="41" t="s">
        <v>226</v>
      </c>
      <c r="D54" s="69"/>
      <c r="E54" s="59" t="s">
        <v>12</v>
      </c>
      <c r="F54" s="60"/>
      <c r="G54" s="60"/>
      <c r="H54" s="60"/>
      <c r="I54" s="60"/>
      <c r="J54" s="60"/>
      <c r="K54" s="60"/>
      <c r="L54" s="70"/>
      <c r="M54" s="41" t="s">
        <v>227</v>
      </c>
      <c r="N54" s="39"/>
    </row>
    <row r="55" spans="1:14" s="15" customFormat="1" ht="25" x14ac:dyDescent="0.35">
      <c r="A55" s="47" t="s">
        <v>228</v>
      </c>
      <c r="B55" s="48" t="s">
        <v>229</v>
      </c>
      <c r="C55" s="71" t="s">
        <v>230</v>
      </c>
      <c r="D55" s="50" t="s">
        <v>231</v>
      </c>
      <c r="E55" s="50" t="s">
        <v>50</v>
      </c>
      <c r="F55" s="55">
        <v>214</v>
      </c>
      <c r="G55" s="56">
        <v>1.62</v>
      </c>
      <c r="H55" s="56">
        <v>0.83699999999999997</v>
      </c>
      <c r="I55" s="56">
        <v>0.78300000000000003</v>
      </c>
      <c r="J55" s="56">
        <v>0.63</v>
      </c>
      <c r="K55" s="56">
        <v>5.79E-2</v>
      </c>
      <c r="L55" s="53" t="s">
        <v>179</v>
      </c>
      <c r="M55" s="65" t="s">
        <v>232</v>
      </c>
    </row>
    <row r="56" spans="1:14" s="67" customFormat="1" ht="29.15" customHeight="1" x14ac:dyDescent="0.35">
      <c r="A56" s="57" t="s">
        <v>233</v>
      </c>
      <c r="B56" s="48" t="s">
        <v>234</v>
      </c>
      <c r="C56" s="71" t="s">
        <v>235</v>
      </c>
      <c r="D56" s="63" t="s">
        <v>171</v>
      </c>
      <c r="E56" s="63" t="s">
        <v>50</v>
      </c>
      <c r="F56" s="55">
        <v>54.5</v>
      </c>
      <c r="G56" s="56">
        <v>1.08</v>
      </c>
      <c r="H56" s="56">
        <v>1.06</v>
      </c>
      <c r="I56" s="56">
        <v>2.47E-2</v>
      </c>
      <c r="J56" s="56">
        <v>0.63</v>
      </c>
      <c r="K56" s="56">
        <v>1.7299999999999999E-2</v>
      </c>
      <c r="L56" s="64" t="s">
        <v>236</v>
      </c>
      <c r="M56" s="65"/>
    </row>
    <row r="57" spans="1:14" s="67" customFormat="1" ht="25" x14ac:dyDescent="0.35">
      <c r="A57" s="57" t="s">
        <v>237</v>
      </c>
      <c r="B57" s="48" t="s">
        <v>238</v>
      </c>
      <c r="C57" s="71" t="s">
        <v>239</v>
      </c>
      <c r="D57" s="63" t="s">
        <v>171</v>
      </c>
      <c r="E57" s="63" t="s">
        <v>50</v>
      </c>
      <c r="F57" s="55">
        <v>142</v>
      </c>
      <c r="G57" s="56">
        <v>1.39</v>
      </c>
      <c r="H57" s="56">
        <v>0.90100000000000002</v>
      </c>
      <c r="I57" s="56">
        <v>0.48499999999999999</v>
      </c>
      <c r="J57" s="56">
        <v>0.77300000000000002</v>
      </c>
      <c r="K57" s="56">
        <v>0.04</v>
      </c>
      <c r="L57" s="64" t="s">
        <v>236</v>
      </c>
      <c r="M57" s="65"/>
    </row>
    <row r="58" spans="1:14" s="67" customFormat="1" ht="29.5" customHeight="1" x14ac:dyDescent="0.35">
      <c r="A58" s="57" t="s">
        <v>240</v>
      </c>
      <c r="B58" s="48" t="s">
        <v>241</v>
      </c>
      <c r="C58" s="71" t="s">
        <v>242</v>
      </c>
      <c r="D58" s="63" t="s">
        <v>171</v>
      </c>
      <c r="E58" s="63" t="s">
        <v>50</v>
      </c>
      <c r="F58" s="55">
        <v>44.2</v>
      </c>
      <c r="G58" s="56">
        <v>1.06</v>
      </c>
      <c r="H58" s="56">
        <v>1.04</v>
      </c>
      <c r="I58" s="56">
        <v>0.02</v>
      </c>
      <c r="J58" s="56">
        <v>0.77300000000000002</v>
      </c>
      <c r="K58" s="56">
        <v>1.4999999999999999E-2</v>
      </c>
      <c r="L58" s="64" t="s">
        <v>236</v>
      </c>
      <c r="M58" s="65"/>
    </row>
    <row r="59" spans="1:14" s="15" customFormat="1" ht="14.5" x14ac:dyDescent="0.35">
      <c r="A59" s="47" t="s">
        <v>243</v>
      </c>
      <c r="B59" s="48" t="s">
        <v>244</v>
      </c>
      <c r="C59" s="71" t="s">
        <v>245</v>
      </c>
      <c r="D59" s="50" t="s">
        <v>178</v>
      </c>
      <c r="E59" s="50" t="s">
        <v>50</v>
      </c>
      <c r="F59" s="55">
        <v>195</v>
      </c>
      <c r="G59" s="56">
        <v>1.55</v>
      </c>
      <c r="H59" s="56">
        <v>0.86299999999999999</v>
      </c>
      <c r="I59" s="56">
        <v>0.69</v>
      </c>
      <c r="J59" s="56">
        <v>0.68799999999999994</v>
      </c>
      <c r="K59" s="56">
        <v>5.4100000000000002E-2</v>
      </c>
      <c r="L59" s="53" t="s">
        <v>179</v>
      </c>
      <c r="M59" s="65" t="s">
        <v>246</v>
      </c>
    </row>
    <row r="60" spans="1:14" s="67" customFormat="1" ht="29.15" customHeight="1" x14ac:dyDescent="0.35">
      <c r="A60" s="57" t="s">
        <v>247</v>
      </c>
      <c r="B60" s="48" t="s">
        <v>248</v>
      </c>
      <c r="C60" s="71" t="s">
        <v>249</v>
      </c>
      <c r="D60" s="63" t="s">
        <v>171</v>
      </c>
      <c r="E60" s="63" t="s">
        <v>50</v>
      </c>
      <c r="F60" s="55">
        <v>59.8</v>
      </c>
      <c r="G60" s="56">
        <v>1.1000000000000001</v>
      </c>
      <c r="H60" s="56">
        <v>1.05</v>
      </c>
      <c r="I60" s="56">
        <v>5.0500000000000003E-2</v>
      </c>
      <c r="J60" s="56">
        <v>0.68799999999999994</v>
      </c>
      <c r="K60" s="56">
        <v>1.9800000000000002E-2</v>
      </c>
      <c r="L60" s="64" t="s">
        <v>236</v>
      </c>
      <c r="M60" s="65"/>
    </row>
    <row r="61" spans="1:14" s="67" customFormat="1" ht="25" x14ac:dyDescent="0.35">
      <c r="A61" s="57" t="s">
        <v>250</v>
      </c>
      <c r="B61" s="48" t="s">
        <v>251</v>
      </c>
      <c r="C61" s="71" t="s">
        <v>252</v>
      </c>
      <c r="D61" s="63" t="s">
        <v>171</v>
      </c>
      <c r="E61" s="63" t="s">
        <v>50</v>
      </c>
      <c r="F61" s="55">
        <v>132</v>
      </c>
      <c r="G61" s="56">
        <v>1.35</v>
      </c>
      <c r="H61" s="56">
        <v>0.91800000000000004</v>
      </c>
      <c r="I61" s="56">
        <v>0.433</v>
      </c>
      <c r="J61" s="56">
        <v>0.81100000000000005</v>
      </c>
      <c r="K61" s="56">
        <v>3.8600000000000002E-2</v>
      </c>
      <c r="L61" s="64" t="s">
        <v>236</v>
      </c>
      <c r="M61" s="65"/>
    </row>
    <row r="62" spans="1:14" s="67" customFormat="1" ht="24" customHeight="1" x14ac:dyDescent="0.35">
      <c r="A62" s="57" t="s">
        <v>253</v>
      </c>
      <c r="B62" s="48" t="s">
        <v>254</v>
      </c>
      <c r="C62" s="71" t="s">
        <v>255</v>
      </c>
      <c r="D62" s="63" t="s">
        <v>171</v>
      </c>
      <c r="E62" s="63" t="s">
        <v>50</v>
      </c>
      <c r="F62" s="55">
        <v>51</v>
      </c>
      <c r="G62" s="56">
        <v>1.08</v>
      </c>
      <c r="H62" s="56">
        <v>1.03</v>
      </c>
      <c r="I62" s="56">
        <v>4.6399999999999997E-2</v>
      </c>
      <c r="J62" s="56">
        <v>0.81100000000000005</v>
      </c>
      <c r="K62" s="56">
        <v>1.7899999999999999E-2</v>
      </c>
      <c r="L62" s="64" t="s">
        <v>236</v>
      </c>
      <c r="M62" s="65"/>
    </row>
    <row r="63" spans="1:14" s="15" customFormat="1" ht="25" x14ac:dyDescent="0.35">
      <c r="A63" s="47" t="s">
        <v>256</v>
      </c>
      <c r="B63" s="48" t="s">
        <v>257</v>
      </c>
      <c r="C63" s="71" t="s">
        <v>258</v>
      </c>
      <c r="D63" s="50" t="s">
        <v>178</v>
      </c>
      <c r="E63" s="50" t="s">
        <v>50</v>
      </c>
      <c r="F63" s="55">
        <v>181</v>
      </c>
      <c r="G63" s="56">
        <v>1.58</v>
      </c>
      <c r="H63" s="56">
        <v>0.91800000000000004</v>
      </c>
      <c r="I63" s="56">
        <v>0.66200000000000003</v>
      </c>
      <c r="J63" s="56">
        <v>0.74399999999999999</v>
      </c>
      <c r="K63" s="56">
        <v>4.7399999999999998E-2</v>
      </c>
      <c r="L63" s="53" t="s">
        <v>179</v>
      </c>
      <c r="M63" s="65" t="s">
        <v>259</v>
      </c>
    </row>
    <row r="64" spans="1:14" s="67" customFormat="1" ht="29.15" customHeight="1" x14ac:dyDescent="0.35">
      <c r="A64" s="57" t="s">
        <v>260</v>
      </c>
      <c r="B64" s="48" t="s">
        <v>261</v>
      </c>
      <c r="C64" s="71" t="s">
        <v>262</v>
      </c>
      <c r="D64" s="63" t="s">
        <v>171</v>
      </c>
      <c r="E64" s="63" t="s">
        <v>50</v>
      </c>
      <c r="F64" s="55">
        <v>46.4</v>
      </c>
      <c r="G64" s="56">
        <v>1.1299999999999999</v>
      </c>
      <c r="H64" s="56">
        <v>1.1100000000000001</v>
      </c>
      <c r="I64" s="56">
        <v>2.1600000000000001E-2</v>
      </c>
      <c r="J64" s="56">
        <v>0.74399999999999999</v>
      </c>
      <c r="K64" s="56">
        <v>1.3100000000000001E-2</v>
      </c>
      <c r="L64" s="64" t="s">
        <v>236</v>
      </c>
      <c r="M64" s="65"/>
    </row>
    <row r="65" spans="1:13" s="67" customFormat="1" ht="25" x14ac:dyDescent="0.35">
      <c r="A65" s="57" t="s">
        <v>263</v>
      </c>
      <c r="B65" s="48" t="s">
        <v>264</v>
      </c>
      <c r="C65" s="71" t="s">
        <v>265</v>
      </c>
      <c r="D65" s="63" t="s">
        <v>171</v>
      </c>
      <c r="E65" s="63" t="s">
        <v>50</v>
      </c>
      <c r="F65" s="55">
        <v>118</v>
      </c>
      <c r="G65" s="56">
        <v>1.32</v>
      </c>
      <c r="H65" s="56">
        <v>0.91700000000000004</v>
      </c>
      <c r="I65" s="56">
        <v>0.40400000000000003</v>
      </c>
      <c r="J65" s="56">
        <v>0.81100000000000005</v>
      </c>
      <c r="K65" s="56">
        <v>3.1899999999999998E-2</v>
      </c>
      <c r="L65" s="64" t="s">
        <v>236</v>
      </c>
      <c r="M65" s="65"/>
    </row>
    <row r="66" spans="1:13" s="67" customFormat="1" ht="29.5" customHeight="1" x14ac:dyDescent="0.35">
      <c r="A66" s="57" t="s">
        <v>266</v>
      </c>
      <c r="B66" s="48" t="s">
        <v>267</v>
      </c>
      <c r="C66" s="71" t="s">
        <v>268</v>
      </c>
      <c r="D66" s="63" t="s">
        <v>171</v>
      </c>
      <c r="E66" s="63" t="s">
        <v>50</v>
      </c>
      <c r="F66" s="55">
        <v>37</v>
      </c>
      <c r="G66" s="56">
        <v>1.05</v>
      </c>
      <c r="H66" s="56">
        <v>1.03</v>
      </c>
      <c r="I66" s="56">
        <v>1.7600000000000001E-2</v>
      </c>
      <c r="J66" s="56">
        <v>0.81100000000000005</v>
      </c>
      <c r="K66" s="56">
        <v>1.12E-2</v>
      </c>
      <c r="L66" s="64" t="s">
        <v>236</v>
      </c>
      <c r="M66" s="65"/>
    </row>
    <row r="67" spans="1:13" s="15" customFormat="1" ht="17.149999999999999" customHeight="1" x14ac:dyDescent="0.35">
      <c r="A67" s="47" t="s">
        <v>269</v>
      </c>
      <c r="B67" s="48" t="s">
        <v>270</v>
      </c>
      <c r="C67" s="49" t="s">
        <v>271</v>
      </c>
      <c r="D67" s="50" t="s">
        <v>178</v>
      </c>
      <c r="E67" s="50" t="s">
        <v>50</v>
      </c>
      <c r="F67" s="51">
        <v>121</v>
      </c>
      <c r="G67" s="52">
        <v>1.57</v>
      </c>
      <c r="H67" s="52">
        <v>1.33</v>
      </c>
      <c r="I67" s="52">
        <v>0.24399999999999999</v>
      </c>
      <c r="J67" s="52">
        <v>1.28</v>
      </c>
      <c r="K67" s="52">
        <v>4.2000000000000003E-2</v>
      </c>
      <c r="L67" s="53" t="s">
        <v>179</v>
      </c>
      <c r="M67" s="72" t="s">
        <v>272</v>
      </c>
    </row>
    <row r="68" spans="1:13" s="15" customFormat="1" ht="17.149999999999999" customHeight="1" x14ac:dyDescent="0.35">
      <c r="A68" s="47" t="s">
        <v>273</v>
      </c>
      <c r="B68" s="48" t="s">
        <v>274</v>
      </c>
      <c r="C68" s="49" t="s">
        <v>275</v>
      </c>
      <c r="D68" s="50" t="s">
        <v>178</v>
      </c>
      <c r="E68" s="50" t="s">
        <v>50</v>
      </c>
      <c r="F68" s="51">
        <v>110</v>
      </c>
      <c r="G68" s="52">
        <v>1.81</v>
      </c>
      <c r="H68" s="52">
        <v>1.61</v>
      </c>
      <c r="I68" s="52">
        <v>0.2</v>
      </c>
      <c r="J68" s="52">
        <v>1.57</v>
      </c>
      <c r="K68" s="52">
        <v>3.78E-2</v>
      </c>
      <c r="L68" s="53" t="s">
        <v>179</v>
      </c>
      <c r="M68" s="72" t="s">
        <v>276</v>
      </c>
    </row>
    <row r="69" spans="1:13" s="15" customFormat="1" ht="17.149999999999999" customHeight="1" x14ac:dyDescent="0.35">
      <c r="A69" s="47" t="s">
        <v>277</v>
      </c>
      <c r="B69" s="48" t="s">
        <v>278</v>
      </c>
      <c r="C69" s="49" t="s">
        <v>279</v>
      </c>
      <c r="D69" s="50" t="s">
        <v>178</v>
      </c>
      <c r="E69" s="50" t="s">
        <v>50</v>
      </c>
      <c r="F69" s="51">
        <v>50</v>
      </c>
      <c r="G69" s="52">
        <v>1.22</v>
      </c>
      <c r="H69" s="52">
        <v>1.1499999999999999</v>
      </c>
      <c r="I69" s="52">
        <v>7.9000000000000001E-2</v>
      </c>
      <c r="J69" s="52">
        <v>1.1299999999999999</v>
      </c>
      <c r="K69" s="52">
        <v>1.5299999999999999E-2</v>
      </c>
      <c r="L69" s="53" t="s">
        <v>179</v>
      </c>
      <c r="M69" s="72" t="s">
        <v>280</v>
      </c>
    </row>
    <row r="70" spans="1:13" s="15" customFormat="1" ht="17.149999999999999" customHeight="1" x14ac:dyDescent="0.35">
      <c r="A70" s="47" t="s">
        <v>281</v>
      </c>
      <c r="B70" s="48" t="s">
        <v>282</v>
      </c>
      <c r="C70" s="49" t="s">
        <v>283</v>
      </c>
      <c r="D70" s="50" t="s">
        <v>178</v>
      </c>
      <c r="E70" s="50" t="s">
        <v>50</v>
      </c>
      <c r="F70" s="51">
        <v>93.7</v>
      </c>
      <c r="G70" s="52">
        <v>1.71</v>
      </c>
      <c r="H70" s="52">
        <v>1.54</v>
      </c>
      <c r="I70" s="52">
        <v>0.17699999999999999</v>
      </c>
      <c r="J70" s="52">
        <v>1.51</v>
      </c>
      <c r="K70" s="52">
        <v>3.4599999999999999E-2</v>
      </c>
      <c r="L70" s="53" t="s">
        <v>179</v>
      </c>
      <c r="M70" s="72" t="s">
        <v>284</v>
      </c>
    </row>
    <row r="71" spans="1:13" s="15" customFormat="1" ht="17.149999999999999" customHeight="1" x14ac:dyDescent="0.35">
      <c r="A71" s="47" t="s">
        <v>285</v>
      </c>
      <c r="B71" s="48" t="s">
        <v>286</v>
      </c>
      <c r="C71" s="49" t="s">
        <v>287</v>
      </c>
      <c r="D71" s="50" t="s">
        <v>178</v>
      </c>
      <c r="E71" s="50" t="s">
        <v>50</v>
      </c>
      <c r="F71" s="55">
        <v>131</v>
      </c>
      <c r="G71" s="56">
        <v>0.47199999999999998</v>
      </c>
      <c r="H71" s="56">
        <v>1.82E-3</v>
      </c>
      <c r="I71" s="56">
        <v>0.47</v>
      </c>
      <c r="J71" s="56">
        <v>0</v>
      </c>
      <c r="K71" s="56">
        <v>0.107</v>
      </c>
      <c r="L71" s="53" t="s">
        <v>179</v>
      </c>
      <c r="M71" s="54" t="s">
        <v>288</v>
      </c>
    </row>
    <row r="72" spans="1:13" s="67" customFormat="1" ht="17.149999999999999" customHeight="1" x14ac:dyDescent="0.35">
      <c r="A72" s="57" t="s">
        <v>289</v>
      </c>
      <c r="B72" s="48" t="s">
        <v>290</v>
      </c>
      <c r="C72" s="62" t="s">
        <v>291</v>
      </c>
      <c r="D72" s="63" t="s">
        <v>171</v>
      </c>
      <c r="E72" s="63" t="s">
        <v>50</v>
      </c>
      <c r="F72" s="55">
        <v>39.1</v>
      </c>
      <c r="G72" s="56">
        <v>1.2</v>
      </c>
      <c r="H72" s="56">
        <v>1.1399999999999999</v>
      </c>
      <c r="I72" s="56">
        <v>5.8200000000000002E-2</v>
      </c>
      <c r="J72" s="56">
        <v>1.1299999999999999</v>
      </c>
      <c r="K72" s="56">
        <v>1.35E-2</v>
      </c>
      <c r="L72" s="64" t="s">
        <v>236</v>
      </c>
      <c r="M72" s="65"/>
    </row>
    <row r="73" spans="1:13" s="67" customFormat="1" ht="17.149999999999999" customHeight="1" x14ac:dyDescent="0.35">
      <c r="A73" s="57" t="s">
        <v>292</v>
      </c>
      <c r="B73" s="48" t="s">
        <v>293</v>
      </c>
      <c r="C73" s="62" t="s">
        <v>294</v>
      </c>
      <c r="D73" s="63" t="s">
        <v>171</v>
      </c>
      <c r="E73" s="63" t="s">
        <v>50</v>
      </c>
      <c r="F73" s="55">
        <v>45.2</v>
      </c>
      <c r="G73" s="56">
        <v>1.21</v>
      </c>
      <c r="H73" s="56">
        <v>1.1399999999999999</v>
      </c>
      <c r="I73" s="56">
        <v>6.7100000000000007E-2</v>
      </c>
      <c r="J73" s="56">
        <v>1.1299999999999999</v>
      </c>
      <c r="K73" s="56">
        <v>1.66E-2</v>
      </c>
      <c r="L73" s="64" t="s">
        <v>236</v>
      </c>
      <c r="M73" s="65"/>
    </row>
    <row r="74" spans="1:13" s="15" customFormat="1" ht="24" customHeight="1" x14ac:dyDescent="0.35">
      <c r="A74" s="47"/>
      <c r="B74" s="57"/>
      <c r="C74" s="73" t="s">
        <v>295</v>
      </c>
      <c r="D74" s="50"/>
      <c r="E74" s="50"/>
      <c r="F74" s="51"/>
      <c r="G74" s="52"/>
      <c r="H74" s="52"/>
      <c r="I74" s="52"/>
      <c r="J74" s="52"/>
      <c r="K74" s="52"/>
      <c r="L74" s="50"/>
      <c r="M74" s="73" t="s">
        <v>296</v>
      </c>
    </row>
    <row r="75" spans="1:13" s="15" customFormat="1" ht="15.75" customHeight="1" x14ac:dyDescent="0.35">
      <c r="A75" s="40" t="s">
        <v>297</v>
      </c>
      <c r="B75" s="58"/>
      <c r="C75" s="41" t="s">
        <v>298</v>
      </c>
      <c r="D75" s="42"/>
      <c r="E75" s="59" t="s">
        <v>12</v>
      </c>
      <c r="F75" s="60"/>
      <c r="G75" s="60"/>
      <c r="H75" s="60"/>
      <c r="I75" s="60"/>
      <c r="J75" s="60"/>
      <c r="K75" s="60"/>
      <c r="L75" s="42"/>
      <c r="M75" s="45" t="s">
        <v>299</v>
      </c>
    </row>
    <row r="76" spans="1:13" s="15" customFormat="1" ht="15.75" customHeight="1" x14ac:dyDescent="0.35">
      <c r="A76" s="47" t="s">
        <v>300</v>
      </c>
      <c r="B76" s="48" t="s">
        <v>301</v>
      </c>
      <c r="C76" s="49" t="s">
        <v>104</v>
      </c>
      <c r="D76" s="50" t="s">
        <v>49</v>
      </c>
      <c r="E76" s="50" t="s">
        <v>50</v>
      </c>
      <c r="F76" s="51">
        <v>675</v>
      </c>
      <c r="G76" s="52">
        <v>4.21</v>
      </c>
      <c r="H76" s="52">
        <v>5.4200000000000003E-3</v>
      </c>
      <c r="I76" s="52">
        <v>4.21</v>
      </c>
      <c r="J76" s="52">
        <v>0</v>
      </c>
      <c r="K76" s="52">
        <v>2.3900000000000001E-2</v>
      </c>
      <c r="L76" s="50" t="s">
        <v>51</v>
      </c>
      <c r="M76" s="54" t="s">
        <v>302</v>
      </c>
    </row>
    <row r="77" spans="1:13" s="15" customFormat="1" ht="15.75" customHeight="1" x14ac:dyDescent="0.35">
      <c r="A77" s="47" t="s">
        <v>303</v>
      </c>
      <c r="B77" s="48" t="s">
        <v>304</v>
      </c>
      <c r="C77" s="49" t="s">
        <v>305</v>
      </c>
      <c r="D77" s="50" t="s">
        <v>49</v>
      </c>
      <c r="E77" s="50" t="s">
        <v>50</v>
      </c>
      <c r="F77" s="51">
        <v>622</v>
      </c>
      <c r="G77" s="52">
        <v>2.23</v>
      </c>
      <c r="H77" s="52">
        <v>7.4999999999999997E-3</v>
      </c>
      <c r="I77" s="52">
        <v>2.23</v>
      </c>
      <c r="J77" s="52">
        <v>0</v>
      </c>
      <c r="K77" s="52">
        <v>0.48</v>
      </c>
      <c r="L77" s="50" t="s">
        <v>51</v>
      </c>
      <c r="M77" s="54" t="s">
        <v>306</v>
      </c>
    </row>
    <row r="78" spans="1:13" s="67" customFormat="1" ht="15.75" customHeight="1" x14ac:dyDescent="0.35">
      <c r="A78" s="57" t="s">
        <v>307</v>
      </c>
      <c r="B78" s="48" t="s">
        <v>308</v>
      </c>
      <c r="C78" s="62" t="s">
        <v>309</v>
      </c>
      <c r="D78" s="63" t="s">
        <v>49</v>
      </c>
      <c r="E78" s="63" t="s">
        <v>50</v>
      </c>
      <c r="F78" s="55">
        <v>945</v>
      </c>
      <c r="G78" s="56">
        <v>3.38</v>
      </c>
      <c r="H78" s="56">
        <v>1.35E-2</v>
      </c>
      <c r="I78" s="56">
        <v>3.37</v>
      </c>
      <c r="J78" s="56">
        <v>0</v>
      </c>
      <c r="K78" s="56">
        <v>0.74299999999999999</v>
      </c>
      <c r="L78" s="63" t="s">
        <v>51</v>
      </c>
      <c r="M78" s="65"/>
    </row>
    <row r="79" spans="1:13" s="15" customFormat="1" ht="15.75" customHeight="1" x14ac:dyDescent="0.35">
      <c r="A79" s="74" t="s">
        <v>310</v>
      </c>
      <c r="B79" s="48" t="s">
        <v>311</v>
      </c>
      <c r="C79" s="49" t="s">
        <v>312</v>
      </c>
      <c r="D79" s="50" t="s">
        <v>49</v>
      </c>
      <c r="E79" s="50" t="s">
        <v>50</v>
      </c>
      <c r="F79" s="51">
        <v>1610</v>
      </c>
      <c r="G79" s="52">
        <v>3.94</v>
      </c>
      <c r="H79" s="52">
        <v>1.1299999999999999E-2</v>
      </c>
      <c r="I79" s="52">
        <v>3.93</v>
      </c>
      <c r="J79" s="52">
        <v>0</v>
      </c>
      <c r="K79" s="52">
        <v>1.36</v>
      </c>
      <c r="L79" s="50" t="s">
        <v>51</v>
      </c>
      <c r="M79" s="54" t="s">
        <v>313</v>
      </c>
    </row>
    <row r="80" spans="1:13" s="15" customFormat="1" ht="15.75" customHeight="1" x14ac:dyDescent="0.35">
      <c r="A80" s="47" t="s">
        <v>314</v>
      </c>
      <c r="B80" s="48" t="s">
        <v>315</v>
      </c>
      <c r="C80" s="49" t="s">
        <v>316</v>
      </c>
      <c r="D80" s="50" t="s">
        <v>49</v>
      </c>
      <c r="E80" s="50" t="s">
        <v>50</v>
      </c>
      <c r="F80" s="51">
        <v>1530</v>
      </c>
      <c r="G80" s="52">
        <v>3.91</v>
      </c>
      <c r="H80" s="52">
        <v>3.5799999999999998E-2</v>
      </c>
      <c r="I80" s="52">
        <v>3.88</v>
      </c>
      <c r="J80" s="52">
        <v>0</v>
      </c>
      <c r="K80" s="52">
        <v>1.23</v>
      </c>
      <c r="L80" s="50" t="s">
        <v>51</v>
      </c>
      <c r="M80" s="54" t="s">
        <v>317</v>
      </c>
    </row>
    <row r="81" spans="1:13" s="15" customFormat="1" ht="15.75" customHeight="1" x14ac:dyDescent="0.35">
      <c r="A81" s="47" t="s">
        <v>318</v>
      </c>
      <c r="B81" s="48" t="s">
        <v>319</v>
      </c>
      <c r="C81" s="49" t="s">
        <v>320</v>
      </c>
      <c r="D81" s="50" t="s">
        <v>49</v>
      </c>
      <c r="E81" s="50" t="s">
        <v>50</v>
      </c>
      <c r="F81" s="51">
        <v>1570</v>
      </c>
      <c r="G81" s="52">
        <v>3.75</v>
      </c>
      <c r="H81" s="52">
        <v>2.0899999999999998E-2</v>
      </c>
      <c r="I81" s="52">
        <v>3.73</v>
      </c>
      <c r="J81" s="52">
        <v>0</v>
      </c>
      <c r="K81" s="52">
        <v>1.07</v>
      </c>
      <c r="L81" s="50" t="s">
        <v>51</v>
      </c>
      <c r="M81" s="54" t="s">
        <v>321</v>
      </c>
    </row>
    <row r="82" spans="1:13" s="15" customFormat="1" ht="15.75" customHeight="1" x14ac:dyDescent="0.35">
      <c r="A82" s="47" t="s">
        <v>322</v>
      </c>
      <c r="B82" s="48" t="s">
        <v>323</v>
      </c>
      <c r="C82" s="49" t="s">
        <v>143</v>
      </c>
      <c r="D82" s="50" t="s">
        <v>49</v>
      </c>
      <c r="E82" s="50" t="s">
        <v>50</v>
      </c>
      <c r="F82" s="51">
        <v>55.6</v>
      </c>
      <c r="G82" s="52">
        <v>1.6299999999999999E-2</v>
      </c>
      <c r="H82" s="52">
        <v>2.2499999999999998E-3</v>
      </c>
      <c r="I82" s="52">
        <v>1.4E-2</v>
      </c>
      <c r="J82" s="52">
        <v>0</v>
      </c>
      <c r="K82" s="52">
        <v>7.0699999999999999E-3</v>
      </c>
      <c r="L82" s="50" t="s">
        <v>51</v>
      </c>
      <c r="M82" s="54" t="s">
        <v>144</v>
      </c>
    </row>
    <row r="83" spans="1:13" s="15" customFormat="1" ht="15.75" customHeight="1" x14ac:dyDescent="0.35">
      <c r="A83" s="47" t="s">
        <v>324</v>
      </c>
      <c r="B83" s="48" t="s">
        <v>325</v>
      </c>
      <c r="C83" s="49" t="s">
        <v>119</v>
      </c>
      <c r="D83" s="50" t="s">
        <v>49</v>
      </c>
      <c r="E83" s="50" t="s">
        <v>50</v>
      </c>
      <c r="F83" s="55">
        <v>172</v>
      </c>
      <c r="G83" s="56">
        <v>2.06</v>
      </c>
      <c r="H83" s="56">
        <v>1.93</v>
      </c>
      <c r="I83" s="56">
        <v>0.125</v>
      </c>
      <c r="J83" s="56">
        <v>0</v>
      </c>
      <c r="K83" s="56">
        <v>3.7499999999999999E-2</v>
      </c>
      <c r="L83" s="50" t="s">
        <v>51</v>
      </c>
      <c r="M83" s="54" t="s">
        <v>120</v>
      </c>
    </row>
    <row r="84" spans="1:13" s="15" customFormat="1" ht="15.75" customHeight="1" x14ac:dyDescent="0.35">
      <c r="A84" s="47" t="s">
        <v>326</v>
      </c>
      <c r="B84" s="48" t="s">
        <v>327</v>
      </c>
      <c r="C84" s="49" t="s">
        <v>147</v>
      </c>
      <c r="D84" s="50" t="s">
        <v>49</v>
      </c>
      <c r="E84" s="50" t="s">
        <v>50</v>
      </c>
      <c r="F84" s="55">
        <v>1180</v>
      </c>
      <c r="G84" s="56">
        <v>3.24</v>
      </c>
      <c r="H84" s="56">
        <v>1.9900000000000001E-2</v>
      </c>
      <c r="I84" s="56">
        <v>3.22</v>
      </c>
      <c r="J84" s="56">
        <v>0</v>
      </c>
      <c r="K84" s="56">
        <v>0.84099999999999997</v>
      </c>
      <c r="L84" s="50" t="s">
        <v>51</v>
      </c>
      <c r="M84" s="54" t="s">
        <v>148</v>
      </c>
    </row>
    <row r="85" spans="1:13" s="15" customFormat="1" ht="15.75" customHeight="1" x14ac:dyDescent="0.35">
      <c r="A85" s="47" t="s">
        <v>328</v>
      </c>
      <c r="B85" s="48" t="s">
        <v>329</v>
      </c>
      <c r="C85" s="49" t="s">
        <v>151</v>
      </c>
      <c r="D85" s="50" t="s">
        <v>49</v>
      </c>
      <c r="E85" s="50" t="s">
        <v>50</v>
      </c>
      <c r="F85" s="55">
        <v>826</v>
      </c>
      <c r="G85" s="56">
        <v>2.84</v>
      </c>
      <c r="H85" s="56">
        <v>1.0699999999999999E-2</v>
      </c>
      <c r="I85" s="56">
        <v>2.83</v>
      </c>
      <c r="J85" s="56">
        <v>0</v>
      </c>
      <c r="K85" s="56">
        <v>0.64800000000000002</v>
      </c>
      <c r="L85" s="50" t="s">
        <v>51</v>
      </c>
      <c r="M85" s="54" t="s">
        <v>152</v>
      </c>
    </row>
    <row r="86" spans="1:13" s="15" customFormat="1" ht="15.75" customHeight="1" x14ac:dyDescent="0.35">
      <c r="A86" s="47" t="s">
        <v>330</v>
      </c>
      <c r="B86" s="48" t="s">
        <v>331</v>
      </c>
      <c r="C86" s="49" t="s">
        <v>155</v>
      </c>
      <c r="D86" s="50" t="s">
        <v>49</v>
      </c>
      <c r="E86" s="50" t="s">
        <v>50</v>
      </c>
      <c r="F86" s="51">
        <v>511</v>
      </c>
      <c r="G86" s="52">
        <v>0.89700000000000002</v>
      </c>
      <c r="H86" s="52">
        <v>7.7600000000000002E-2</v>
      </c>
      <c r="I86" s="52">
        <v>0.82</v>
      </c>
      <c r="J86" s="52">
        <v>0</v>
      </c>
      <c r="K86" s="52">
        <v>0.36399999999999999</v>
      </c>
      <c r="L86" s="50" t="s">
        <v>51</v>
      </c>
      <c r="M86" s="54" t="s">
        <v>156</v>
      </c>
    </row>
    <row r="87" spans="1:13" s="15" customFormat="1" ht="15.75" customHeight="1" x14ac:dyDescent="0.35">
      <c r="A87" s="47" t="s">
        <v>332</v>
      </c>
      <c r="B87" s="48" t="s">
        <v>333</v>
      </c>
      <c r="C87" s="49" t="s">
        <v>334</v>
      </c>
      <c r="D87" s="50" t="s">
        <v>49</v>
      </c>
      <c r="E87" s="50" t="s">
        <v>50</v>
      </c>
      <c r="F87" s="55">
        <v>151</v>
      </c>
      <c r="G87" s="56">
        <v>1.36</v>
      </c>
      <c r="H87" s="56">
        <v>1.2</v>
      </c>
      <c r="I87" s="56">
        <v>0.159</v>
      </c>
      <c r="J87" s="56">
        <v>0</v>
      </c>
      <c r="K87" s="56">
        <v>4.7600000000000003E-2</v>
      </c>
      <c r="L87" s="50" t="s">
        <v>51</v>
      </c>
      <c r="M87" s="54" t="s">
        <v>335</v>
      </c>
    </row>
    <row r="88" spans="1:13" s="15" customFormat="1" ht="15.75" customHeight="1" x14ac:dyDescent="0.35">
      <c r="A88" s="47" t="s">
        <v>336</v>
      </c>
      <c r="B88" s="48" t="s">
        <v>337</v>
      </c>
      <c r="C88" s="49" t="s">
        <v>338</v>
      </c>
      <c r="D88" s="50" t="s">
        <v>49</v>
      </c>
      <c r="E88" s="50" t="s">
        <v>50</v>
      </c>
      <c r="F88" s="55">
        <v>176</v>
      </c>
      <c r="G88" s="56">
        <v>1.4</v>
      </c>
      <c r="H88" s="56">
        <v>1.21</v>
      </c>
      <c r="I88" s="56">
        <v>0.192</v>
      </c>
      <c r="J88" s="56">
        <v>0</v>
      </c>
      <c r="K88" s="56">
        <v>5.5E-2</v>
      </c>
      <c r="L88" s="50" t="s">
        <v>51</v>
      </c>
      <c r="M88" s="54" t="s">
        <v>339</v>
      </c>
    </row>
    <row r="89" spans="1:13" s="15" customFormat="1" ht="15.75" customHeight="1" x14ac:dyDescent="0.35">
      <c r="A89" s="47" t="s">
        <v>340</v>
      </c>
      <c r="B89" s="48" t="s">
        <v>341</v>
      </c>
      <c r="C89" s="49" t="s">
        <v>342</v>
      </c>
      <c r="D89" s="50" t="s">
        <v>49</v>
      </c>
      <c r="E89" s="50" t="s">
        <v>50</v>
      </c>
      <c r="F89" s="55">
        <v>161</v>
      </c>
      <c r="G89" s="56">
        <v>1.38</v>
      </c>
      <c r="H89" s="56">
        <v>1.2</v>
      </c>
      <c r="I89" s="56">
        <v>0.17699999999999999</v>
      </c>
      <c r="J89" s="56">
        <v>0</v>
      </c>
      <c r="K89" s="56">
        <v>5.2900000000000003E-2</v>
      </c>
      <c r="L89" s="50" t="s">
        <v>51</v>
      </c>
      <c r="M89" s="54" t="s">
        <v>343</v>
      </c>
    </row>
    <row r="90" spans="1:13" s="15" customFormat="1" ht="15.75" customHeight="1" x14ac:dyDescent="0.35">
      <c r="A90" s="47" t="s">
        <v>344</v>
      </c>
      <c r="B90" s="48" t="s">
        <v>345</v>
      </c>
      <c r="C90" s="49" t="s">
        <v>346</v>
      </c>
      <c r="D90" s="50" t="s">
        <v>49</v>
      </c>
      <c r="E90" s="50" t="s">
        <v>50</v>
      </c>
      <c r="F90" s="55">
        <v>221</v>
      </c>
      <c r="G90" s="56">
        <v>1.46</v>
      </c>
      <c r="H90" s="56">
        <v>1.21</v>
      </c>
      <c r="I90" s="56">
        <v>0.251</v>
      </c>
      <c r="J90" s="56">
        <v>0</v>
      </c>
      <c r="K90" s="56">
        <v>7.1999999999999995E-2</v>
      </c>
      <c r="L90" s="50" t="s">
        <v>51</v>
      </c>
      <c r="M90" s="54" t="s">
        <v>347</v>
      </c>
    </row>
    <row r="91" spans="1:13" s="67" customFormat="1" ht="15.75" customHeight="1" x14ac:dyDescent="0.35">
      <c r="A91" s="57" t="s">
        <v>348</v>
      </c>
      <c r="B91" s="48" t="s">
        <v>349</v>
      </c>
      <c r="C91" s="62" t="s">
        <v>350</v>
      </c>
      <c r="D91" s="63" t="s">
        <v>49</v>
      </c>
      <c r="E91" s="63" t="s">
        <v>50</v>
      </c>
      <c r="F91" s="55">
        <v>177</v>
      </c>
      <c r="G91" s="56">
        <v>1.39</v>
      </c>
      <c r="H91" s="56">
        <v>1.2</v>
      </c>
      <c r="I91" s="56">
        <v>0.185</v>
      </c>
      <c r="J91" s="56">
        <v>0</v>
      </c>
      <c r="K91" s="56">
        <v>5.4600000000000003E-2</v>
      </c>
      <c r="L91" s="63" t="s">
        <v>51</v>
      </c>
      <c r="M91" s="65"/>
    </row>
    <row r="92" spans="1:13" s="67" customFormat="1" ht="15.75" customHeight="1" x14ac:dyDescent="0.35">
      <c r="A92" s="57" t="s">
        <v>351</v>
      </c>
      <c r="B92" s="48" t="s">
        <v>352</v>
      </c>
      <c r="C92" s="62" t="s">
        <v>353</v>
      </c>
      <c r="D92" s="63" t="s">
        <v>49</v>
      </c>
      <c r="E92" s="63" t="s">
        <v>50</v>
      </c>
      <c r="F92" s="55">
        <v>179</v>
      </c>
      <c r="G92" s="56">
        <v>1.39</v>
      </c>
      <c r="H92" s="56">
        <v>1.21</v>
      </c>
      <c r="I92" s="56">
        <v>0.187</v>
      </c>
      <c r="J92" s="56">
        <v>0</v>
      </c>
      <c r="K92" s="56">
        <v>5.45E-2</v>
      </c>
      <c r="L92" s="63" t="s">
        <v>51</v>
      </c>
      <c r="M92" s="65"/>
    </row>
    <row r="93" spans="1:13" s="67" customFormat="1" ht="15.75" customHeight="1" x14ac:dyDescent="0.35">
      <c r="A93" s="57" t="s">
        <v>354</v>
      </c>
      <c r="B93" s="48" t="s">
        <v>355</v>
      </c>
      <c r="C93" s="62" t="s">
        <v>356</v>
      </c>
      <c r="D93" s="63" t="s">
        <v>49</v>
      </c>
      <c r="E93" s="63" t="s">
        <v>50</v>
      </c>
      <c r="F93" s="55">
        <v>144</v>
      </c>
      <c r="G93" s="56">
        <v>1.33</v>
      </c>
      <c r="H93" s="56">
        <v>1.2</v>
      </c>
      <c r="I93" s="56">
        <v>0.13700000000000001</v>
      </c>
      <c r="J93" s="56">
        <v>0</v>
      </c>
      <c r="K93" s="56">
        <v>3.7100000000000001E-2</v>
      </c>
      <c r="L93" s="63" t="s">
        <v>51</v>
      </c>
      <c r="M93" s="65"/>
    </row>
    <row r="94" spans="1:13" s="67" customFormat="1" ht="15.75" customHeight="1" x14ac:dyDescent="0.35">
      <c r="A94" s="57" t="s">
        <v>357</v>
      </c>
      <c r="B94" s="48" t="s">
        <v>358</v>
      </c>
      <c r="C94" s="62" t="s">
        <v>359</v>
      </c>
      <c r="D94" s="63" t="s">
        <v>49</v>
      </c>
      <c r="E94" s="63" t="s">
        <v>50</v>
      </c>
      <c r="F94" s="55">
        <v>164</v>
      </c>
      <c r="G94" s="56">
        <v>1.39</v>
      </c>
      <c r="H94" s="56">
        <v>1.2</v>
      </c>
      <c r="I94" s="56">
        <v>0.188</v>
      </c>
      <c r="J94" s="56">
        <v>0</v>
      </c>
      <c r="K94" s="56">
        <v>4.7899999999999998E-2</v>
      </c>
      <c r="L94" s="63" t="s">
        <v>51</v>
      </c>
      <c r="M94" s="65"/>
    </row>
    <row r="95" spans="1:13" s="15" customFormat="1" ht="15.75" customHeight="1" x14ac:dyDescent="0.35">
      <c r="A95" s="47" t="s">
        <v>360</v>
      </c>
      <c r="B95" s="48" t="s">
        <v>361</v>
      </c>
      <c r="C95" s="49" t="s">
        <v>362</v>
      </c>
      <c r="D95" s="50" t="s">
        <v>49</v>
      </c>
      <c r="E95" s="50" t="s">
        <v>50</v>
      </c>
      <c r="F95" s="51">
        <v>110</v>
      </c>
      <c r="G95" s="52">
        <v>1.29</v>
      </c>
      <c r="H95" s="52">
        <v>1.2</v>
      </c>
      <c r="I95" s="52">
        <v>8.7400000000000005E-2</v>
      </c>
      <c r="J95" s="52">
        <v>0</v>
      </c>
      <c r="K95" s="52">
        <v>2.8400000000000002E-2</v>
      </c>
      <c r="L95" s="50" t="s">
        <v>51</v>
      </c>
      <c r="M95" s="54" t="s">
        <v>363</v>
      </c>
    </row>
    <row r="96" spans="1:13" s="15" customFormat="1" ht="15.75" customHeight="1" x14ac:dyDescent="0.35">
      <c r="A96" s="47" t="s">
        <v>364</v>
      </c>
      <c r="B96" s="48" t="s">
        <v>365</v>
      </c>
      <c r="C96" s="49" t="s">
        <v>366</v>
      </c>
      <c r="D96" s="50" t="s">
        <v>49</v>
      </c>
      <c r="E96" s="50" t="s">
        <v>50</v>
      </c>
      <c r="F96" s="51">
        <v>77</v>
      </c>
      <c r="G96" s="52">
        <v>1.19</v>
      </c>
      <c r="H96" s="52">
        <v>1.17</v>
      </c>
      <c r="I96" s="52">
        <v>2.4799999999999999E-2</v>
      </c>
      <c r="J96" s="52">
        <v>0</v>
      </c>
      <c r="K96" s="52">
        <v>1.24E-2</v>
      </c>
      <c r="L96" s="50" t="s">
        <v>51</v>
      </c>
      <c r="M96" s="54" t="s">
        <v>367</v>
      </c>
    </row>
    <row r="97" spans="1:13" s="15" customFormat="1" ht="15.75" customHeight="1" x14ac:dyDescent="0.35">
      <c r="A97" s="47" t="s">
        <v>368</v>
      </c>
      <c r="B97" s="48" t="s">
        <v>369</v>
      </c>
      <c r="C97" s="49" t="s">
        <v>370</v>
      </c>
      <c r="D97" s="50" t="s">
        <v>49</v>
      </c>
      <c r="E97" s="50" t="s">
        <v>50</v>
      </c>
      <c r="F97" s="51">
        <v>666</v>
      </c>
      <c r="G97" s="52">
        <v>3.43</v>
      </c>
      <c r="H97" s="52">
        <v>0.72199999999999998</v>
      </c>
      <c r="I97" s="52">
        <v>2.71</v>
      </c>
      <c r="J97" s="52">
        <v>0</v>
      </c>
      <c r="K97" s="52">
        <v>0.16900000000000001</v>
      </c>
      <c r="L97" s="50" t="s">
        <v>51</v>
      </c>
      <c r="M97" s="54" t="s">
        <v>371</v>
      </c>
    </row>
    <row r="98" spans="1:13" s="15" customFormat="1" ht="15.75" customHeight="1" x14ac:dyDescent="0.35">
      <c r="A98" s="47" t="s">
        <v>372</v>
      </c>
      <c r="B98" s="48" t="s">
        <v>373</v>
      </c>
      <c r="C98" s="49" t="s">
        <v>139</v>
      </c>
      <c r="D98" s="50" t="s">
        <v>49</v>
      </c>
      <c r="E98" s="50" t="s">
        <v>50</v>
      </c>
      <c r="F98" s="51">
        <v>143</v>
      </c>
      <c r="G98" s="52">
        <v>3.36</v>
      </c>
      <c r="H98" s="52">
        <v>3.17</v>
      </c>
      <c r="I98" s="52">
        <v>0.191</v>
      </c>
      <c r="J98" s="52">
        <v>0</v>
      </c>
      <c r="K98" s="52">
        <v>3.09E-2</v>
      </c>
      <c r="L98" s="50" t="s">
        <v>51</v>
      </c>
      <c r="M98" s="54" t="s">
        <v>140</v>
      </c>
    </row>
    <row r="99" spans="1:13" s="15" customFormat="1" ht="15.75" customHeight="1" x14ac:dyDescent="0.35">
      <c r="A99" s="47" t="s">
        <v>374</v>
      </c>
      <c r="B99" s="48" t="s">
        <v>375</v>
      </c>
      <c r="C99" s="49" t="s">
        <v>376</v>
      </c>
      <c r="D99" s="50" t="s">
        <v>49</v>
      </c>
      <c r="E99" s="50" t="s">
        <v>50</v>
      </c>
      <c r="F99" s="55">
        <v>513</v>
      </c>
      <c r="G99" s="56">
        <v>2.64</v>
      </c>
      <c r="H99" s="56">
        <v>0.55600000000000005</v>
      </c>
      <c r="I99" s="56">
        <v>2.08</v>
      </c>
      <c r="J99" s="56">
        <v>0</v>
      </c>
      <c r="K99" s="56">
        <v>0.125</v>
      </c>
      <c r="L99" s="50" t="s">
        <v>51</v>
      </c>
      <c r="M99" s="54" t="s">
        <v>377</v>
      </c>
    </row>
    <row r="100" spans="1:13" s="15" customFormat="1" ht="15.75" customHeight="1" x14ac:dyDescent="0.35">
      <c r="A100" s="47" t="s">
        <v>378</v>
      </c>
      <c r="B100" s="48" t="s">
        <v>379</v>
      </c>
      <c r="C100" s="49" t="s">
        <v>380</v>
      </c>
      <c r="D100" s="50" t="s">
        <v>49</v>
      </c>
      <c r="E100" s="50" t="s">
        <v>50</v>
      </c>
      <c r="F100" s="55">
        <v>329</v>
      </c>
      <c r="G100" s="56">
        <v>2.36</v>
      </c>
      <c r="H100" s="56">
        <v>0.67800000000000005</v>
      </c>
      <c r="I100" s="56">
        <v>1.68</v>
      </c>
      <c r="J100" s="56">
        <v>0</v>
      </c>
      <c r="K100" s="56">
        <v>3.2300000000000002E-2</v>
      </c>
      <c r="L100" s="50" t="s">
        <v>51</v>
      </c>
      <c r="M100" s="54" t="s">
        <v>381</v>
      </c>
    </row>
    <row r="101" spans="1:13" s="15" customFormat="1" ht="15.75" customHeight="1" x14ac:dyDescent="0.35">
      <c r="A101" s="47" t="s">
        <v>382</v>
      </c>
      <c r="B101" s="48" t="s">
        <v>383</v>
      </c>
      <c r="C101" s="49" t="s">
        <v>384</v>
      </c>
      <c r="D101" s="50" t="s">
        <v>49</v>
      </c>
      <c r="E101" s="50" t="s">
        <v>50</v>
      </c>
      <c r="F101" s="55">
        <v>81.8</v>
      </c>
      <c r="G101" s="56">
        <v>1.19</v>
      </c>
      <c r="H101" s="56">
        <v>1.1599999999999999</v>
      </c>
      <c r="I101" s="56">
        <v>3.27E-2</v>
      </c>
      <c r="J101" s="56">
        <v>0</v>
      </c>
      <c r="K101" s="56">
        <v>1.54E-2</v>
      </c>
      <c r="L101" s="50" t="s">
        <v>51</v>
      </c>
      <c r="M101" s="54" t="s">
        <v>385</v>
      </c>
    </row>
    <row r="102" spans="1:13" s="67" customFormat="1" ht="15.75" customHeight="1" x14ac:dyDescent="0.35">
      <c r="A102" s="57" t="s">
        <v>386</v>
      </c>
      <c r="B102" s="48" t="s">
        <v>387</v>
      </c>
      <c r="C102" s="62" t="s">
        <v>388</v>
      </c>
      <c r="D102" s="63" t="s">
        <v>49</v>
      </c>
      <c r="E102" s="63" t="s">
        <v>50</v>
      </c>
      <c r="F102" s="55">
        <v>265</v>
      </c>
      <c r="G102" s="56">
        <v>1.98</v>
      </c>
      <c r="H102" s="56">
        <v>0.90200000000000002</v>
      </c>
      <c r="I102" s="56">
        <v>1.08</v>
      </c>
      <c r="J102" s="56">
        <v>0</v>
      </c>
      <c r="K102" s="56">
        <v>5.4399999999999997E-2</v>
      </c>
      <c r="L102" s="63" t="s">
        <v>51</v>
      </c>
      <c r="M102" s="65"/>
    </row>
    <row r="103" spans="1:13" s="15" customFormat="1" ht="15.75" customHeight="1" x14ac:dyDescent="0.35">
      <c r="A103" s="47" t="s">
        <v>389</v>
      </c>
      <c r="B103" s="48" t="s">
        <v>390</v>
      </c>
      <c r="C103" s="49" t="s">
        <v>391</v>
      </c>
      <c r="D103" s="50" t="s">
        <v>49</v>
      </c>
      <c r="E103" s="50" t="s">
        <v>50</v>
      </c>
      <c r="F103" s="55">
        <v>935</v>
      </c>
      <c r="G103" s="56">
        <v>3.14</v>
      </c>
      <c r="H103" s="56">
        <v>0.27500000000000002</v>
      </c>
      <c r="I103" s="56">
        <v>2.87</v>
      </c>
      <c r="J103" s="56">
        <v>0</v>
      </c>
      <c r="K103" s="56">
        <v>0.52300000000000002</v>
      </c>
      <c r="L103" s="50" t="s">
        <v>51</v>
      </c>
      <c r="M103" s="54" t="s">
        <v>392</v>
      </c>
    </row>
    <row r="104" spans="1:13" s="15" customFormat="1" ht="15.75" customHeight="1" x14ac:dyDescent="0.35">
      <c r="A104" s="40" t="s">
        <v>393</v>
      </c>
      <c r="B104" s="58"/>
      <c r="C104" s="41" t="s">
        <v>394</v>
      </c>
      <c r="D104" s="42"/>
      <c r="E104" s="59" t="s">
        <v>12</v>
      </c>
      <c r="F104" s="60"/>
      <c r="G104" s="60"/>
      <c r="H104" s="60"/>
      <c r="I104" s="60"/>
      <c r="J104" s="60"/>
      <c r="K104" s="60"/>
      <c r="L104" s="42"/>
      <c r="M104" s="45" t="s">
        <v>395</v>
      </c>
    </row>
    <row r="105" spans="1:13" s="15" customFormat="1" ht="15.75" customHeight="1" x14ac:dyDescent="0.35">
      <c r="A105" s="47" t="s">
        <v>396</v>
      </c>
      <c r="B105" s="48" t="s">
        <v>397</v>
      </c>
      <c r="C105" s="49" t="s">
        <v>334</v>
      </c>
      <c r="D105" s="50" t="s">
        <v>49</v>
      </c>
      <c r="E105" s="50" t="s">
        <v>50</v>
      </c>
      <c r="F105" s="55">
        <v>86.7</v>
      </c>
      <c r="G105" s="56">
        <v>1.22</v>
      </c>
      <c r="H105" s="56">
        <v>1.0900000000000001</v>
      </c>
      <c r="I105" s="56">
        <v>0.13100000000000001</v>
      </c>
      <c r="J105" s="56">
        <v>1.07</v>
      </c>
      <c r="K105" s="56">
        <v>3.6799999999999999E-2</v>
      </c>
      <c r="L105" s="50" t="s">
        <v>51</v>
      </c>
      <c r="M105" s="54" t="s">
        <v>335</v>
      </c>
    </row>
    <row r="106" spans="1:13" s="15" customFormat="1" ht="15.75" customHeight="1" x14ac:dyDescent="0.35">
      <c r="A106" s="47" t="s">
        <v>398</v>
      </c>
      <c r="B106" s="48" t="s">
        <v>399</v>
      </c>
      <c r="C106" s="49" t="s">
        <v>338</v>
      </c>
      <c r="D106" s="50" t="s">
        <v>49</v>
      </c>
      <c r="E106" s="50" t="s">
        <v>50</v>
      </c>
      <c r="F106" s="55">
        <v>110</v>
      </c>
      <c r="G106" s="56">
        <v>1.25</v>
      </c>
      <c r="H106" s="56">
        <v>1.0900000000000001</v>
      </c>
      <c r="I106" s="56">
        <v>0.161</v>
      </c>
      <c r="J106" s="56">
        <v>1.07</v>
      </c>
      <c r="K106" s="56">
        <v>4.3499999999999997E-2</v>
      </c>
      <c r="L106" s="50" t="s">
        <v>51</v>
      </c>
      <c r="M106" s="54" t="s">
        <v>339</v>
      </c>
    </row>
    <row r="107" spans="1:13" s="15" customFormat="1" ht="15.75" customHeight="1" x14ac:dyDescent="0.35">
      <c r="A107" s="47" t="s">
        <v>400</v>
      </c>
      <c r="B107" s="48" t="s">
        <v>401</v>
      </c>
      <c r="C107" s="49" t="s">
        <v>342</v>
      </c>
      <c r="D107" s="50" t="s">
        <v>49</v>
      </c>
      <c r="E107" s="50" t="s">
        <v>50</v>
      </c>
      <c r="F107" s="55">
        <v>96</v>
      </c>
      <c r="G107" s="56">
        <v>1.24</v>
      </c>
      <c r="H107" s="56">
        <v>1.0900000000000001</v>
      </c>
      <c r="I107" s="56">
        <v>0.14799999999999999</v>
      </c>
      <c r="J107" s="56">
        <v>1.07</v>
      </c>
      <c r="K107" s="56">
        <v>4.1599999999999998E-2</v>
      </c>
      <c r="L107" s="50" t="s">
        <v>51</v>
      </c>
      <c r="M107" s="54" t="s">
        <v>343</v>
      </c>
    </row>
    <row r="108" spans="1:13" s="15" customFormat="1" ht="15.75" customHeight="1" x14ac:dyDescent="0.35">
      <c r="A108" s="47" t="s">
        <v>402</v>
      </c>
      <c r="B108" s="48" t="s">
        <v>403</v>
      </c>
      <c r="C108" s="49" t="s">
        <v>346</v>
      </c>
      <c r="D108" s="50" t="s">
        <v>49</v>
      </c>
      <c r="E108" s="50" t="s">
        <v>50</v>
      </c>
      <c r="F108" s="55">
        <v>149</v>
      </c>
      <c r="G108" s="56">
        <v>1.31</v>
      </c>
      <c r="H108" s="56">
        <v>1.0900000000000001</v>
      </c>
      <c r="I108" s="56">
        <v>0.214</v>
      </c>
      <c r="J108" s="56">
        <v>1.07</v>
      </c>
      <c r="K108" s="56">
        <v>5.8700000000000002E-2</v>
      </c>
      <c r="L108" s="50" t="s">
        <v>51</v>
      </c>
      <c r="M108" s="54" t="s">
        <v>347</v>
      </c>
    </row>
    <row r="109" spans="1:13" s="67" customFormat="1" ht="15.75" customHeight="1" x14ac:dyDescent="0.35">
      <c r="A109" s="57" t="s">
        <v>404</v>
      </c>
      <c r="B109" s="48" t="s">
        <v>405</v>
      </c>
      <c r="C109" s="62" t="s">
        <v>350</v>
      </c>
      <c r="D109" s="63" t="s">
        <v>49</v>
      </c>
      <c r="E109" s="63" t="s">
        <v>50</v>
      </c>
      <c r="F109" s="55">
        <v>111</v>
      </c>
      <c r="G109" s="56">
        <v>1.25</v>
      </c>
      <c r="H109" s="56">
        <v>1.0900000000000001</v>
      </c>
      <c r="I109" s="56">
        <v>0.155</v>
      </c>
      <c r="J109" s="56">
        <v>1.07</v>
      </c>
      <c r="K109" s="56">
        <v>4.3200000000000002E-2</v>
      </c>
      <c r="L109" s="63" t="s">
        <v>51</v>
      </c>
      <c r="M109" s="65"/>
    </row>
    <row r="110" spans="1:13" s="67" customFormat="1" ht="15.75" customHeight="1" x14ac:dyDescent="0.35">
      <c r="A110" s="57" t="s">
        <v>406</v>
      </c>
      <c r="B110" s="48" t="s">
        <v>407</v>
      </c>
      <c r="C110" s="62" t="s">
        <v>353</v>
      </c>
      <c r="D110" s="63" t="s">
        <v>49</v>
      </c>
      <c r="E110" s="63" t="s">
        <v>50</v>
      </c>
      <c r="F110" s="55">
        <v>112</v>
      </c>
      <c r="G110" s="56">
        <v>1.25</v>
      </c>
      <c r="H110" s="56">
        <v>1.0900000000000001</v>
      </c>
      <c r="I110" s="56">
        <v>0.157</v>
      </c>
      <c r="J110" s="56">
        <v>1.07</v>
      </c>
      <c r="K110" s="56">
        <v>4.2999999999999997E-2</v>
      </c>
      <c r="L110" s="63" t="s">
        <v>51</v>
      </c>
      <c r="M110" s="65"/>
    </row>
    <row r="111" spans="1:13" s="67" customFormat="1" ht="15.75" customHeight="1" x14ac:dyDescent="0.35">
      <c r="A111" s="57" t="s">
        <v>408</v>
      </c>
      <c r="B111" s="48" t="s">
        <v>409</v>
      </c>
      <c r="C111" s="62" t="s">
        <v>356</v>
      </c>
      <c r="D111" s="63" t="s">
        <v>49</v>
      </c>
      <c r="E111" s="63" t="s">
        <v>50</v>
      </c>
      <c r="F111" s="55">
        <v>80</v>
      </c>
      <c r="G111" s="56">
        <v>1.2</v>
      </c>
      <c r="H111" s="56">
        <v>1.08</v>
      </c>
      <c r="I111" s="56">
        <v>0.112</v>
      </c>
      <c r="J111" s="56">
        <v>1.07</v>
      </c>
      <c r="K111" s="56">
        <v>2.7300000000000001E-2</v>
      </c>
      <c r="L111" s="63" t="s">
        <v>51</v>
      </c>
      <c r="M111" s="65"/>
    </row>
    <row r="112" spans="1:13" s="67" customFormat="1" ht="15.75" customHeight="1" x14ac:dyDescent="0.35">
      <c r="A112" s="57" t="s">
        <v>410</v>
      </c>
      <c r="B112" s="48" t="s">
        <v>411</v>
      </c>
      <c r="C112" s="62" t="s">
        <v>359</v>
      </c>
      <c r="D112" s="63" t="s">
        <v>49</v>
      </c>
      <c r="E112" s="63" t="s">
        <v>50</v>
      </c>
      <c r="F112" s="55">
        <v>98.8</v>
      </c>
      <c r="G112" s="56">
        <v>1.25</v>
      </c>
      <c r="H112" s="56">
        <v>1.0900000000000001</v>
      </c>
      <c r="I112" s="56">
        <v>0.158</v>
      </c>
      <c r="J112" s="56">
        <v>1.07</v>
      </c>
      <c r="K112" s="56">
        <v>3.7100000000000001E-2</v>
      </c>
      <c r="L112" s="63" t="s">
        <v>51</v>
      </c>
      <c r="M112" s="65"/>
    </row>
    <row r="113" spans="1:13" s="67" customFormat="1" ht="15.75" customHeight="1" x14ac:dyDescent="0.35">
      <c r="A113" s="57" t="s">
        <v>412</v>
      </c>
      <c r="B113" s="48" t="s">
        <v>413</v>
      </c>
      <c r="C113" s="62" t="s">
        <v>414</v>
      </c>
      <c r="D113" s="63" t="s">
        <v>49</v>
      </c>
      <c r="E113" s="63" t="s">
        <v>50</v>
      </c>
      <c r="F113" s="55">
        <v>111</v>
      </c>
      <c r="G113" s="56">
        <v>1.26</v>
      </c>
      <c r="H113" s="56">
        <v>1.0900000000000001</v>
      </c>
      <c r="I113" s="56">
        <v>0.17299999999999999</v>
      </c>
      <c r="J113" s="56">
        <v>1.07</v>
      </c>
      <c r="K113" s="56">
        <v>4.9200000000000001E-2</v>
      </c>
      <c r="L113" s="63" t="s">
        <v>51</v>
      </c>
      <c r="M113" s="65"/>
    </row>
    <row r="114" spans="1:13" s="15" customFormat="1" ht="15.75" customHeight="1" x14ac:dyDescent="0.35">
      <c r="A114" s="47" t="s">
        <v>415</v>
      </c>
      <c r="B114" s="48" t="s">
        <v>416</v>
      </c>
      <c r="C114" s="49" t="s">
        <v>362</v>
      </c>
      <c r="D114" s="50" t="s">
        <v>49</v>
      </c>
      <c r="E114" s="50" t="s">
        <v>50</v>
      </c>
      <c r="F114" s="51">
        <v>49.8</v>
      </c>
      <c r="G114" s="52">
        <v>1.1499999999999999</v>
      </c>
      <c r="H114" s="52">
        <v>1.0900000000000001</v>
      </c>
      <c r="I114" s="52">
        <v>6.6600000000000006E-2</v>
      </c>
      <c r="J114" s="52">
        <v>1.08</v>
      </c>
      <c r="K114" s="52">
        <v>1.9300000000000001E-2</v>
      </c>
      <c r="L114" s="50" t="s">
        <v>51</v>
      </c>
      <c r="M114" s="54" t="s">
        <v>363</v>
      </c>
    </row>
    <row r="115" spans="1:13" s="15" customFormat="1" ht="15.75" customHeight="1" x14ac:dyDescent="0.35">
      <c r="A115" s="47" t="s">
        <v>417</v>
      </c>
      <c r="B115" s="48" t="s">
        <v>418</v>
      </c>
      <c r="C115" s="49" t="s">
        <v>95</v>
      </c>
      <c r="D115" s="50" t="s">
        <v>49</v>
      </c>
      <c r="E115" s="50" t="s">
        <v>50</v>
      </c>
      <c r="F115" s="55">
        <v>411</v>
      </c>
      <c r="G115" s="56">
        <v>0.79700000000000004</v>
      </c>
      <c r="H115" s="56">
        <v>6.8099999999999994E-2</v>
      </c>
      <c r="I115" s="56">
        <v>0.72799999999999998</v>
      </c>
      <c r="J115" s="56">
        <v>0</v>
      </c>
      <c r="K115" s="56">
        <v>0.32200000000000001</v>
      </c>
      <c r="L115" s="50" t="s">
        <v>51</v>
      </c>
      <c r="M115" s="54" t="s">
        <v>96</v>
      </c>
    </row>
    <row r="116" spans="1:13" s="15" customFormat="1" ht="15.75" customHeight="1" x14ac:dyDescent="0.35">
      <c r="A116" s="47" t="s">
        <v>419</v>
      </c>
      <c r="B116" s="48" t="s">
        <v>420</v>
      </c>
      <c r="C116" s="49" t="s">
        <v>421</v>
      </c>
      <c r="D116" s="50" t="s">
        <v>49</v>
      </c>
      <c r="E116" s="50" t="s">
        <v>50</v>
      </c>
      <c r="F116" s="51">
        <v>232</v>
      </c>
      <c r="G116" s="52">
        <v>0.14199999999999999</v>
      </c>
      <c r="H116" s="52">
        <v>3.44E-2</v>
      </c>
      <c r="I116" s="52">
        <v>0.108</v>
      </c>
      <c r="J116" s="52">
        <v>0</v>
      </c>
      <c r="K116" s="52">
        <v>0.155</v>
      </c>
      <c r="L116" s="50" t="s">
        <v>51</v>
      </c>
      <c r="M116" s="54" t="s">
        <v>422</v>
      </c>
    </row>
    <row r="117" spans="1:13" s="15" customFormat="1" ht="15.75" customHeight="1" x14ac:dyDescent="0.35">
      <c r="A117" s="47" t="s">
        <v>423</v>
      </c>
      <c r="B117" s="48" t="s">
        <v>424</v>
      </c>
      <c r="C117" s="49" t="s">
        <v>287</v>
      </c>
      <c r="D117" s="50" t="s">
        <v>49</v>
      </c>
      <c r="E117" s="50" t="s">
        <v>50</v>
      </c>
      <c r="F117" s="55">
        <v>943</v>
      </c>
      <c r="G117" s="56">
        <v>3.39</v>
      </c>
      <c r="H117" s="56">
        <v>1.3100000000000001E-2</v>
      </c>
      <c r="I117" s="56">
        <v>3.37</v>
      </c>
      <c r="J117" s="56">
        <v>0</v>
      </c>
      <c r="K117" s="56">
        <v>0.76800000000000002</v>
      </c>
      <c r="L117" s="50" t="s">
        <v>51</v>
      </c>
      <c r="M117" s="54" t="s">
        <v>288</v>
      </c>
    </row>
    <row r="118" spans="1:13" s="67" customFormat="1" ht="15.75" customHeight="1" x14ac:dyDescent="0.35">
      <c r="A118" s="75" t="s">
        <v>425</v>
      </c>
      <c r="B118" s="76" t="s">
        <v>426</v>
      </c>
      <c r="C118" s="77" t="s">
        <v>427</v>
      </c>
      <c r="D118" s="78" t="s">
        <v>49</v>
      </c>
      <c r="E118" s="78" t="s">
        <v>50</v>
      </c>
      <c r="F118" s="55">
        <v>569</v>
      </c>
      <c r="G118" s="56">
        <v>1.0900000000000001</v>
      </c>
      <c r="H118" s="56">
        <v>9.1899999999999996E-2</v>
      </c>
      <c r="I118" s="56">
        <v>1</v>
      </c>
      <c r="J118" s="56">
        <v>0</v>
      </c>
      <c r="K118" s="56">
        <v>0.432</v>
      </c>
      <c r="L118" s="78" t="s">
        <v>51</v>
      </c>
      <c r="M118" s="79" t="s">
        <v>288</v>
      </c>
    </row>
    <row r="119" spans="1:13" s="15" customFormat="1" ht="39" customHeight="1" x14ac:dyDescent="0.35">
      <c r="A119" s="154" t="s">
        <v>428</v>
      </c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</row>
    <row r="120" spans="1:13" s="15" customFormat="1" ht="13.5" customHeight="1" x14ac:dyDescent="0.35">
      <c r="C120" s="16" t="s">
        <v>12</v>
      </c>
      <c r="D120" s="17"/>
      <c r="E120" s="17" t="s">
        <v>12</v>
      </c>
      <c r="F120" s="17" t="s">
        <v>12</v>
      </c>
      <c r="G120" s="17" t="s">
        <v>12</v>
      </c>
      <c r="H120" s="17" t="s">
        <v>12</v>
      </c>
      <c r="I120" s="80" t="s">
        <v>12</v>
      </c>
      <c r="J120" s="80"/>
      <c r="K120" s="17" t="s">
        <v>12</v>
      </c>
      <c r="L120" s="17"/>
      <c r="M120" s="18" t="s">
        <v>12</v>
      </c>
    </row>
    <row r="121" spans="1:13" s="15" customFormat="1" ht="13.5" customHeight="1" x14ac:dyDescent="0.35">
      <c r="C121" s="16" t="s">
        <v>12</v>
      </c>
      <c r="D121" s="17"/>
      <c r="E121" s="17" t="s">
        <v>12</v>
      </c>
      <c r="F121" s="17" t="s">
        <v>12</v>
      </c>
      <c r="G121" s="17" t="s">
        <v>12</v>
      </c>
      <c r="H121" s="17" t="s">
        <v>12</v>
      </c>
      <c r="I121" s="80" t="s">
        <v>12</v>
      </c>
      <c r="J121" s="80"/>
      <c r="K121" s="17" t="s">
        <v>12</v>
      </c>
      <c r="L121" s="17"/>
      <c r="M121" s="18" t="s">
        <v>12</v>
      </c>
    </row>
    <row r="122" spans="1:13" s="15" customFormat="1" ht="13.5" customHeight="1" x14ac:dyDescent="0.35">
      <c r="C122" s="16" t="s">
        <v>12</v>
      </c>
      <c r="D122" s="17"/>
      <c r="E122" s="17" t="s">
        <v>12</v>
      </c>
      <c r="F122" s="17" t="s">
        <v>12</v>
      </c>
      <c r="G122" s="17" t="s">
        <v>12</v>
      </c>
      <c r="H122" s="17" t="s">
        <v>12</v>
      </c>
      <c r="I122" s="80" t="s">
        <v>12</v>
      </c>
      <c r="J122" s="80"/>
      <c r="K122" s="17" t="s">
        <v>12</v>
      </c>
      <c r="L122" s="17"/>
      <c r="M122" s="18" t="s">
        <v>12</v>
      </c>
    </row>
    <row r="123" spans="1:13" s="15" customFormat="1" ht="13.5" customHeight="1" x14ac:dyDescent="0.35">
      <c r="C123" s="16" t="s">
        <v>12</v>
      </c>
      <c r="D123" s="17"/>
      <c r="E123" s="17" t="s">
        <v>12</v>
      </c>
      <c r="F123" s="17" t="s">
        <v>12</v>
      </c>
      <c r="G123" s="17" t="s">
        <v>12</v>
      </c>
      <c r="H123" s="17" t="s">
        <v>12</v>
      </c>
      <c r="I123" s="80" t="s">
        <v>12</v>
      </c>
      <c r="J123" s="80"/>
      <c r="K123" s="17" t="s">
        <v>12</v>
      </c>
      <c r="L123" s="17"/>
      <c r="M123" s="18" t="s">
        <v>12</v>
      </c>
    </row>
    <row r="124" spans="1:13" s="15" customFormat="1" ht="13.5" customHeight="1" x14ac:dyDescent="0.35">
      <c r="C124" s="16" t="s">
        <v>12</v>
      </c>
      <c r="D124" s="17"/>
      <c r="E124" s="17" t="s">
        <v>12</v>
      </c>
      <c r="F124" s="17" t="s">
        <v>12</v>
      </c>
      <c r="G124" s="17" t="s">
        <v>12</v>
      </c>
      <c r="H124" s="17" t="s">
        <v>12</v>
      </c>
      <c r="I124" s="80" t="s">
        <v>12</v>
      </c>
      <c r="J124" s="80"/>
      <c r="K124" s="17" t="s">
        <v>12</v>
      </c>
      <c r="L124" s="17"/>
      <c r="M124" s="18" t="s">
        <v>12</v>
      </c>
    </row>
    <row r="125" spans="1:13" s="15" customFormat="1" ht="13.5" customHeight="1" x14ac:dyDescent="0.35">
      <c r="C125" s="16" t="s">
        <v>12</v>
      </c>
      <c r="D125" s="17"/>
      <c r="E125" s="17" t="s">
        <v>12</v>
      </c>
      <c r="F125" s="17" t="s">
        <v>12</v>
      </c>
      <c r="G125" s="17" t="s">
        <v>12</v>
      </c>
      <c r="H125" s="17" t="s">
        <v>12</v>
      </c>
      <c r="I125" s="80" t="s">
        <v>12</v>
      </c>
      <c r="J125" s="80"/>
      <c r="K125" s="17" t="s">
        <v>12</v>
      </c>
      <c r="L125" s="17"/>
      <c r="M125" s="18" t="s">
        <v>12</v>
      </c>
    </row>
    <row r="126" spans="1:13" s="15" customFormat="1" ht="13.5" customHeight="1" x14ac:dyDescent="0.35">
      <c r="C126" s="16" t="s">
        <v>12</v>
      </c>
      <c r="D126" s="17"/>
      <c r="E126" s="17" t="s">
        <v>12</v>
      </c>
      <c r="F126" s="17" t="s">
        <v>12</v>
      </c>
      <c r="G126" s="17" t="s">
        <v>12</v>
      </c>
      <c r="H126" s="17" t="s">
        <v>12</v>
      </c>
      <c r="I126" s="80" t="s">
        <v>12</v>
      </c>
      <c r="J126" s="80"/>
      <c r="K126" s="17" t="s">
        <v>12</v>
      </c>
      <c r="L126" s="17"/>
      <c r="M126" s="18" t="s">
        <v>12</v>
      </c>
    </row>
    <row r="127" spans="1:13" s="15" customFormat="1" ht="13.5" customHeight="1" x14ac:dyDescent="0.35">
      <c r="C127" s="16" t="s">
        <v>12</v>
      </c>
      <c r="D127" s="17"/>
      <c r="E127" s="17" t="s">
        <v>12</v>
      </c>
      <c r="F127" s="17" t="s">
        <v>12</v>
      </c>
      <c r="G127" s="17" t="s">
        <v>12</v>
      </c>
      <c r="H127" s="17" t="s">
        <v>12</v>
      </c>
      <c r="I127" s="80" t="s">
        <v>12</v>
      </c>
      <c r="J127" s="80"/>
      <c r="K127" s="17" t="s">
        <v>12</v>
      </c>
      <c r="L127" s="17"/>
      <c r="M127" s="18" t="s">
        <v>12</v>
      </c>
    </row>
    <row r="128" spans="1:13" s="15" customFormat="1" ht="13.5" customHeight="1" x14ac:dyDescent="0.35">
      <c r="C128" s="16" t="s">
        <v>12</v>
      </c>
      <c r="D128" s="17"/>
      <c r="E128" s="17" t="s">
        <v>12</v>
      </c>
      <c r="F128" s="17" t="s">
        <v>12</v>
      </c>
      <c r="G128" s="17" t="s">
        <v>12</v>
      </c>
      <c r="H128" s="17" t="s">
        <v>12</v>
      </c>
      <c r="I128" s="80" t="s">
        <v>12</v>
      </c>
      <c r="J128" s="80"/>
      <c r="K128" s="17" t="s">
        <v>12</v>
      </c>
      <c r="L128" s="17"/>
      <c r="M128" s="18" t="s">
        <v>12</v>
      </c>
    </row>
  </sheetData>
  <mergeCells count="7">
    <mergeCell ref="A119:M119"/>
    <mergeCell ref="C2:F2"/>
    <mergeCell ref="C4:C6"/>
    <mergeCell ref="D4:E4"/>
    <mergeCell ref="G4:J4"/>
    <mergeCell ref="M4:M6"/>
    <mergeCell ref="A5:A6"/>
  </mergeCells>
  <conditionalFormatting sqref="F9:K118">
    <cfRule type="cellIs" dxfId="4" priority="1" operator="equal">
      <formula>0</formula>
    </cfRule>
    <cfRule type="cellIs" dxfId="3" priority="2" operator="greaterThan">
      <formula>100</formula>
    </cfRule>
    <cfRule type="cellIs" dxfId="2" priority="3" operator="between">
      <formula>10</formula>
      <formula>100</formula>
    </cfRule>
    <cfRule type="cellIs" dxfId="1" priority="4" operator="between">
      <formula>1</formula>
      <formula>10</formula>
    </cfRule>
    <cfRule type="cellIs" dxfId="0" priority="5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Fournisseurs</vt:lpstr>
      <vt:lpstr>Hypothèses</vt:lpstr>
      <vt:lpstr>Données complémentaires</vt:lpstr>
      <vt:lpstr>Mesures d'encouragement</vt:lpstr>
      <vt:lpstr>Energie KBOB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Frossard Mija</dc:creator>
  <cp:lastModifiedBy>Lecorney Stéphane</cp:lastModifiedBy>
  <dcterms:created xsi:type="dcterms:W3CDTF">2022-03-29T16:06:47Z</dcterms:created>
  <dcterms:modified xsi:type="dcterms:W3CDTF">2022-07-18T10:08:49Z</dcterms:modified>
</cp:coreProperties>
</file>