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eticstrategies-my.sharepoint.com/personal/michael_angeles_noetic-inc_net/Documents/Documents/Venus/"/>
    </mc:Choice>
  </mc:AlternateContent>
  <xr:revisionPtr revIDLastSave="6" documentId="11_81F471BB3E03E0818F364F734F3DADC7FF6C5A5A" xr6:coauthVersionLast="45" xr6:coauthVersionMax="45" xr10:uidLastSave="{E7334836-1EEE-48E5-A5F5-B98236B209C0}"/>
  <bookViews>
    <workbookView xWindow="-120" yWindow="-120" windowWidth="29040" windowHeight="15990" tabRatio="500" activeTab="5" xr2:uid="{00000000-000D-0000-FFFF-FFFF00000000}"/>
  </bookViews>
  <sheets>
    <sheet name="Phi_Less_Than_35" sheetId="1" r:id="rId1"/>
    <sheet name="Phi_BW_35_55" sheetId="2" r:id="rId2"/>
    <sheet name="Phi_BW_50_70" sheetId="3" r:id="rId3"/>
    <sheet name="Phi_BW_70_80" sheetId="4" r:id="rId4"/>
    <sheet name="Phi_85" sheetId="5" r:id="rId5"/>
    <sheet name="Density" sheetId="6" r:id="rId6"/>
    <sheet name="Sheet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U18" i="6" s="1"/>
  <c r="I19" i="6"/>
  <c r="I20" i="6"/>
  <c r="I21" i="6"/>
  <c r="I22" i="6"/>
  <c r="I23" i="6"/>
  <c r="I24" i="6"/>
  <c r="I25" i="6"/>
  <c r="I26" i="6"/>
  <c r="U26" i="6" s="1"/>
  <c r="I27" i="6"/>
  <c r="I28" i="6"/>
  <c r="I3" i="6"/>
  <c r="Q54" i="6"/>
  <c r="T54" i="6" s="1"/>
  <c r="P54" i="6"/>
  <c r="S54" i="6" s="1"/>
  <c r="O54" i="6"/>
  <c r="R54" i="6" s="1"/>
  <c r="U54" i="6" s="1"/>
  <c r="N54" i="6"/>
  <c r="M54" i="6"/>
  <c r="R53" i="6"/>
  <c r="U53" i="6" s="1"/>
  <c r="Q53" i="6"/>
  <c r="T53" i="6" s="1"/>
  <c r="P53" i="6"/>
  <c r="S53" i="6" s="1"/>
  <c r="O53" i="6"/>
  <c r="N53" i="6"/>
  <c r="M53" i="6"/>
  <c r="S52" i="6"/>
  <c r="R52" i="6"/>
  <c r="U52" i="6" s="1"/>
  <c r="Q52" i="6"/>
  <c r="T52" i="6" s="1"/>
  <c r="P52" i="6"/>
  <c r="O52" i="6"/>
  <c r="N52" i="6"/>
  <c r="M52" i="6"/>
  <c r="T51" i="6"/>
  <c r="S51" i="6"/>
  <c r="R51" i="6"/>
  <c r="U51" i="6" s="1"/>
  <c r="Q51" i="6"/>
  <c r="P51" i="6"/>
  <c r="O51" i="6"/>
  <c r="N51" i="6"/>
  <c r="M51" i="6"/>
  <c r="U50" i="6"/>
  <c r="T50" i="6"/>
  <c r="R50" i="6"/>
  <c r="Q50" i="6"/>
  <c r="O50" i="6"/>
  <c r="N50" i="6"/>
  <c r="M50" i="6"/>
  <c r="P50" i="6" s="1"/>
  <c r="S50" i="6" s="1"/>
  <c r="U49" i="6"/>
  <c r="R49" i="6"/>
  <c r="O49" i="6"/>
  <c r="N49" i="6"/>
  <c r="Q49" i="6" s="1"/>
  <c r="T49" i="6" s="1"/>
  <c r="M49" i="6"/>
  <c r="P49" i="6" s="1"/>
  <c r="S49" i="6" s="1"/>
  <c r="O48" i="6"/>
  <c r="R48" i="6" s="1"/>
  <c r="U48" i="6" s="1"/>
  <c r="N48" i="6"/>
  <c r="Q48" i="6" s="1"/>
  <c r="T48" i="6" s="1"/>
  <c r="M48" i="6"/>
  <c r="P48" i="6" s="1"/>
  <c r="S48" i="6" s="1"/>
  <c r="P47" i="6"/>
  <c r="S47" i="6" s="1"/>
  <c r="O47" i="6"/>
  <c r="R47" i="6" s="1"/>
  <c r="U47" i="6" s="1"/>
  <c r="N47" i="6"/>
  <c r="Q47" i="6" s="1"/>
  <c r="T47" i="6" s="1"/>
  <c r="M47" i="6"/>
  <c r="Q46" i="6"/>
  <c r="T46" i="6" s="1"/>
  <c r="P46" i="6"/>
  <c r="S46" i="6" s="1"/>
  <c r="O46" i="6"/>
  <c r="R46" i="6" s="1"/>
  <c r="U46" i="6" s="1"/>
  <c r="N46" i="6"/>
  <c r="M46" i="6"/>
  <c r="R45" i="6"/>
  <c r="U45" i="6" s="1"/>
  <c r="Q45" i="6"/>
  <c r="T45" i="6" s="1"/>
  <c r="P45" i="6"/>
  <c r="S45" i="6" s="1"/>
  <c r="O45" i="6"/>
  <c r="N45" i="6"/>
  <c r="M45" i="6"/>
  <c r="S44" i="6"/>
  <c r="R44" i="6"/>
  <c r="U44" i="6" s="1"/>
  <c r="Q44" i="6"/>
  <c r="T44" i="6" s="1"/>
  <c r="P44" i="6"/>
  <c r="O44" i="6"/>
  <c r="N44" i="6"/>
  <c r="M44" i="6"/>
  <c r="T43" i="6"/>
  <c r="S43" i="6"/>
  <c r="R43" i="6"/>
  <c r="U43" i="6" s="1"/>
  <c r="Q43" i="6"/>
  <c r="P43" i="6"/>
  <c r="O43" i="6"/>
  <c r="N43" i="6"/>
  <c r="M43" i="6"/>
  <c r="U42" i="6"/>
  <c r="T42" i="6"/>
  <c r="R42" i="6"/>
  <c r="Q42" i="6"/>
  <c r="O42" i="6"/>
  <c r="N42" i="6"/>
  <c r="M42" i="6"/>
  <c r="P42" i="6" s="1"/>
  <c r="S42" i="6" s="1"/>
  <c r="U41" i="6"/>
  <c r="R41" i="6"/>
  <c r="O41" i="6"/>
  <c r="N41" i="6"/>
  <c r="Q41" i="6" s="1"/>
  <c r="T41" i="6" s="1"/>
  <c r="M41" i="6"/>
  <c r="P41" i="6" s="1"/>
  <c r="S41" i="6" s="1"/>
  <c r="O40" i="6"/>
  <c r="R40" i="6" s="1"/>
  <c r="U40" i="6" s="1"/>
  <c r="N40" i="6"/>
  <c r="Q40" i="6" s="1"/>
  <c r="T40" i="6" s="1"/>
  <c r="M40" i="6"/>
  <c r="P40" i="6" s="1"/>
  <c r="S40" i="6" s="1"/>
  <c r="P39" i="6"/>
  <c r="S39" i="6" s="1"/>
  <c r="O39" i="6"/>
  <c r="R39" i="6" s="1"/>
  <c r="U39" i="6" s="1"/>
  <c r="N39" i="6"/>
  <c r="Q39" i="6" s="1"/>
  <c r="T39" i="6" s="1"/>
  <c r="M39" i="6"/>
  <c r="Q38" i="6"/>
  <c r="T38" i="6" s="1"/>
  <c r="P38" i="6"/>
  <c r="S38" i="6" s="1"/>
  <c r="O38" i="6"/>
  <c r="R38" i="6" s="1"/>
  <c r="U38" i="6" s="1"/>
  <c r="N38" i="6"/>
  <c r="M38" i="6"/>
  <c r="R37" i="6"/>
  <c r="U37" i="6" s="1"/>
  <c r="Q37" i="6"/>
  <c r="T37" i="6" s="1"/>
  <c r="P37" i="6"/>
  <c r="S37" i="6" s="1"/>
  <c r="O37" i="6"/>
  <c r="N37" i="6"/>
  <c r="M37" i="6"/>
  <c r="S36" i="6"/>
  <c r="R36" i="6"/>
  <c r="U36" i="6" s="1"/>
  <c r="Q36" i="6"/>
  <c r="T36" i="6" s="1"/>
  <c r="P36" i="6"/>
  <c r="O36" i="6"/>
  <c r="N36" i="6"/>
  <c r="M36" i="6"/>
  <c r="T35" i="6"/>
  <c r="S35" i="6"/>
  <c r="R35" i="6"/>
  <c r="U35" i="6" s="1"/>
  <c r="Q35" i="6"/>
  <c r="P35" i="6"/>
  <c r="O35" i="6"/>
  <c r="N35" i="6"/>
  <c r="M35" i="6"/>
  <c r="U34" i="6"/>
  <c r="R34" i="6"/>
  <c r="O34" i="6"/>
  <c r="N34" i="6"/>
  <c r="Q34" i="6" s="1"/>
  <c r="T34" i="6" s="1"/>
  <c r="M34" i="6"/>
  <c r="P34" i="6" s="1"/>
  <c r="S34" i="6" s="1"/>
  <c r="O33" i="6"/>
  <c r="R33" i="6" s="1"/>
  <c r="U33" i="6" s="1"/>
  <c r="N33" i="6"/>
  <c r="Q33" i="6" s="1"/>
  <c r="T33" i="6" s="1"/>
  <c r="M33" i="6"/>
  <c r="P33" i="6" s="1"/>
  <c r="S33" i="6" s="1"/>
  <c r="O32" i="6"/>
  <c r="R32" i="6" s="1"/>
  <c r="U32" i="6" s="1"/>
  <c r="N32" i="6"/>
  <c r="Q32" i="6" s="1"/>
  <c r="T32" i="6" s="1"/>
  <c r="M32" i="6"/>
  <c r="P32" i="6" s="1"/>
  <c r="S32" i="6" s="1"/>
  <c r="P31" i="6"/>
  <c r="S31" i="6" s="1"/>
  <c r="O31" i="6"/>
  <c r="R31" i="6" s="1"/>
  <c r="U31" i="6" s="1"/>
  <c r="N31" i="6"/>
  <c r="Q31" i="6" s="1"/>
  <c r="T31" i="6" s="1"/>
  <c r="M31" i="6"/>
  <c r="Q30" i="6"/>
  <c r="T30" i="6" s="1"/>
  <c r="P30" i="6"/>
  <c r="S30" i="6" s="1"/>
  <c r="O30" i="6"/>
  <c r="R30" i="6" s="1"/>
  <c r="U30" i="6" s="1"/>
  <c r="N30" i="6"/>
  <c r="M30" i="6"/>
  <c r="R29" i="6"/>
  <c r="U29" i="6" s="1"/>
  <c r="Q29" i="6"/>
  <c r="T29" i="6" s="1"/>
  <c r="P29" i="6"/>
  <c r="S29" i="6" s="1"/>
  <c r="O29" i="6"/>
  <c r="N29" i="6"/>
  <c r="M29" i="6"/>
  <c r="M28" i="6"/>
  <c r="E28" i="6"/>
  <c r="Q28" i="6" s="1"/>
  <c r="T28" i="6" s="1"/>
  <c r="D28" i="6"/>
  <c r="P28" i="6" s="1"/>
  <c r="S28" i="6" s="1"/>
  <c r="C28" i="6"/>
  <c r="O28" i="6" s="1"/>
  <c r="R28" i="6" s="1"/>
  <c r="U28" i="6" s="1"/>
  <c r="B28" i="6"/>
  <c r="N28" i="6" s="1"/>
  <c r="P27" i="6"/>
  <c r="S27" i="6" s="1"/>
  <c r="O27" i="6"/>
  <c r="R27" i="6" s="1"/>
  <c r="N27" i="6"/>
  <c r="M27" i="6"/>
  <c r="E27" i="6"/>
  <c r="Q27" i="6" s="1"/>
  <c r="T27" i="6" s="1"/>
  <c r="D27" i="6"/>
  <c r="C27" i="6"/>
  <c r="B27" i="6"/>
  <c r="M26" i="6"/>
  <c r="E26" i="6"/>
  <c r="D26" i="6"/>
  <c r="C26" i="6"/>
  <c r="O26" i="6" s="1"/>
  <c r="R26" i="6" s="1"/>
  <c r="B26" i="6"/>
  <c r="N26" i="6" s="1"/>
  <c r="Q26" i="6" s="1"/>
  <c r="T26" i="6" s="1"/>
  <c r="R25" i="6"/>
  <c r="P25" i="6"/>
  <c r="S25" i="6" s="1"/>
  <c r="N25" i="6"/>
  <c r="Q25" i="6" s="1"/>
  <c r="T25" i="6" s="1"/>
  <c r="M25" i="6"/>
  <c r="E25" i="6"/>
  <c r="D25" i="6"/>
  <c r="C25" i="6"/>
  <c r="O25" i="6" s="1"/>
  <c r="B25" i="6"/>
  <c r="O24" i="6"/>
  <c r="R24" i="6" s="1"/>
  <c r="M24" i="6"/>
  <c r="E24" i="6"/>
  <c r="Q24" i="6" s="1"/>
  <c r="T24" i="6" s="1"/>
  <c r="D24" i="6"/>
  <c r="P24" i="6" s="1"/>
  <c r="S24" i="6" s="1"/>
  <c r="C24" i="6"/>
  <c r="B24" i="6"/>
  <c r="N24" i="6" s="1"/>
  <c r="P23" i="6"/>
  <c r="S23" i="6" s="1"/>
  <c r="M23" i="6"/>
  <c r="E23" i="6"/>
  <c r="D23" i="6"/>
  <c r="C23" i="6"/>
  <c r="O23" i="6" s="1"/>
  <c r="R23" i="6" s="1"/>
  <c r="U23" i="6" s="1"/>
  <c r="B23" i="6"/>
  <c r="N23" i="6" s="1"/>
  <c r="O22" i="6"/>
  <c r="R22" i="6" s="1"/>
  <c r="M22" i="6"/>
  <c r="E22" i="6"/>
  <c r="D22" i="6"/>
  <c r="P22" i="6" s="1"/>
  <c r="S22" i="6" s="1"/>
  <c r="C22" i="6"/>
  <c r="B22" i="6"/>
  <c r="N22" i="6" s="1"/>
  <c r="Q22" i="6" s="1"/>
  <c r="T22" i="6" s="1"/>
  <c r="N21" i="6"/>
  <c r="M21" i="6"/>
  <c r="E21" i="6"/>
  <c r="Q21" i="6" s="1"/>
  <c r="T21" i="6" s="1"/>
  <c r="D21" i="6"/>
  <c r="P21" i="6" s="1"/>
  <c r="S21" i="6" s="1"/>
  <c r="C21" i="6"/>
  <c r="O21" i="6" s="1"/>
  <c r="R21" i="6" s="1"/>
  <c r="U21" i="6" s="1"/>
  <c r="B21" i="6"/>
  <c r="S20" i="6"/>
  <c r="O20" i="6"/>
  <c r="R20" i="6" s="1"/>
  <c r="U20" i="6" s="1"/>
  <c r="M20" i="6"/>
  <c r="E20" i="6"/>
  <c r="D20" i="6"/>
  <c r="P20" i="6" s="1"/>
  <c r="C20" i="6"/>
  <c r="B20" i="6"/>
  <c r="N20" i="6" s="1"/>
  <c r="Q20" i="6" s="1"/>
  <c r="T20" i="6" s="1"/>
  <c r="P19" i="6"/>
  <c r="S19" i="6" s="1"/>
  <c r="O19" i="6"/>
  <c r="R19" i="6" s="1"/>
  <c r="N19" i="6"/>
  <c r="M19" i="6"/>
  <c r="E19" i="6"/>
  <c r="Q19" i="6" s="1"/>
  <c r="T19" i="6" s="1"/>
  <c r="D19" i="6"/>
  <c r="C19" i="6"/>
  <c r="B19" i="6"/>
  <c r="M18" i="6"/>
  <c r="E18" i="6"/>
  <c r="D18" i="6"/>
  <c r="P18" i="6" s="1"/>
  <c r="S18" i="6" s="1"/>
  <c r="C18" i="6"/>
  <c r="O18" i="6" s="1"/>
  <c r="R18" i="6" s="1"/>
  <c r="B18" i="6"/>
  <c r="N18" i="6" s="1"/>
  <c r="Q18" i="6" s="1"/>
  <c r="T18" i="6" s="1"/>
  <c r="R17" i="6"/>
  <c r="P17" i="6"/>
  <c r="S17" i="6" s="1"/>
  <c r="N17" i="6"/>
  <c r="Q17" i="6" s="1"/>
  <c r="T17" i="6" s="1"/>
  <c r="M17" i="6"/>
  <c r="E17" i="6"/>
  <c r="D17" i="6"/>
  <c r="C17" i="6"/>
  <c r="O17" i="6" s="1"/>
  <c r="B17" i="6"/>
  <c r="O16" i="6"/>
  <c r="R16" i="6" s="1"/>
  <c r="N16" i="6"/>
  <c r="M16" i="6"/>
  <c r="E16" i="6"/>
  <c r="Q16" i="6" s="1"/>
  <c r="T16" i="6" s="1"/>
  <c r="D16" i="6"/>
  <c r="P16" i="6" s="1"/>
  <c r="S16" i="6" s="1"/>
  <c r="C16" i="6"/>
  <c r="B16" i="6"/>
  <c r="T15" i="6"/>
  <c r="P15" i="6"/>
  <c r="S15" i="6" s="1"/>
  <c r="M15" i="6"/>
  <c r="E15" i="6"/>
  <c r="Q15" i="6" s="1"/>
  <c r="D15" i="6"/>
  <c r="C15" i="6"/>
  <c r="O15" i="6" s="1"/>
  <c r="R15" i="6" s="1"/>
  <c r="B15" i="6"/>
  <c r="N15" i="6" s="1"/>
  <c r="U14" i="6"/>
  <c r="Q14" i="6"/>
  <c r="T14" i="6" s="1"/>
  <c r="O14" i="6"/>
  <c r="R14" i="6" s="1"/>
  <c r="M14" i="6"/>
  <c r="P14" i="6" s="1"/>
  <c r="S14" i="6" s="1"/>
  <c r="E14" i="6"/>
  <c r="D14" i="6"/>
  <c r="C14" i="6"/>
  <c r="B14" i="6"/>
  <c r="N14" i="6" s="1"/>
  <c r="R13" i="6"/>
  <c r="U13" i="6" s="1"/>
  <c r="N13" i="6"/>
  <c r="M13" i="6"/>
  <c r="E13" i="6"/>
  <c r="D13" i="6"/>
  <c r="P13" i="6" s="1"/>
  <c r="S13" i="6" s="1"/>
  <c r="C13" i="6"/>
  <c r="O13" i="6" s="1"/>
  <c r="B13" i="6"/>
  <c r="O12" i="6"/>
  <c r="R12" i="6" s="1"/>
  <c r="U12" i="6" s="1"/>
  <c r="M12" i="6"/>
  <c r="E12" i="6"/>
  <c r="D12" i="6"/>
  <c r="P12" i="6" s="1"/>
  <c r="S12" i="6" s="1"/>
  <c r="C12" i="6"/>
  <c r="B12" i="6"/>
  <c r="N12" i="6" s="1"/>
  <c r="Q12" i="6" s="1"/>
  <c r="T12" i="6" s="1"/>
  <c r="T11" i="6"/>
  <c r="P11" i="6"/>
  <c r="S11" i="6" s="1"/>
  <c r="O11" i="6"/>
  <c r="R11" i="6" s="1"/>
  <c r="N11" i="6"/>
  <c r="M11" i="6"/>
  <c r="E11" i="6"/>
  <c r="Q11" i="6" s="1"/>
  <c r="D11" i="6"/>
  <c r="C11" i="6"/>
  <c r="B11" i="6"/>
  <c r="Q10" i="6"/>
  <c r="T10" i="6" s="1"/>
  <c r="M10" i="6"/>
  <c r="E10" i="6"/>
  <c r="D10" i="6"/>
  <c r="C10" i="6"/>
  <c r="O10" i="6" s="1"/>
  <c r="R10" i="6" s="1"/>
  <c r="B10" i="6"/>
  <c r="N10" i="6" s="1"/>
  <c r="R9" i="6"/>
  <c r="P9" i="6"/>
  <c r="S9" i="6" s="1"/>
  <c r="N9" i="6"/>
  <c r="Q9" i="6" s="1"/>
  <c r="T9" i="6" s="1"/>
  <c r="M9" i="6"/>
  <c r="E9" i="6"/>
  <c r="D9" i="6"/>
  <c r="C9" i="6"/>
  <c r="O9" i="6" s="1"/>
  <c r="B9" i="6"/>
  <c r="S8" i="6"/>
  <c r="O8" i="6"/>
  <c r="R8" i="6" s="1"/>
  <c r="N8" i="6"/>
  <c r="M8" i="6"/>
  <c r="E8" i="6"/>
  <c r="Q8" i="6" s="1"/>
  <c r="T8" i="6" s="1"/>
  <c r="D8" i="6"/>
  <c r="P8" i="6" s="1"/>
  <c r="C8" i="6"/>
  <c r="B8" i="6"/>
  <c r="T7" i="6"/>
  <c r="P7" i="6"/>
  <c r="S7" i="6" s="1"/>
  <c r="M7" i="6"/>
  <c r="E7" i="6"/>
  <c r="Q7" i="6" s="1"/>
  <c r="D7" i="6"/>
  <c r="C7" i="6"/>
  <c r="O7" i="6" s="1"/>
  <c r="R7" i="6" s="1"/>
  <c r="U7" i="6" s="1"/>
  <c r="B7" i="6"/>
  <c r="N7" i="6" s="1"/>
  <c r="Q6" i="6"/>
  <c r="T6" i="6" s="1"/>
  <c r="O6" i="6"/>
  <c r="R6" i="6" s="1"/>
  <c r="U6" i="6" s="1"/>
  <c r="M6" i="6"/>
  <c r="P6" i="6" s="1"/>
  <c r="S6" i="6" s="1"/>
  <c r="E6" i="6"/>
  <c r="D6" i="6"/>
  <c r="C6" i="6"/>
  <c r="B6" i="6"/>
  <c r="N6" i="6" s="1"/>
  <c r="N5" i="6"/>
  <c r="M5" i="6"/>
  <c r="E5" i="6"/>
  <c r="Q5" i="6" s="1"/>
  <c r="T5" i="6" s="1"/>
  <c r="D5" i="6"/>
  <c r="P5" i="6" s="1"/>
  <c r="S5" i="6" s="1"/>
  <c r="C5" i="6"/>
  <c r="O5" i="6" s="1"/>
  <c r="R5" i="6" s="1"/>
  <c r="U5" i="6" s="1"/>
  <c r="B5" i="6"/>
  <c r="O4" i="6"/>
  <c r="R4" i="6" s="1"/>
  <c r="U4" i="6" s="1"/>
  <c r="M4" i="6"/>
  <c r="E4" i="6"/>
  <c r="D4" i="6"/>
  <c r="P4" i="6" s="1"/>
  <c r="S4" i="6" s="1"/>
  <c r="C4" i="6"/>
  <c r="B4" i="6"/>
  <c r="N4" i="6" s="1"/>
  <c r="Q4" i="6" s="1"/>
  <c r="T4" i="6" s="1"/>
  <c r="E3" i="6"/>
  <c r="D3" i="6"/>
  <c r="C3" i="6"/>
  <c r="B3" i="6"/>
  <c r="T54" i="5"/>
  <c r="R54" i="5"/>
  <c r="P54" i="5"/>
  <c r="O54" i="5"/>
  <c r="M54" i="5"/>
  <c r="I54" i="5"/>
  <c r="U54" i="5" s="1"/>
  <c r="H54" i="5"/>
  <c r="G54" i="5"/>
  <c r="S54" i="5" s="1"/>
  <c r="F54" i="5"/>
  <c r="E54" i="5"/>
  <c r="Q54" i="5" s="1"/>
  <c r="D54" i="5"/>
  <c r="C54" i="5"/>
  <c r="B54" i="5"/>
  <c r="N54" i="5" s="1"/>
  <c r="U53" i="5"/>
  <c r="S53" i="5"/>
  <c r="Q53" i="5"/>
  <c r="P53" i="5"/>
  <c r="M53" i="5"/>
  <c r="I53" i="5"/>
  <c r="H53" i="5"/>
  <c r="T53" i="5" s="1"/>
  <c r="G53" i="5"/>
  <c r="F53" i="5"/>
  <c r="R53" i="5" s="1"/>
  <c r="E53" i="5"/>
  <c r="D53" i="5"/>
  <c r="C53" i="5"/>
  <c r="O53" i="5" s="1"/>
  <c r="B53" i="5"/>
  <c r="N53" i="5" s="1"/>
  <c r="T52" i="5"/>
  <c r="R52" i="5"/>
  <c r="Q52" i="5"/>
  <c r="N52" i="5"/>
  <c r="M52" i="5"/>
  <c r="I52" i="5"/>
  <c r="U52" i="5" s="1"/>
  <c r="H52" i="5"/>
  <c r="G52" i="5"/>
  <c r="S52" i="5" s="1"/>
  <c r="F52" i="5"/>
  <c r="E52" i="5"/>
  <c r="D52" i="5"/>
  <c r="P52" i="5" s="1"/>
  <c r="C52" i="5"/>
  <c r="O52" i="5" s="1"/>
  <c r="B52" i="5"/>
  <c r="U51" i="5"/>
  <c r="S51" i="5"/>
  <c r="R51" i="5"/>
  <c r="O51" i="5"/>
  <c r="M51" i="5"/>
  <c r="I51" i="5"/>
  <c r="H51" i="5"/>
  <c r="T51" i="5" s="1"/>
  <c r="G51" i="5"/>
  <c r="F51" i="5"/>
  <c r="E51" i="5"/>
  <c r="Q51" i="5" s="1"/>
  <c r="D51" i="5"/>
  <c r="P51" i="5" s="1"/>
  <c r="C51" i="5"/>
  <c r="B51" i="5"/>
  <c r="N51" i="5" s="1"/>
  <c r="T50" i="5"/>
  <c r="S50" i="5"/>
  <c r="P50" i="5"/>
  <c r="N50" i="5"/>
  <c r="M50" i="5"/>
  <c r="I50" i="5"/>
  <c r="U50" i="5" s="1"/>
  <c r="H50" i="5"/>
  <c r="G50" i="5"/>
  <c r="F50" i="5"/>
  <c r="R50" i="5" s="1"/>
  <c r="E50" i="5"/>
  <c r="Q50" i="5" s="1"/>
  <c r="D50" i="5"/>
  <c r="C50" i="5"/>
  <c r="O50" i="5" s="1"/>
  <c r="B50" i="5"/>
  <c r="U49" i="5"/>
  <c r="T49" i="5"/>
  <c r="Q49" i="5"/>
  <c r="O49" i="5"/>
  <c r="M49" i="5"/>
  <c r="I49" i="5"/>
  <c r="H49" i="5"/>
  <c r="G49" i="5"/>
  <c r="S49" i="5" s="1"/>
  <c r="F49" i="5"/>
  <c r="R49" i="5" s="1"/>
  <c r="E49" i="5"/>
  <c r="D49" i="5"/>
  <c r="P49" i="5" s="1"/>
  <c r="C49" i="5"/>
  <c r="B49" i="5"/>
  <c r="N49" i="5" s="1"/>
  <c r="U48" i="5"/>
  <c r="R48" i="5"/>
  <c r="P48" i="5"/>
  <c r="N48" i="5"/>
  <c r="M48" i="5"/>
  <c r="I48" i="5"/>
  <c r="H48" i="5"/>
  <c r="T48" i="5" s="1"/>
  <c r="G48" i="5"/>
  <c r="S48" i="5" s="1"/>
  <c r="F48" i="5"/>
  <c r="E48" i="5"/>
  <c r="Q48" i="5" s="1"/>
  <c r="D48" i="5"/>
  <c r="C48" i="5"/>
  <c r="O48" i="5" s="1"/>
  <c r="B48" i="5"/>
  <c r="S47" i="5"/>
  <c r="Q47" i="5"/>
  <c r="O47" i="5"/>
  <c r="N47" i="5"/>
  <c r="M47" i="5"/>
  <c r="I47" i="5"/>
  <c r="U47" i="5" s="1"/>
  <c r="H47" i="5"/>
  <c r="T47" i="5" s="1"/>
  <c r="G47" i="5"/>
  <c r="F47" i="5"/>
  <c r="R47" i="5" s="1"/>
  <c r="E47" i="5"/>
  <c r="D47" i="5"/>
  <c r="P47" i="5" s="1"/>
  <c r="C47" i="5"/>
  <c r="B47" i="5"/>
  <c r="T46" i="5"/>
  <c r="R46" i="5"/>
  <c r="P46" i="5"/>
  <c r="O46" i="5"/>
  <c r="M46" i="5"/>
  <c r="I46" i="5"/>
  <c r="U46" i="5" s="1"/>
  <c r="H46" i="5"/>
  <c r="G46" i="5"/>
  <c r="S46" i="5" s="1"/>
  <c r="F46" i="5"/>
  <c r="E46" i="5"/>
  <c r="Q46" i="5" s="1"/>
  <c r="D46" i="5"/>
  <c r="C46" i="5"/>
  <c r="B46" i="5"/>
  <c r="N46" i="5" s="1"/>
  <c r="U45" i="5"/>
  <c r="S45" i="5"/>
  <c r="Q45" i="5"/>
  <c r="P45" i="5"/>
  <c r="M45" i="5"/>
  <c r="I45" i="5"/>
  <c r="H45" i="5"/>
  <c r="T45" i="5" s="1"/>
  <c r="G45" i="5"/>
  <c r="F45" i="5"/>
  <c r="R45" i="5" s="1"/>
  <c r="E45" i="5"/>
  <c r="D45" i="5"/>
  <c r="C45" i="5"/>
  <c r="O45" i="5" s="1"/>
  <c r="B45" i="5"/>
  <c r="N45" i="5" s="1"/>
  <c r="T44" i="5"/>
  <c r="R44" i="5"/>
  <c r="Q44" i="5"/>
  <c r="N44" i="5"/>
  <c r="M44" i="5"/>
  <c r="I44" i="5"/>
  <c r="U44" i="5" s="1"/>
  <c r="H44" i="5"/>
  <c r="G44" i="5"/>
  <c r="S44" i="5" s="1"/>
  <c r="F44" i="5"/>
  <c r="E44" i="5"/>
  <c r="D44" i="5"/>
  <c r="P44" i="5" s="1"/>
  <c r="C44" i="5"/>
  <c r="O44" i="5" s="1"/>
  <c r="B44" i="5"/>
  <c r="U43" i="5"/>
  <c r="S43" i="5"/>
  <c r="R43" i="5"/>
  <c r="O43" i="5"/>
  <c r="M43" i="5"/>
  <c r="I43" i="5"/>
  <c r="H43" i="5"/>
  <c r="T43" i="5" s="1"/>
  <c r="G43" i="5"/>
  <c r="F43" i="5"/>
  <c r="E43" i="5"/>
  <c r="Q43" i="5" s="1"/>
  <c r="D43" i="5"/>
  <c r="P43" i="5" s="1"/>
  <c r="C43" i="5"/>
  <c r="B43" i="5"/>
  <c r="N43" i="5" s="1"/>
  <c r="T42" i="5"/>
  <c r="S42" i="5"/>
  <c r="P42" i="5"/>
  <c r="N42" i="5"/>
  <c r="M42" i="5"/>
  <c r="I42" i="5"/>
  <c r="U42" i="5" s="1"/>
  <c r="H42" i="5"/>
  <c r="G42" i="5"/>
  <c r="F42" i="5"/>
  <c r="R42" i="5" s="1"/>
  <c r="E42" i="5"/>
  <c r="Q42" i="5" s="1"/>
  <c r="D42" i="5"/>
  <c r="C42" i="5"/>
  <c r="O42" i="5" s="1"/>
  <c r="B42" i="5"/>
  <c r="U41" i="5"/>
  <c r="T41" i="5"/>
  <c r="Q41" i="5"/>
  <c r="O41" i="5"/>
  <c r="M41" i="5"/>
  <c r="I41" i="5"/>
  <c r="H41" i="5"/>
  <c r="G41" i="5"/>
  <c r="S41" i="5" s="1"/>
  <c r="F41" i="5"/>
  <c r="R41" i="5" s="1"/>
  <c r="E41" i="5"/>
  <c r="D41" i="5"/>
  <c r="P41" i="5" s="1"/>
  <c r="C41" i="5"/>
  <c r="B41" i="5"/>
  <c r="N41" i="5" s="1"/>
  <c r="U40" i="5"/>
  <c r="R40" i="5"/>
  <c r="P40" i="5"/>
  <c r="N40" i="5"/>
  <c r="M40" i="5"/>
  <c r="I40" i="5"/>
  <c r="H40" i="5"/>
  <c r="T40" i="5" s="1"/>
  <c r="G40" i="5"/>
  <c r="S40" i="5" s="1"/>
  <c r="F40" i="5"/>
  <c r="E40" i="5"/>
  <c r="Q40" i="5" s="1"/>
  <c r="D40" i="5"/>
  <c r="C40" i="5"/>
  <c r="O40" i="5" s="1"/>
  <c r="B40" i="5"/>
  <c r="S39" i="5"/>
  <c r="Q39" i="5"/>
  <c r="O39" i="5"/>
  <c r="N39" i="5"/>
  <c r="M39" i="5"/>
  <c r="I39" i="5"/>
  <c r="U39" i="5" s="1"/>
  <c r="H39" i="5"/>
  <c r="T39" i="5" s="1"/>
  <c r="G39" i="5"/>
  <c r="F39" i="5"/>
  <c r="R39" i="5" s="1"/>
  <c r="E39" i="5"/>
  <c r="D39" i="5"/>
  <c r="P39" i="5" s="1"/>
  <c r="C39" i="5"/>
  <c r="B39" i="5"/>
  <c r="T38" i="5"/>
  <c r="R38" i="5"/>
  <c r="P38" i="5"/>
  <c r="O38" i="5"/>
  <c r="M38" i="5"/>
  <c r="I38" i="5"/>
  <c r="U38" i="5" s="1"/>
  <c r="H38" i="5"/>
  <c r="G38" i="5"/>
  <c r="S38" i="5" s="1"/>
  <c r="F38" i="5"/>
  <c r="E38" i="5"/>
  <c r="Q38" i="5" s="1"/>
  <c r="D38" i="5"/>
  <c r="C38" i="5"/>
  <c r="B38" i="5"/>
  <c r="N38" i="5" s="1"/>
  <c r="U37" i="5"/>
  <c r="S37" i="5"/>
  <c r="Q37" i="5"/>
  <c r="P37" i="5"/>
  <c r="M37" i="5"/>
  <c r="I37" i="5"/>
  <c r="H37" i="5"/>
  <c r="T37" i="5" s="1"/>
  <c r="G37" i="5"/>
  <c r="F37" i="5"/>
  <c r="R37" i="5" s="1"/>
  <c r="E37" i="5"/>
  <c r="D37" i="5"/>
  <c r="C37" i="5"/>
  <c r="O37" i="5" s="1"/>
  <c r="B37" i="5"/>
  <c r="N37" i="5" s="1"/>
  <c r="T36" i="5"/>
  <c r="R36" i="5"/>
  <c r="Q36" i="5"/>
  <c r="N36" i="5"/>
  <c r="M36" i="5"/>
  <c r="I36" i="5"/>
  <c r="U36" i="5" s="1"/>
  <c r="H36" i="5"/>
  <c r="G36" i="5"/>
  <c r="S36" i="5" s="1"/>
  <c r="F36" i="5"/>
  <c r="E36" i="5"/>
  <c r="D36" i="5"/>
  <c r="P36" i="5" s="1"/>
  <c r="C36" i="5"/>
  <c r="O36" i="5" s="1"/>
  <c r="B36" i="5"/>
  <c r="U35" i="5"/>
  <c r="S35" i="5"/>
  <c r="R35" i="5"/>
  <c r="O35" i="5"/>
  <c r="M35" i="5"/>
  <c r="I35" i="5"/>
  <c r="H35" i="5"/>
  <c r="T35" i="5" s="1"/>
  <c r="G35" i="5"/>
  <c r="F35" i="5"/>
  <c r="E35" i="5"/>
  <c r="Q35" i="5" s="1"/>
  <c r="D35" i="5"/>
  <c r="P35" i="5" s="1"/>
  <c r="C35" i="5"/>
  <c r="B35" i="5"/>
  <c r="N35" i="5" s="1"/>
  <c r="T34" i="5"/>
  <c r="S34" i="5"/>
  <c r="P34" i="5"/>
  <c r="N34" i="5"/>
  <c r="M34" i="5"/>
  <c r="I34" i="5"/>
  <c r="U34" i="5" s="1"/>
  <c r="H34" i="5"/>
  <c r="G34" i="5"/>
  <c r="F34" i="5"/>
  <c r="R34" i="5" s="1"/>
  <c r="E34" i="5"/>
  <c r="Q34" i="5" s="1"/>
  <c r="D34" i="5"/>
  <c r="C34" i="5"/>
  <c r="O34" i="5" s="1"/>
  <c r="B34" i="5"/>
  <c r="U33" i="5"/>
  <c r="T33" i="5"/>
  <c r="Q33" i="5"/>
  <c r="O33" i="5"/>
  <c r="M33" i="5"/>
  <c r="I33" i="5"/>
  <c r="H33" i="5"/>
  <c r="G33" i="5"/>
  <c r="S33" i="5" s="1"/>
  <c r="F33" i="5"/>
  <c r="R33" i="5" s="1"/>
  <c r="E33" i="5"/>
  <c r="D33" i="5"/>
  <c r="P33" i="5" s="1"/>
  <c r="C33" i="5"/>
  <c r="B33" i="5"/>
  <c r="N33" i="5" s="1"/>
  <c r="U32" i="5"/>
  <c r="R32" i="5"/>
  <c r="P32" i="5"/>
  <c r="N32" i="5"/>
  <c r="M32" i="5"/>
  <c r="I32" i="5"/>
  <c r="H32" i="5"/>
  <c r="T32" i="5" s="1"/>
  <c r="G32" i="5"/>
  <c r="S32" i="5" s="1"/>
  <c r="F32" i="5"/>
  <c r="E32" i="5"/>
  <c r="Q32" i="5" s="1"/>
  <c r="D32" i="5"/>
  <c r="C32" i="5"/>
  <c r="O32" i="5" s="1"/>
  <c r="B32" i="5"/>
  <c r="S31" i="5"/>
  <c r="O31" i="5"/>
  <c r="N31" i="5"/>
  <c r="M31" i="5"/>
  <c r="I31" i="5"/>
  <c r="U31" i="5" s="1"/>
  <c r="H31" i="5"/>
  <c r="T31" i="5" s="1"/>
  <c r="G31" i="5"/>
  <c r="F31" i="5"/>
  <c r="R31" i="5" s="1"/>
  <c r="E31" i="5"/>
  <c r="Q31" i="5" s="1"/>
  <c r="D31" i="5"/>
  <c r="P31" i="5" s="1"/>
  <c r="C31" i="5"/>
  <c r="B31" i="5"/>
  <c r="T30" i="5"/>
  <c r="R30" i="5"/>
  <c r="O30" i="5"/>
  <c r="M30" i="5"/>
  <c r="I30" i="5"/>
  <c r="U30" i="5" s="1"/>
  <c r="H30" i="5"/>
  <c r="G30" i="5"/>
  <c r="S30" i="5" s="1"/>
  <c r="F30" i="5"/>
  <c r="E30" i="5"/>
  <c r="Q30" i="5" s="1"/>
  <c r="D30" i="5"/>
  <c r="P30" i="5" s="1"/>
  <c r="C30" i="5"/>
  <c r="B30" i="5"/>
  <c r="N30" i="5" s="1"/>
  <c r="U29" i="5"/>
  <c r="S29" i="5"/>
  <c r="Q29" i="5"/>
  <c r="P29" i="5"/>
  <c r="M29" i="5"/>
  <c r="I29" i="5"/>
  <c r="H29" i="5"/>
  <c r="T29" i="5" s="1"/>
  <c r="G29" i="5"/>
  <c r="F29" i="5"/>
  <c r="R29" i="5" s="1"/>
  <c r="E29" i="5"/>
  <c r="D29" i="5"/>
  <c r="C29" i="5"/>
  <c r="O29" i="5" s="1"/>
  <c r="B29" i="5"/>
  <c r="N29" i="5" s="1"/>
  <c r="S28" i="5"/>
  <c r="Q28" i="5"/>
  <c r="M28" i="5"/>
  <c r="I28" i="5"/>
  <c r="U28" i="5" s="1"/>
  <c r="H28" i="5"/>
  <c r="T28" i="5" s="1"/>
  <c r="G28" i="5"/>
  <c r="F28" i="5"/>
  <c r="R28" i="5" s="1"/>
  <c r="E28" i="5"/>
  <c r="D28" i="5"/>
  <c r="P28" i="5" s="1"/>
  <c r="C28" i="5"/>
  <c r="O28" i="5" s="1"/>
  <c r="B28" i="5"/>
  <c r="N28" i="5" s="1"/>
  <c r="T27" i="5"/>
  <c r="R27" i="5"/>
  <c r="N27" i="5"/>
  <c r="M27" i="5"/>
  <c r="I27" i="5"/>
  <c r="U27" i="5" s="1"/>
  <c r="H27" i="5"/>
  <c r="G27" i="5"/>
  <c r="S27" i="5" s="1"/>
  <c r="F27" i="5"/>
  <c r="E27" i="5"/>
  <c r="Q27" i="5" s="1"/>
  <c r="D27" i="5"/>
  <c r="P27" i="5" s="1"/>
  <c r="C27" i="5"/>
  <c r="O27" i="5" s="1"/>
  <c r="B27" i="5"/>
  <c r="U26" i="5"/>
  <c r="S26" i="5"/>
  <c r="O26" i="5"/>
  <c r="M26" i="5"/>
  <c r="I26" i="5"/>
  <c r="H26" i="5"/>
  <c r="T26" i="5" s="1"/>
  <c r="G26" i="5"/>
  <c r="F26" i="5"/>
  <c r="R26" i="5" s="1"/>
  <c r="E26" i="5"/>
  <c r="Q26" i="5" s="1"/>
  <c r="D26" i="5"/>
  <c r="P26" i="5" s="1"/>
  <c r="C26" i="5"/>
  <c r="B26" i="5"/>
  <c r="N26" i="5" s="1"/>
  <c r="T25" i="5"/>
  <c r="P25" i="5"/>
  <c r="N25" i="5"/>
  <c r="M25" i="5"/>
  <c r="I25" i="5"/>
  <c r="U25" i="5" s="1"/>
  <c r="H25" i="5"/>
  <c r="G25" i="5"/>
  <c r="S25" i="5" s="1"/>
  <c r="F25" i="5"/>
  <c r="R25" i="5" s="1"/>
  <c r="E25" i="5"/>
  <c r="Q25" i="5" s="1"/>
  <c r="D25" i="5"/>
  <c r="C25" i="5"/>
  <c r="O25" i="5" s="1"/>
  <c r="B25" i="5"/>
  <c r="U24" i="5"/>
  <c r="Q24" i="5"/>
  <c r="O24" i="5"/>
  <c r="M24" i="5"/>
  <c r="I24" i="5"/>
  <c r="H24" i="5"/>
  <c r="T24" i="5" s="1"/>
  <c r="G24" i="5"/>
  <c r="S24" i="5" s="1"/>
  <c r="F24" i="5"/>
  <c r="R24" i="5" s="1"/>
  <c r="E24" i="5"/>
  <c r="D24" i="5"/>
  <c r="P24" i="5" s="1"/>
  <c r="C24" i="5"/>
  <c r="B24" i="5"/>
  <c r="N24" i="5" s="1"/>
  <c r="R23" i="5"/>
  <c r="P23" i="5"/>
  <c r="N23" i="5"/>
  <c r="M23" i="5"/>
  <c r="I23" i="5"/>
  <c r="U23" i="5" s="1"/>
  <c r="H23" i="5"/>
  <c r="T23" i="5" s="1"/>
  <c r="G23" i="5"/>
  <c r="S23" i="5" s="1"/>
  <c r="F23" i="5"/>
  <c r="E23" i="5"/>
  <c r="Q23" i="5" s="1"/>
  <c r="D23" i="5"/>
  <c r="C23" i="5"/>
  <c r="O23" i="5" s="1"/>
  <c r="B23" i="5"/>
  <c r="O22" i="5"/>
  <c r="M22" i="5"/>
  <c r="I22" i="5"/>
  <c r="U22" i="5" s="1"/>
  <c r="H22" i="5"/>
  <c r="T22" i="5" s="1"/>
  <c r="G22" i="5"/>
  <c r="S22" i="5" s="1"/>
  <c r="F22" i="5"/>
  <c r="R22" i="5" s="1"/>
  <c r="E22" i="5"/>
  <c r="Q22" i="5" s="1"/>
  <c r="D22" i="5"/>
  <c r="P22" i="5" s="1"/>
  <c r="C22" i="5"/>
  <c r="B22" i="5"/>
  <c r="N22" i="5" s="1"/>
  <c r="T21" i="5"/>
  <c r="R21" i="5"/>
  <c r="P21" i="5"/>
  <c r="M21" i="5"/>
  <c r="I21" i="5"/>
  <c r="U21" i="5" s="1"/>
  <c r="H21" i="5"/>
  <c r="G21" i="5"/>
  <c r="S21" i="5" s="1"/>
  <c r="F21" i="5"/>
  <c r="E21" i="5"/>
  <c r="Q21" i="5" s="1"/>
  <c r="D21" i="5"/>
  <c r="C21" i="5"/>
  <c r="O21" i="5" s="1"/>
  <c r="B21" i="5"/>
  <c r="N21" i="5" s="1"/>
  <c r="U20" i="5"/>
  <c r="S20" i="5"/>
  <c r="Q20" i="5"/>
  <c r="M20" i="5"/>
  <c r="I20" i="5"/>
  <c r="H20" i="5"/>
  <c r="T20" i="5" s="1"/>
  <c r="G20" i="5"/>
  <c r="F20" i="5"/>
  <c r="R20" i="5" s="1"/>
  <c r="E20" i="5"/>
  <c r="D20" i="5"/>
  <c r="P20" i="5" s="1"/>
  <c r="C20" i="5"/>
  <c r="O20" i="5" s="1"/>
  <c r="B20" i="5"/>
  <c r="N20" i="5" s="1"/>
  <c r="T19" i="5"/>
  <c r="R19" i="5"/>
  <c r="N19" i="5"/>
  <c r="M19" i="5"/>
  <c r="I19" i="5"/>
  <c r="U19" i="5" s="1"/>
  <c r="H19" i="5"/>
  <c r="G19" i="5"/>
  <c r="S19" i="5" s="1"/>
  <c r="F19" i="5"/>
  <c r="E19" i="5"/>
  <c r="Q19" i="5" s="1"/>
  <c r="D19" i="5"/>
  <c r="P19" i="5" s="1"/>
  <c r="C19" i="5"/>
  <c r="O19" i="5" s="1"/>
  <c r="B19" i="5"/>
  <c r="U18" i="5"/>
  <c r="S18" i="5"/>
  <c r="O18" i="5"/>
  <c r="M18" i="5"/>
  <c r="I18" i="5"/>
  <c r="H18" i="5"/>
  <c r="T18" i="5" s="1"/>
  <c r="G18" i="5"/>
  <c r="F18" i="5"/>
  <c r="R18" i="5" s="1"/>
  <c r="E18" i="5"/>
  <c r="Q18" i="5" s="1"/>
  <c r="D18" i="5"/>
  <c r="P18" i="5" s="1"/>
  <c r="C18" i="5"/>
  <c r="B18" i="5"/>
  <c r="N18" i="5" s="1"/>
  <c r="T17" i="5"/>
  <c r="P17" i="5"/>
  <c r="N17" i="5"/>
  <c r="M17" i="5"/>
  <c r="I17" i="5"/>
  <c r="U17" i="5" s="1"/>
  <c r="H17" i="5"/>
  <c r="G17" i="5"/>
  <c r="S17" i="5" s="1"/>
  <c r="F17" i="5"/>
  <c r="R17" i="5" s="1"/>
  <c r="E17" i="5"/>
  <c r="Q17" i="5" s="1"/>
  <c r="D17" i="5"/>
  <c r="C17" i="5"/>
  <c r="O17" i="5" s="1"/>
  <c r="B17" i="5"/>
  <c r="U16" i="5"/>
  <c r="Q16" i="5"/>
  <c r="O16" i="5"/>
  <c r="M16" i="5"/>
  <c r="I16" i="5"/>
  <c r="H16" i="5"/>
  <c r="T16" i="5" s="1"/>
  <c r="G16" i="5"/>
  <c r="S16" i="5" s="1"/>
  <c r="F16" i="5"/>
  <c r="R16" i="5" s="1"/>
  <c r="E16" i="5"/>
  <c r="D16" i="5"/>
  <c r="P16" i="5" s="1"/>
  <c r="C16" i="5"/>
  <c r="B16" i="5"/>
  <c r="N16" i="5" s="1"/>
  <c r="R15" i="5"/>
  <c r="P15" i="5"/>
  <c r="N15" i="5"/>
  <c r="M15" i="5"/>
  <c r="I15" i="5"/>
  <c r="U15" i="5" s="1"/>
  <c r="H15" i="5"/>
  <c r="T15" i="5" s="1"/>
  <c r="G15" i="5"/>
  <c r="S15" i="5" s="1"/>
  <c r="F15" i="5"/>
  <c r="E15" i="5"/>
  <c r="Q15" i="5" s="1"/>
  <c r="D15" i="5"/>
  <c r="C15" i="5"/>
  <c r="O15" i="5" s="1"/>
  <c r="B15" i="5"/>
  <c r="U14" i="5"/>
  <c r="S14" i="5"/>
  <c r="Q14" i="5"/>
  <c r="O14" i="5"/>
  <c r="M14" i="5"/>
  <c r="I14" i="5"/>
  <c r="H14" i="5"/>
  <c r="T14" i="5" s="1"/>
  <c r="G14" i="5"/>
  <c r="F14" i="5"/>
  <c r="R14" i="5" s="1"/>
  <c r="E14" i="5"/>
  <c r="D14" i="5"/>
  <c r="P14" i="5" s="1"/>
  <c r="C14" i="5"/>
  <c r="B14" i="5"/>
  <c r="N14" i="5" s="1"/>
  <c r="T13" i="5"/>
  <c r="R13" i="5"/>
  <c r="P13" i="5"/>
  <c r="N13" i="5"/>
  <c r="M13" i="5"/>
  <c r="I13" i="5"/>
  <c r="U13" i="5" s="1"/>
  <c r="H13" i="5"/>
  <c r="G13" i="5"/>
  <c r="S13" i="5" s="1"/>
  <c r="F13" i="5"/>
  <c r="E13" i="5"/>
  <c r="Q13" i="5" s="1"/>
  <c r="D13" i="5"/>
  <c r="C13" i="5"/>
  <c r="O13" i="5" s="1"/>
  <c r="B13" i="5"/>
  <c r="U12" i="5"/>
  <c r="S12" i="5"/>
  <c r="Q12" i="5"/>
  <c r="O12" i="5"/>
  <c r="M12" i="5"/>
  <c r="I12" i="5"/>
  <c r="H12" i="5"/>
  <c r="T12" i="5" s="1"/>
  <c r="G12" i="5"/>
  <c r="F12" i="5"/>
  <c r="R12" i="5" s="1"/>
  <c r="E12" i="5"/>
  <c r="D12" i="5"/>
  <c r="P12" i="5" s="1"/>
  <c r="C12" i="5"/>
  <c r="B12" i="5"/>
  <c r="N12" i="5" s="1"/>
  <c r="T11" i="5"/>
  <c r="R11" i="5"/>
  <c r="P11" i="5"/>
  <c r="N11" i="5"/>
  <c r="M11" i="5"/>
  <c r="I11" i="5"/>
  <c r="U11" i="5" s="1"/>
  <c r="H11" i="5"/>
  <c r="G11" i="5"/>
  <c r="S11" i="5" s="1"/>
  <c r="F11" i="5"/>
  <c r="E11" i="5"/>
  <c r="Q11" i="5" s="1"/>
  <c r="D11" i="5"/>
  <c r="C11" i="5"/>
  <c r="O11" i="5" s="1"/>
  <c r="B11" i="5"/>
  <c r="U10" i="5"/>
  <c r="S10" i="5"/>
  <c r="Q10" i="5"/>
  <c r="O10" i="5"/>
  <c r="M10" i="5"/>
  <c r="I10" i="5"/>
  <c r="H10" i="5"/>
  <c r="T10" i="5" s="1"/>
  <c r="G10" i="5"/>
  <c r="F10" i="5"/>
  <c r="R10" i="5" s="1"/>
  <c r="E10" i="5"/>
  <c r="D10" i="5"/>
  <c r="P10" i="5" s="1"/>
  <c r="C10" i="5"/>
  <c r="B10" i="5"/>
  <c r="N10" i="5" s="1"/>
  <c r="T9" i="5"/>
  <c r="R9" i="5"/>
  <c r="P9" i="5"/>
  <c r="N9" i="5"/>
  <c r="M9" i="5"/>
  <c r="I9" i="5"/>
  <c r="U9" i="5" s="1"/>
  <c r="H9" i="5"/>
  <c r="G9" i="5"/>
  <c r="S9" i="5" s="1"/>
  <c r="F9" i="5"/>
  <c r="E9" i="5"/>
  <c r="Q9" i="5" s="1"/>
  <c r="D9" i="5"/>
  <c r="C9" i="5"/>
  <c r="O9" i="5" s="1"/>
  <c r="B9" i="5"/>
  <c r="U8" i="5"/>
  <c r="S8" i="5"/>
  <c r="Q8" i="5"/>
  <c r="O8" i="5"/>
  <c r="M8" i="5"/>
  <c r="I8" i="5"/>
  <c r="H8" i="5"/>
  <c r="T8" i="5" s="1"/>
  <c r="G8" i="5"/>
  <c r="F8" i="5"/>
  <c r="R8" i="5" s="1"/>
  <c r="E8" i="5"/>
  <c r="D8" i="5"/>
  <c r="P8" i="5" s="1"/>
  <c r="C8" i="5"/>
  <c r="B8" i="5"/>
  <c r="N8" i="5" s="1"/>
  <c r="T7" i="5"/>
  <c r="R7" i="5"/>
  <c r="P7" i="5"/>
  <c r="N7" i="5"/>
  <c r="M7" i="5"/>
  <c r="I7" i="5"/>
  <c r="U7" i="5" s="1"/>
  <c r="H7" i="5"/>
  <c r="G7" i="5"/>
  <c r="S7" i="5" s="1"/>
  <c r="F7" i="5"/>
  <c r="E7" i="5"/>
  <c r="Q7" i="5" s="1"/>
  <c r="D7" i="5"/>
  <c r="C7" i="5"/>
  <c r="O7" i="5" s="1"/>
  <c r="B7" i="5"/>
  <c r="U6" i="5"/>
  <c r="S6" i="5"/>
  <c r="Q6" i="5"/>
  <c r="O6" i="5"/>
  <c r="M6" i="5"/>
  <c r="I6" i="5"/>
  <c r="H6" i="5"/>
  <c r="T6" i="5" s="1"/>
  <c r="G6" i="5"/>
  <c r="F6" i="5"/>
  <c r="R6" i="5" s="1"/>
  <c r="E6" i="5"/>
  <c r="D6" i="5"/>
  <c r="P6" i="5" s="1"/>
  <c r="C6" i="5"/>
  <c r="B6" i="5"/>
  <c r="N6" i="5" s="1"/>
  <c r="T5" i="5"/>
  <c r="R5" i="5"/>
  <c r="P5" i="5"/>
  <c r="N5" i="5"/>
  <c r="M5" i="5"/>
  <c r="I5" i="5"/>
  <c r="U5" i="5" s="1"/>
  <c r="H5" i="5"/>
  <c r="G5" i="5"/>
  <c r="S5" i="5" s="1"/>
  <c r="F5" i="5"/>
  <c r="E5" i="5"/>
  <c r="Q5" i="5" s="1"/>
  <c r="D5" i="5"/>
  <c r="C5" i="5"/>
  <c r="O5" i="5" s="1"/>
  <c r="B5" i="5"/>
  <c r="U4" i="5"/>
  <c r="S4" i="5"/>
  <c r="Q4" i="5"/>
  <c r="O4" i="5"/>
  <c r="M4" i="5"/>
  <c r="I4" i="5"/>
  <c r="H4" i="5"/>
  <c r="T4" i="5" s="1"/>
  <c r="G4" i="5"/>
  <c r="F4" i="5"/>
  <c r="R4" i="5" s="1"/>
  <c r="E4" i="5"/>
  <c r="D4" i="5"/>
  <c r="P4" i="5" s="1"/>
  <c r="C4" i="5"/>
  <c r="B4" i="5"/>
  <c r="N4" i="5" s="1"/>
  <c r="U54" i="4"/>
  <c r="S54" i="4"/>
  <c r="R54" i="4"/>
  <c r="Q54" i="4"/>
  <c r="P54" i="4"/>
  <c r="O54" i="4"/>
  <c r="N54" i="4"/>
  <c r="M54" i="4"/>
  <c r="H54" i="4"/>
  <c r="T54" i="4" s="1"/>
  <c r="F54" i="4"/>
  <c r="D54" i="4"/>
  <c r="B54" i="4"/>
  <c r="U53" i="4"/>
  <c r="S53" i="4"/>
  <c r="Q53" i="4"/>
  <c r="O53" i="4"/>
  <c r="M53" i="4"/>
  <c r="H53" i="4"/>
  <c r="T53" i="4" s="1"/>
  <c r="F53" i="4"/>
  <c r="R53" i="4" s="1"/>
  <c r="D53" i="4"/>
  <c r="P53" i="4" s="1"/>
  <c r="B53" i="4"/>
  <c r="N53" i="4" s="1"/>
  <c r="U52" i="4"/>
  <c r="S52" i="4"/>
  <c r="R52" i="4"/>
  <c r="Q52" i="4"/>
  <c r="O52" i="4"/>
  <c r="N52" i="4"/>
  <c r="M52" i="4"/>
  <c r="H52" i="4"/>
  <c r="T52" i="4" s="1"/>
  <c r="F52" i="4"/>
  <c r="D52" i="4"/>
  <c r="P52" i="4" s="1"/>
  <c r="B52" i="4"/>
  <c r="U51" i="4"/>
  <c r="S51" i="4"/>
  <c r="Q51" i="4"/>
  <c r="P51" i="4"/>
  <c r="O51" i="4"/>
  <c r="M51" i="4"/>
  <c r="H51" i="4"/>
  <c r="T51" i="4" s="1"/>
  <c r="F51" i="4"/>
  <c r="R51" i="4" s="1"/>
  <c r="D51" i="4"/>
  <c r="B51" i="4"/>
  <c r="N51" i="4" s="1"/>
  <c r="U50" i="4"/>
  <c r="S50" i="4"/>
  <c r="R50" i="4"/>
  <c r="Q50" i="4"/>
  <c r="P50" i="4"/>
  <c r="O50" i="4"/>
  <c r="N50" i="4"/>
  <c r="M50" i="4"/>
  <c r="H50" i="4"/>
  <c r="T50" i="4" s="1"/>
  <c r="F50" i="4"/>
  <c r="D50" i="4"/>
  <c r="B50" i="4"/>
  <c r="U49" i="4"/>
  <c r="S49" i="4"/>
  <c r="Q49" i="4"/>
  <c r="O49" i="4"/>
  <c r="M49" i="4"/>
  <c r="H49" i="4"/>
  <c r="T49" i="4" s="1"/>
  <c r="F49" i="4"/>
  <c r="R49" i="4" s="1"/>
  <c r="D49" i="4"/>
  <c r="P49" i="4" s="1"/>
  <c r="B49" i="4"/>
  <c r="N49" i="4" s="1"/>
  <c r="U48" i="4"/>
  <c r="S48" i="4"/>
  <c r="R48" i="4"/>
  <c r="Q48" i="4"/>
  <c r="O48" i="4"/>
  <c r="N48" i="4"/>
  <c r="M48" i="4"/>
  <c r="H48" i="4"/>
  <c r="T48" i="4" s="1"/>
  <c r="F48" i="4"/>
  <c r="D48" i="4"/>
  <c r="P48" i="4" s="1"/>
  <c r="B48" i="4"/>
  <c r="U47" i="4"/>
  <c r="S47" i="4"/>
  <c r="Q47" i="4"/>
  <c r="P47" i="4"/>
  <c r="O47" i="4"/>
  <c r="M47" i="4"/>
  <c r="H47" i="4"/>
  <c r="T47" i="4" s="1"/>
  <c r="F47" i="4"/>
  <c r="R47" i="4" s="1"/>
  <c r="D47" i="4"/>
  <c r="B47" i="4"/>
  <c r="N47" i="4" s="1"/>
  <c r="U46" i="4"/>
  <c r="S46" i="4"/>
  <c r="R46" i="4"/>
  <c r="Q46" i="4"/>
  <c r="P46" i="4"/>
  <c r="O46" i="4"/>
  <c r="N46" i="4"/>
  <c r="M46" i="4"/>
  <c r="H46" i="4"/>
  <c r="T46" i="4" s="1"/>
  <c r="F46" i="4"/>
  <c r="D46" i="4"/>
  <c r="B46" i="4"/>
  <c r="U45" i="4"/>
  <c r="S45" i="4"/>
  <c r="Q45" i="4"/>
  <c r="O45" i="4"/>
  <c r="M45" i="4"/>
  <c r="H45" i="4"/>
  <c r="T45" i="4" s="1"/>
  <c r="F45" i="4"/>
  <c r="R45" i="4" s="1"/>
  <c r="D45" i="4"/>
  <c r="P45" i="4" s="1"/>
  <c r="B45" i="4"/>
  <c r="N45" i="4" s="1"/>
  <c r="U44" i="4"/>
  <c r="S44" i="4"/>
  <c r="R44" i="4"/>
  <c r="Q44" i="4"/>
  <c r="O44" i="4"/>
  <c r="N44" i="4"/>
  <c r="M44" i="4"/>
  <c r="H44" i="4"/>
  <c r="T44" i="4" s="1"/>
  <c r="F44" i="4"/>
  <c r="D44" i="4"/>
  <c r="P44" i="4" s="1"/>
  <c r="B44" i="4"/>
  <c r="U43" i="4"/>
  <c r="S43" i="4"/>
  <c r="Q43" i="4"/>
  <c r="P43" i="4"/>
  <c r="O43" i="4"/>
  <c r="M43" i="4"/>
  <c r="H43" i="4"/>
  <c r="T43" i="4" s="1"/>
  <c r="F43" i="4"/>
  <c r="R43" i="4" s="1"/>
  <c r="D43" i="4"/>
  <c r="B43" i="4"/>
  <c r="N43" i="4" s="1"/>
  <c r="U42" i="4"/>
  <c r="S42" i="4"/>
  <c r="R42" i="4"/>
  <c r="Q42" i="4"/>
  <c r="P42" i="4"/>
  <c r="O42" i="4"/>
  <c r="N42" i="4"/>
  <c r="M42" i="4"/>
  <c r="H42" i="4"/>
  <c r="T42" i="4" s="1"/>
  <c r="F42" i="4"/>
  <c r="D42" i="4"/>
  <c r="B42" i="4"/>
  <c r="U41" i="4"/>
  <c r="S41" i="4"/>
  <c r="Q41" i="4"/>
  <c r="O41" i="4"/>
  <c r="M41" i="4"/>
  <c r="H41" i="4"/>
  <c r="T41" i="4" s="1"/>
  <c r="F41" i="4"/>
  <c r="R41" i="4" s="1"/>
  <c r="D41" i="4"/>
  <c r="P41" i="4" s="1"/>
  <c r="B41" i="4"/>
  <c r="N41" i="4" s="1"/>
  <c r="U40" i="4"/>
  <c r="S40" i="4"/>
  <c r="R40" i="4"/>
  <c r="Q40" i="4"/>
  <c r="O40" i="4"/>
  <c r="N40" i="4"/>
  <c r="M40" i="4"/>
  <c r="H40" i="4"/>
  <c r="T40" i="4" s="1"/>
  <c r="F40" i="4"/>
  <c r="D40" i="4"/>
  <c r="P40" i="4" s="1"/>
  <c r="B40" i="4"/>
  <c r="U39" i="4"/>
  <c r="S39" i="4"/>
  <c r="Q39" i="4"/>
  <c r="P39" i="4"/>
  <c r="O39" i="4"/>
  <c r="M39" i="4"/>
  <c r="H39" i="4"/>
  <c r="T39" i="4" s="1"/>
  <c r="F39" i="4"/>
  <c r="R39" i="4" s="1"/>
  <c r="D39" i="4"/>
  <c r="B39" i="4"/>
  <c r="N39" i="4" s="1"/>
  <c r="U38" i="4"/>
  <c r="S38" i="4"/>
  <c r="R38" i="4"/>
  <c r="Q38" i="4"/>
  <c r="P38" i="4"/>
  <c r="O38" i="4"/>
  <c r="N38" i="4"/>
  <c r="M38" i="4"/>
  <c r="H38" i="4"/>
  <c r="T38" i="4" s="1"/>
  <c r="F38" i="4"/>
  <c r="D38" i="4"/>
  <c r="B38" i="4"/>
  <c r="U37" i="4"/>
  <c r="S37" i="4"/>
  <c r="Q37" i="4"/>
  <c r="O37" i="4"/>
  <c r="M37" i="4"/>
  <c r="H37" i="4"/>
  <c r="T37" i="4" s="1"/>
  <c r="F37" i="4"/>
  <c r="R37" i="4" s="1"/>
  <c r="D37" i="4"/>
  <c r="P37" i="4" s="1"/>
  <c r="B37" i="4"/>
  <c r="N37" i="4" s="1"/>
  <c r="U36" i="4"/>
  <c r="S36" i="4"/>
  <c r="R36" i="4"/>
  <c r="Q36" i="4"/>
  <c r="O36" i="4"/>
  <c r="N36" i="4"/>
  <c r="M36" i="4"/>
  <c r="H36" i="4"/>
  <c r="T36" i="4" s="1"/>
  <c r="F36" i="4"/>
  <c r="D36" i="4"/>
  <c r="P36" i="4" s="1"/>
  <c r="B36" i="4"/>
  <c r="U35" i="4"/>
  <c r="S35" i="4"/>
  <c r="Q35" i="4"/>
  <c r="P35" i="4"/>
  <c r="O35" i="4"/>
  <c r="M35" i="4"/>
  <c r="H35" i="4"/>
  <c r="T35" i="4" s="1"/>
  <c r="F35" i="4"/>
  <c r="R35" i="4" s="1"/>
  <c r="D35" i="4"/>
  <c r="B35" i="4"/>
  <c r="N35" i="4" s="1"/>
  <c r="U34" i="4"/>
  <c r="S34" i="4"/>
  <c r="R34" i="4"/>
  <c r="Q34" i="4"/>
  <c r="P34" i="4"/>
  <c r="O34" i="4"/>
  <c r="N34" i="4"/>
  <c r="M34" i="4"/>
  <c r="H34" i="4"/>
  <c r="T34" i="4" s="1"/>
  <c r="F34" i="4"/>
  <c r="D34" i="4"/>
  <c r="B34" i="4"/>
  <c r="U33" i="4"/>
  <c r="S33" i="4"/>
  <c r="Q33" i="4"/>
  <c r="O33" i="4"/>
  <c r="M33" i="4"/>
  <c r="H33" i="4"/>
  <c r="T33" i="4" s="1"/>
  <c r="F33" i="4"/>
  <c r="R33" i="4" s="1"/>
  <c r="D33" i="4"/>
  <c r="P33" i="4" s="1"/>
  <c r="B33" i="4"/>
  <c r="N33" i="4" s="1"/>
  <c r="U32" i="4"/>
  <c r="S32" i="4"/>
  <c r="R32" i="4"/>
  <c r="Q32" i="4"/>
  <c r="O32" i="4"/>
  <c r="N32" i="4"/>
  <c r="M32" i="4"/>
  <c r="H32" i="4"/>
  <c r="T32" i="4" s="1"/>
  <c r="F32" i="4"/>
  <c r="D32" i="4"/>
  <c r="P32" i="4" s="1"/>
  <c r="B32" i="4"/>
  <c r="U31" i="4"/>
  <c r="S31" i="4"/>
  <c r="Q31" i="4"/>
  <c r="P31" i="4"/>
  <c r="O31" i="4"/>
  <c r="M31" i="4"/>
  <c r="H31" i="4"/>
  <c r="T31" i="4" s="1"/>
  <c r="F31" i="4"/>
  <c r="R31" i="4" s="1"/>
  <c r="D31" i="4"/>
  <c r="B31" i="4"/>
  <c r="N31" i="4" s="1"/>
  <c r="U30" i="4"/>
  <c r="S30" i="4"/>
  <c r="R30" i="4"/>
  <c r="Q30" i="4"/>
  <c r="P30" i="4"/>
  <c r="O30" i="4"/>
  <c r="N30" i="4"/>
  <c r="M30" i="4"/>
  <c r="H30" i="4"/>
  <c r="T30" i="4" s="1"/>
  <c r="F30" i="4"/>
  <c r="D30" i="4"/>
  <c r="B30" i="4"/>
  <c r="U29" i="4"/>
  <c r="S29" i="4"/>
  <c r="Q29" i="4"/>
  <c r="O29" i="4"/>
  <c r="M29" i="4"/>
  <c r="H29" i="4"/>
  <c r="T29" i="4" s="1"/>
  <c r="F29" i="4"/>
  <c r="R29" i="4" s="1"/>
  <c r="D29" i="4"/>
  <c r="P29" i="4" s="1"/>
  <c r="B29" i="4"/>
  <c r="N29" i="4" s="1"/>
  <c r="U28" i="4"/>
  <c r="S28" i="4"/>
  <c r="R28" i="4"/>
  <c r="Q28" i="4"/>
  <c r="O28" i="4"/>
  <c r="N28" i="4"/>
  <c r="M28" i="4"/>
  <c r="H28" i="4"/>
  <c r="T28" i="4" s="1"/>
  <c r="F28" i="4"/>
  <c r="D28" i="4"/>
  <c r="P28" i="4" s="1"/>
  <c r="B28" i="4"/>
  <c r="U27" i="4"/>
  <c r="S27" i="4"/>
  <c r="Q27" i="4"/>
  <c r="P27" i="4"/>
  <c r="O27" i="4"/>
  <c r="M27" i="4"/>
  <c r="H27" i="4"/>
  <c r="T27" i="4" s="1"/>
  <c r="F27" i="4"/>
  <c r="R27" i="4" s="1"/>
  <c r="D27" i="4"/>
  <c r="B27" i="4"/>
  <c r="N27" i="4" s="1"/>
  <c r="U26" i="4"/>
  <c r="S26" i="4"/>
  <c r="R26" i="4"/>
  <c r="Q26" i="4"/>
  <c r="P26" i="4"/>
  <c r="O26" i="4"/>
  <c r="N26" i="4"/>
  <c r="M26" i="4"/>
  <c r="H26" i="4"/>
  <c r="T26" i="4" s="1"/>
  <c r="F26" i="4"/>
  <c r="D26" i="4"/>
  <c r="B26" i="4"/>
  <c r="U25" i="4"/>
  <c r="S25" i="4"/>
  <c r="Q25" i="4"/>
  <c r="O25" i="4"/>
  <c r="M25" i="4"/>
  <c r="H25" i="4"/>
  <c r="T25" i="4" s="1"/>
  <c r="F25" i="4"/>
  <c r="R25" i="4" s="1"/>
  <c r="D25" i="4"/>
  <c r="P25" i="4" s="1"/>
  <c r="B25" i="4"/>
  <c r="N25" i="4" s="1"/>
  <c r="U24" i="4"/>
  <c r="S24" i="4"/>
  <c r="R24" i="4"/>
  <c r="Q24" i="4"/>
  <c r="O24" i="4"/>
  <c r="N24" i="4"/>
  <c r="M24" i="4"/>
  <c r="H24" i="4"/>
  <c r="T24" i="4" s="1"/>
  <c r="F24" i="4"/>
  <c r="D24" i="4"/>
  <c r="P24" i="4" s="1"/>
  <c r="B24" i="4"/>
  <c r="U23" i="4"/>
  <c r="S23" i="4"/>
  <c r="Q23" i="4"/>
  <c r="P23" i="4"/>
  <c r="O23" i="4"/>
  <c r="M23" i="4"/>
  <c r="H23" i="4"/>
  <c r="T23" i="4" s="1"/>
  <c r="F23" i="4"/>
  <c r="R23" i="4" s="1"/>
  <c r="D23" i="4"/>
  <c r="B23" i="4"/>
  <c r="N23" i="4" s="1"/>
  <c r="U22" i="4"/>
  <c r="S22" i="4"/>
  <c r="R22" i="4"/>
  <c r="Q22" i="4"/>
  <c r="P22" i="4"/>
  <c r="O22" i="4"/>
  <c r="N22" i="4"/>
  <c r="M22" i="4"/>
  <c r="H22" i="4"/>
  <c r="T22" i="4" s="1"/>
  <c r="F22" i="4"/>
  <c r="D22" i="4"/>
  <c r="B22" i="4"/>
  <c r="U21" i="4"/>
  <c r="S21" i="4"/>
  <c r="Q21" i="4"/>
  <c r="O21" i="4"/>
  <c r="M21" i="4"/>
  <c r="H21" i="4"/>
  <c r="T21" i="4" s="1"/>
  <c r="F21" i="4"/>
  <c r="R21" i="4" s="1"/>
  <c r="D21" i="4"/>
  <c r="P21" i="4" s="1"/>
  <c r="B21" i="4"/>
  <c r="N21" i="4" s="1"/>
  <c r="U20" i="4"/>
  <c r="S20" i="4"/>
  <c r="R20" i="4"/>
  <c r="Q20" i="4"/>
  <c r="O20" i="4"/>
  <c r="N20" i="4"/>
  <c r="M20" i="4"/>
  <c r="H20" i="4"/>
  <c r="T20" i="4" s="1"/>
  <c r="F20" i="4"/>
  <c r="D20" i="4"/>
  <c r="P20" i="4" s="1"/>
  <c r="B20" i="4"/>
  <c r="U19" i="4"/>
  <c r="S19" i="4"/>
  <c r="Q19" i="4"/>
  <c r="P19" i="4"/>
  <c r="O19" i="4"/>
  <c r="M19" i="4"/>
  <c r="H19" i="4"/>
  <c r="T19" i="4" s="1"/>
  <c r="F19" i="4"/>
  <c r="R19" i="4" s="1"/>
  <c r="D19" i="4"/>
  <c r="B19" i="4"/>
  <c r="N19" i="4" s="1"/>
  <c r="U18" i="4"/>
  <c r="S18" i="4"/>
  <c r="R18" i="4"/>
  <c r="Q18" i="4"/>
  <c r="P18" i="4"/>
  <c r="O18" i="4"/>
  <c r="N18" i="4"/>
  <c r="M18" i="4"/>
  <c r="H18" i="4"/>
  <c r="T18" i="4" s="1"/>
  <c r="F18" i="4"/>
  <c r="D18" i="4"/>
  <c r="B18" i="4"/>
  <c r="U17" i="4"/>
  <c r="S17" i="4"/>
  <c r="Q17" i="4"/>
  <c r="O17" i="4"/>
  <c r="M17" i="4"/>
  <c r="H17" i="4"/>
  <c r="T17" i="4" s="1"/>
  <c r="F17" i="4"/>
  <c r="R17" i="4" s="1"/>
  <c r="D17" i="4"/>
  <c r="P17" i="4" s="1"/>
  <c r="B17" i="4"/>
  <c r="N17" i="4" s="1"/>
  <c r="U16" i="4"/>
  <c r="S16" i="4"/>
  <c r="R16" i="4"/>
  <c r="Q16" i="4"/>
  <c r="O16" i="4"/>
  <c r="N16" i="4"/>
  <c r="M16" i="4"/>
  <c r="H16" i="4"/>
  <c r="T16" i="4" s="1"/>
  <c r="F16" i="4"/>
  <c r="D16" i="4"/>
  <c r="P16" i="4" s="1"/>
  <c r="B16" i="4"/>
  <c r="U15" i="4"/>
  <c r="S15" i="4"/>
  <c r="Q15" i="4"/>
  <c r="P15" i="4"/>
  <c r="O15" i="4"/>
  <c r="M15" i="4"/>
  <c r="H15" i="4"/>
  <c r="T15" i="4" s="1"/>
  <c r="F15" i="4"/>
  <c r="R15" i="4" s="1"/>
  <c r="D15" i="4"/>
  <c r="B15" i="4"/>
  <c r="N15" i="4" s="1"/>
  <c r="U14" i="4"/>
  <c r="S14" i="4"/>
  <c r="R14" i="4"/>
  <c r="Q14" i="4"/>
  <c r="P14" i="4"/>
  <c r="O14" i="4"/>
  <c r="N14" i="4"/>
  <c r="M14" i="4"/>
  <c r="H14" i="4"/>
  <c r="T14" i="4" s="1"/>
  <c r="F14" i="4"/>
  <c r="D14" i="4"/>
  <c r="B14" i="4"/>
  <c r="U13" i="4"/>
  <c r="S13" i="4"/>
  <c r="Q13" i="4"/>
  <c r="O13" i="4"/>
  <c r="M13" i="4"/>
  <c r="H13" i="4"/>
  <c r="T13" i="4" s="1"/>
  <c r="F13" i="4"/>
  <c r="R13" i="4" s="1"/>
  <c r="D13" i="4"/>
  <c r="P13" i="4" s="1"/>
  <c r="B13" i="4"/>
  <c r="N13" i="4" s="1"/>
  <c r="U12" i="4"/>
  <c r="S12" i="4"/>
  <c r="R12" i="4"/>
  <c r="Q12" i="4"/>
  <c r="O12" i="4"/>
  <c r="N12" i="4"/>
  <c r="M12" i="4"/>
  <c r="H12" i="4"/>
  <c r="T12" i="4" s="1"/>
  <c r="F12" i="4"/>
  <c r="D12" i="4"/>
  <c r="P12" i="4" s="1"/>
  <c r="B12" i="4"/>
  <c r="U11" i="4"/>
  <c r="S11" i="4"/>
  <c r="Q11" i="4"/>
  <c r="P11" i="4"/>
  <c r="O11" i="4"/>
  <c r="M11" i="4"/>
  <c r="H11" i="4"/>
  <c r="T11" i="4" s="1"/>
  <c r="F11" i="4"/>
  <c r="R11" i="4" s="1"/>
  <c r="D11" i="4"/>
  <c r="B11" i="4"/>
  <c r="N11" i="4" s="1"/>
  <c r="U10" i="4"/>
  <c r="S10" i="4"/>
  <c r="R10" i="4"/>
  <c r="Q10" i="4"/>
  <c r="P10" i="4"/>
  <c r="O10" i="4"/>
  <c r="N10" i="4"/>
  <c r="M10" i="4"/>
  <c r="H10" i="4"/>
  <c r="T10" i="4" s="1"/>
  <c r="F10" i="4"/>
  <c r="D10" i="4"/>
  <c r="B10" i="4"/>
  <c r="U9" i="4"/>
  <c r="S9" i="4"/>
  <c r="Q9" i="4"/>
  <c r="O9" i="4"/>
  <c r="M9" i="4"/>
  <c r="H9" i="4"/>
  <c r="T9" i="4" s="1"/>
  <c r="F9" i="4"/>
  <c r="R9" i="4" s="1"/>
  <c r="D9" i="4"/>
  <c r="P9" i="4" s="1"/>
  <c r="B9" i="4"/>
  <c r="N9" i="4" s="1"/>
  <c r="U8" i="4"/>
  <c r="S8" i="4"/>
  <c r="R8" i="4"/>
  <c r="Q8" i="4"/>
  <c r="O8" i="4"/>
  <c r="N8" i="4"/>
  <c r="M8" i="4"/>
  <c r="H8" i="4"/>
  <c r="T8" i="4" s="1"/>
  <c r="F8" i="4"/>
  <c r="D8" i="4"/>
  <c r="P8" i="4" s="1"/>
  <c r="B8" i="4"/>
  <c r="U7" i="4"/>
  <c r="S7" i="4"/>
  <c r="Q7" i="4"/>
  <c r="P7" i="4"/>
  <c r="O7" i="4"/>
  <c r="M7" i="4"/>
  <c r="H7" i="4"/>
  <c r="T7" i="4" s="1"/>
  <c r="F7" i="4"/>
  <c r="R7" i="4" s="1"/>
  <c r="D7" i="4"/>
  <c r="B7" i="4"/>
  <c r="N7" i="4" s="1"/>
  <c r="U6" i="4"/>
  <c r="S6" i="4"/>
  <c r="R6" i="4"/>
  <c r="Q6" i="4"/>
  <c r="P6" i="4"/>
  <c r="O6" i="4"/>
  <c r="N6" i="4"/>
  <c r="M6" i="4"/>
  <c r="H6" i="4"/>
  <c r="T6" i="4" s="1"/>
  <c r="F6" i="4"/>
  <c r="D6" i="4"/>
  <c r="B6" i="4"/>
  <c r="U5" i="4"/>
  <c r="S5" i="4"/>
  <c r="Q5" i="4"/>
  <c r="O5" i="4"/>
  <c r="M5" i="4"/>
  <c r="H5" i="4"/>
  <c r="T5" i="4" s="1"/>
  <c r="F5" i="4"/>
  <c r="R5" i="4" s="1"/>
  <c r="D5" i="4"/>
  <c r="P5" i="4" s="1"/>
  <c r="B5" i="4"/>
  <c r="N5" i="4" s="1"/>
  <c r="U4" i="4"/>
  <c r="S4" i="4"/>
  <c r="R4" i="4"/>
  <c r="Q4" i="4"/>
  <c r="O4" i="4"/>
  <c r="N4" i="4"/>
  <c r="M4" i="4"/>
  <c r="H4" i="4"/>
  <c r="T4" i="4" s="1"/>
  <c r="F4" i="4"/>
  <c r="D4" i="4"/>
  <c r="P4" i="4" s="1"/>
  <c r="B4" i="4"/>
  <c r="U54" i="3"/>
  <c r="S54" i="3"/>
  <c r="Q54" i="3"/>
  <c r="P54" i="3"/>
  <c r="O54" i="3"/>
  <c r="M54" i="3"/>
  <c r="H54" i="3"/>
  <c r="T54" i="3" s="1"/>
  <c r="F54" i="3"/>
  <c r="R54" i="3" s="1"/>
  <c r="D54" i="3"/>
  <c r="B54" i="3"/>
  <c r="N54" i="3" s="1"/>
  <c r="U53" i="3"/>
  <c r="S53" i="3"/>
  <c r="R53" i="3"/>
  <c r="Q53" i="3"/>
  <c r="P53" i="3"/>
  <c r="O53" i="3"/>
  <c r="N53" i="3"/>
  <c r="M53" i="3"/>
  <c r="H53" i="3"/>
  <c r="T53" i="3" s="1"/>
  <c r="F53" i="3"/>
  <c r="D53" i="3"/>
  <c r="B53" i="3"/>
  <c r="U52" i="3"/>
  <c r="S52" i="3"/>
  <c r="Q52" i="3"/>
  <c r="O52" i="3"/>
  <c r="M52" i="3"/>
  <c r="H52" i="3"/>
  <c r="T52" i="3" s="1"/>
  <c r="F52" i="3"/>
  <c r="R52" i="3" s="1"/>
  <c r="D52" i="3"/>
  <c r="P52" i="3" s="1"/>
  <c r="B52" i="3"/>
  <c r="N52" i="3" s="1"/>
  <c r="U51" i="3"/>
  <c r="S51" i="3"/>
  <c r="R51" i="3"/>
  <c r="Q51" i="3"/>
  <c r="O51" i="3"/>
  <c r="N51" i="3"/>
  <c r="M51" i="3"/>
  <c r="H51" i="3"/>
  <c r="T51" i="3" s="1"/>
  <c r="F51" i="3"/>
  <c r="D51" i="3"/>
  <c r="P51" i="3" s="1"/>
  <c r="B51" i="3"/>
  <c r="U50" i="3"/>
  <c r="S50" i="3"/>
  <c r="Q50" i="3"/>
  <c r="P50" i="3"/>
  <c r="O50" i="3"/>
  <c r="M50" i="3"/>
  <c r="H50" i="3"/>
  <c r="T50" i="3" s="1"/>
  <c r="F50" i="3"/>
  <c r="R50" i="3" s="1"/>
  <c r="D50" i="3"/>
  <c r="B50" i="3"/>
  <c r="N50" i="3" s="1"/>
  <c r="U49" i="3"/>
  <c r="S49" i="3"/>
  <c r="R49" i="3"/>
  <c r="Q49" i="3"/>
  <c r="P49" i="3"/>
  <c r="O49" i="3"/>
  <c r="N49" i="3"/>
  <c r="M49" i="3"/>
  <c r="H49" i="3"/>
  <c r="T49" i="3" s="1"/>
  <c r="F49" i="3"/>
  <c r="D49" i="3"/>
  <c r="B49" i="3"/>
  <c r="U48" i="3"/>
  <c r="S48" i="3"/>
  <c r="Q48" i="3"/>
  <c r="O48" i="3"/>
  <c r="M48" i="3"/>
  <c r="H48" i="3"/>
  <c r="T48" i="3" s="1"/>
  <c r="F48" i="3"/>
  <c r="R48" i="3" s="1"/>
  <c r="D48" i="3"/>
  <c r="P48" i="3" s="1"/>
  <c r="B48" i="3"/>
  <c r="N48" i="3" s="1"/>
  <c r="U47" i="3"/>
  <c r="S47" i="3"/>
  <c r="R47" i="3"/>
  <c r="Q47" i="3"/>
  <c r="O47" i="3"/>
  <c r="N47" i="3"/>
  <c r="M47" i="3"/>
  <c r="H47" i="3"/>
  <c r="T47" i="3" s="1"/>
  <c r="F47" i="3"/>
  <c r="D47" i="3"/>
  <c r="P47" i="3" s="1"/>
  <c r="B47" i="3"/>
  <c r="U46" i="3"/>
  <c r="S46" i="3"/>
  <c r="Q46" i="3"/>
  <c r="P46" i="3"/>
  <c r="O46" i="3"/>
  <c r="M46" i="3"/>
  <c r="H46" i="3"/>
  <c r="T46" i="3" s="1"/>
  <c r="F46" i="3"/>
  <c r="R46" i="3" s="1"/>
  <c r="D46" i="3"/>
  <c r="B46" i="3"/>
  <c r="N46" i="3" s="1"/>
  <c r="U45" i="3"/>
  <c r="S45" i="3"/>
  <c r="R45" i="3"/>
  <c r="Q45" i="3"/>
  <c r="P45" i="3"/>
  <c r="O45" i="3"/>
  <c r="N45" i="3"/>
  <c r="M45" i="3"/>
  <c r="H45" i="3"/>
  <c r="T45" i="3" s="1"/>
  <c r="F45" i="3"/>
  <c r="D45" i="3"/>
  <c r="B45" i="3"/>
  <c r="U44" i="3"/>
  <c r="S44" i="3"/>
  <c r="Q44" i="3"/>
  <c r="O44" i="3"/>
  <c r="M44" i="3"/>
  <c r="H44" i="3"/>
  <c r="T44" i="3" s="1"/>
  <c r="F44" i="3"/>
  <c r="R44" i="3" s="1"/>
  <c r="D44" i="3"/>
  <c r="P44" i="3" s="1"/>
  <c r="B44" i="3"/>
  <c r="N44" i="3" s="1"/>
  <c r="U43" i="3"/>
  <c r="S43" i="3"/>
  <c r="R43" i="3"/>
  <c r="Q43" i="3"/>
  <c r="O43" i="3"/>
  <c r="N43" i="3"/>
  <c r="M43" i="3"/>
  <c r="H43" i="3"/>
  <c r="T43" i="3" s="1"/>
  <c r="F43" i="3"/>
  <c r="D43" i="3"/>
  <c r="P43" i="3" s="1"/>
  <c r="B43" i="3"/>
  <c r="U42" i="3"/>
  <c r="S42" i="3"/>
  <c r="Q42" i="3"/>
  <c r="P42" i="3"/>
  <c r="O42" i="3"/>
  <c r="M42" i="3"/>
  <c r="H42" i="3"/>
  <c r="T42" i="3" s="1"/>
  <c r="F42" i="3"/>
  <c r="R42" i="3" s="1"/>
  <c r="D42" i="3"/>
  <c r="B42" i="3"/>
  <c r="N42" i="3" s="1"/>
  <c r="U41" i="3"/>
  <c r="S41" i="3"/>
  <c r="R41" i="3"/>
  <c r="Q41" i="3"/>
  <c r="P41" i="3"/>
  <c r="O41" i="3"/>
  <c r="N41" i="3"/>
  <c r="M41" i="3"/>
  <c r="H41" i="3"/>
  <c r="T41" i="3" s="1"/>
  <c r="F41" i="3"/>
  <c r="D41" i="3"/>
  <c r="B41" i="3"/>
  <c r="U40" i="3"/>
  <c r="S40" i="3"/>
  <c r="Q40" i="3"/>
  <c r="O40" i="3"/>
  <c r="M40" i="3"/>
  <c r="H40" i="3"/>
  <c r="T40" i="3" s="1"/>
  <c r="F40" i="3"/>
  <c r="R40" i="3" s="1"/>
  <c r="D40" i="3"/>
  <c r="P40" i="3" s="1"/>
  <c r="B40" i="3"/>
  <c r="N40" i="3" s="1"/>
  <c r="U39" i="3"/>
  <c r="S39" i="3"/>
  <c r="R39" i="3"/>
  <c r="Q39" i="3"/>
  <c r="O39" i="3"/>
  <c r="N39" i="3"/>
  <c r="M39" i="3"/>
  <c r="H39" i="3"/>
  <c r="T39" i="3" s="1"/>
  <c r="F39" i="3"/>
  <c r="D39" i="3"/>
  <c r="P39" i="3" s="1"/>
  <c r="B39" i="3"/>
  <c r="U38" i="3"/>
  <c r="S38" i="3"/>
  <c r="Q38" i="3"/>
  <c r="P38" i="3"/>
  <c r="O38" i="3"/>
  <c r="M38" i="3"/>
  <c r="H38" i="3"/>
  <c r="T38" i="3" s="1"/>
  <c r="F38" i="3"/>
  <c r="R38" i="3" s="1"/>
  <c r="D38" i="3"/>
  <c r="B38" i="3"/>
  <c r="N38" i="3" s="1"/>
  <c r="U37" i="3"/>
  <c r="S37" i="3"/>
  <c r="R37" i="3"/>
  <c r="Q37" i="3"/>
  <c r="P37" i="3"/>
  <c r="O37" i="3"/>
  <c r="N37" i="3"/>
  <c r="M37" i="3"/>
  <c r="H37" i="3"/>
  <c r="T37" i="3" s="1"/>
  <c r="F37" i="3"/>
  <c r="D37" i="3"/>
  <c r="B37" i="3"/>
  <c r="U36" i="3"/>
  <c r="S36" i="3"/>
  <c r="Q36" i="3"/>
  <c r="O36" i="3"/>
  <c r="M36" i="3"/>
  <c r="H36" i="3"/>
  <c r="T36" i="3" s="1"/>
  <c r="F36" i="3"/>
  <c r="R36" i="3" s="1"/>
  <c r="D36" i="3"/>
  <c r="P36" i="3" s="1"/>
  <c r="B36" i="3"/>
  <c r="N36" i="3" s="1"/>
  <c r="U35" i="3"/>
  <c r="S35" i="3"/>
  <c r="R35" i="3"/>
  <c r="Q35" i="3"/>
  <c r="O35" i="3"/>
  <c r="N35" i="3"/>
  <c r="M35" i="3"/>
  <c r="H35" i="3"/>
  <c r="T35" i="3" s="1"/>
  <c r="F35" i="3"/>
  <c r="D35" i="3"/>
  <c r="P35" i="3" s="1"/>
  <c r="B35" i="3"/>
  <c r="U34" i="3"/>
  <c r="S34" i="3"/>
  <c r="Q34" i="3"/>
  <c r="P34" i="3"/>
  <c r="O34" i="3"/>
  <c r="M34" i="3"/>
  <c r="H34" i="3"/>
  <c r="T34" i="3" s="1"/>
  <c r="F34" i="3"/>
  <c r="R34" i="3" s="1"/>
  <c r="D34" i="3"/>
  <c r="B34" i="3"/>
  <c r="N34" i="3" s="1"/>
  <c r="U33" i="3"/>
  <c r="S33" i="3"/>
  <c r="R33" i="3"/>
  <c r="Q33" i="3"/>
  <c r="P33" i="3"/>
  <c r="O33" i="3"/>
  <c r="N33" i="3"/>
  <c r="M33" i="3"/>
  <c r="H33" i="3"/>
  <c r="T33" i="3" s="1"/>
  <c r="F33" i="3"/>
  <c r="D33" i="3"/>
  <c r="B33" i="3"/>
  <c r="U32" i="3"/>
  <c r="S32" i="3"/>
  <c r="Q32" i="3"/>
  <c r="O32" i="3"/>
  <c r="M32" i="3"/>
  <c r="H32" i="3"/>
  <c r="T32" i="3" s="1"/>
  <c r="F32" i="3"/>
  <c r="R32" i="3" s="1"/>
  <c r="D32" i="3"/>
  <c r="P32" i="3" s="1"/>
  <c r="B32" i="3"/>
  <c r="N32" i="3" s="1"/>
  <c r="U31" i="3"/>
  <c r="S31" i="3"/>
  <c r="R31" i="3"/>
  <c r="Q31" i="3"/>
  <c r="O31" i="3"/>
  <c r="N31" i="3"/>
  <c r="M31" i="3"/>
  <c r="H31" i="3"/>
  <c r="T31" i="3" s="1"/>
  <c r="F31" i="3"/>
  <c r="D31" i="3"/>
  <c r="P31" i="3" s="1"/>
  <c r="B31" i="3"/>
  <c r="U30" i="3"/>
  <c r="S30" i="3"/>
  <c r="Q30" i="3"/>
  <c r="P30" i="3"/>
  <c r="O30" i="3"/>
  <c r="M30" i="3"/>
  <c r="H30" i="3"/>
  <c r="T30" i="3" s="1"/>
  <c r="F30" i="3"/>
  <c r="R30" i="3" s="1"/>
  <c r="D30" i="3"/>
  <c r="B30" i="3"/>
  <c r="N30" i="3" s="1"/>
  <c r="U29" i="3"/>
  <c r="S29" i="3"/>
  <c r="R29" i="3"/>
  <c r="Q29" i="3"/>
  <c r="P29" i="3"/>
  <c r="O29" i="3"/>
  <c r="N29" i="3"/>
  <c r="M29" i="3"/>
  <c r="H29" i="3"/>
  <c r="T29" i="3" s="1"/>
  <c r="F29" i="3"/>
  <c r="D29" i="3"/>
  <c r="B29" i="3"/>
  <c r="U28" i="3"/>
  <c r="S28" i="3"/>
  <c r="Q28" i="3"/>
  <c r="O28" i="3"/>
  <c r="M28" i="3"/>
  <c r="H28" i="3"/>
  <c r="T28" i="3" s="1"/>
  <c r="F28" i="3"/>
  <c r="R28" i="3" s="1"/>
  <c r="D28" i="3"/>
  <c r="P28" i="3" s="1"/>
  <c r="B28" i="3"/>
  <c r="N28" i="3" s="1"/>
  <c r="U27" i="3"/>
  <c r="S27" i="3"/>
  <c r="R27" i="3"/>
  <c r="Q27" i="3"/>
  <c r="O27" i="3"/>
  <c r="N27" i="3"/>
  <c r="M27" i="3"/>
  <c r="H27" i="3"/>
  <c r="T27" i="3" s="1"/>
  <c r="F27" i="3"/>
  <c r="D27" i="3"/>
  <c r="P27" i="3" s="1"/>
  <c r="B27" i="3"/>
  <c r="U26" i="3"/>
  <c r="S26" i="3"/>
  <c r="Q26" i="3"/>
  <c r="P26" i="3"/>
  <c r="O26" i="3"/>
  <c r="M26" i="3"/>
  <c r="H26" i="3"/>
  <c r="T26" i="3" s="1"/>
  <c r="F26" i="3"/>
  <c r="R26" i="3" s="1"/>
  <c r="D26" i="3"/>
  <c r="B26" i="3"/>
  <c r="N26" i="3" s="1"/>
  <c r="U25" i="3"/>
  <c r="S25" i="3"/>
  <c r="R25" i="3"/>
  <c r="Q25" i="3"/>
  <c r="P25" i="3"/>
  <c r="O25" i="3"/>
  <c r="N25" i="3"/>
  <c r="M25" i="3"/>
  <c r="H25" i="3"/>
  <c r="T25" i="3" s="1"/>
  <c r="F25" i="3"/>
  <c r="D25" i="3"/>
  <c r="B25" i="3"/>
  <c r="U24" i="3"/>
  <c r="S24" i="3"/>
  <c r="Q24" i="3"/>
  <c r="O24" i="3"/>
  <c r="M24" i="3"/>
  <c r="H24" i="3"/>
  <c r="T24" i="3" s="1"/>
  <c r="F24" i="3"/>
  <c r="R24" i="3" s="1"/>
  <c r="D24" i="3"/>
  <c r="P24" i="3" s="1"/>
  <c r="B24" i="3"/>
  <c r="N24" i="3" s="1"/>
  <c r="U23" i="3"/>
  <c r="S23" i="3"/>
  <c r="R23" i="3"/>
  <c r="Q23" i="3"/>
  <c r="O23" i="3"/>
  <c r="N23" i="3"/>
  <c r="M23" i="3"/>
  <c r="H23" i="3"/>
  <c r="T23" i="3" s="1"/>
  <c r="F23" i="3"/>
  <c r="D23" i="3"/>
  <c r="P23" i="3" s="1"/>
  <c r="B23" i="3"/>
  <c r="U22" i="3"/>
  <c r="S22" i="3"/>
  <c r="Q22" i="3"/>
  <c r="P22" i="3"/>
  <c r="O22" i="3"/>
  <c r="M22" i="3"/>
  <c r="H22" i="3"/>
  <c r="T22" i="3" s="1"/>
  <c r="F22" i="3"/>
  <c r="R22" i="3" s="1"/>
  <c r="D22" i="3"/>
  <c r="B22" i="3"/>
  <c r="N22" i="3" s="1"/>
  <c r="U21" i="3"/>
  <c r="S21" i="3"/>
  <c r="R21" i="3"/>
  <c r="Q21" i="3"/>
  <c r="P21" i="3"/>
  <c r="O21" i="3"/>
  <c r="N21" i="3"/>
  <c r="M21" i="3"/>
  <c r="H21" i="3"/>
  <c r="T21" i="3" s="1"/>
  <c r="F21" i="3"/>
  <c r="D21" i="3"/>
  <c r="B21" i="3"/>
  <c r="U20" i="3"/>
  <c r="S20" i="3"/>
  <c r="Q20" i="3"/>
  <c r="O20" i="3"/>
  <c r="M20" i="3"/>
  <c r="H20" i="3"/>
  <c r="T20" i="3" s="1"/>
  <c r="F20" i="3"/>
  <c r="R20" i="3" s="1"/>
  <c r="D20" i="3"/>
  <c r="P20" i="3" s="1"/>
  <c r="B20" i="3"/>
  <c r="N20" i="3" s="1"/>
  <c r="U19" i="3"/>
  <c r="S19" i="3"/>
  <c r="R19" i="3"/>
  <c r="Q19" i="3"/>
  <c r="O19" i="3"/>
  <c r="N19" i="3"/>
  <c r="M19" i="3"/>
  <c r="H19" i="3"/>
  <c r="T19" i="3" s="1"/>
  <c r="F19" i="3"/>
  <c r="D19" i="3"/>
  <c r="P19" i="3" s="1"/>
  <c r="B19" i="3"/>
  <c r="U18" i="3"/>
  <c r="S18" i="3"/>
  <c r="Q18" i="3"/>
  <c r="P18" i="3"/>
  <c r="O18" i="3"/>
  <c r="M18" i="3"/>
  <c r="H18" i="3"/>
  <c r="T18" i="3" s="1"/>
  <c r="F18" i="3"/>
  <c r="R18" i="3" s="1"/>
  <c r="D18" i="3"/>
  <c r="B18" i="3"/>
  <c r="N18" i="3" s="1"/>
  <c r="U17" i="3"/>
  <c r="S17" i="3"/>
  <c r="R17" i="3"/>
  <c r="Q17" i="3"/>
  <c r="P17" i="3"/>
  <c r="O17" i="3"/>
  <c r="N17" i="3"/>
  <c r="M17" i="3"/>
  <c r="H17" i="3"/>
  <c r="T17" i="3" s="1"/>
  <c r="F17" i="3"/>
  <c r="D17" i="3"/>
  <c r="B17" i="3"/>
  <c r="U16" i="3"/>
  <c r="S16" i="3"/>
  <c r="Q16" i="3"/>
  <c r="O16" i="3"/>
  <c r="M16" i="3"/>
  <c r="H16" i="3"/>
  <c r="T16" i="3" s="1"/>
  <c r="F16" i="3"/>
  <c r="R16" i="3" s="1"/>
  <c r="D16" i="3"/>
  <c r="P16" i="3" s="1"/>
  <c r="B16" i="3"/>
  <c r="N16" i="3" s="1"/>
  <c r="U15" i="3"/>
  <c r="S15" i="3"/>
  <c r="R15" i="3"/>
  <c r="Q15" i="3"/>
  <c r="O15" i="3"/>
  <c r="N15" i="3"/>
  <c r="M15" i="3"/>
  <c r="H15" i="3"/>
  <c r="T15" i="3" s="1"/>
  <c r="F15" i="3"/>
  <c r="D15" i="3"/>
  <c r="P15" i="3" s="1"/>
  <c r="B15" i="3"/>
  <c r="U14" i="3"/>
  <c r="S14" i="3"/>
  <c r="Q14" i="3"/>
  <c r="P14" i="3"/>
  <c r="O14" i="3"/>
  <c r="M14" i="3"/>
  <c r="H14" i="3"/>
  <c r="T14" i="3" s="1"/>
  <c r="F14" i="3"/>
  <c r="R14" i="3" s="1"/>
  <c r="D14" i="3"/>
  <c r="B14" i="3"/>
  <c r="N14" i="3" s="1"/>
  <c r="U13" i="3"/>
  <c r="S13" i="3"/>
  <c r="R13" i="3"/>
  <c r="Q13" i="3"/>
  <c r="P13" i="3"/>
  <c r="O13" i="3"/>
  <c r="N13" i="3"/>
  <c r="M13" i="3"/>
  <c r="H13" i="3"/>
  <c r="T13" i="3" s="1"/>
  <c r="F13" i="3"/>
  <c r="D13" i="3"/>
  <c r="B13" i="3"/>
  <c r="U12" i="3"/>
  <c r="S12" i="3"/>
  <c r="Q12" i="3"/>
  <c r="O12" i="3"/>
  <c r="M12" i="3"/>
  <c r="H12" i="3"/>
  <c r="T12" i="3" s="1"/>
  <c r="F12" i="3"/>
  <c r="R12" i="3" s="1"/>
  <c r="D12" i="3"/>
  <c r="P12" i="3" s="1"/>
  <c r="B12" i="3"/>
  <c r="N12" i="3" s="1"/>
  <c r="U11" i="3"/>
  <c r="S11" i="3"/>
  <c r="R11" i="3"/>
  <c r="Q11" i="3"/>
  <c r="O11" i="3"/>
  <c r="N11" i="3"/>
  <c r="M11" i="3"/>
  <c r="H11" i="3"/>
  <c r="T11" i="3" s="1"/>
  <c r="F11" i="3"/>
  <c r="D11" i="3"/>
  <c r="P11" i="3" s="1"/>
  <c r="B11" i="3"/>
  <c r="U10" i="3"/>
  <c r="S10" i="3"/>
  <c r="Q10" i="3"/>
  <c r="P10" i="3"/>
  <c r="O10" i="3"/>
  <c r="M10" i="3"/>
  <c r="H10" i="3"/>
  <c r="T10" i="3" s="1"/>
  <c r="F10" i="3"/>
  <c r="R10" i="3" s="1"/>
  <c r="D10" i="3"/>
  <c r="B10" i="3"/>
  <c r="N10" i="3" s="1"/>
  <c r="U9" i="3"/>
  <c r="S9" i="3"/>
  <c r="R9" i="3"/>
  <c r="Q9" i="3"/>
  <c r="P9" i="3"/>
  <c r="O9" i="3"/>
  <c r="N9" i="3"/>
  <c r="M9" i="3"/>
  <c r="H9" i="3"/>
  <c r="T9" i="3" s="1"/>
  <c r="F9" i="3"/>
  <c r="D9" i="3"/>
  <c r="B9" i="3"/>
  <c r="U8" i="3"/>
  <c r="S8" i="3"/>
  <c r="Q8" i="3"/>
  <c r="O8" i="3"/>
  <c r="M8" i="3"/>
  <c r="H8" i="3"/>
  <c r="T8" i="3" s="1"/>
  <c r="F8" i="3"/>
  <c r="R8" i="3" s="1"/>
  <c r="D8" i="3"/>
  <c r="P8" i="3" s="1"/>
  <c r="B8" i="3"/>
  <c r="N8" i="3" s="1"/>
  <c r="U7" i="3"/>
  <c r="S7" i="3"/>
  <c r="R7" i="3"/>
  <c r="Q7" i="3"/>
  <c r="O7" i="3"/>
  <c r="N7" i="3"/>
  <c r="M7" i="3"/>
  <c r="H7" i="3"/>
  <c r="T7" i="3" s="1"/>
  <c r="F7" i="3"/>
  <c r="D7" i="3"/>
  <c r="P7" i="3" s="1"/>
  <c r="B7" i="3"/>
  <c r="U6" i="3"/>
  <c r="S6" i="3"/>
  <c r="Q6" i="3"/>
  <c r="P6" i="3"/>
  <c r="O6" i="3"/>
  <c r="M6" i="3"/>
  <c r="H6" i="3"/>
  <c r="T6" i="3" s="1"/>
  <c r="F6" i="3"/>
  <c r="R6" i="3" s="1"/>
  <c r="D6" i="3"/>
  <c r="B6" i="3"/>
  <c r="N6" i="3" s="1"/>
  <c r="U5" i="3"/>
  <c r="S5" i="3"/>
  <c r="R5" i="3"/>
  <c r="Q5" i="3"/>
  <c r="P5" i="3"/>
  <c r="O5" i="3"/>
  <c r="N5" i="3"/>
  <c r="M5" i="3"/>
  <c r="H5" i="3"/>
  <c r="T5" i="3" s="1"/>
  <c r="F5" i="3"/>
  <c r="D5" i="3"/>
  <c r="B5" i="3"/>
  <c r="U4" i="3"/>
  <c r="S4" i="3"/>
  <c r="Q4" i="3"/>
  <c r="O4" i="3"/>
  <c r="M4" i="3"/>
  <c r="H4" i="3"/>
  <c r="T4" i="3" s="1"/>
  <c r="F4" i="3"/>
  <c r="R4" i="3" s="1"/>
  <c r="D4" i="3"/>
  <c r="P4" i="3" s="1"/>
  <c r="B4" i="3"/>
  <c r="N4" i="3" s="1"/>
  <c r="U54" i="2"/>
  <c r="S54" i="2"/>
  <c r="R54" i="2"/>
  <c r="Q54" i="2"/>
  <c r="O54" i="2"/>
  <c r="N54" i="2"/>
  <c r="M54" i="2"/>
  <c r="H54" i="2"/>
  <c r="T54" i="2" s="1"/>
  <c r="F54" i="2"/>
  <c r="D54" i="2"/>
  <c r="P54" i="2" s="1"/>
  <c r="B54" i="2"/>
  <c r="U53" i="2"/>
  <c r="S53" i="2"/>
  <c r="Q53" i="2"/>
  <c r="P53" i="2"/>
  <c r="O53" i="2"/>
  <c r="M53" i="2"/>
  <c r="H53" i="2"/>
  <c r="T53" i="2" s="1"/>
  <c r="F53" i="2"/>
  <c r="R53" i="2" s="1"/>
  <c r="D53" i="2"/>
  <c r="B53" i="2"/>
  <c r="N53" i="2" s="1"/>
  <c r="U52" i="2"/>
  <c r="S52" i="2"/>
  <c r="R52" i="2"/>
  <c r="Q52" i="2"/>
  <c r="O52" i="2"/>
  <c r="N52" i="2"/>
  <c r="M52" i="2"/>
  <c r="H52" i="2"/>
  <c r="T52" i="2" s="1"/>
  <c r="F52" i="2"/>
  <c r="D52" i="2"/>
  <c r="P52" i="2" s="1"/>
  <c r="B52" i="2"/>
  <c r="U51" i="2"/>
  <c r="S51" i="2"/>
  <c r="Q51" i="2"/>
  <c r="O51" i="2"/>
  <c r="M51" i="2"/>
  <c r="H51" i="2"/>
  <c r="T51" i="2" s="1"/>
  <c r="F51" i="2"/>
  <c r="R51" i="2" s="1"/>
  <c r="D51" i="2"/>
  <c r="P51" i="2" s="1"/>
  <c r="B51" i="2"/>
  <c r="N51" i="2" s="1"/>
  <c r="U50" i="2"/>
  <c r="S50" i="2"/>
  <c r="Q50" i="2"/>
  <c r="P50" i="2"/>
  <c r="O50" i="2"/>
  <c r="N50" i="2"/>
  <c r="M50" i="2"/>
  <c r="H50" i="2"/>
  <c r="T50" i="2" s="1"/>
  <c r="F50" i="2"/>
  <c r="R50" i="2" s="1"/>
  <c r="D50" i="2"/>
  <c r="B50" i="2"/>
  <c r="U49" i="2"/>
  <c r="S49" i="2"/>
  <c r="Q49" i="2"/>
  <c r="P49" i="2"/>
  <c r="O49" i="2"/>
  <c r="M49" i="2"/>
  <c r="H49" i="2"/>
  <c r="T49" i="2" s="1"/>
  <c r="F49" i="2"/>
  <c r="R49" i="2" s="1"/>
  <c r="D49" i="2"/>
  <c r="B49" i="2"/>
  <c r="N49" i="2" s="1"/>
  <c r="U48" i="2"/>
  <c r="S48" i="2"/>
  <c r="R48" i="2"/>
  <c r="Q48" i="2"/>
  <c r="P48" i="2"/>
  <c r="O48" i="2"/>
  <c r="M48" i="2"/>
  <c r="H48" i="2"/>
  <c r="T48" i="2" s="1"/>
  <c r="F48" i="2"/>
  <c r="D48" i="2"/>
  <c r="B48" i="2"/>
  <c r="N48" i="2" s="1"/>
  <c r="U47" i="2"/>
  <c r="S47" i="2"/>
  <c r="Q47" i="2"/>
  <c r="O47" i="2"/>
  <c r="N47" i="2"/>
  <c r="M47" i="2"/>
  <c r="H47" i="2"/>
  <c r="T47" i="2" s="1"/>
  <c r="F47" i="2"/>
  <c r="R47" i="2" s="1"/>
  <c r="D47" i="2"/>
  <c r="P47" i="2" s="1"/>
  <c r="B47" i="2"/>
  <c r="U46" i="2"/>
  <c r="S46" i="2"/>
  <c r="Q46" i="2"/>
  <c r="P46" i="2"/>
  <c r="O46" i="2"/>
  <c r="N46" i="2"/>
  <c r="M46" i="2"/>
  <c r="H46" i="2"/>
  <c r="T46" i="2" s="1"/>
  <c r="F46" i="2"/>
  <c r="R46" i="2" s="1"/>
  <c r="D46" i="2"/>
  <c r="B46" i="2"/>
  <c r="U45" i="2"/>
  <c r="S45" i="2"/>
  <c r="Q45" i="2"/>
  <c r="P45" i="2"/>
  <c r="O45" i="2"/>
  <c r="M45" i="2"/>
  <c r="H45" i="2"/>
  <c r="T45" i="2" s="1"/>
  <c r="F45" i="2"/>
  <c r="R45" i="2" s="1"/>
  <c r="D45" i="2"/>
  <c r="B45" i="2"/>
  <c r="N45" i="2" s="1"/>
  <c r="U44" i="2"/>
  <c r="S44" i="2"/>
  <c r="R44" i="2"/>
  <c r="Q44" i="2"/>
  <c r="P44" i="2"/>
  <c r="O44" i="2"/>
  <c r="M44" i="2"/>
  <c r="H44" i="2"/>
  <c r="T44" i="2" s="1"/>
  <c r="F44" i="2"/>
  <c r="D44" i="2"/>
  <c r="B44" i="2"/>
  <c r="N44" i="2" s="1"/>
  <c r="U43" i="2"/>
  <c r="S43" i="2"/>
  <c r="Q43" i="2"/>
  <c r="O43" i="2"/>
  <c r="N43" i="2"/>
  <c r="M43" i="2"/>
  <c r="H43" i="2"/>
  <c r="T43" i="2" s="1"/>
  <c r="F43" i="2"/>
  <c r="R43" i="2" s="1"/>
  <c r="D43" i="2"/>
  <c r="P43" i="2" s="1"/>
  <c r="B43" i="2"/>
  <c r="U42" i="2"/>
  <c r="S42" i="2"/>
  <c r="Q42" i="2"/>
  <c r="P42" i="2"/>
  <c r="O42" i="2"/>
  <c r="N42" i="2"/>
  <c r="M42" i="2"/>
  <c r="H42" i="2"/>
  <c r="T42" i="2" s="1"/>
  <c r="F42" i="2"/>
  <c r="R42" i="2" s="1"/>
  <c r="D42" i="2"/>
  <c r="B42" i="2"/>
  <c r="U41" i="2"/>
  <c r="S41" i="2"/>
  <c r="Q41" i="2"/>
  <c r="P41" i="2"/>
  <c r="O41" i="2"/>
  <c r="M41" i="2"/>
  <c r="H41" i="2"/>
  <c r="T41" i="2" s="1"/>
  <c r="F41" i="2"/>
  <c r="R41" i="2" s="1"/>
  <c r="D41" i="2"/>
  <c r="B41" i="2"/>
  <c r="N41" i="2" s="1"/>
  <c r="U40" i="2"/>
  <c r="S40" i="2"/>
  <c r="R40" i="2"/>
  <c r="Q40" i="2"/>
  <c r="P40" i="2"/>
  <c r="O40" i="2"/>
  <c r="M40" i="2"/>
  <c r="H40" i="2"/>
  <c r="T40" i="2" s="1"/>
  <c r="F40" i="2"/>
  <c r="D40" i="2"/>
  <c r="B40" i="2"/>
  <c r="N40" i="2" s="1"/>
  <c r="U39" i="2"/>
  <c r="S39" i="2"/>
  <c r="Q39" i="2"/>
  <c r="O39" i="2"/>
  <c r="N39" i="2"/>
  <c r="M39" i="2"/>
  <c r="H39" i="2"/>
  <c r="T39" i="2" s="1"/>
  <c r="F39" i="2"/>
  <c r="R39" i="2" s="1"/>
  <c r="D39" i="2"/>
  <c r="P39" i="2" s="1"/>
  <c r="B39" i="2"/>
  <c r="U38" i="2"/>
  <c r="S38" i="2"/>
  <c r="Q38" i="2"/>
  <c r="P38" i="2"/>
  <c r="O38" i="2"/>
  <c r="N38" i="2"/>
  <c r="M38" i="2"/>
  <c r="H38" i="2"/>
  <c r="T38" i="2" s="1"/>
  <c r="F38" i="2"/>
  <c r="R38" i="2" s="1"/>
  <c r="D38" i="2"/>
  <c r="B38" i="2"/>
  <c r="U37" i="2"/>
  <c r="S37" i="2"/>
  <c r="Q37" i="2"/>
  <c r="P37" i="2"/>
  <c r="O37" i="2"/>
  <c r="M37" i="2"/>
  <c r="H37" i="2"/>
  <c r="T37" i="2" s="1"/>
  <c r="F37" i="2"/>
  <c r="R37" i="2" s="1"/>
  <c r="D37" i="2"/>
  <c r="B37" i="2"/>
  <c r="N37" i="2" s="1"/>
  <c r="U36" i="2"/>
  <c r="S36" i="2"/>
  <c r="R36" i="2"/>
  <c r="Q36" i="2"/>
  <c r="P36" i="2"/>
  <c r="O36" i="2"/>
  <c r="M36" i="2"/>
  <c r="H36" i="2"/>
  <c r="T36" i="2" s="1"/>
  <c r="F36" i="2"/>
  <c r="D36" i="2"/>
  <c r="B36" i="2"/>
  <c r="N36" i="2" s="1"/>
  <c r="U35" i="2"/>
  <c r="S35" i="2"/>
  <c r="Q35" i="2"/>
  <c r="O35" i="2"/>
  <c r="N35" i="2"/>
  <c r="M35" i="2"/>
  <c r="H35" i="2"/>
  <c r="T35" i="2" s="1"/>
  <c r="F35" i="2"/>
  <c r="R35" i="2" s="1"/>
  <c r="D35" i="2"/>
  <c r="P35" i="2" s="1"/>
  <c r="B35" i="2"/>
  <c r="U34" i="2"/>
  <c r="S34" i="2"/>
  <c r="Q34" i="2"/>
  <c r="P34" i="2"/>
  <c r="O34" i="2"/>
  <c r="M34" i="2"/>
  <c r="H34" i="2"/>
  <c r="T34" i="2" s="1"/>
  <c r="F34" i="2"/>
  <c r="R34" i="2" s="1"/>
  <c r="D34" i="2"/>
  <c r="B34" i="2"/>
  <c r="N34" i="2" s="1"/>
  <c r="U33" i="2"/>
  <c r="S33" i="2"/>
  <c r="R33" i="2"/>
  <c r="Q33" i="2"/>
  <c r="P33" i="2"/>
  <c r="O33" i="2"/>
  <c r="N33" i="2"/>
  <c r="M33" i="2"/>
  <c r="H33" i="2"/>
  <c r="T33" i="2" s="1"/>
  <c r="F33" i="2"/>
  <c r="D33" i="2"/>
  <c r="B33" i="2"/>
  <c r="U32" i="2"/>
  <c r="S32" i="2"/>
  <c r="Q32" i="2"/>
  <c r="O32" i="2"/>
  <c r="N32" i="2"/>
  <c r="M32" i="2"/>
  <c r="H32" i="2"/>
  <c r="T32" i="2" s="1"/>
  <c r="F32" i="2"/>
  <c r="R32" i="2" s="1"/>
  <c r="D32" i="2"/>
  <c r="P32" i="2" s="1"/>
  <c r="B32" i="2"/>
  <c r="U31" i="2"/>
  <c r="S31" i="2"/>
  <c r="R31" i="2"/>
  <c r="Q31" i="2"/>
  <c r="P31" i="2"/>
  <c r="O31" i="2"/>
  <c r="N31" i="2"/>
  <c r="M31" i="2"/>
  <c r="H31" i="2"/>
  <c r="T31" i="2" s="1"/>
  <c r="F31" i="2"/>
  <c r="D31" i="2"/>
  <c r="B31" i="2"/>
  <c r="U30" i="2"/>
  <c r="S30" i="2"/>
  <c r="Q30" i="2"/>
  <c r="P30" i="2"/>
  <c r="O30" i="2"/>
  <c r="M30" i="2"/>
  <c r="H30" i="2"/>
  <c r="T30" i="2" s="1"/>
  <c r="F30" i="2"/>
  <c r="R30" i="2" s="1"/>
  <c r="D30" i="2"/>
  <c r="B30" i="2"/>
  <c r="N30" i="2" s="1"/>
  <c r="U29" i="2"/>
  <c r="S29" i="2"/>
  <c r="R29" i="2"/>
  <c r="Q29" i="2"/>
  <c r="O29" i="2"/>
  <c r="M29" i="2"/>
  <c r="H29" i="2"/>
  <c r="T29" i="2" s="1"/>
  <c r="F29" i="2"/>
  <c r="D29" i="2"/>
  <c r="P29" i="2" s="1"/>
  <c r="B29" i="2"/>
  <c r="N29" i="2" s="1"/>
  <c r="U28" i="2"/>
  <c r="S28" i="2"/>
  <c r="R28" i="2"/>
  <c r="Q28" i="2"/>
  <c r="O28" i="2"/>
  <c r="M28" i="2"/>
  <c r="H28" i="2"/>
  <c r="T28" i="2" s="1"/>
  <c r="F28" i="2"/>
  <c r="D28" i="2"/>
  <c r="P28" i="2" s="1"/>
  <c r="B28" i="2"/>
  <c r="N28" i="2" s="1"/>
  <c r="U27" i="2"/>
  <c r="S27" i="2"/>
  <c r="Q27" i="2"/>
  <c r="O27" i="2"/>
  <c r="N27" i="2"/>
  <c r="M27" i="2"/>
  <c r="H27" i="2"/>
  <c r="T27" i="2" s="1"/>
  <c r="F27" i="2"/>
  <c r="R27" i="2" s="1"/>
  <c r="D27" i="2"/>
  <c r="P27" i="2" s="1"/>
  <c r="B27" i="2"/>
  <c r="U26" i="2"/>
  <c r="S26" i="2"/>
  <c r="Q26" i="2"/>
  <c r="P26" i="2"/>
  <c r="O26" i="2"/>
  <c r="M26" i="2"/>
  <c r="H26" i="2"/>
  <c r="T26" i="2" s="1"/>
  <c r="F26" i="2"/>
  <c r="R26" i="2" s="1"/>
  <c r="D26" i="2"/>
  <c r="B26" i="2"/>
  <c r="N26" i="2" s="1"/>
  <c r="U25" i="2"/>
  <c r="S25" i="2"/>
  <c r="R25" i="2"/>
  <c r="Q25" i="2"/>
  <c r="P25" i="2"/>
  <c r="O25" i="2"/>
  <c r="N25" i="2"/>
  <c r="M25" i="2"/>
  <c r="H25" i="2"/>
  <c r="T25" i="2" s="1"/>
  <c r="F25" i="2"/>
  <c r="D25" i="2"/>
  <c r="B25" i="2"/>
  <c r="U24" i="2"/>
  <c r="S24" i="2"/>
  <c r="Q24" i="2"/>
  <c r="O24" i="2"/>
  <c r="N24" i="2"/>
  <c r="M24" i="2"/>
  <c r="H24" i="2"/>
  <c r="T24" i="2" s="1"/>
  <c r="F24" i="2"/>
  <c r="R24" i="2" s="1"/>
  <c r="D24" i="2"/>
  <c r="P24" i="2" s="1"/>
  <c r="B24" i="2"/>
  <c r="U23" i="2"/>
  <c r="S23" i="2"/>
  <c r="R23" i="2"/>
  <c r="Q23" i="2"/>
  <c r="P23" i="2"/>
  <c r="O23" i="2"/>
  <c r="N23" i="2"/>
  <c r="M23" i="2"/>
  <c r="H23" i="2"/>
  <c r="T23" i="2" s="1"/>
  <c r="F23" i="2"/>
  <c r="D23" i="2"/>
  <c r="B23" i="2"/>
  <c r="U22" i="2"/>
  <c r="S22" i="2"/>
  <c r="Q22" i="2"/>
  <c r="P22" i="2"/>
  <c r="O22" i="2"/>
  <c r="M22" i="2"/>
  <c r="H22" i="2"/>
  <c r="T22" i="2" s="1"/>
  <c r="F22" i="2"/>
  <c r="R22" i="2" s="1"/>
  <c r="D22" i="2"/>
  <c r="B22" i="2"/>
  <c r="N22" i="2" s="1"/>
  <c r="U21" i="2"/>
  <c r="S21" i="2"/>
  <c r="R21" i="2"/>
  <c r="Q21" i="2"/>
  <c r="O21" i="2"/>
  <c r="M21" i="2"/>
  <c r="H21" i="2"/>
  <c r="T21" i="2" s="1"/>
  <c r="F21" i="2"/>
  <c r="D21" i="2"/>
  <c r="P21" i="2" s="1"/>
  <c r="B21" i="2"/>
  <c r="N21" i="2" s="1"/>
  <c r="U20" i="2"/>
  <c r="S20" i="2"/>
  <c r="R20" i="2"/>
  <c r="Q20" i="2"/>
  <c r="O20" i="2"/>
  <c r="M20" i="2"/>
  <c r="H20" i="2"/>
  <c r="T20" i="2" s="1"/>
  <c r="F20" i="2"/>
  <c r="D20" i="2"/>
  <c r="P20" i="2" s="1"/>
  <c r="B20" i="2"/>
  <c r="N20" i="2" s="1"/>
  <c r="U19" i="2"/>
  <c r="T19" i="2"/>
  <c r="S19" i="2"/>
  <c r="Q19" i="2"/>
  <c r="O19" i="2"/>
  <c r="N19" i="2"/>
  <c r="M19" i="2"/>
  <c r="H19" i="2"/>
  <c r="F19" i="2"/>
  <c r="R19" i="2" s="1"/>
  <c r="D19" i="2"/>
  <c r="P19" i="2" s="1"/>
  <c r="B19" i="2"/>
  <c r="U18" i="2"/>
  <c r="S18" i="2"/>
  <c r="Q18" i="2"/>
  <c r="P18" i="2"/>
  <c r="O18" i="2"/>
  <c r="M18" i="2"/>
  <c r="H18" i="2"/>
  <c r="T18" i="2" s="1"/>
  <c r="F18" i="2"/>
  <c r="R18" i="2" s="1"/>
  <c r="D18" i="2"/>
  <c r="B18" i="2"/>
  <c r="N18" i="2" s="1"/>
  <c r="U17" i="2"/>
  <c r="S17" i="2"/>
  <c r="R17" i="2"/>
  <c r="Q17" i="2"/>
  <c r="P17" i="2"/>
  <c r="O17" i="2"/>
  <c r="N17" i="2"/>
  <c r="M17" i="2"/>
  <c r="H17" i="2"/>
  <c r="T17" i="2" s="1"/>
  <c r="F17" i="2"/>
  <c r="D17" i="2"/>
  <c r="B17" i="2"/>
  <c r="U16" i="2"/>
  <c r="S16" i="2"/>
  <c r="Q16" i="2"/>
  <c r="O16" i="2"/>
  <c r="N16" i="2"/>
  <c r="M16" i="2"/>
  <c r="H16" i="2"/>
  <c r="T16" i="2" s="1"/>
  <c r="F16" i="2"/>
  <c r="R16" i="2" s="1"/>
  <c r="D16" i="2"/>
  <c r="P16" i="2" s="1"/>
  <c r="B16" i="2"/>
  <c r="U15" i="2"/>
  <c r="S15" i="2"/>
  <c r="R15" i="2"/>
  <c r="Q15" i="2"/>
  <c r="P15" i="2"/>
  <c r="O15" i="2"/>
  <c r="N15" i="2"/>
  <c r="M15" i="2"/>
  <c r="H15" i="2"/>
  <c r="T15" i="2" s="1"/>
  <c r="F15" i="2"/>
  <c r="D15" i="2"/>
  <c r="B15" i="2"/>
  <c r="U14" i="2"/>
  <c r="S14" i="2"/>
  <c r="Q14" i="2"/>
  <c r="P14" i="2"/>
  <c r="O14" i="2"/>
  <c r="M14" i="2"/>
  <c r="H14" i="2"/>
  <c r="T14" i="2" s="1"/>
  <c r="F14" i="2"/>
  <c r="R14" i="2" s="1"/>
  <c r="D14" i="2"/>
  <c r="B14" i="2"/>
  <c r="N14" i="2" s="1"/>
  <c r="U13" i="2"/>
  <c r="S13" i="2"/>
  <c r="R13" i="2"/>
  <c r="Q13" i="2"/>
  <c r="O13" i="2"/>
  <c r="N13" i="2"/>
  <c r="M13" i="2"/>
  <c r="H13" i="2"/>
  <c r="T13" i="2" s="1"/>
  <c r="F13" i="2"/>
  <c r="D13" i="2"/>
  <c r="P13" i="2" s="1"/>
  <c r="B13" i="2"/>
  <c r="U12" i="2"/>
  <c r="S12" i="2"/>
  <c r="R12" i="2"/>
  <c r="Q12" i="2"/>
  <c r="O12" i="2"/>
  <c r="M12" i="2"/>
  <c r="H12" i="2"/>
  <c r="T12" i="2" s="1"/>
  <c r="F12" i="2"/>
  <c r="D12" i="2"/>
  <c r="P12" i="2" s="1"/>
  <c r="B12" i="2"/>
  <c r="N12" i="2" s="1"/>
  <c r="U11" i="2"/>
  <c r="S11" i="2"/>
  <c r="Q11" i="2"/>
  <c r="P11" i="2"/>
  <c r="O11" i="2"/>
  <c r="N11" i="2"/>
  <c r="M11" i="2"/>
  <c r="H11" i="2"/>
  <c r="T11" i="2" s="1"/>
  <c r="F11" i="2"/>
  <c r="R11" i="2" s="1"/>
  <c r="D11" i="2"/>
  <c r="B11" i="2"/>
  <c r="U10" i="2"/>
  <c r="S10" i="2"/>
  <c r="Q10" i="2"/>
  <c r="P10" i="2"/>
  <c r="O10" i="2"/>
  <c r="M10" i="2"/>
  <c r="H10" i="2"/>
  <c r="T10" i="2" s="1"/>
  <c r="F10" i="2"/>
  <c r="R10" i="2" s="1"/>
  <c r="D10" i="2"/>
  <c r="B10" i="2"/>
  <c r="N10" i="2" s="1"/>
  <c r="U9" i="2"/>
  <c r="S9" i="2"/>
  <c r="R9" i="2"/>
  <c r="Q9" i="2"/>
  <c r="P9" i="2"/>
  <c r="O9" i="2"/>
  <c r="N9" i="2"/>
  <c r="M9" i="2"/>
  <c r="H9" i="2"/>
  <c r="T9" i="2" s="1"/>
  <c r="F9" i="2"/>
  <c r="D9" i="2"/>
  <c r="B9" i="2"/>
  <c r="U8" i="2"/>
  <c r="S8" i="2"/>
  <c r="Q8" i="2"/>
  <c r="O8" i="2"/>
  <c r="N8" i="2"/>
  <c r="M8" i="2"/>
  <c r="H8" i="2"/>
  <c r="T8" i="2" s="1"/>
  <c r="F8" i="2"/>
  <c r="R8" i="2" s="1"/>
  <c r="D8" i="2"/>
  <c r="P8" i="2" s="1"/>
  <c r="B8" i="2"/>
  <c r="U7" i="2"/>
  <c r="S7" i="2"/>
  <c r="R7" i="2"/>
  <c r="Q7" i="2"/>
  <c r="P7" i="2"/>
  <c r="O7" i="2"/>
  <c r="N7" i="2"/>
  <c r="M7" i="2"/>
  <c r="H7" i="2"/>
  <c r="T7" i="2" s="1"/>
  <c r="F7" i="2"/>
  <c r="D7" i="2"/>
  <c r="B7" i="2"/>
  <c r="U6" i="2"/>
  <c r="S6" i="2"/>
  <c r="Q6" i="2"/>
  <c r="P6" i="2"/>
  <c r="O6" i="2"/>
  <c r="M6" i="2"/>
  <c r="H6" i="2"/>
  <c r="T6" i="2" s="1"/>
  <c r="F6" i="2"/>
  <c r="R6" i="2" s="1"/>
  <c r="D6" i="2"/>
  <c r="B6" i="2"/>
  <c r="N6" i="2" s="1"/>
  <c r="U5" i="2"/>
  <c r="S5" i="2"/>
  <c r="R5" i="2"/>
  <c r="Q5" i="2"/>
  <c r="O5" i="2"/>
  <c r="N5" i="2"/>
  <c r="M5" i="2"/>
  <c r="H5" i="2"/>
  <c r="T5" i="2" s="1"/>
  <c r="F5" i="2"/>
  <c r="D5" i="2"/>
  <c r="P5" i="2" s="1"/>
  <c r="B5" i="2"/>
  <c r="U4" i="2"/>
  <c r="S4" i="2"/>
  <c r="R4" i="2"/>
  <c r="Q4" i="2"/>
  <c r="O4" i="2"/>
  <c r="M4" i="2"/>
  <c r="H4" i="2"/>
  <c r="T4" i="2" s="1"/>
  <c r="F4" i="2"/>
  <c r="D4" i="2"/>
  <c r="P4" i="2" s="1"/>
  <c r="B4" i="2"/>
  <c r="N4" i="2" s="1"/>
  <c r="U54" i="1"/>
  <c r="T54" i="1"/>
  <c r="S54" i="1"/>
  <c r="R54" i="1"/>
  <c r="Q54" i="1"/>
  <c r="P54" i="1"/>
  <c r="O54" i="1"/>
  <c r="N54" i="1"/>
  <c r="U53" i="1"/>
  <c r="T53" i="1"/>
  <c r="S53" i="1"/>
  <c r="R53" i="1"/>
  <c r="Q53" i="1"/>
  <c r="P53" i="1"/>
  <c r="O53" i="1"/>
  <c r="N53" i="1"/>
  <c r="U52" i="1"/>
  <c r="T52" i="1"/>
  <c r="S52" i="1"/>
  <c r="R52" i="1"/>
  <c r="Q52" i="1"/>
  <c r="P52" i="1"/>
  <c r="O52" i="1"/>
  <c r="N52" i="1"/>
  <c r="U51" i="1"/>
  <c r="T51" i="1"/>
  <c r="S51" i="1"/>
  <c r="R51" i="1"/>
  <c r="Q51" i="1"/>
  <c r="P51" i="1"/>
  <c r="O51" i="1"/>
  <c r="N51" i="1"/>
  <c r="U50" i="1"/>
  <c r="T50" i="1"/>
  <c r="S50" i="1"/>
  <c r="R50" i="1"/>
  <c r="Q50" i="1"/>
  <c r="P50" i="1"/>
  <c r="O50" i="1"/>
  <c r="N50" i="1"/>
  <c r="U49" i="1"/>
  <c r="T49" i="1"/>
  <c r="S49" i="1"/>
  <c r="R49" i="1"/>
  <c r="Q49" i="1"/>
  <c r="P49" i="1"/>
  <c r="O49" i="1"/>
  <c r="N49" i="1"/>
  <c r="U48" i="1"/>
  <c r="T48" i="1"/>
  <c r="S48" i="1"/>
  <c r="R48" i="1"/>
  <c r="Q48" i="1"/>
  <c r="P48" i="1"/>
  <c r="O48" i="1"/>
  <c r="N48" i="1"/>
  <c r="U47" i="1"/>
  <c r="T47" i="1"/>
  <c r="S47" i="1"/>
  <c r="R47" i="1"/>
  <c r="Q47" i="1"/>
  <c r="P47" i="1"/>
  <c r="O47" i="1"/>
  <c r="N47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N45" i="1"/>
  <c r="U44" i="1"/>
  <c r="T44" i="1"/>
  <c r="S44" i="1"/>
  <c r="R44" i="1"/>
  <c r="Q44" i="1"/>
  <c r="P44" i="1"/>
  <c r="O44" i="1"/>
  <c r="N44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N42" i="1"/>
  <c r="U41" i="1"/>
  <c r="T41" i="1"/>
  <c r="S41" i="1"/>
  <c r="R41" i="1"/>
  <c r="Q41" i="1"/>
  <c r="P41" i="1"/>
  <c r="O41" i="1"/>
  <c r="N41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N39" i="1"/>
  <c r="U38" i="1"/>
  <c r="T38" i="1"/>
  <c r="S38" i="1"/>
  <c r="R38" i="1"/>
  <c r="Q38" i="1"/>
  <c r="P38" i="1"/>
  <c r="O38" i="1"/>
  <c r="N38" i="1"/>
  <c r="U37" i="1"/>
  <c r="T37" i="1"/>
  <c r="S37" i="1"/>
  <c r="R37" i="1"/>
  <c r="Q37" i="1"/>
  <c r="P37" i="1"/>
  <c r="O37" i="1"/>
  <c r="N37" i="1"/>
  <c r="U36" i="1"/>
  <c r="T36" i="1"/>
  <c r="S36" i="1"/>
  <c r="R36" i="1"/>
  <c r="Q36" i="1"/>
  <c r="P36" i="1"/>
  <c r="O36" i="1"/>
  <c r="N36" i="1"/>
  <c r="U35" i="1"/>
  <c r="T35" i="1"/>
  <c r="S35" i="1"/>
  <c r="R35" i="1"/>
  <c r="Q35" i="1"/>
  <c r="P35" i="1"/>
  <c r="O35" i="1"/>
  <c r="N35" i="1"/>
  <c r="U34" i="1"/>
  <c r="T34" i="1"/>
  <c r="S34" i="1"/>
  <c r="R34" i="1"/>
  <c r="Q34" i="1"/>
  <c r="P34" i="1"/>
  <c r="O34" i="1"/>
  <c r="N34" i="1"/>
  <c r="U33" i="1"/>
  <c r="T33" i="1"/>
  <c r="S33" i="1"/>
  <c r="R33" i="1"/>
  <c r="Q33" i="1"/>
  <c r="P33" i="1"/>
  <c r="O33" i="1"/>
  <c r="N33" i="1"/>
  <c r="U32" i="1"/>
  <c r="T32" i="1"/>
  <c r="S32" i="1"/>
  <c r="R32" i="1"/>
  <c r="Q32" i="1"/>
  <c r="P32" i="1"/>
  <c r="O32" i="1"/>
  <c r="N32" i="1"/>
  <c r="U31" i="1"/>
  <c r="T31" i="1"/>
  <c r="S31" i="1"/>
  <c r="R31" i="1"/>
  <c r="Q31" i="1"/>
  <c r="P31" i="1"/>
  <c r="O31" i="1"/>
  <c r="N31" i="1"/>
  <c r="U30" i="1"/>
  <c r="T30" i="1"/>
  <c r="S30" i="1"/>
  <c r="R30" i="1"/>
  <c r="Q30" i="1"/>
  <c r="P30" i="1"/>
  <c r="O30" i="1"/>
  <c r="N30" i="1"/>
  <c r="U29" i="1"/>
  <c r="T29" i="1"/>
  <c r="S29" i="1"/>
  <c r="R29" i="1"/>
  <c r="Q29" i="1"/>
  <c r="P29" i="1"/>
  <c r="O29" i="1"/>
  <c r="N29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N27" i="1"/>
  <c r="U26" i="1"/>
  <c r="T26" i="1"/>
  <c r="S26" i="1"/>
  <c r="R26" i="1"/>
  <c r="Q26" i="1"/>
  <c r="P26" i="1"/>
  <c r="O26" i="1"/>
  <c r="N26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N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N15" i="1"/>
  <c r="U14" i="1"/>
  <c r="T14" i="1"/>
  <c r="S14" i="1"/>
  <c r="R14" i="1"/>
  <c r="Q14" i="1"/>
  <c r="P14" i="1"/>
  <c r="O14" i="1"/>
  <c r="N14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N12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N9" i="1"/>
  <c r="U8" i="1"/>
  <c r="T8" i="1"/>
  <c r="S8" i="1"/>
  <c r="R8" i="1"/>
  <c r="Q8" i="1"/>
  <c r="P8" i="1"/>
  <c r="O8" i="1"/>
  <c r="N8" i="1"/>
  <c r="U7" i="1"/>
  <c r="T7" i="1"/>
  <c r="S7" i="1"/>
  <c r="R7" i="1"/>
  <c r="Q7" i="1"/>
  <c r="P7" i="1"/>
  <c r="O7" i="1"/>
  <c r="N7" i="1"/>
  <c r="U6" i="1"/>
  <c r="T6" i="1"/>
  <c r="S6" i="1"/>
  <c r="R6" i="1"/>
  <c r="Q6" i="1"/>
  <c r="P6" i="1"/>
  <c r="O6" i="1"/>
  <c r="N6" i="1"/>
  <c r="U5" i="1"/>
  <c r="T5" i="1"/>
  <c r="S5" i="1"/>
  <c r="R5" i="1"/>
  <c r="Q5" i="1"/>
  <c r="P5" i="1"/>
  <c r="O5" i="1"/>
  <c r="N5" i="1"/>
  <c r="U4" i="1"/>
  <c r="T4" i="1"/>
  <c r="S4" i="1"/>
  <c r="R4" i="1"/>
  <c r="Q4" i="1"/>
  <c r="P4" i="1"/>
  <c r="O4" i="1"/>
  <c r="N4" i="1"/>
  <c r="U15" i="6" l="1"/>
  <c r="U22" i="6"/>
  <c r="U27" i="6"/>
  <c r="U8" i="6"/>
  <c r="U19" i="6"/>
  <c r="U24" i="6"/>
  <c r="U25" i="6"/>
  <c r="U9" i="6"/>
  <c r="U11" i="6"/>
  <c r="U10" i="6"/>
  <c r="U16" i="6"/>
  <c r="U17" i="6"/>
  <c r="P26" i="6"/>
  <c r="S26" i="6" s="1"/>
  <c r="Q23" i="6"/>
  <c r="T23" i="6" s="1"/>
  <c r="P10" i="6"/>
  <c r="S10" i="6" s="1"/>
  <c r="Q13" i="6"/>
  <c r="T13" i="6" s="1"/>
</calcChain>
</file>

<file path=xl/sharedStrings.xml><?xml version="1.0" encoding="utf-8"?>
<sst xmlns="http://schemas.openxmlformats.org/spreadsheetml/2006/main" count="171" uniqueCount="33">
  <si>
    <t>Table 1 ^- Phi &lt;35</t>
  </si>
  <si>
    <t>Height, km</t>
  </si>
  <si>
    <t>Ls = 20-90</t>
  </si>
  <si>
    <t>Ls = 90-130</t>
  </si>
  <si>
    <t>Ls = 200-270</t>
  </si>
  <si>
    <t>Ls = 270-310</t>
  </si>
  <si>
    <t>P, bar</t>
  </si>
  <si>
    <t>T, K</t>
  </si>
  <si>
    <t>Factor</t>
  </si>
  <si>
    <t>Table 3 35° - 55°</t>
  </si>
  <si>
    <t>Ls*</t>
  </si>
  <si>
    <t>Table 3 - Phi = 50°-70°</t>
  </si>
  <si>
    <t>Φ= 70°-80°</t>
  </si>
  <si>
    <t>H, km</t>
  </si>
  <si>
    <t>Ls= 20°*10^</t>
  </si>
  <si>
    <t>°*10^90°</t>
  </si>
  <si>
    <t>Ls= 90°*10^</t>
  </si>
  <si>
    <t>°*10^130°</t>
  </si>
  <si>
    <t>Ls= 200°*10^</t>
  </si>
  <si>
    <t>°*10^270°</t>
  </si>
  <si>
    <t>Ls= 270°*10^</t>
  </si>
  <si>
    <t>°*10^310°</t>
  </si>
  <si>
    <t>Φ= 85°</t>
  </si>
  <si>
    <t>[km]</t>
  </si>
  <si>
    <t>[g/cm3]</t>
  </si>
  <si>
    <t>[g/gmole]</t>
  </si>
  <si>
    <t>[per cm3]</t>
  </si>
  <si>
    <t>[kg/m*sec]</t>
  </si>
  <si>
    <t>Altitude</t>
  </si>
  <si>
    <t>Density</t>
  </si>
  <si>
    <t>Molecular Mass</t>
  </si>
  <si>
    <t>Number Density</t>
  </si>
  <si>
    <t xml:space="preserve">Viscosity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</si>
</sst>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CC0000"/>
      <name val="Arial"/>
      <charset val="1"/>
    </font>
    <font>
      <sz val="10"/>
      <color rgb="FF000000"/>
      <name val="Times New Roman"/>
      <charset val="1"/>
    </font>
    <font>
      <sz val="10"/>
      <color rgb="FF000000"/>
      <name val="Times New Roman"/>
      <family val="1"/>
      <charset val="1"/>
    </font>
    <font>
      <sz val="11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0" borderId="0"/>
    <xf numFmtId="0" fontId="5" fillId="0" borderId="0"/>
    <xf numFmtId="0" fontId="6" fillId="0" borderId="0"/>
    <xf numFmtId="0" fontId="10" fillId="0" borderId="0"/>
    <xf numFmtId="0" fontId="10" fillId="0" borderId="0"/>
    <xf numFmtId="0" fontId="7" fillId="0" borderId="0"/>
  </cellStyleXfs>
  <cellXfs count="18">
    <xf numFmtId="0" fontId="0" fillId="0" borderId="0" xfId="0"/>
    <xf numFmtId="11" fontId="8" fillId="0" borderId="1" xfId="0" applyNumberFormat="1" applyFont="1" applyBorder="1" applyAlignment="1">
      <alignment horizontal="center" vertical="center" wrapText="1"/>
    </xf>
    <xf numFmtId="11" fontId="0" fillId="0" borderId="1" xfId="0" applyNumberFormat="1" applyFont="1" applyBorder="1" applyAlignment="1">
      <alignment horizontal="center" vertical="center"/>
    </xf>
    <xf numFmtId="11" fontId="0" fillId="0" borderId="0" xfId="0" applyNumberFormat="1"/>
    <xf numFmtId="11" fontId="8" fillId="0" borderId="1" xfId="0" applyNumberFormat="1" applyFont="1" applyBorder="1" applyAlignment="1">
      <alignment wrapText="1"/>
    </xf>
    <xf numFmtId="0" fontId="9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9" fillId="0" borderId="3" xfId="0" applyFont="1" applyBorder="1" applyAlignment="1">
      <alignment vertical="center" wrapText="1"/>
    </xf>
    <xf numFmtId="11" fontId="0" fillId="0" borderId="0" xfId="0" applyNumberFormat="1" applyFont="1"/>
    <xf numFmtId="11" fontId="8" fillId="0" borderId="0" xfId="0" applyNumberFormat="1" applyFont="1" applyAlignment="1">
      <alignment wrapText="1"/>
    </xf>
    <xf numFmtId="11" fontId="0" fillId="0" borderId="0" xfId="0" applyNumberFormat="1" applyAlignment="1"/>
    <xf numFmtId="11" fontId="0" fillId="0" borderId="0" xfId="0" applyNumberFormat="1" applyFont="1" applyAlignment="1">
      <alignment horizontal="center"/>
    </xf>
    <xf numFmtId="4" fontId="0" fillId="0" borderId="0" xfId="0" applyNumberFormat="1"/>
    <xf numFmtId="164" fontId="0" fillId="0" borderId="0" xfId="0" applyNumberFormat="1"/>
    <xf numFmtId="11" fontId="8" fillId="0" borderId="1" xfId="0" applyNumberFormat="1" applyFont="1" applyBorder="1"/>
    <xf numFmtId="0" fontId="0" fillId="0" borderId="4" xfId="0" applyFont="1" applyBorder="1"/>
    <xf numFmtId="4" fontId="0" fillId="0" borderId="4" xfId="0" applyNumberFormat="1" applyFont="1" applyBorder="1" applyAlignment="1">
      <alignment wrapText="1"/>
    </xf>
    <xf numFmtId="4" fontId="0" fillId="0" borderId="4" xfId="0" applyNumberFormat="1" applyFont="1" applyBorder="1"/>
  </cellXfs>
  <cellStyles count="12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" xfId="0" builtinId="0"/>
    <cellStyle name="Status 12" xfId="9" xr:uid="{00000000-0005-0000-0000-00000E000000}"/>
    <cellStyle name="Text 13" xfId="10" xr:uid="{00000000-0005-0000-0000-00000F000000}"/>
    <cellStyle name="Warning 14" xfId="11" xr:uid="{00000000-0005-0000-0000-000010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9"/>
  <sheetViews>
    <sheetView topLeftCell="K1" zoomScale="80" zoomScaleNormal="80" workbookViewId="0">
      <selection activeCell="K4" sqref="K4"/>
    </sheetView>
  </sheetViews>
  <sheetFormatPr defaultRowHeight="14.25" x14ac:dyDescent="0.2"/>
  <cols>
    <col min="1" max="1" width="10.625" style="3" customWidth="1"/>
    <col min="2" max="2" width="13.25" style="3" customWidth="1"/>
    <col min="3" max="3" width="10" style="3" customWidth="1"/>
    <col min="4" max="203" width="10.625" style="3" customWidth="1"/>
    <col min="204" max="257" width="9" style="3" customWidth="1"/>
    <col min="258" max="1025" width="9" customWidth="1"/>
  </cols>
  <sheetData>
    <row r="1" spans="1:2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M1" s="2" t="s">
        <v>0</v>
      </c>
      <c r="N1" s="2"/>
      <c r="O1" s="2"/>
      <c r="P1" s="2"/>
      <c r="Q1" s="2"/>
      <c r="R1" s="2"/>
      <c r="S1" s="2"/>
      <c r="T1" s="2"/>
      <c r="U1" s="2"/>
    </row>
    <row r="2" spans="1:21" x14ac:dyDescent="0.2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5</v>
      </c>
      <c r="I2" s="2"/>
      <c r="M2" s="2" t="s">
        <v>1</v>
      </c>
      <c r="N2" s="2" t="s">
        <v>2</v>
      </c>
      <c r="O2" s="2"/>
      <c r="P2" s="2" t="s">
        <v>3</v>
      </c>
      <c r="Q2" s="2"/>
      <c r="R2" s="2" t="s">
        <v>4</v>
      </c>
      <c r="S2" s="2"/>
      <c r="T2" s="2" t="s">
        <v>5</v>
      </c>
      <c r="U2" s="2"/>
    </row>
    <row r="3" spans="1:21" x14ac:dyDescent="0.2">
      <c r="A3" s="2"/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  <c r="K3" s="3" t="s">
        <v>8</v>
      </c>
      <c r="M3" s="2"/>
      <c r="N3" s="4" t="s">
        <v>6</v>
      </c>
      <c r="O3" s="4" t="s">
        <v>7</v>
      </c>
      <c r="P3" s="4" t="s">
        <v>6</v>
      </c>
      <c r="Q3" s="4" t="s">
        <v>7</v>
      </c>
      <c r="R3" s="4" t="s">
        <v>6</v>
      </c>
      <c r="S3" s="4" t="s">
        <v>7</v>
      </c>
      <c r="T3" s="4" t="s">
        <v>6</v>
      </c>
      <c r="U3" s="4" t="s">
        <v>7</v>
      </c>
    </row>
    <row r="4" spans="1:21" x14ac:dyDescent="0.2">
      <c r="A4" s="5">
        <v>100</v>
      </c>
      <c r="B4" s="6">
        <v>3.0689999999999999E-5</v>
      </c>
      <c r="C4" s="6">
        <v>182.7</v>
      </c>
      <c r="D4" s="6">
        <v>2.904E-5</v>
      </c>
      <c r="E4" s="6">
        <v>173.8</v>
      </c>
      <c r="F4" s="6">
        <v>2.8609999999999999E-5</v>
      </c>
      <c r="G4" s="6">
        <v>172.6</v>
      </c>
      <c r="H4" s="6">
        <v>2.5510000000000001E-5</v>
      </c>
      <c r="I4" s="3">
        <v>167.8</v>
      </c>
      <c r="K4" s="3">
        <v>1E-10</v>
      </c>
      <c r="M4" s="5">
        <v>100</v>
      </c>
      <c r="N4" s="3">
        <f t="shared" ref="N4:N35" si="0">B4+$K4</f>
        <v>3.0690099999999999E-5</v>
      </c>
      <c r="O4" s="3">
        <f t="shared" ref="O4:O35" si="1">C4+$K4</f>
        <v>182.70000000009998</v>
      </c>
      <c r="P4" s="3">
        <f t="shared" ref="P4:P35" si="2">D4+$K4</f>
        <v>2.90401E-5</v>
      </c>
      <c r="Q4" s="3">
        <f t="shared" ref="Q4:Q35" si="3">E4+$K4</f>
        <v>173.8000000001</v>
      </c>
      <c r="R4" s="3">
        <f t="shared" ref="R4:R35" si="4">F4+$K4</f>
        <v>2.8610099999999999E-5</v>
      </c>
      <c r="S4" s="3">
        <f t="shared" ref="S4:S35" si="5">G4+$K4</f>
        <v>172.60000000009998</v>
      </c>
      <c r="T4" s="3">
        <f t="shared" ref="T4:T35" si="6">H4+$K4</f>
        <v>2.5510100000000002E-5</v>
      </c>
      <c r="U4" s="3">
        <f t="shared" ref="U4:U35" si="7">I4+$K4</f>
        <v>167.8000000001</v>
      </c>
    </row>
    <row r="5" spans="1:21" x14ac:dyDescent="0.2">
      <c r="A5" s="7">
        <v>99</v>
      </c>
      <c r="B5" s="6">
        <v>3.9289999999999998E-5</v>
      </c>
      <c r="C5" s="6">
        <v>181.2</v>
      </c>
      <c r="D5" s="6">
        <v>3.765E-5</v>
      </c>
      <c r="E5" s="6">
        <v>172.5</v>
      </c>
      <c r="F5" s="6">
        <v>3.7169999999999998E-5</v>
      </c>
      <c r="G5" s="6">
        <v>171</v>
      </c>
      <c r="H5" s="6">
        <v>3.3439999999999998E-5</v>
      </c>
      <c r="I5" s="3">
        <v>164.7</v>
      </c>
      <c r="K5" s="8">
        <v>2.0000000000000001E-10</v>
      </c>
      <c r="M5" s="7">
        <v>99</v>
      </c>
      <c r="N5" s="3">
        <f t="shared" si="0"/>
        <v>3.9290199999999999E-5</v>
      </c>
      <c r="O5" s="3">
        <f t="shared" si="1"/>
        <v>181.20000000019999</v>
      </c>
      <c r="P5" s="3">
        <f t="shared" si="2"/>
        <v>3.7650200000000001E-5</v>
      </c>
      <c r="Q5" s="3">
        <f t="shared" si="3"/>
        <v>172.5000000002</v>
      </c>
      <c r="R5" s="3">
        <f t="shared" si="4"/>
        <v>3.7170199999999999E-5</v>
      </c>
      <c r="S5" s="3">
        <f t="shared" si="5"/>
        <v>171.0000000002</v>
      </c>
      <c r="T5" s="3">
        <f t="shared" si="6"/>
        <v>3.3440199999999999E-5</v>
      </c>
      <c r="U5" s="3">
        <f t="shared" si="7"/>
        <v>164.70000000019999</v>
      </c>
    </row>
    <row r="6" spans="1:21" x14ac:dyDescent="0.2">
      <c r="A6" s="7">
        <v>98</v>
      </c>
      <c r="B6" s="6">
        <v>5.041E-5</v>
      </c>
      <c r="C6" s="6">
        <v>179.8</v>
      </c>
      <c r="D6" s="6">
        <v>4.8900000000000003E-5</v>
      </c>
      <c r="E6" s="6">
        <v>171.5</v>
      </c>
      <c r="F6" s="6">
        <v>4.8399999999999997E-5</v>
      </c>
      <c r="G6" s="6">
        <v>169.6</v>
      </c>
      <c r="H6" s="6">
        <v>4.4039999999999998E-5</v>
      </c>
      <c r="I6" s="3">
        <v>162.19999999999999</v>
      </c>
      <c r="K6" s="8">
        <v>3E-10</v>
      </c>
      <c r="M6" s="7">
        <v>98</v>
      </c>
      <c r="N6" s="3">
        <f t="shared" si="0"/>
        <v>5.0410300000000001E-5</v>
      </c>
      <c r="O6" s="3">
        <f t="shared" si="1"/>
        <v>179.8000000003</v>
      </c>
      <c r="P6" s="3">
        <f t="shared" si="2"/>
        <v>4.8900300000000003E-5</v>
      </c>
      <c r="Q6" s="3">
        <f t="shared" si="3"/>
        <v>171.50000000029999</v>
      </c>
      <c r="R6" s="3">
        <f t="shared" si="4"/>
        <v>4.8400299999999998E-5</v>
      </c>
      <c r="S6" s="3">
        <f t="shared" si="5"/>
        <v>169.60000000029999</v>
      </c>
      <c r="T6" s="3">
        <f t="shared" si="6"/>
        <v>4.4040299999999999E-5</v>
      </c>
      <c r="U6" s="3">
        <f t="shared" si="7"/>
        <v>162.20000000029998</v>
      </c>
    </row>
    <row r="7" spans="1:21" x14ac:dyDescent="0.2">
      <c r="A7" s="7">
        <v>97</v>
      </c>
      <c r="B7" s="6">
        <v>6.4800000000000003E-5</v>
      </c>
      <c r="C7" s="6">
        <v>178.3</v>
      </c>
      <c r="D7" s="6">
        <v>6.3609999999999996E-5</v>
      </c>
      <c r="E7" s="6">
        <v>170.6</v>
      </c>
      <c r="F7" s="6">
        <v>6.3170000000000007E-5</v>
      </c>
      <c r="G7" s="6">
        <v>168.3</v>
      </c>
      <c r="H7" s="6">
        <v>5.8239999999999998E-5</v>
      </c>
      <c r="I7" s="3">
        <v>159.9</v>
      </c>
      <c r="K7" s="3">
        <v>4.0000000000000001E-10</v>
      </c>
      <c r="M7" s="7">
        <v>97</v>
      </c>
      <c r="N7" s="3">
        <f t="shared" si="0"/>
        <v>6.4800400000000004E-5</v>
      </c>
      <c r="O7" s="3">
        <f t="shared" si="1"/>
        <v>178.30000000040002</v>
      </c>
      <c r="P7" s="3">
        <f t="shared" si="2"/>
        <v>6.3610399999999997E-5</v>
      </c>
      <c r="Q7" s="3">
        <f t="shared" si="3"/>
        <v>170.6000000004</v>
      </c>
      <c r="R7" s="3">
        <f t="shared" si="4"/>
        <v>6.3170400000000008E-5</v>
      </c>
      <c r="S7" s="3">
        <f t="shared" si="5"/>
        <v>168.30000000040002</v>
      </c>
      <c r="T7" s="3">
        <f t="shared" si="6"/>
        <v>5.8240399999999999E-5</v>
      </c>
      <c r="U7" s="3">
        <f t="shared" si="7"/>
        <v>159.90000000040001</v>
      </c>
    </row>
    <row r="8" spans="1:21" x14ac:dyDescent="0.2">
      <c r="A8" s="7">
        <v>96</v>
      </c>
      <c r="B8" s="6">
        <v>8.3510000000000005E-5</v>
      </c>
      <c r="C8" s="6">
        <v>176.7</v>
      </c>
      <c r="D8" s="6">
        <v>8.2869999999999998E-5</v>
      </c>
      <c r="E8" s="6">
        <v>169.7</v>
      </c>
      <c r="F8" s="6">
        <v>8.2609999999999997E-5</v>
      </c>
      <c r="G8" s="6">
        <v>167.1</v>
      </c>
      <c r="H8" s="6">
        <v>7.7319999999999998E-5</v>
      </c>
      <c r="I8" s="3">
        <v>157.9</v>
      </c>
      <c r="K8" s="8">
        <v>5.0000000000000003E-10</v>
      </c>
      <c r="M8" s="7">
        <v>96</v>
      </c>
      <c r="N8" s="3">
        <f t="shared" si="0"/>
        <v>8.3510499999999999E-5</v>
      </c>
      <c r="O8" s="3">
        <f t="shared" si="1"/>
        <v>176.70000000049998</v>
      </c>
      <c r="P8" s="3">
        <f t="shared" si="2"/>
        <v>8.2870499999999992E-5</v>
      </c>
      <c r="Q8" s="3">
        <f t="shared" si="3"/>
        <v>169.70000000049998</v>
      </c>
      <c r="R8" s="3">
        <f t="shared" si="4"/>
        <v>8.2610499999999991E-5</v>
      </c>
      <c r="S8" s="3">
        <f t="shared" si="5"/>
        <v>167.10000000049999</v>
      </c>
      <c r="T8" s="3">
        <f t="shared" si="6"/>
        <v>7.7320499999999993E-5</v>
      </c>
      <c r="U8" s="3">
        <f t="shared" si="7"/>
        <v>157.9000000005</v>
      </c>
    </row>
    <row r="9" spans="1:21" x14ac:dyDescent="0.2">
      <c r="A9" s="7">
        <v>95</v>
      </c>
      <c r="B9" s="6">
        <v>1.0789999999999999E-4</v>
      </c>
      <c r="C9" s="6">
        <v>175.5</v>
      </c>
      <c r="D9" s="6">
        <v>1.081E-4</v>
      </c>
      <c r="E9" s="6">
        <v>169.4</v>
      </c>
      <c r="F9" s="6">
        <v>1.082E-4</v>
      </c>
      <c r="G9" s="6">
        <v>166.4</v>
      </c>
      <c r="H9" s="6">
        <v>1.03E-4</v>
      </c>
      <c r="I9" s="3">
        <v>156.6</v>
      </c>
      <c r="K9" s="8">
        <v>6E-10</v>
      </c>
      <c r="M9" s="7">
        <v>95</v>
      </c>
      <c r="N9" s="3">
        <f t="shared" si="0"/>
        <v>1.0790059999999999E-4</v>
      </c>
      <c r="O9" s="3">
        <f t="shared" si="1"/>
        <v>175.50000000060001</v>
      </c>
      <c r="P9" s="3">
        <f t="shared" si="2"/>
        <v>1.081006E-4</v>
      </c>
      <c r="Q9" s="3">
        <f t="shared" si="3"/>
        <v>169.40000000060002</v>
      </c>
      <c r="R9" s="3">
        <f t="shared" si="4"/>
        <v>1.082006E-4</v>
      </c>
      <c r="S9" s="3">
        <f t="shared" si="5"/>
        <v>166.40000000060002</v>
      </c>
      <c r="T9" s="3">
        <f t="shared" si="6"/>
        <v>1.030006E-4</v>
      </c>
      <c r="U9" s="3">
        <f t="shared" si="7"/>
        <v>156.60000000060001</v>
      </c>
    </row>
    <row r="10" spans="1:21" x14ac:dyDescent="0.2">
      <c r="A10" s="7">
        <v>94</v>
      </c>
      <c r="B10" s="6">
        <v>1.394E-4</v>
      </c>
      <c r="C10" s="6">
        <v>175.4</v>
      </c>
      <c r="D10" s="6">
        <v>1.4080000000000001E-4</v>
      </c>
      <c r="E10" s="6">
        <v>170.4</v>
      </c>
      <c r="F10" s="6">
        <v>1.417E-4</v>
      </c>
      <c r="G10" s="6">
        <v>167.1</v>
      </c>
      <c r="H10" s="6">
        <v>1.371E-4</v>
      </c>
      <c r="I10" s="3">
        <v>158.19999999999999</v>
      </c>
      <c r="K10" s="3">
        <v>6.9999999999999996E-10</v>
      </c>
      <c r="M10" s="7">
        <v>94</v>
      </c>
      <c r="N10" s="3">
        <f t="shared" si="0"/>
        <v>1.394007E-4</v>
      </c>
      <c r="O10" s="3">
        <f t="shared" si="1"/>
        <v>175.4000000007</v>
      </c>
      <c r="P10" s="3">
        <f t="shared" si="2"/>
        <v>1.408007E-4</v>
      </c>
      <c r="Q10" s="3">
        <f t="shared" si="3"/>
        <v>170.4000000007</v>
      </c>
      <c r="R10" s="3">
        <f t="shared" si="4"/>
        <v>1.417007E-4</v>
      </c>
      <c r="S10" s="3">
        <f t="shared" si="5"/>
        <v>167.10000000069999</v>
      </c>
      <c r="T10" s="3">
        <f t="shared" si="6"/>
        <v>1.3710069999999999E-4</v>
      </c>
      <c r="U10" s="3">
        <f t="shared" si="7"/>
        <v>158.20000000069999</v>
      </c>
    </row>
    <row r="11" spans="1:21" x14ac:dyDescent="0.2">
      <c r="A11" s="7">
        <v>93</v>
      </c>
      <c r="B11" s="6">
        <v>1.8019999999999999E-4</v>
      </c>
      <c r="C11" s="6">
        <v>175.4</v>
      </c>
      <c r="D11" s="6">
        <v>1.8330000000000001E-4</v>
      </c>
      <c r="E11" s="6">
        <v>171.3</v>
      </c>
      <c r="F11" s="6">
        <v>1.8540000000000001E-4</v>
      </c>
      <c r="G11" s="6">
        <v>167.9</v>
      </c>
      <c r="H11" s="6">
        <v>1.818E-4</v>
      </c>
      <c r="I11" s="3">
        <v>160.1</v>
      </c>
      <c r="K11" s="8">
        <v>8.0000000000000003E-10</v>
      </c>
      <c r="M11" s="7">
        <v>93</v>
      </c>
      <c r="N11" s="3">
        <f t="shared" si="0"/>
        <v>1.8020079999999999E-4</v>
      </c>
      <c r="O11" s="3">
        <f t="shared" si="1"/>
        <v>175.40000000079999</v>
      </c>
      <c r="P11" s="3">
        <f t="shared" si="2"/>
        <v>1.8330080000000001E-4</v>
      </c>
      <c r="Q11" s="3">
        <f t="shared" si="3"/>
        <v>171.3000000008</v>
      </c>
      <c r="R11" s="3">
        <f t="shared" si="4"/>
        <v>1.8540080000000001E-4</v>
      </c>
      <c r="S11" s="3">
        <f t="shared" si="5"/>
        <v>167.90000000079999</v>
      </c>
      <c r="T11" s="3">
        <f t="shared" si="6"/>
        <v>1.818008E-4</v>
      </c>
      <c r="U11" s="3">
        <f t="shared" si="7"/>
        <v>160.10000000079998</v>
      </c>
    </row>
    <row r="12" spans="1:21" x14ac:dyDescent="0.2">
      <c r="A12" s="7">
        <v>92</v>
      </c>
      <c r="B12" s="6">
        <v>2.329E-4</v>
      </c>
      <c r="C12" s="6">
        <v>175.5</v>
      </c>
      <c r="D12" s="6">
        <v>2.3819999999999999E-4</v>
      </c>
      <c r="E12" s="6">
        <v>172.2</v>
      </c>
      <c r="F12" s="6">
        <v>2.4230000000000001E-4</v>
      </c>
      <c r="G12" s="6">
        <v>168.7</v>
      </c>
      <c r="H12" s="6">
        <v>2.4039999999999999E-4</v>
      </c>
      <c r="I12" s="3">
        <v>162.1</v>
      </c>
      <c r="K12" s="8">
        <v>8.9999999999999999E-10</v>
      </c>
      <c r="M12" s="7">
        <v>92</v>
      </c>
      <c r="N12" s="3">
        <f t="shared" si="0"/>
        <v>2.329009E-4</v>
      </c>
      <c r="O12" s="3">
        <f t="shared" si="1"/>
        <v>175.5000000009</v>
      </c>
      <c r="P12" s="3">
        <f t="shared" si="2"/>
        <v>2.382009E-4</v>
      </c>
      <c r="Q12" s="3">
        <f t="shared" si="3"/>
        <v>172.20000000089999</v>
      </c>
      <c r="R12" s="3">
        <f t="shared" si="4"/>
        <v>2.4230090000000002E-4</v>
      </c>
      <c r="S12" s="3">
        <f t="shared" si="5"/>
        <v>168.70000000089999</v>
      </c>
      <c r="T12" s="3">
        <f t="shared" si="6"/>
        <v>2.404009E-4</v>
      </c>
      <c r="U12" s="3">
        <f t="shared" si="7"/>
        <v>162.1000000009</v>
      </c>
    </row>
    <row r="13" spans="1:21" x14ac:dyDescent="0.2">
      <c r="A13" s="7">
        <v>91</v>
      </c>
      <c r="B13" s="6">
        <v>3.011E-4</v>
      </c>
      <c r="C13" s="6">
        <v>175.3</v>
      </c>
      <c r="D13" s="6">
        <v>3.0909999999999998E-4</v>
      </c>
      <c r="E13" s="6">
        <v>173.2</v>
      </c>
      <c r="F13" s="6">
        <v>3.1619999999999999E-4</v>
      </c>
      <c r="G13" s="6">
        <v>169.5</v>
      </c>
      <c r="H13" s="6">
        <v>3.165E-4</v>
      </c>
      <c r="I13" s="3">
        <v>164.8</v>
      </c>
      <c r="K13" s="3">
        <v>1.0000000000000001E-9</v>
      </c>
      <c r="M13" s="7">
        <v>91</v>
      </c>
      <c r="N13" s="3">
        <f t="shared" si="0"/>
        <v>3.0110100000000002E-4</v>
      </c>
      <c r="O13" s="3">
        <f t="shared" si="1"/>
        <v>175.300000001</v>
      </c>
      <c r="P13" s="3">
        <f t="shared" si="2"/>
        <v>3.0910099999999999E-4</v>
      </c>
      <c r="Q13" s="3">
        <f t="shared" si="3"/>
        <v>173.20000000099998</v>
      </c>
      <c r="R13" s="3">
        <f t="shared" si="4"/>
        <v>3.16201E-4</v>
      </c>
      <c r="S13" s="3">
        <f t="shared" si="5"/>
        <v>169.50000000099999</v>
      </c>
      <c r="T13" s="3">
        <f t="shared" si="6"/>
        <v>3.1650100000000001E-4</v>
      </c>
      <c r="U13" s="3">
        <f t="shared" si="7"/>
        <v>164.800000001</v>
      </c>
    </row>
    <row r="14" spans="1:21" x14ac:dyDescent="0.2">
      <c r="A14" s="7">
        <v>90</v>
      </c>
      <c r="B14" s="6">
        <v>3.8939999999999998E-4</v>
      </c>
      <c r="C14" s="6">
        <v>175.1</v>
      </c>
      <c r="D14" s="6">
        <v>4.0049999999999998E-4</v>
      </c>
      <c r="E14" s="6">
        <v>174.3</v>
      </c>
      <c r="F14" s="6">
        <v>4.1209999999999999E-4</v>
      </c>
      <c r="G14" s="6">
        <v>170.7</v>
      </c>
      <c r="H14" s="6">
        <v>4.148E-4</v>
      </c>
      <c r="I14" s="3">
        <v>168.3</v>
      </c>
      <c r="K14" s="8">
        <v>1.0999999999999999E-9</v>
      </c>
      <c r="M14" s="7">
        <v>90</v>
      </c>
      <c r="N14" s="3">
        <f t="shared" si="0"/>
        <v>3.8940109999999997E-4</v>
      </c>
      <c r="O14" s="3">
        <f t="shared" si="1"/>
        <v>175.1000000011</v>
      </c>
      <c r="P14" s="3">
        <f t="shared" si="2"/>
        <v>4.0050109999999997E-4</v>
      </c>
      <c r="Q14" s="3">
        <f t="shared" si="3"/>
        <v>174.30000000110002</v>
      </c>
      <c r="R14" s="3">
        <f t="shared" si="4"/>
        <v>4.1210109999999998E-4</v>
      </c>
      <c r="S14" s="3">
        <f t="shared" si="5"/>
        <v>170.70000000109999</v>
      </c>
      <c r="T14" s="3">
        <f t="shared" si="6"/>
        <v>4.148011E-4</v>
      </c>
      <c r="U14" s="3">
        <f t="shared" si="7"/>
        <v>168.30000000110002</v>
      </c>
    </row>
    <row r="15" spans="1:21" x14ac:dyDescent="0.2">
      <c r="A15" s="7">
        <v>89</v>
      </c>
      <c r="B15" s="6">
        <v>5.0379999999999999E-4</v>
      </c>
      <c r="C15" s="6">
        <v>175</v>
      </c>
      <c r="D15" s="6">
        <v>5.1809999999999996E-4</v>
      </c>
      <c r="E15" s="6">
        <v>175.8</v>
      </c>
      <c r="F15" s="6">
        <v>5.3600000000000002E-4</v>
      </c>
      <c r="G15" s="6">
        <v>172.1</v>
      </c>
      <c r="H15" s="6">
        <v>5.4000000000000001E-4</v>
      </c>
      <c r="I15" s="3">
        <v>172.7</v>
      </c>
      <c r="K15" s="8">
        <v>1.2E-9</v>
      </c>
      <c r="M15" s="7">
        <v>89</v>
      </c>
      <c r="N15" s="3">
        <f t="shared" si="0"/>
        <v>5.0380119999999997E-4</v>
      </c>
      <c r="O15" s="3">
        <f t="shared" si="1"/>
        <v>175.00000000119999</v>
      </c>
      <c r="P15" s="3">
        <f t="shared" si="2"/>
        <v>5.1810119999999994E-4</v>
      </c>
      <c r="Q15" s="3">
        <f t="shared" si="3"/>
        <v>175.8000000012</v>
      </c>
      <c r="R15" s="3">
        <f t="shared" si="4"/>
        <v>5.3600119999999999E-4</v>
      </c>
      <c r="S15" s="3">
        <f t="shared" si="5"/>
        <v>172.10000000119999</v>
      </c>
      <c r="T15" s="3">
        <f t="shared" si="6"/>
        <v>5.4000119999999998E-4</v>
      </c>
      <c r="U15" s="3">
        <f t="shared" si="7"/>
        <v>172.70000000119998</v>
      </c>
    </row>
    <row r="16" spans="1:21" x14ac:dyDescent="0.2">
      <c r="A16" s="7">
        <v>88</v>
      </c>
      <c r="B16" s="6">
        <v>6.5209999999999997E-4</v>
      </c>
      <c r="C16" s="6">
        <v>174.6</v>
      </c>
      <c r="D16" s="6">
        <v>6.6859999999999999E-4</v>
      </c>
      <c r="E16" s="6">
        <v>177.5</v>
      </c>
      <c r="F16" s="6">
        <v>6.9550000000000005E-4</v>
      </c>
      <c r="G16" s="6">
        <v>173.8</v>
      </c>
      <c r="H16" s="6">
        <v>6.9800000000000005E-4</v>
      </c>
      <c r="I16" s="3">
        <v>177.9</v>
      </c>
      <c r="K16" s="3">
        <v>1.3000000000000001E-9</v>
      </c>
      <c r="M16" s="7">
        <v>88</v>
      </c>
      <c r="N16" s="3">
        <f t="shared" si="0"/>
        <v>6.5210129999999998E-4</v>
      </c>
      <c r="O16" s="3">
        <f t="shared" si="1"/>
        <v>174.6000000013</v>
      </c>
      <c r="P16" s="3">
        <f t="shared" si="2"/>
        <v>6.686013E-4</v>
      </c>
      <c r="Q16" s="3">
        <f t="shared" si="3"/>
        <v>177.50000000130001</v>
      </c>
      <c r="R16" s="3">
        <f t="shared" si="4"/>
        <v>6.9550130000000006E-4</v>
      </c>
      <c r="S16" s="3">
        <f t="shared" si="5"/>
        <v>173.80000000130002</v>
      </c>
      <c r="T16" s="3">
        <f t="shared" si="6"/>
        <v>6.9800130000000006E-4</v>
      </c>
      <c r="U16" s="3">
        <f t="shared" si="7"/>
        <v>177.90000000130001</v>
      </c>
    </row>
    <row r="17" spans="1:21" x14ac:dyDescent="0.2">
      <c r="A17" s="7">
        <v>87</v>
      </c>
      <c r="B17" s="6">
        <v>8.4389999999999997E-4</v>
      </c>
      <c r="C17" s="6">
        <v>175.1</v>
      </c>
      <c r="D17" s="6">
        <v>8.6030000000000004E-4</v>
      </c>
      <c r="E17" s="6">
        <v>180</v>
      </c>
      <c r="F17" s="6">
        <v>8.9970000000000002E-4</v>
      </c>
      <c r="G17" s="6">
        <v>176.3</v>
      </c>
      <c r="H17" s="6">
        <v>8.9510000000000002E-4</v>
      </c>
      <c r="I17" s="3">
        <v>183.8</v>
      </c>
      <c r="K17" s="8">
        <v>1.3999999999999999E-9</v>
      </c>
      <c r="M17" s="7">
        <v>87</v>
      </c>
      <c r="N17" s="3">
        <f t="shared" si="0"/>
        <v>8.4390140000000001E-4</v>
      </c>
      <c r="O17" s="3">
        <f t="shared" si="1"/>
        <v>175.10000000139999</v>
      </c>
      <c r="P17" s="3">
        <f t="shared" si="2"/>
        <v>8.6030140000000008E-4</v>
      </c>
      <c r="Q17" s="3">
        <f t="shared" si="3"/>
        <v>180.0000000014</v>
      </c>
      <c r="R17" s="3">
        <f t="shared" si="4"/>
        <v>8.9970140000000007E-4</v>
      </c>
      <c r="S17" s="3">
        <f t="shared" si="5"/>
        <v>176.30000000140001</v>
      </c>
      <c r="T17" s="3">
        <f t="shared" si="6"/>
        <v>8.9510140000000006E-4</v>
      </c>
      <c r="U17" s="3">
        <f t="shared" si="7"/>
        <v>183.80000000140001</v>
      </c>
    </row>
    <row r="18" spans="1:21" x14ac:dyDescent="0.2">
      <c r="A18" s="7">
        <v>86</v>
      </c>
      <c r="B18" s="6">
        <v>1.091E-3</v>
      </c>
      <c r="C18" s="6">
        <v>176.1</v>
      </c>
      <c r="D18" s="6">
        <v>1.103E-3</v>
      </c>
      <c r="E18" s="6">
        <v>182.8</v>
      </c>
      <c r="F18" s="6">
        <v>1.1590000000000001E-3</v>
      </c>
      <c r="G18" s="6">
        <v>179.3</v>
      </c>
      <c r="H18" s="6">
        <v>1.139E-3</v>
      </c>
      <c r="I18" s="3">
        <v>189.4</v>
      </c>
      <c r="K18" s="8">
        <v>1.5E-9</v>
      </c>
      <c r="M18" s="7">
        <v>86</v>
      </c>
      <c r="N18" s="3">
        <f t="shared" si="0"/>
        <v>1.0910015E-3</v>
      </c>
      <c r="O18" s="3">
        <f t="shared" si="1"/>
        <v>176.10000000150001</v>
      </c>
      <c r="P18" s="3">
        <f t="shared" si="2"/>
        <v>1.1030015000000001E-3</v>
      </c>
      <c r="Q18" s="3">
        <f t="shared" si="3"/>
        <v>182.80000000150002</v>
      </c>
      <c r="R18" s="3">
        <f t="shared" si="4"/>
        <v>1.1590015000000002E-3</v>
      </c>
      <c r="S18" s="3">
        <f t="shared" si="5"/>
        <v>179.30000000150002</v>
      </c>
      <c r="T18" s="3">
        <f t="shared" si="6"/>
        <v>1.1390015000000001E-3</v>
      </c>
      <c r="U18" s="3">
        <f t="shared" si="7"/>
        <v>189.40000000150002</v>
      </c>
    </row>
    <row r="19" spans="1:21" x14ac:dyDescent="0.2">
      <c r="A19" s="7">
        <v>85</v>
      </c>
      <c r="B19" s="6">
        <v>1.408E-3</v>
      </c>
      <c r="C19" s="6">
        <v>177.8</v>
      </c>
      <c r="D19" s="6">
        <v>1.408E-3</v>
      </c>
      <c r="E19" s="6">
        <v>186.1</v>
      </c>
      <c r="F19" s="6">
        <v>1.487E-3</v>
      </c>
      <c r="G19" s="6">
        <v>182.5</v>
      </c>
      <c r="H19" s="6">
        <v>1.4400000000000001E-3</v>
      </c>
      <c r="I19" s="3">
        <v>194.6</v>
      </c>
      <c r="K19" s="3">
        <v>1.6000000000000001E-9</v>
      </c>
      <c r="M19" s="7">
        <v>85</v>
      </c>
      <c r="N19" s="3">
        <f t="shared" si="0"/>
        <v>1.4080015999999999E-3</v>
      </c>
      <c r="O19" s="3">
        <f t="shared" si="1"/>
        <v>177.80000000160001</v>
      </c>
      <c r="P19" s="3">
        <f t="shared" si="2"/>
        <v>1.4080015999999999E-3</v>
      </c>
      <c r="Q19" s="3">
        <f t="shared" si="3"/>
        <v>186.10000000159999</v>
      </c>
      <c r="R19" s="3">
        <f t="shared" si="4"/>
        <v>1.4870015999999999E-3</v>
      </c>
      <c r="S19" s="3">
        <f t="shared" si="5"/>
        <v>182.5000000016</v>
      </c>
      <c r="T19" s="3">
        <f t="shared" si="6"/>
        <v>1.4400016E-3</v>
      </c>
      <c r="U19" s="3">
        <f t="shared" si="7"/>
        <v>194.60000000159999</v>
      </c>
    </row>
    <row r="20" spans="1:21" x14ac:dyDescent="0.2">
      <c r="A20" s="7">
        <v>84</v>
      </c>
      <c r="B20" s="6">
        <v>1.8109999999999999E-3</v>
      </c>
      <c r="C20" s="6">
        <v>180.8</v>
      </c>
      <c r="D20" s="6">
        <v>1.7899999999999999E-3</v>
      </c>
      <c r="E20" s="6">
        <v>189.9</v>
      </c>
      <c r="F20" s="6">
        <v>1.8979999999999999E-3</v>
      </c>
      <c r="G20" s="6">
        <v>186.9</v>
      </c>
      <c r="H20" s="6">
        <v>1.81E-3</v>
      </c>
      <c r="I20" s="3">
        <v>199.2</v>
      </c>
      <c r="K20" s="8">
        <v>1.6999999999999999E-9</v>
      </c>
      <c r="M20" s="7">
        <v>84</v>
      </c>
      <c r="N20" s="3">
        <f t="shared" si="0"/>
        <v>1.8110016999999998E-3</v>
      </c>
      <c r="O20" s="3">
        <f t="shared" si="1"/>
        <v>180.8000000017</v>
      </c>
      <c r="P20" s="3">
        <f t="shared" si="2"/>
        <v>1.7900016999999999E-3</v>
      </c>
      <c r="Q20" s="3">
        <f t="shared" si="3"/>
        <v>189.90000000169999</v>
      </c>
      <c r="R20" s="3">
        <f t="shared" si="4"/>
        <v>1.8980016999999999E-3</v>
      </c>
      <c r="S20" s="3">
        <f t="shared" si="5"/>
        <v>186.90000000169999</v>
      </c>
      <c r="T20" s="3">
        <f t="shared" si="6"/>
        <v>1.8100016999999999E-3</v>
      </c>
      <c r="U20" s="3">
        <f t="shared" si="7"/>
        <v>199.20000000169998</v>
      </c>
    </row>
    <row r="21" spans="1:21" x14ac:dyDescent="0.2">
      <c r="A21" s="7">
        <v>83</v>
      </c>
      <c r="B21" s="6">
        <v>2.3159999999999999E-3</v>
      </c>
      <c r="C21" s="6">
        <v>185.7</v>
      </c>
      <c r="D21" s="6">
        <v>2.2620000000000001E-3</v>
      </c>
      <c r="E21" s="6">
        <v>194.7</v>
      </c>
      <c r="F21" s="6">
        <v>2.408E-3</v>
      </c>
      <c r="G21" s="6">
        <v>192.1</v>
      </c>
      <c r="H21" s="6">
        <v>2.2629999999999998E-3</v>
      </c>
      <c r="I21" s="3">
        <v>203.8</v>
      </c>
      <c r="K21" s="8">
        <v>1.8E-9</v>
      </c>
      <c r="M21" s="7">
        <v>83</v>
      </c>
      <c r="N21" s="3">
        <f t="shared" si="0"/>
        <v>2.3160018000000001E-3</v>
      </c>
      <c r="O21" s="3">
        <f t="shared" si="1"/>
        <v>185.70000000179999</v>
      </c>
      <c r="P21" s="3">
        <f t="shared" si="2"/>
        <v>2.2620018000000003E-3</v>
      </c>
      <c r="Q21" s="3">
        <f t="shared" si="3"/>
        <v>194.70000000179999</v>
      </c>
      <c r="R21" s="3">
        <f t="shared" si="4"/>
        <v>2.4080018000000002E-3</v>
      </c>
      <c r="S21" s="3">
        <f t="shared" si="5"/>
        <v>192.1000000018</v>
      </c>
      <c r="T21" s="3">
        <f t="shared" si="6"/>
        <v>2.2630018E-3</v>
      </c>
      <c r="U21" s="3">
        <f t="shared" si="7"/>
        <v>203.80000000180002</v>
      </c>
    </row>
    <row r="22" spans="1:21" x14ac:dyDescent="0.2">
      <c r="A22" s="7">
        <v>82</v>
      </c>
      <c r="B22" s="6">
        <v>2.9420000000000002E-3</v>
      </c>
      <c r="C22" s="6">
        <v>191.1</v>
      </c>
      <c r="D22" s="6">
        <v>2.8440000000000002E-3</v>
      </c>
      <c r="E22" s="6">
        <v>199</v>
      </c>
      <c r="F22" s="6">
        <v>3.0349999999999999E-3</v>
      </c>
      <c r="G22" s="6">
        <v>197.1</v>
      </c>
      <c r="H22" s="6">
        <v>2.8189999999999999E-3</v>
      </c>
      <c r="I22" s="3">
        <v>206.9</v>
      </c>
      <c r="K22" s="3">
        <v>1.9000000000000001E-9</v>
      </c>
      <c r="M22" s="7">
        <v>82</v>
      </c>
      <c r="N22" s="3">
        <f t="shared" si="0"/>
        <v>2.9420019000000004E-3</v>
      </c>
      <c r="O22" s="3">
        <f t="shared" si="1"/>
        <v>191.10000000189999</v>
      </c>
      <c r="P22" s="3">
        <f t="shared" si="2"/>
        <v>2.8440019000000004E-3</v>
      </c>
      <c r="Q22" s="3">
        <f t="shared" si="3"/>
        <v>199.00000000189999</v>
      </c>
      <c r="R22" s="3">
        <f t="shared" si="4"/>
        <v>3.0350019000000002E-3</v>
      </c>
      <c r="S22" s="3">
        <f t="shared" si="5"/>
        <v>197.10000000189999</v>
      </c>
      <c r="T22" s="3">
        <f t="shared" si="6"/>
        <v>2.8190019000000001E-3</v>
      </c>
      <c r="U22" s="3">
        <f t="shared" si="7"/>
        <v>206.9000000019</v>
      </c>
    </row>
    <row r="23" spans="1:21" x14ac:dyDescent="0.2">
      <c r="A23" s="7">
        <v>81</v>
      </c>
      <c r="B23" s="6">
        <v>3.712E-3</v>
      </c>
      <c r="C23" s="6">
        <v>196.5</v>
      </c>
      <c r="D23" s="6">
        <v>3.5599999999999998E-3</v>
      </c>
      <c r="E23" s="6">
        <v>203</v>
      </c>
      <c r="F23" s="6">
        <v>3.8049999999999998E-3</v>
      </c>
      <c r="G23" s="6">
        <v>201.8</v>
      </c>
      <c r="H23" s="6">
        <v>3.5010000000000002E-3</v>
      </c>
      <c r="I23" s="3">
        <v>209.4</v>
      </c>
      <c r="K23" s="8">
        <v>2.0000000000000001E-9</v>
      </c>
      <c r="M23" s="7">
        <v>81</v>
      </c>
      <c r="N23" s="3">
        <f t="shared" si="0"/>
        <v>3.7120019999999998E-3</v>
      </c>
      <c r="O23" s="3">
        <f t="shared" si="1"/>
        <v>196.50000000200001</v>
      </c>
      <c r="P23" s="3">
        <f t="shared" si="2"/>
        <v>3.5600019999999996E-3</v>
      </c>
      <c r="Q23" s="3">
        <f t="shared" si="3"/>
        <v>203.00000000200001</v>
      </c>
      <c r="R23" s="3">
        <f t="shared" si="4"/>
        <v>3.8050019999999996E-3</v>
      </c>
      <c r="S23" s="3">
        <f t="shared" si="5"/>
        <v>201.80000000200002</v>
      </c>
      <c r="T23" s="3">
        <f t="shared" si="6"/>
        <v>3.501002E-3</v>
      </c>
      <c r="U23" s="3">
        <f t="shared" si="7"/>
        <v>209.40000000200001</v>
      </c>
    </row>
    <row r="24" spans="1:21" x14ac:dyDescent="0.2">
      <c r="A24" s="7">
        <v>80</v>
      </c>
      <c r="B24" s="6">
        <v>4.6550000000000003E-3</v>
      </c>
      <c r="C24" s="6">
        <v>201.5</v>
      </c>
      <c r="D24" s="6">
        <v>4.437E-3</v>
      </c>
      <c r="E24" s="6">
        <v>206.4</v>
      </c>
      <c r="F24" s="6">
        <v>4.7460000000000002E-3</v>
      </c>
      <c r="G24" s="6">
        <v>206.1</v>
      </c>
      <c r="H24" s="6">
        <v>4.339E-3</v>
      </c>
      <c r="I24" s="3">
        <v>211.4</v>
      </c>
      <c r="K24" s="8">
        <v>2.1000000000000002E-9</v>
      </c>
      <c r="M24" s="7">
        <v>80</v>
      </c>
      <c r="N24" s="3">
        <f t="shared" si="0"/>
        <v>4.6550021000000006E-3</v>
      </c>
      <c r="O24" s="3">
        <f t="shared" si="1"/>
        <v>201.50000000209999</v>
      </c>
      <c r="P24" s="3">
        <f t="shared" si="2"/>
        <v>4.4370021000000003E-3</v>
      </c>
      <c r="Q24" s="3">
        <f t="shared" si="3"/>
        <v>206.4000000021</v>
      </c>
      <c r="R24" s="3">
        <f t="shared" si="4"/>
        <v>4.7460021000000005E-3</v>
      </c>
      <c r="S24" s="3">
        <f t="shared" si="5"/>
        <v>206.10000000209999</v>
      </c>
      <c r="T24" s="3">
        <f t="shared" si="6"/>
        <v>4.3390021000000003E-3</v>
      </c>
      <c r="U24" s="3">
        <f t="shared" si="7"/>
        <v>211.4000000021</v>
      </c>
    </row>
    <row r="25" spans="1:21" x14ac:dyDescent="0.2">
      <c r="A25" s="7">
        <v>79</v>
      </c>
      <c r="B25" s="6">
        <v>5.8089999999999999E-3</v>
      </c>
      <c r="C25" s="6">
        <v>206.1</v>
      </c>
      <c r="D25" s="6">
        <v>5.5139999999999998E-3</v>
      </c>
      <c r="E25" s="6">
        <v>209.1</v>
      </c>
      <c r="F25" s="6">
        <v>5.8950000000000001E-3</v>
      </c>
      <c r="G25" s="6">
        <v>210</v>
      </c>
      <c r="H25" s="6">
        <v>5.3689999999999996E-3</v>
      </c>
      <c r="I25" s="3">
        <v>212.9</v>
      </c>
      <c r="K25" s="3">
        <v>2.1999999999999998E-9</v>
      </c>
      <c r="M25" s="7">
        <v>79</v>
      </c>
      <c r="N25" s="3">
        <f t="shared" si="0"/>
        <v>5.8090021999999998E-3</v>
      </c>
      <c r="O25" s="3">
        <f t="shared" si="1"/>
        <v>206.10000000220001</v>
      </c>
      <c r="P25" s="3">
        <f t="shared" si="2"/>
        <v>5.5140021999999997E-3</v>
      </c>
      <c r="Q25" s="3">
        <f t="shared" si="3"/>
        <v>209.10000000220001</v>
      </c>
      <c r="R25" s="3">
        <f t="shared" si="4"/>
        <v>5.8950021999999999E-3</v>
      </c>
      <c r="S25" s="3">
        <f t="shared" si="5"/>
        <v>210.00000000220001</v>
      </c>
      <c r="T25" s="3">
        <f t="shared" si="6"/>
        <v>5.3690021999999995E-3</v>
      </c>
      <c r="U25" s="3">
        <f t="shared" si="7"/>
        <v>212.90000000220002</v>
      </c>
    </row>
    <row r="26" spans="1:21" x14ac:dyDescent="0.2">
      <c r="A26" s="7">
        <v>78</v>
      </c>
      <c r="B26" s="6">
        <v>7.2139999999999999E-3</v>
      </c>
      <c r="C26" s="6">
        <v>210.3</v>
      </c>
      <c r="D26" s="6">
        <v>6.8349999999999999E-3</v>
      </c>
      <c r="E26" s="6">
        <v>211.5</v>
      </c>
      <c r="F26" s="6">
        <v>7.2969999999999997E-3</v>
      </c>
      <c r="G26" s="6">
        <v>213.4</v>
      </c>
      <c r="H26" s="6">
        <v>6.6350000000000003E-3</v>
      </c>
      <c r="I26" s="3">
        <v>214.3</v>
      </c>
      <c r="K26" s="8">
        <v>2.2999999999999999E-9</v>
      </c>
      <c r="M26" s="7">
        <v>78</v>
      </c>
      <c r="N26" s="3">
        <f t="shared" si="0"/>
        <v>7.2140023000000003E-3</v>
      </c>
      <c r="O26" s="3">
        <f t="shared" si="1"/>
        <v>210.30000000230001</v>
      </c>
      <c r="P26" s="3">
        <f t="shared" si="2"/>
        <v>6.8350023000000003E-3</v>
      </c>
      <c r="Q26" s="3">
        <f t="shared" si="3"/>
        <v>211.5000000023</v>
      </c>
      <c r="R26" s="3">
        <f t="shared" si="4"/>
        <v>7.2970023E-3</v>
      </c>
      <c r="S26" s="3">
        <f t="shared" si="5"/>
        <v>213.4000000023</v>
      </c>
      <c r="T26" s="3">
        <f t="shared" si="6"/>
        <v>6.6350023000000006E-3</v>
      </c>
      <c r="U26" s="3">
        <f t="shared" si="7"/>
        <v>214.30000000230001</v>
      </c>
    </row>
    <row r="27" spans="1:21" x14ac:dyDescent="0.2">
      <c r="A27" s="7">
        <v>77</v>
      </c>
      <c r="B27" s="6">
        <v>8.9269999999999992E-3</v>
      </c>
      <c r="C27" s="6">
        <v>213.7</v>
      </c>
      <c r="D27" s="6">
        <v>8.456E-3</v>
      </c>
      <c r="E27" s="6">
        <v>213.3</v>
      </c>
      <c r="F27" s="6">
        <v>9.0050000000000009E-3</v>
      </c>
      <c r="G27" s="6">
        <v>216</v>
      </c>
      <c r="H27" s="6">
        <v>8.1890000000000001E-3</v>
      </c>
      <c r="I27" s="3">
        <v>215.5</v>
      </c>
      <c r="K27" s="8">
        <v>2.4E-9</v>
      </c>
      <c r="M27" s="7">
        <v>77</v>
      </c>
      <c r="N27" s="3">
        <f t="shared" si="0"/>
        <v>8.9270024E-3</v>
      </c>
      <c r="O27" s="3">
        <f t="shared" si="1"/>
        <v>213.70000000239997</v>
      </c>
      <c r="P27" s="3">
        <f t="shared" si="2"/>
        <v>8.4560024000000008E-3</v>
      </c>
      <c r="Q27" s="3">
        <f t="shared" si="3"/>
        <v>213.3000000024</v>
      </c>
      <c r="R27" s="3">
        <f t="shared" si="4"/>
        <v>9.0050024000000017E-3</v>
      </c>
      <c r="S27" s="3">
        <f t="shared" si="5"/>
        <v>216.00000000239999</v>
      </c>
      <c r="T27" s="3">
        <f t="shared" si="6"/>
        <v>8.1890024000000009E-3</v>
      </c>
      <c r="U27" s="3">
        <f t="shared" si="7"/>
        <v>215.50000000239999</v>
      </c>
    </row>
    <row r="28" spans="1:21" x14ac:dyDescent="0.2">
      <c r="A28" s="7">
        <v>76</v>
      </c>
      <c r="B28" s="6">
        <v>1.1010000000000001E-2</v>
      </c>
      <c r="C28" s="6">
        <v>217</v>
      </c>
      <c r="D28" s="6">
        <v>1.0449999999999999E-2</v>
      </c>
      <c r="E28" s="6">
        <v>215</v>
      </c>
      <c r="F28" s="6">
        <v>1.1089999999999999E-2</v>
      </c>
      <c r="G28" s="6">
        <v>218.5</v>
      </c>
      <c r="H28" s="6">
        <v>1.01E-2</v>
      </c>
      <c r="I28" s="3">
        <v>216.8</v>
      </c>
      <c r="K28" s="3">
        <v>2.5000000000000001E-9</v>
      </c>
      <c r="M28" s="7">
        <v>76</v>
      </c>
      <c r="N28" s="3">
        <f t="shared" si="0"/>
        <v>1.1010002500000001E-2</v>
      </c>
      <c r="O28" s="3">
        <f t="shared" si="1"/>
        <v>217.0000000025</v>
      </c>
      <c r="P28" s="3">
        <f t="shared" si="2"/>
        <v>1.04500025E-2</v>
      </c>
      <c r="Q28" s="3">
        <f t="shared" si="3"/>
        <v>215.0000000025</v>
      </c>
      <c r="R28" s="3">
        <f t="shared" si="4"/>
        <v>1.10900025E-2</v>
      </c>
      <c r="S28" s="3">
        <f t="shared" si="5"/>
        <v>218.5000000025</v>
      </c>
      <c r="T28" s="3">
        <f t="shared" si="6"/>
        <v>1.01000025E-2</v>
      </c>
      <c r="U28" s="3">
        <f t="shared" si="7"/>
        <v>216.80000000250001</v>
      </c>
    </row>
    <row r="29" spans="1:21" x14ac:dyDescent="0.2">
      <c r="A29" s="7">
        <v>75</v>
      </c>
      <c r="B29" s="6">
        <v>1.354E-2</v>
      </c>
      <c r="C29" s="6">
        <v>220.3</v>
      </c>
      <c r="D29" s="6">
        <v>1.2880000000000001E-2</v>
      </c>
      <c r="E29" s="6">
        <v>217.1</v>
      </c>
      <c r="F29" s="6">
        <v>1.362E-2</v>
      </c>
      <c r="G29" s="6">
        <v>221</v>
      </c>
      <c r="H29" s="6">
        <v>1.243E-2</v>
      </c>
      <c r="I29" s="3">
        <v>218.7</v>
      </c>
      <c r="K29" s="8">
        <v>2.6000000000000001E-9</v>
      </c>
      <c r="M29" s="7">
        <v>75</v>
      </c>
      <c r="N29" s="3">
        <f t="shared" si="0"/>
        <v>1.35400026E-2</v>
      </c>
      <c r="O29" s="3">
        <f t="shared" si="1"/>
        <v>220.3000000026</v>
      </c>
      <c r="P29" s="3">
        <f t="shared" si="2"/>
        <v>1.2880002600000001E-2</v>
      </c>
      <c r="Q29" s="3">
        <f t="shared" si="3"/>
        <v>217.10000000259998</v>
      </c>
      <c r="R29" s="3">
        <f t="shared" si="4"/>
        <v>1.36200026E-2</v>
      </c>
      <c r="S29" s="3">
        <f t="shared" si="5"/>
        <v>221.00000000259999</v>
      </c>
      <c r="T29" s="3">
        <f t="shared" si="6"/>
        <v>1.24300026E-2</v>
      </c>
      <c r="U29" s="3">
        <f t="shared" si="7"/>
        <v>218.70000000259998</v>
      </c>
    </row>
    <row r="30" spans="1:21" x14ac:dyDescent="0.2">
      <c r="A30" s="7">
        <v>74</v>
      </c>
      <c r="B30" s="6">
        <v>1.66E-2</v>
      </c>
      <c r="C30" s="6">
        <v>223.4</v>
      </c>
      <c r="D30" s="6">
        <v>1.585E-2</v>
      </c>
      <c r="E30" s="6">
        <v>219.3</v>
      </c>
      <c r="F30" s="6">
        <v>1.67E-2</v>
      </c>
      <c r="G30" s="6">
        <v>223.5</v>
      </c>
      <c r="H30" s="6">
        <v>1.5270000000000001E-2</v>
      </c>
      <c r="I30" s="3">
        <v>221.1</v>
      </c>
      <c r="K30" s="8">
        <v>2.7000000000000002E-9</v>
      </c>
      <c r="M30" s="7">
        <v>74</v>
      </c>
      <c r="N30" s="3">
        <f t="shared" si="0"/>
        <v>1.6600002700000002E-2</v>
      </c>
      <c r="O30" s="3">
        <f t="shared" si="1"/>
        <v>223.40000000270001</v>
      </c>
      <c r="P30" s="3">
        <f t="shared" si="2"/>
        <v>1.5850002700000001E-2</v>
      </c>
      <c r="Q30" s="3">
        <f t="shared" si="3"/>
        <v>219.30000000270002</v>
      </c>
      <c r="R30" s="3">
        <f t="shared" si="4"/>
        <v>1.6700002700000001E-2</v>
      </c>
      <c r="S30" s="3">
        <f t="shared" si="5"/>
        <v>223.50000000270001</v>
      </c>
      <c r="T30" s="3">
        <f t="shared" si="6"/>
        <v>1.52700027E-2</v>
      </c>
      <c r="U30" s="3">
        <f t="shared" si="7"/>
        <v>221.1000000027</v>
      </c>
    </row>
    <row r="31" spans="1:21" x14ac:dyDescent="0.2">
      <c r="A31" s="7">
        <v>73</v>
      </c>
      <c r="B31" s="6">
        <v>2.0310000000000002E-2</v>
      </c>
      <c r="C31" s="6">
        <v>225.7</v>
      </c>
      <c r="D31" s="6">
        <v>1.9460000000000002E-2</v>
      </c>
      <c r="E31" s="6">
        <v>221.2</v>
      </c>
      <c r="F31" s="6">
        <v>2.043E-2</v>
      </c>
      <c r="G31" s="6">
        <v>225.3</v>
      </c>
      <c r="H31" s="6">
        <v>1.8710000000000001E-2</v>
      </c>
      <c r="I31" s="3">
        <v>223.2</v>
      </c>
      <c r="K31" s="3">
        <v>2.7999999999999998E-9</v>
      </c>
      <c r="M31" s="7">
        <v>73</v>
      </c>
      <c r="N31" s="3">
        <f t="shared" si="0"/>
        <v>2.0310002800000001E-2</v>
      </c>
      <c r="O31" s="3">
        <f t="shared" si="1"/>
        <v>225.70000000279998</v>
      </c>
      <c r="P31" s="3">
        <f t="shared" si="2"/>
        <v>1.9460002800000001E-2</v>
      </c>
      <c r="Q31" s="3">
        <f t="shared" si="3"/>
        <v>221.20000000279998</v>
      </c>
      <c r="R31" s="3">
        <f t="shared" si="4"/>
        <v>2.0430002799999999E-2</v>
      </c>
      <c r="S31" s="3">
        <f t="shared" si="5"/>
        <v>225.3000000028</v>
      </c>
      <c r="T31" s="3">
        <f t="shared" si="6"/>
        <v>1.87100028E-2</v>
      </c>
      <c r="U31" s="3">
        <f t="shared" si="7"/>
        <v>223.20000000279998</v>
      </c>
    </row>
    <row r="32" spans="1:21" x14ac:dyDescent="0.2">
      <c r="A32" s="7">
        <v>72</v>
      </c>
      <c r="B32" s="6">
        <v>2.4799999999999999E-2</v>
      </c>
      <c r="C32" s="6">
        <v>227.5</v>
      </c>
      <c r="D32" s="6">
        <v>2.3859999999999999E-2</v>
      </c>
      <c r="E32" s="6">
        <v>222.9</v>
      </c>
      <c r="F32" s="6">
        <v>2.496E-2</v>
      </c>
      <c r="G32" s="6">
        <v>227</v>
      </c>
      <c r="H32" s="6">
        <v>2.29E-2</v>
      </c>
      <c r="I32" s="3">
        <v>225.1</v>
      </c>
      <c r="K32" s="8">
        <v>2.8999999999999999E-9</v>
      </c>
      <c r="M32" s="7">
        <v>72</v>
      </c>
      <c r="N32" s="3">
        <f t="shared" si="0"/>
        <v>2.48000029E-2</v>
      </c>
      <c r="O32" s="3">
        <f t="shared" si="1"/>
        <v>227.50000000290001</v>
      </c>
      <c r="P32" s="3">
        <f t="shared" si="2"/>
        <v>2.38600029E-2</v>
      </c>
      <c r="Q32" s="3">
        <f t="shared" si="3"/>
        <v>222.90000000290001</v>
      </c>
      <c r="R32" s="3">
        <f t="shared" si="4"/>
        <v>2.49600029E-2</v>
      </c>
      <c r="S32" s="3">
        <f t="shared" si="5"/>
        <v>227.00000000290001</v>
      </c>
      <c r="T32" s="3">
        <f t="shared" si="6"/>
        <v>2.2900002900000001E-2</v>
      </c>
      <c r="U32" s="3">
        <f t="shared" si="7"/>
        <v>225.1000000029</v>
      </c>
    </row>
    <row r="33" spans="1:21" x14ac:dyDescent="0.2">
      <c r="A33" s="7">
        <v>71</v>
      </c>
      <c r="B33" s="6">
        <v>3.024E-2</v>
      </c>
      <c r="C33" s="6">
        <v>229.1</v>
      </c>
      <c r="D33" s="6">
        <v>2.9219999999999999E-2</v>
      </c>
      <c r="E33" s="6">
        <v>224.5</v>
      </c>
      <c r="F33" s="6">
        <v>3.0450000000000001E-2</v>
      </c>
      <c r="G33" s="6">
        <v>228.6</v>
      </c>
      <c r="H33" s="6">
        <v>2.7990000000000001E-2</v>
      </c>
      <c r="I33" s="3">
        <v>226.9</v>
      </c>
      <c r="K33" s="8">
        <v>3E-9</v>
      </c>
      <c r="M33" s="7">
        <v>71</v>
      </c>
      <c r="N33" s="3">
        <f t="shared" si="0"/>
        <v>3.0240002999999998E-2</v>
      </c>
      <c r="O33" s="3">
        <f t="shared" si="1"/>
        <v>229.10000000299999</v>
      </c>
      <c r="P33" s="3">
        <f t="shared" si="2"/>
        <v>2.9220002999999998E-2</v>
      </c>
      <c r="Q33" s="3">
        <f t="shared" si="3"/>
        <v>224.500000003</v>
      </c>
      <c r="R33" s="3">
        <f t="shared" si="4"/>
        <v>3.0450003E-2</v>
      </c>
      <c r="S33" s="3">
        <f t="shared" si="5"/>
        <v>228.60000000299999</v>
      </c>
      <c r="T33" s="3">
        <f t="shared" si="6"/>
        <v>2.7990002999999999E-2</v>
      </c>
      <c r="U33" s="3">
        <f t="shared" si="7"/>
        <v>226.900000003</v>
      </c>
    </row>
    <row r="34" spans="1:21" x14ac:dyDescent="0.2">
      <c r="A34" s="7">
        <v>70</v>
      </c>
      <c r="B34" s="6">
        <v>3.6830000000000002E-2</v>
      </c>
      <c r="C34" s="6">
        <v>230.7</v>
      </c>
      <c r="D34" s="6">
        <v>3.5729999999999998E-2</v>
      </c>
      <c r="E34" s="6">
        <v>226.2</v>
      </c>
      <c r="F34" s="6">
        <v>3.7089999999999998E-2</v>
      </c>
      <c r="G34" s="6">
        <v>230.5</v>
      </c>
      <c r="H34" s="6">
        <v>3.415E-2</v>
      </c>
      <c r="I34" s="3">
        <v>228.6</v>
      </c>
      <c r="K34" s="3">
        <v>3.1E-9</v>
      </c>
      <c r="M34" s="7">
        <v>70</v>
      </c>
      <c r="N34" s="3">
        <f t="shared" si="0"/>
        <v>3.6830003100000001E-2</v>
      </c>
      <c r="O34" s="3">
        <f t="shared" si="1"/>
        <v>230.7000000031</v>
      </c>
      <c r="P34" s="3">
        <f t="shared" si="2"/>
        <v>3.5730003099999998E-2</v>
      </c>
      <c r="Q34" s="3">
        <f t="shared" si="3"/>
        <v>226.2000000031</v>
      </c>
      <c r="R34" s="3">
        <f t="shared" si="4"/>
        <v>3.7090003099999998E-2</v>
      </c>
      <c r="S34" s="3">
        <f t="shared" si="5"/>
        <v>230.50000000310001</v>
      </c>
      <c r="T34" s="3">
        <f t="shared" si="6"/>
        <v>3.41500031E-2</v>
      </c>
      <c r="U34" s="3">
        <f t="shared" si="7"/>
        <v>228.60000000310001</v>
      </c>
    </row>
    <row r="35" spans="1:21" x14ac:dyDescent="0.2">
      <c r="A35" s="7">
        <v>69</v>
      </c>
      <c r="B35" s="6">
        <v>4.4790000000000003E-2</v>
      </c>
      <c r="C35" s="6">
        <v>232.6</v>
      </c>
      <c r="D35" s="6">
        <v>4.3619999999999999E-2</v>
      </c>
      <c r="E35" s="6">
        <v>228.1</v>
      </c>
      <c r="F35" s="6">
        <v>4.5109999999999997E-2</v>
      </c>
      <c r="G35" s="6">
        <v>232.7</v>
      </c>
      <c r="H35" s="6">
        <v>4.1599999999999998E-2</v>
      </c>
      <c r="I35" s="3">
        <v>230.5</v>
      </c>
      <c r="K35" s="8">
        <v>3.2000000000000001E-9</v>
      </c>
      <c r="M35" s="7">
        <v>69</v>
      </c>
      <c r="N35" s="3">
        <f t="shared" si="0"/>
        <v>4.4790003200000005E-2</v>
      </c>
      <c r="O35" s="3">
        <f t="shared" si="1"/>
        <v>232.60000000319999</v>
      </c>
      <c r="P35" s="3">
        <f t="shared" si="2"/>
        <v>4.36200032E-2</v>
      </c>
      <c r="Q35" s="3">
        <f t="shared" si="3"/>
        <v>228.10000000319999</v>
      </c>
      <c r="R35" s="3">
        <f t="shared" si="4"/>
        <v>4.5110003199999998E-2</v>
      </c>
      <c r="S35" s="3">
        <f t="shared" si="5"/>
        <v>232.70000000319999</v>
      </c>
      <c r="T35" s="3">
        <f t="shared" si="6"/>
        <v>4.1600003199999999E-2</v>
      </c>
      <c r="U35" s="3">
        <f t="shared" si="7"/>
        <v>230.5000000032</v>
      </c>
    </row>
    <row r="36" spans="1:21" x14ac:dyDescent="0.2">
      <c r="A36" s="7">
        <v>68</v>
      </c>
      <c r="B36" s="6">
        <v>5.4379999999999998E-2</v>
      </c>
      <c r="C36" s="6">
        <v>234.8</v>
      </c>
      <c r="D36" s="6">
        <v>5.3159999999999999E-2</v>
      </c>
      <c r="E36" s="6">
        <v>230.2</v>
      </c>
      <c r="F36" s="6">
        <v>5.475E-2</v>
      </c>
      <c r="G36" s="6">
        <v>235.1</v>
      </c>
      <c r="H36" s="6">
        <v>5.0599999999999999E-2</v>
      </c>
      <c r="I36" s="3">
        <v>232.5</v>
      </c>
      <c r="K36" s="8">
        <v>3.3000000000000002E-9</v>
      </c>
      <c r="M36" s="7">
        <v>68</v>
      </c>
      <c r="N36" s="3">
        <f t="shared" ref="N36:N54" si="8">B36+$K36</f>
        <v>5.43800033E-2</v>
      </c>
      <c r="O36" s="3">
        <f t="shared" ref="O36:O54" si="9">C36+$K36</f>
        <v>234.8000000033</v>
      </c>
      <c r="P36" s="3">
        <f t="shared" ref="P36:P54" si="10">D36+$K36</f>
        <v>5.3160003300000001E-2</v>
      </c>
      <c r="Q36" s="3">
        <f t="shared" ref="Q36:Q54" si="11">E36+$K36</f>
        <v>230.20000000329998</v>
      </c>
      <c r="R36" s="3">
        <f t="shared" ref="R36:R54" si="12">F36+$K36</f>
        <v>5.4750003300000002E-2</v>
      </c>
      <c r="S36" s="3">
        <f t="shared" ref="S36:S54" si="13">G36+$K36</f>
        <v>235.10000000329998</v>
      </c>
      <c r="T36" s="3">
        <f t="shared" ref="T36:T54" si="14">H36+$K36</f>
        <v>5.0600003300000002E-2</v>
      </c>
      <c r="U36" s="3">
        <f t="shared" ref="U36:U54" si="15">I36+$K36</f>
        <v>232.50000000329999</v>
      </c>
    </row>
    <row r="37" spans="1:21" x14ac:dyDescent="0.2">
      <c r="A37" s="7">
        <v>67</v>
      </c>
      <c r="B37" s="6">
        <v>6.59E-2</v>
      </c>
      <c r="C37" s="6">
        <v>237.5</v>
      </c>
      <c r="D37" s="6">
        <v>6.4670000000000005E-2</v>
      </c>
      <c r="E37" s="6">
        <v>232.8</v>
      </c>
      <c r="F37" s="6">
        <v>6.6320000000000004E-2</v>
      </c>
      <c r="G37" s="6">
        <v>237.9</v>
      </c>
      <c r="H37" s="6">
        <v>6.1449999999999998E-2</v>
      </c>
      <c r="I37" s="3">
        <v>234.5</v>
      </c>
      <c r="K37" s="3">
        <v>3.3999999999999998E-9</v>
      </c>
      <c r="M37" s="7">
        <v>67</v>
      </c>
      <c r="N37" s="3">
        <f t="shared" si="8"/>
        <v>6.5900003400000004E-2</v>
      </c>
      <c r="O37" s="3">
        <f t="shared" si="9"/>
        <v>237.5000000034</v>
      </c>
      <c r="P37" s="3">
        <f t="shared" si="10"/>
        <v>6.4670003400000009E-2</v>
      </c>
      <c r="Q37" s="3">
        <f t="shared" si="11"/>
        <v>232.80000000340002</v>
      </c>
      <c r="R37" s="3">
        <f t="shared" si="12"/>
        <v>6.6320003400000008E-2</v>
      </c>
      <c r="S37" s="3">
        <f t="shared" si="13"/>
        <v>237.90000000340001</v>
      </c>
      <c r="T37" s="3">
        <f t="shared" si="14"/>
        <v>6.1450003399999995E-2</v>
      </c>
      <c r="U37" s="3">
        <f t="shared" si="15"/>
        <v>234.5000000034</v>
      </c>
    </row>
    <row r="38" spans="1:21" x14ac:dyDescent="0.2">
      <c r="A38" s="7">
        <v>66</v>
      </c>
      <c r="B38" s="6">
        <v>7.9670000000000005E-2</v>
      </c>
      <c r="C38" s="6">
        <v>240.4</v>
      </c>
      <c r="D38" s="6">
        <v>7.8479999999999994E-2</v>
      </c>
      <c r="E38" s="6">
        <v>235.6</v>
      </c>
      <c r="F38" s="6">
        <v>8.0159999999999995E-2</v>
      </c>
      <c r="G38" s="6">
        <v>240.7</v>
      </c>
      <c r="H38" s="6">
        <v>7.4499999999999997E-2</v>
      </c>
      <c r="I38" s="3">
        <v>236.8</v>
      </c>
      <c r="K38" s="8">
        <v>3.4999999999999999E-9</v>
      </c>
      <c r="M38" s="7">
        <v>66</v>
      </c>
      <c r="N38" s="3">
        <f t="shared" si="8"/>
        <v>7.9670003500000003E-2</v>
      </c>
      <c r="O38" s="3">
        <f t="shared" si="9"/>
        <v>240.4000000035</v>
      </c>
      <c r="P38" s="3">
        <f t="shared" si="10"/>
        <v>7.8480003499999992E-2</v>
      </c>
      <c r="Q38" s="3">
        <f t="shared" si="11"/>
        <v>235.60000000349999</v>
      </c>
      <c r="R38" s="3">
        <f t="shared" si="12"/>
        <v>8.0160003499999993E-2</v>
      </c>
      <c r="S38" s="3">
        <f t="shared" si="13"/>
        <v>240.70000000349998</v>
      </c>
      <c r="T38" s="3">
        <f t="shared" si="14"/>
        <v>7.4500003499999995E-2</v>
      </c>
      <c r="U38" s="3">
        <f t="shared" si="15"/>
        <v>236.8000000035</v>
      </c>
    </row>
    <row r="39" spans="1:21" x14ac:dyDescent="0.2">
      <c r="A39" s="7">
        <v>65</v>
      </c>
      <c r="B39" s="6">
        <v>9.6089999999999995E-2</v>
      </c>
      <c r="C39" s="6">
        <v>243.6</v>
      </c>
      <c r="D39" s="6">
        <v>9.5030000000000003E-2</v>
      </c>
      <c r="E39" s="6">
        <v>238.8</v>
      </c>
      <c r="F39" s="6">
        <v>9.6680000000000002E-2</v>
      </c>
      <c r="G39" s="6">
        <v>243.6</v>
      </c>
      <c r="H39" s="6">
        <v>9.0149999999999994E-2</v>
      </c>
      <c r="I39" s="3">
        <v>239.1</v>
      </c>
      <c r="K39" s="8">
        <v>3.6E-9</v>
      </c>
      <c r="M39" s="7">
        <v>65</v>
      </c>
      <c r="N39" s="3">
        <f t="shared" si="8"/>
        <v>9.6090003600000001E-2</v>
      </c>
      <c r="O39" s="3">
        <f t="shared" si="9"/>
        <v>243.6000000036</v>
      </c>
      <c r="P39" s="3">
        <f t="shared" si="10"/>
        <v>9.503000360000001E-2</v>
      </c>
      <c r="Q39" s="3">
        <f t="shared" si="11"/>
        <v>238.80000000360002</v>
      </c>
      <c r="R39" s="3">
        <f t="shared" si="12"/>
        <v>9.6680003600000008E-2</v>
      </c>
      <c r="S39" s="3">
        <f t="shared" si="13"/>
        <v>243.6000000036</v>
      </c>
      <c r="T39" s="3">
        <f t="shared" si="14"/>
        <v>9.01500036E-2</v>
      </c>
      <c r="U39" s="3">
        <f t="shared" si="15"/>
        <v>239.1000000036</v>
      </c>
    </row>
    <row r="40" spans="1:21" x14ac:dyDescent="0.2">
      <c r="A40" s="7">
        <v>64</v>
      </c>
      <c r="B40" s="3">
        <v>0.11559999999999999</v>
      </c>
      <c r="C40" s="3">
        <v>246.9</v>
      </c>
      <c r="D40" s="3">
        <v>0.1148</v>
      </c>
      <c r="E40" s="3">
        <v>242.3</v>
      </c>
      <c r="F40" s="3">
        <v>0.1163</v>
      </c>
      <c r="G40" s="3">
        <v>246.5</v>
      </c>
      <c r="H40" s="3">
        <v>0.1089</v>
      </c>
      <c r="I40" s="3">
        <v>241.5</v>
      </c>
      <c r="K40" s="3">
        <v>3.7E-9</v>
      </c>
      <c r="M40" s="7">
        <v>64</v>
      </c>
      <c r="N40" s="3">
        <f t="shared" si="8"/>
        <v>0.1156000037</v>
      </c>
      <c r="O40" s="3">
        <f t="shared" si="9"/>
        <v>246.9000000037</v>
      </c>
      <c r="P40" s="3">
        <f t="shared" si="10"/>
        <v>0.1148000037</v>
      </c>
      <c r="Q40" s="3">
        <f t="shared" si="11"/>
        <v>242.30000000370001</v>
      </c>
      <c r="R40" s="3">
        <f t="shared" si="12"/>
        <v>0.1163000037</v>
      </c>
      <c r="S40" s="3">
        <f t="shared" si="13"/>
        <v>246.50000000369999</v>
      </c>
      <c r="T40" s="3">
        <f t="shared" si="14"/>
        <v>0.1089000037</v>
      </c>
      <c r="U40" s="3">
        <f t="shared" si="15"/>
        <v>241.50000000369999</v>
      </c>
    </row>
    <row r="41" spans="1:21" x14ac:dyDescent="0.2">
      <c r="A41" s="7">
        <v>63</v>
      </c>
      <c r="B41" s="3">
        <v>0.13869999999999999</v>
      </c>
      <c r="C41" s="3">
        <v>250.8</v>
      </c>
      <c r="D41" s="3">
        <v>0.13819999999999999</v>
      </c>
      <c r="E41" s="3">
        <v>246.4</v>
      </c>
      <c r="F41" s="3">
        <v>0.13969999999999999</v>
      </c>
      <c r="G41" s="3">
        <v>250</v>
      </c>
      <c r="H41" s="3">
        <v>0.1313</v>
      </c>
      <c r="I41" s="3">
        <v>244.2</v>
      </c>
      <c r="K41" s="8">
        <v>3.8000000000000001E-9</v>
      </c>
      <c r="M41" s="7">
        <v>63</v>
      </c>
      <c r="N41" s="3">
        <f t="shared" si="8"/>
        <v>0.1387000038</v>
      </c>
      <c r="O41" s="3">
        <f t="shared" si="9"/>
        <v>250.80000000380002</v>
      </c>
      <c r="P41" s="3">
        <f t="shared" si="10"/>
        <v>0.1382000038</v>
      </c>
      <c r="Q41" s="3">
        <f t="shared" si="11"/>
        <v>246.40000000380002</v>
      </c>
      <c r="R41" s="3">
        <f t="shared" si="12"/>
        <v>0.1397000038</v>
      </c>
      <c r="S41" s="3">
        <f t="shared" si="13"/>
        <v>250.00000000380001</v>
      </c>
      <c r="T41" s="3">
        <f t="shared" si="14"/>
        <v>0.13130000380000001</v>
      </c>
      <c r="U41" s="3">
        <f t="shared" si="15"/>
        <v>244.2000000038</v>
      </c>
    </row>
    <row r="42" spans="1:21" x14ac:dyDescent="0.2">
      <c r="A42" s="7">
        <v>62</v>
      </c>
      <c r="B42" s="3">
        <v>0.16600000000000001</v>
      </c>
      <c r="C42" s="3">
        <v>254.7</v>
      </c>
      <c r="D42" s="3">
        <v>0.1658</v>
      </c>
      <c r="E42" s="3">
        <v>250.8</v>
      </c>
      <c r="F42" s="3">
        <v>0.1673</v>
      </c>
      <c r="G42" s="3">
        <v>253.8</v>
      </c>
      <c r="H42" s="3">
        <v>0.15790000000000001</v>
      </c>
      <c r="I42" s="3">
        <v>247.2</v>
      </c>
      <c r="K42" s="8">
        <v>3.9000000000000002E-9</v>
      </c>
      <c r="M42" s="7">
        <v>62</v>
      </c>
      <c r="N42" s="3">
        <f t="shared" si="8"/>
        <v>0.1660000039</v>
      </c>
      <c r="O42" s="3">
        <f t="shared" si="9"/>
        <v>254.70000000389999</v>
      </c>
      <c r="P42" s="3">
        <f t="shared" si="10"/>
        <v>0.16580000389999999</v>
      </c>
      <c r="Q42" s="3">
        <f t="shared" si="11"/>
        <v>250.80000000390001</v>
      </c>
      <c r="R42" s="3">
        <f t="shared" si="12"/>
        <v>0.16730000389999999</v>
      </c>
      <c r="S42" s="3">
        <f t="shared" si="13"/>
        <v>253.80000000390001</v>
      </c>
      <c r="T42" s="3">
        <f t="shared" si="14"/>
        <v>0.1579000039</v>
      </c>
      <c r="U42" s="3">
        <f t="shared" si="15"/>
        <v>247.20000000389999</v>
      </c>
    </row>
    <row r="43" spans="1:21" x14ac:dyDescent="0.2">
      <c r="A43" s="7">
        <v>61</v>
      </c>
      <c r="B43" s="3">
        <v>0.1981</v>
      </c>
      <c r="C43" s="3">
        <v>259.3</v>
      </c>
      <c r="D43" s="3">
        <v>0.1983</v>
      </c>
      <c r="E43" s="3">
        <v>256.2</v>
      </c>
      <c r="F43" s="3">
        <v>0.1996</v>
      </c>
      <c r="G43" s="3">
        <v>259.2</v>
      </c>
      <c r="H43" s="3">
        <v>0.1895</v>
      </c>
      <c r="I43" s="3">
        <v>250.9</v>
      </c>
      <c r="K43" s="3">
        <v>4.0000000000000002E-9</v>
      </c>
      <c r="M43" s="7">
        <v>61</v>
      </c>
      <c r="N43" s="3">
        <f t="shared" si="8"/>
        <v>0.198100004</v>
      </c>
      <c r="O43" s="3">
        <f t="shared" si="9"/>
        <v>259.30000000400003</v>
      </c>
      <c r="P43" s="3">
        <f t="shared" si="10"/>
        <v>0.198300004</v>
      </c>
      <c r="Q43" s="3">
        <f t="shared" si="11"/>
        <v>256.200000004</v>
      </c>
      <c r="R43" s="3">
        <f t="shared" si="12"/>
        <v>0.199600004</v>
      </c>
      <c r="S43" s="3">
        <f t="shared" si="13"/>
        <v>259.200000004</v>
      </c>
      <c r="T43" s="3">
        <f t="shared" si="14"/>
        <v>0.189500004</v>
      </c>
      <c r="U43" s="3">
        <f t="shared" si="15"/>
        <v>250.90000000399999</v>
      </c>
    </row>
    <row r="44" spans="1:21" x14ac:dyDescent="0.2">
      <c r="A44" s="7">
        <v>60</v>
      </c>
      <c r="B44" s="3">
        <v>0.23569999999999999</v>
      </c>
      <c r="C44" s="3">
        <v>263.7</v>
      </c>
      <c r="D44" s="3">
        <v>0.23630000000000001</v>
      </c>
      <c r="E44" s="3">
        <v>262</v>
      </c>
      <c r="F44" s="3">
        <v>0.2374</v>
      </c>
      <c r="G44" s="3">
        <v>264.7</v>
      </c>
      <c r="H44" s="3">
        <v>0.2268</v>
      </c>
      <c r="I44" s="3">
        <v>254.6</v>
      </c>
      <c r="K44" s="8">
        <v>4.1000000000000003E-9</v>
      </c>
      <c r="M44" s="7">
        <v>60</v>
      </c>
      <c r="N44" s="3">
        <f t="shared" si="8"/>
        <v>0.2357000041</v>
      </c>
      <c r="O44" s="3">
        <f t="shared" si="9"/>
        <v>263.70000000409999</v>
      </c>
      <c r="P44" s="3">
        <f t="shared" si="10"/>
        <v>0.23630000410000002</v>
      </c>
      <c r="Q44" s="3">
        <f t="shared" si="11"/>
        <v>262.0000000041</v>
      </c>
      <c r="R44" s="3">
        <f t="shared" si="12"/>
        <v>0.23740000410000001</v>
      </c>
      <c r="S44" s="3">
        <f t="shared" si="13"/>
        <v>264.70000000409999</v>
      </c>
      <c r="T44" s="3">
        <f t="shared" si="14"/>
        <v>0.22680000410000001</v>
      </c>
      <c r="U44" s="3">
        <f t="shared" si="15"/>
        <v>254.6000000041</v>
      </c>
    </row>
    <row r="45" spans="1:21" x14ac:dyDescent="0.2">
      <c r="A45" s="7">
        <v>59</v>
      </c>
      <c r="B45" s="3">
        <v>0.27929999999999999</v>
      </c>
      <c r="C45" s="3">
        <v>270.10000000000002</v>
      </c>
      <c r="D45" s="3">
        <v>0.28029999999999999</v>
      </c>
      <c r="E45" s="3">
        <v>269.5</v>
      </c>
      <c r="F45" s="3">
        <v>0.28110000000000002</v>
      </c>
      <c r="G45" s="3">
        <v>271.8</v>
      </c>
      <c r="H45" s="3">
        <v>0.27060000000000001</v>
      </c>
      <c r="I45" s="3">
        <v>260</v>
      </c>
      <c r="K45" s="8">
        <v>4.2000000000000004E-9</v>
      </c>
      <c r="M45" s="7">
        <v>59</v>
      </c>
      <c r="N45" s="3">
        <f t="shared" si="8"/>
        <v>0.27930000420000001</v>
      </c>
      <c r="O45" s="3">
        <f t="shared" si="9"/>
        <v>270.10000000420001</v>
      </c>
      <c r="P45" s="3">
        <f t="shared" si="10"/>
        <v>0.28030000420000001</v>
      </c>
      <c r="Q45" s="3">
        <f t="shared" si="11"/>
        <v>269.50000000419999</v>
      </c>
      <c r="R45" s="3">
        <f t="shared" si="12"/>
        <v>0.28110000420000003</v>
      </c>
      <c r="S45" s="3">
        <f t="shared" si="13"/>
        <v>271.8000000042</v>
      </c>
      <c r="T45" s="3">
        <f t="shared" si="14"/>
        <v>0.27060000420000002</v>
      </c>
      <c r="U45" s="3">
        <f t="shared" si="15"/>
        <v>260.00000000419999</v>
      </c>
    </row>
    <row r="46" spans="1:21" x14ac:dyDescent="0.2">
      <c r="A46" s="7">
        <v>58</v>
      </c>
      <c r="B46" s="3">
        <v>0.32979999999999998</v>
      </c>
      <c r="C46" s="3">
        <v>277.2</v>
      </c>
      <c r="D46" s="3">
        <v>0.33079999999999998</v>
      </c>
      <c r="E46" s="3">
        <v>278</v>
      </c>
      <c r="F46" s="3">
        <v>0.33139999999999997</v>
      </c>
      <c r="G46" s="3">
        <v>279.7</v>
      </c>
      <c r="H46" s="3">
        <v>0.32150000000000001</v>
      </c>
      <c r="I46" s="3">
        <v>267</v>
      </c>
      <c r="K46" s="3">
        <v>4.2999999999999996E-9</v>
      </c>
      <c r="M46" s="7">
        <v>58</v>
      </c>
      <c r="N46" s="3">
        <f t="shared" si="8"/>
        <v>0.3298000043</v>
      </c>
      <c r="O46" s="3">
        <f t="shared" si="9"/>
        <v>277.20000000429997</v>
      </c>
      <c r="P46" s="3">
        <f t="shared" si="10"/>
        <v>0.33080000430000001</v>
      </c>
      <c r="Q46" s="3">
        <f t="shared" si="11"/>
        <v>278.00000000429998</v>
      </c>
      <c r="R46" s="3">
        <f t="shared" si="12"/>
        <v>0.3314000043</v>
      </c>
      <c r="S46" s="3">
        <f t="shared" si="13"/>
        <v>279.70000000429997</v>
      </c>
      <c r="T46" s="3">
        <f t="shared" si="14"/>
        <v>0.32150000430000003</v>
      </c>
      <c r="U46" s="3">
        <f t="shared" si="15"/>
        <v>267.00000000429998</v>
      </c>
    </row>
    <row r="47" spans="1:21" x14ac:dyDescent="0.2">
      <c r="A47" s="7">
        <v>57</v>
      </c>
      <c r="B47" s="3">
        <v>0.38740000000000002</v>
      </c>
      <c r="C47" s="3">
        <v>285.8</v>
      </c>
      <c r="D47" s="3">
        <v>0.38829999999999998</v>
      </c>
      <c r="E47" s="3">
        <v>287.3</v>
      </c>
      <c r="F47" s="3">
        <v>0.38879999999999998</v>
      </c>
      <c r="G47" s="3">
        <v>288.2</v>
      </c>
      <c r="H47" s="3">
        <v>0.38</v>
      </c>
      <c r="I47" s="3">
        <v>275.7</v>
      </c>
      <c r="K47" s="8">
        <v>4.3999999999999997E-9</v>
      </c>
      <c r="M47" s="7">
        <v>57</v>
      </c>
      <c r="N47" s="3">
        <f t="shared" si="8"/>
        <v>0.3874000044</v>
      </c>
      <c r="O47" s="3">
        <f t="shared" si="9"/>
        <v>285.80000000440003</v>
      </c>
      <c r="P47" s="3">
        <f t="shared" si="10"/>
        <v>0.38830000439999995</v>
      </c>
      <c r="Q47" s="3">
        <f t="shared" si="11"/>
        <v>287.30000000440003</v>
      </c>
      <c r="R47" s="3">
        <f t="shared" si="12"/>
        <v>0.38880000439999995</v>
      </c>
      <c r="S47" s="3">
        <f t="shared" si="13"/>
        <v>288.20000000440001</v>
      </c>
      <c r="T47" s="3">
        <f t="shared" si="14"/>
        <v>0.38000000439999998</v>
      </c>
      <c r="U47" s="3">
        <f t="shared" si="15"/>
        <v>275.70000000440001</v>
      </c>
    </row>
    <row r="48" spans="1:21" x14ac:dyDescent="0.2">
      <c r="A48" s="7">
        <v>56</v>
      </c>
      <c r="B48" s="3">
        <v>0.45300000000000001</v>
      </c>
      <c r="C48" s="3">
        <v>294.60000000000002</v>
      </c>
      <c r="D48" s="3">
        <v>0.45369999999999999</v>
      </c>
      <c r="E48" s="3">
        <v>295.89999999999998</v>
      </c>
      <c r="F48" s="3">
        <v>0.4541</v>
      </c>
      <c r="G48" s="3">
        <v>296.7</v>
      </c>
      <c r="H48" s="3">
        <v>0.4466</v>
      </c>
      <c r="I48" s="3">
        <v>285.60000000000002</v>
      </c>
      <c r="K48" s="8">
        <v>4.4999999999999998E-9</v>
      </c>
      <c r="M48" s="7">
        <v>56</v>
      </c>
      <c r="N48" s="3">
        <f t="shared" si="8"/>
        <v>0.4530000045</v>
      </c>
      <c r="O48" s="3">
        <f t="shared" si="9"/>
        <v>294.60000000450003</v>
      </c>
      <c r="P48" s="3">
        <f t="shared" si="10"/>
        <v>0.45370000449999998</v>
      </c>
      <c r="Q48" s="3">
        <f t="shared" si="11"/>
        <v>295.90000000449999</v>
      </c>
      <c r="R48" s="3">
        <f t="shared" si="12"/>
        <v>0.45410000449999999</v>
      </c>
      <c r="S48" s="3">
        <f t="shared" si="13"/>
        <v>296.7000000045</v>
      </c>
      <c r="T48" s="3">
        <f t="shared" si="14"/>
        <v>0.44660000449999998</v>
      </c>
      <c r="U48" s="3">
        <f t="shared" si="15"/>
        <v>285.60000000450003</v>
      </c>
    </row>
    <row r="49" spans="1:256" x14ac:dyDescent="0.2">
      <c r="A49" s="7">
        <v>55</v>
      </c>
      <c r="B49" s="3">
        <v>0.5272</v>
      </c>
      <c r="C49" s="3">
        <v>303.39999999999998</v>
      </c>
      <c r="D49" s="3">
        <v>0.52769999999999995</v>
      </c>
      <c r="E49" s="3">
        <v>304.5</v>
      </c>
      <c r="F49" s="3">
        <v>0.52800000000000002</v>
      </c>
      <c r="G49" s="3">
        <v>305.2</v>
      </c>
      <c r="H49" s="3">
        <v>0.52210000000000001</v>
      </c>
      <c r="I49" s="3">
        <v>295.60000000000002</v>
      </c>
      <c r="K49" s="3">
        <v>4.5999999999999998E-9</v>
      </c>
      <c r="M49" s="7">
        <v>55</v>
      </c>
      <c r="N49" s="3">
        <f t="shared" si="8"/>
        <v>0.52720000460000005</v>
      </c>
      <c r="O49" s="3">
        <f t="shared" si="9"/>
        <v>303.40000000459997</v>
      </c>
      <c r="P49" s="3">
        <f t="shared" si="10"/>
        <v>0.52770000459999999</v>
      </c>
      <c r="Q49" s="3">
        <f t="shared" si="11"/>
        <v>304.5000000046</v>
      </c>
      <c r="R49" s="3">
        <f t="shared" si="12"/>
        <v>0.52800000460000007</v>
      </c>
      <c r="S49" s="3">
        <f t="shared" si="13"/>
        <v>305.20000000459999</v>
      </c>
      <c r="T49" s="3">
        <f t="shared" si="14"/>
        <v>0.52210000460000006</v>
      </c>
      <c r="U49" s="3">
        <f t="shared" si="15"/>
        <v>295.60000000460002</v>
      </c>
    </row>
    <row r="50" spans="1:256" x14ac:dyDescent="0.2">
      <c r="A50" s="7">
        <v>54</v>
      </c>
      <c r="B50" s="3">
        <v>0.61099999999999999</v>
      </c>
      <c r="C50" s="3">
        <v>312.10000000000002</v>
      </c>
      <c r="D50" s="3">
        <v>0.61129999999999995</v>
      </c>
      <c r="E50" s="3">
        <v>313</v>
      </c>
      <c r="F50" s="3">
        <v>0.61129999999999995</v>
      </c>
      <c r="G50" s="3">
        <v>313.60000000000002</v>
      </c>
      <c r="H50" s="3">
        <v>0.60709999999999997</v>
      </c>
      <c r="I50" s="3">
        <v>305.60000000000002</v>
      </c>
      <c r="K50" s="8">
        <v>4.6999999999999999E-9</v>
      </c>
      <c r="M50" s="7">
        <v>54</v>
      </c>
      <c r="N50" s="3">
        <f t="shared" si="8"/>
        <v>0.61100000469999993</v>
      </c>
      <c r="O50" s="3">
        <f t="shared" si="9"/>
        <v>312.10000000470001</v>
      </c>
      <c r="P50" s="3">
        <f t="shared" si="10"/>
        <v>0.6113000046999999</v>
      </c>
      <c r="Q50" s="3">
        <f t="shared" si="11"/>
        <v>313.00000000469998</v>
      </c>
      <c r="R50" s="3">
        <f t="shared" si="12"/>
        <v>0.6113000046999999</v>
      </c>
      <c r="S50" s="3">
        <f t="shared" si="13"/>
        <v>313.60000000470001</v>
      </c>
      <c r="T50" s="3">
        <f t="shared" si="14"/>
        <v>0.60710000469999992</v>
      </c>
      <c r="U50" s="3">
        <f t="shared" si="15"/>
        <v>305.60000000470001</v>
      </c>
    </row>
    <row r="51" spans="1:256" x14ac:dyDescent="0.2">
      <c r="A51" s="7">
        <v>53</v>
      </c>
      <c r="B51" s="3">
        <v>0.70520000000000005</v>
      </c>
      <c r="C51" s="3">
        <v>320.8</v>
      </c>
      <c r="D51" s="3">
        <v>0.70540000000000003</v>
      </c>
      <c r="E51" s="3">
        <v>321.5</v>
      </c>
      <c r="F51" s="3">
        <v>0.70540000000000003</v>
      </c>
      <c r="G51" s="3">
        <v>321.89999999999998</v>
      </c>
      <c r="H51" s="3">
        <v>0.7026</v>
      </c>
      <c r="I51" s="3">
        <v>315.60000000000002</v>
      </c>
      <c r="K51" s="8">
        <v>4.8E-9</v>
      </c>
      <c r="M51" s="7">
        <v>53</v>
      </c>
      <c r="N51" s="3">
        <f t="shared" si="8"/>
        <v>0.7052000048</v>
      </c>
      <c r="O51" s="3">
        <f t="shared" si="9"/>
        <v>320.80000000479998</v>
      </c>
      <c r="P51" s="3">
        <f t="shared" si="10"/>
        <v>0.70540000479999998</v>
      </c>
      <c r="Q51" s="3">
        <f t="shared" si="11"/>
        <v>321.50000000479997</v>
      </c>
      <c r="R51" s="3">
        <f t="shared" si="12"/>
        <v>0.70540000479999998</v>
      </c>
      <c r="S51" s="3">
        <f t="shared" si="13"/>
        <v>321.90000000479995</v>
      </c>
      <c r="T51" s="3">
        <f t="shared" si="14"/>
        <v>0.70260000479999996</v>
      </c>
      <c r="U51" s="3">
        <f t="shared" si="15"/>
        <v>315.60000000479999</v>
      </c>
    </row>
    <row r="52" spans="1:256" x14ac:dyDescent="0.2">
      <c r="A52" s="7">
        <v>52</v>
      </c>
      <c r="B52" s="3">
        <v>0.81100000000000005</v>
      </c>
      <c r="C52" s="3">
        <v>329.4</v>
      </c>
      <c r="D52" s="3">
        <v>0.81100000000000005</v>
      </c>
      <c r="E52" s="3">
        <v>329.9</v>
      </c>
      <c r="F52" s="3">
        <v>0.81089999999999995</v>
      </c>
      <c r="G52" s="3">
        <v>330.2</v>
      </c>
      <c r="H52" s="3">
        <v>0.8095</v>
      </c>
      <c r="I52" s="3">
        <v>325.60000000000002</v>
      </c>
      <c r="K52" s="3">
        <v>4.9E-9</v>
      </c>
      <c r="M52" s="7">
        <v>52</v>
      </c>
      <c r="N52" s="3">
        <f t="shared" si="8"/>
        <v>0.81100000490000002</v>
      </c>
      <c r="O52" s="3">
        <f t="shared" si="9"/>
        <v>329.40000000489999</v>
      </c>
      <c r="P52" s="3">
        <f t="shared" si="10"/>
        <v>0.81100000490000002</v>
      </c>
      <c r="Q52" s="3">
        <f t="shared" si="11"/>
        <v>329.90000000489999</v>
      </c>
      <c r="R52" s="3">
        <f t="shared" si="12"/>
        <v>0.81090000489999992</v>
      </c>
      <c r="S52" s="3">
        <f t="shared" si="13"/>
        <v>330.20000000490001</v>
      </c>
      <c r="T52" s="3">
        <f t="shared" si="14"/>
        <v>0.80950000489999996</v>
      </c>
      <c r="U52" s="3">
        <f t="shared" si="15"/>
        <v>325.60000000490004</v>
      </c>
    </row>
    <row r="53" spans="1:256" x14ac:dyDescent="0.2">
      <c r="A53" s="7">
        <v>51</v>
      </c>
      <c r="B53" s="3">
        <v>0.92930000000000001</v>
      </c>
      <c r="C53" s="3">
        <v>338</v>
      </c>
      <c r="D53" s="3">
        <v>0.92920000000000003</v>
      </c>
      <c r="E53" s="3">
        <v>338.2</v>
      </c>
      <c r="F53" s="3">
        <v>0.92900000000000005</v>
      </c>
      <c r="G53" s="3">
        <v>338.4</v>
      </c>
      <c r="H53" s="3">
        <v>0.92859999999999998</v>
      </c>
      <c r="I53" s="3">
        <v>335.7</v>
      </c>
      <c r="K53" s="8">
        <v>5.0000000000000001E-9</v>
      </c>
      <c r="M53" s="7">
        <v>51</v>
      </c>
      <c r="N53" s="3">
        <f t="shared" si="8"/>
        <v>0.92930000499999998</v>
      </c>
      <c r="O53" s="3">
        <f t="shared" si="9"/>
        <v>338.000000005</v>
      </c>
      <c r="P53" s="3">
        <f t="shared" si="10"/>
        <v>0.929200005</v>
      </c>
      <c r="Q53" s="3">
        <f t="shared" si="11"/>
        <v>338.20000000499999</v>
      </c>
      <c r="R53" s="3">
        <f t="shared" si="12"/>
        <v>0.92900000500000002</v>
      </c>
      <c r="S53" s="3">
        <f t="shared" si="13"/>
        <v>338.40000000499998</v>
      </c>
      <c r="T53" s="3">
        <f t="shared" si="14"/>
        <v>0.92860000499999995</v>
      </c>
      <c r="U53" s="3">
        <f t="shared" si="15"/>
        <v>335.70000000499999</v>
      </c>
    </row>
    <row r="54" spans="1:256" x14ac:dyDescent="0.2">
      <c r="A54" s="7">
        <v>50</v>
      </c>
      <c r="B54" s="3">
        <v>1.0609999999999999</v>
      </c>
      <c r="C54" s="3">
        <v>347.4</v>
      </c>
      <c r="D54" s="3">
        <v>1.06</v>
      </c>
      <c r="E54" s="3">
        <v>347.4</v>
      </c>
      <c r="F54" s="3">
        <v>1.06</v>
      </c>
      <c r="G54" s="3">
        <v>347.4</v>
      </c>
      <c r="H54" s="3">
        <v>1.06</v>
      </c>
      <c r="I54" s="3">
        <v>346.8</v>
      </c>
      <c r="K54" s="8">
        <v>5.1000000000000002E-9</v>
      </c>
      <c r="M54" s="7">
        <v>50</v>
      </c>
      <c r="N54" s="3">
        <f t="shared" si="8"/>
        <v>1.0610000050999999</v>
      </c>
      <c r="O54" s="3">
        <f t="shared" si="9"/>
        <v>347.40000000509997</v>
      </c>
      <c r="P54" s="3">
        <f t="shared" si="10"/>
        <v>1.0600000051</v>
      </c>
      <c r="Q54" s="3">
        <f t="shared" si="11"/>
        <v>347.40000000509997</v>
      </c>
      <c r="R54" s="3">
        <f t="shared" si="12"/>
        <v>1.0600000051</v>
      </c>
      <c r="S54" s="3">
        <f t="shared" si="13"/>
        <v>347.40000000509997</v>
      </c>
      <c r="T54" s="3">
        <f t="shared" si="14"/>
        <v>1.0600000051</v>
      </c>
      <c r="U54" s="3">
        <f t="shared" si="15"/>
        <v>346.8000000051</v>
      </c>
    </row>
    <row r="55" spans="1:256" x14ac:dyDescent="0.2">
      <c r="A55" s="9"/>
    </row>
    <row r="56" spans="1:256" x14ac:dyDescent="0.2">
      <c r="A56" s="9"/>
    </row>
    <row r="59" spans="1:256" s="10" customFormat="1" x14ac:dyDescent="0.2">
      <c r="A59" s="3"/>
      <c r="B59" s="3"/>
      <c r="C59" s="3"/>
      <c r="D59" s="3"/>
      <c r="E59" s="3"/>
      <c r="F59" s="3"/>
      <c r="G59" s="3"/>
      <c r="H59" s="3"/>
      <c r="I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85" spans="10:99" x14ac:dyDescent="0.2">
      <c r="J85" s="9"/>
      <c r="K85" s="9"/>
    </row>
    <row r="86" spans="10:99" x14ac:dyDescent="0.2">
      <c r="J86" s="10"/>
      <c r="K86" s="10"/>
      <c r="L86" s="9"/>
      <c r="M86" s="9"/>
      <c r="N86" s="9"/>
      <c r="O86" s="9"/>
      <c r="P86" s="9"/>
      <c r="Q86" s="9"/>
      <c r="R86" s="9"/>
      <c r="S86" s="9"/>
    </row>
    <row r="87" spans="10:99" x14ac:dyDescent="0.2"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9"/>
      <c r="U87" s="9"/>
      <c r="V87" s="9"/>
      <c r="W87" s="9"/>
      <c r="X87" s="9"/>
      <c r="Y87" s="9"/>
      <c r="Z87" s="9"/>
      <c r="AA87" s="9"/>
    </row>
    <row r="88" spans="10:99" x14ac:dyDescent="0.2"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9"/>
      <c r="AC88" s="9"/>
      <c r="AD88" s="9"/>
      <c r="AE88" s="9"/>
      <c r="AF88" s="9"/>
      <c r="AG88" s="9"/>
      <c r="AH88" s="9"/>
      <c r="AI88" s="9"/>
    </row>
    <row r="89" spans="10:99" x14ac:dyDescent="0.2"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9"/>
      <c r="AK89" s="9"/>
      <c r="AL89" s="9"/>
      <c r="AM89" s="9"/>
      <c r="AN89" s="9"/>
      <c r="AO89" s="9"/>
      <c r="AP89" s="9"/>
      <c r="AQ89" s="9"/>
    </row>
    <row r="90" spans="10:99" x14ac:dyDescent="0.2"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9"/>
      <c r="AS90" s="9"/>
      <c r="AT90" s="9"/>
      <c r="AU90" s="9"/>
      <c r="AV90" s="9"/>
      <c r="AW90" s="9"/>
      <c r="AX90" s="9"/>
      <c r="AY90" s="9"/>
    </row>
    <row r="91" spans="10:99" x14ac:dyDescent="0.2"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9"/>
      <c r="BA91" s="9"/>
      <c r="BB91" s="9"/>
      <c r="BC91" s="9"/>
      <c r="BD91" s="9"/>
      <c r="BE91" s="9"/>
      <c r="BF91" s="9"/>
      <c r="BG91" s="9"/>
    </row>
    <row r="92" spans="10:99" x14ac:dyDescent="0.2"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9"/>
      <c r="BI92" s="9"/>
      <c r="BJ92" s="9"/>
      <c r="BK92" s="9"/>
      <c r="BL92" s="9"/>
      <c r="BM92" s="9"/>
      <c r="BN92" s="9"/>
      <c r="BO92" s="9"/>
    </row>
    <row r="93" spans="10:99" x14ac:dyDescent="0.2"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9"/>
      <c r="BQ93" s="9"/>
      <c r="BR93" s="9"/>
      <c r="BS93" s="9"/>
      <c r="BT93" s="9"/>
      <c r="BU93" s="9"/>
      <c r="BV93" s="9"/>
      <c r="BW93" s="9"/>
    </row>
    <row r="94" spans="10:99" x14ac:dyDescent="0.2"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9"/>
      <c r="BY94" s="9"/>
      <c r="BZ94" s="9"/>
      <c r="CA94" s="9"/>
      <c r="CB94" s="9"/>
      <c r="CC94" s="9"/>
      <c r="CD94" s="9"/>
      <c r="CE94" s="9"/>
    </row>
    <row r="95" spans="10:99" x14ac:dyDescent="0.2"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9"/>
      <c r="CG95" s="9"/>
      <c r="CH95" s="9"/>
      <c r="CI95" s="9"/>
      <c r="CJ95" s="9"/>
      <c r="CK95" s="9"/>
      <c r="CL95" s="9"/>
      <c r="CM95" s="9"/>
    </row>
    <row r="96" spans="10:99" x14ac:dyDescent="0.2"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9"/>
      <c r="CO96" s="9"/>
      <c r="CP96" s="9"/>
      <c r="CQ96" s="9"/>
      <c r="CR96" s="9"/>
      <c r="CS96" s="9"/>
      <c r="CT96" s="9"/>
      <c r="CU96" s="9"/>
    </row>
    <row r="97" spans="1:256" x14ac:dyDescent="0.2"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9"/>
      <c r="CW97" s="9"/>
      <c r="CX97" s="9"/>
      <c r="CY97" s="9"/>
      <c r="CZ97" s="9"/>
      <c r="DA97" s="9"/>
      <c r="DB97" s="9"/>
      <c r="DC97" s="9"/>
    </row>
    <row r="98" spans="1:256" x14ac:dyDescent="0.2"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9"/>
      <c r="DE98" s="9"/>
      <c r="DF98" s="9"/>
      <c r="DG98" s="9"/>
      <c r="DH98" s="9"/>
      <c r="DI98" s="9"/>
      <c r="DJ98" s="9"/>
      <c r="DK98" s="9"/>
    </row>
    <row r="99" spans="1:256" x14ac:dyDescent="0.2"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9"/>
      <c r="DM99" s="9"/>
      <c r="DN99" s="9"/>
      <c r="DO99" s="9"/>
      <c r="DP99" s="9"/>
      <c r="DQ99" s="9"/>
      <c r="DR99" s="9"/>
      <c r="DS99" s="9"/>
    </row>
    <row r="100" spans="1:256" x14ac:dyDescent="0.2"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9"/>
      <c r="DU100" s="9"/>
      <c r="DV100" s="9"/>
      <c r="DW100" s="9"/>
      <c r="DX100" s="9"/>
      <c r="DY100" s="9"/>
      <c r="DZ100" s="9"/>
      <c r="EA100" s="9"/>
    </row>
    <row r="101" spans="1:256" x14ac:dyDescent="0.2"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9"/>
      <c r="EC101" s="9"/>
      <c r="ED101" s="9"/>
      <c r="EE101" s="9"/>
      <c r="EF101" s="9"/>
      <c r="EG101" s="9"/>
      <c r="EH101" s="9"/>
      <c r="EI101" s="9"/>
    </row>
    <row r="102" spans="1:256" s="10" customFormat="1" x14ac:dyDescent="0.2">
      <c r="A102" s="3"/>
      <c r="B102" s="3"/>
      <c r="C102" s="3"/>
      <c r="D102" s="3"/>
      <c r="E102" s="3"/>
      <c r="F102" s="3"/>
      <c r="G102" s="3"/>
      <c r="H102" s="3"/>
      <c r="I102" s="3"/>
      <c r="EJ102" s="9"/>
      <c r="EK102" s="9"/>
      <c r="EL102" s="9"/>
      <c r="EM102" s="9"/>
      <c r="EN102" s="9"/>
      <c r="EO102" s="9"/>
      <c r="EP102" s="9"/>
      <c r="EQ102" s="9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</row>
    <row r="103" spans="1:256" s="10" customFormat="1" x14ac:dyDescent="0.2">
      <c r="A103" s="3"/>
      <c r="B103" s="3"/>
      <c r="C103" s="3"/>
      <c r="D103" s="3"/>
      <c r="E103" s="3"/>
      <c r="F103" s="3"/>
      <c r="G103" s="3"/>
      <c r="H103" s="3"/>
      <c r="I103" s="3"/>
      <c r="ER103" s="9"/>
      <c r="ES103" s="9"/>
      <c r="ET103" s="9"/>
      <c r="EU103" s="9"/>
      <c r="EV103" s="9"/>
      <c r="EW103" s="9"/>
      <c r="EX103" s="9"/>
      <c r="EY103" s="9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</row>
    <row r="104" spans="1:256" s="9" customFormat="1" x14ac:dyDescent="0.2">
      <c r="A104" s="3"/>
      <c r="B104" s="3"/>
      <c r="C104" s="3"/>
      <c r="D104" s="3"/>
      <c r="E104" s="3"/>
      <c r="F104" s="3"/>
      <c r="G104" s="3"/>
      <c r="H104" s="3"/>
      <c r="I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</row>
    <row r="105" spans="1:256" s="9" customFormat="1" x14ac:dyDescent="0.2">
      <c r="A105" s="3"/>
      <c r="B105" s="3"/>
      <c r="C105" s="3"/>
      <c r="D105" s="3"/>
      <c r="E105" s="3"/>
      <c r="F105" s="3"/>
      <c r="G105" s="3"/>
      <c r="H105" s="3"/>
      <c r="I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</row>
    <row r="106" spans="1:256" s="9" customFormat="1" x14ac:dyDescent="0.2">
      <c r="A106" s="3"/>
      <c r="B106" s="3"/>
      <c r="C106" s="3"/>
      <c r="D106" s="3"/>
      <c r="E106" s="3"/>
      <c r="F106" s="3"/>
      <c r="G106" s="3"/>
      <c r="H106" s="3"/>
      <c r="I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</row>
    <row r="107" spans="1:256" s="9" customFormat="1" x14ac:dyDescent="0.2">
      <c r="A107" s="3"/>
      <c r="B107" s="3"/>
      <c r="C107" s="3"/>
      <c r="D107" s="3"/>
      <c r="E107" s="3"/>
      <c r="F107" s="3"/>
      <c r="G107" s="3"/>
      <c r="H107" s="3"/>
      <c r="I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</row>
    <row r="108" spans="1:256" s="9" customFormat="1" x14ac:dyDescent="0.2">
      <c r="A108" s="3"/>
      <c r="B108" s="3"/>
      <c r="C108" s="3"/>
      <c r="D108" s="3"/>
      <c r="E108" s="3"/>
      <c r="F108" s="3"/>
      <c r="G108" s="3"/>
      <c r="H108" s="3"/>
      <c r="I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</row>
    <row r="109" spans="1:256" s="9" customFormat="1" x14ac:dyDescent="0.2">
      <c r="A109" s="3"/>
      <c r="B109" s="3"/>
      <c r="C109" s="3"/>
      <c r="D109" s="3"/>
      <c r="E109" s="3"/>
      <c r="F109" s="3"/>
      <c r="G109" s="3"/>
      <c r="H109" s="3"/>
      <c r="I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</row>
  </sheetData>
  <mergeCells count="12">
    <mergeCell ref="A1:I1"/>
    <mergeCell ref="M1:U1"/>
    <mergeCell ref="A2:A3"/>
    <mergeCell ref="B2:C2"/>
    <mergeCell ref="D2:E2"/>
    <mergeCell ref="F2:G2"/>
    <mergeCell ref="H2:I2"/>
    <mergeCell ref="M2:M3"/>
    <mergeCell ref="N2:O2"/>
    <mergeCell ref="P2:Q2"/>
    <mergeCell ref="R2:S2"/>
    <mergeCell ref="T2:U2"/>
  </mergeCells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4"/>
  <sheetViews>
    <sheetView topLeftCell="L1" zoomScale="80" zoomScaleNormal="80" workbookViewId="0">
      <selection activeCell="R16" sqref="R16"/>
    </sheetView>
  </sheetViews>
  <sheetFormatPr defaultRowHeight="14.25" x14ac:dyDescent="0.2"/>
  <cols>
    <col min="1" max="9" width="10.625" style="3" customWidth="1"/>
    <col min="10" max="257" width="9" style="3" customWidth="1"/>
    <col min="258" max="1025" width="9" customWidth="1"/>
  </cols>
  <sheetData>
    <row r="1" spans="1:21" x14ac:dyDescent="0.2">
      <c r="A1" s="2" t="s">
        <v>9</v>
      </c>
      <c r="B1" s="2"/>
      <c r="C1" s="2"/>
      <c r="D1" s="2"/>
      <c r="E1" s="2"/>
      <c r="F1" s="2"/>
      <c r="G1" s="2"/>
      <c r="H1" s="2"/>
      <c r="I1" s="2"/>
      <c r="M1" s="2" t="s">
        <v>9</v>
      </c>
      <c r="N1" s="2"/>
      <c r="O1" s="2"/>
      <c r="P1" s="2"/>
      <c r="Q1" s="2"/>
      <c r="R1" s="2"/>
      <c r="S1" s="2"/>
      <c r="T1" s="2"/>
      <c r="U1" s="2"/>
    </row>
    <row r="2" spans="1:21" x14ac:dyDescent="0.2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10</v>
      </c>
      <c r="I2" s="2"/>
      <c r="M2" s="2" t="s">
        <v>1</v>
      </c>
      <c r="N2" s="2" t="s">
        <v>2</v>
      </c>
      <c r="O2" s="2"/>
      <c r="P2" s="2" t="s">
        <v>3</v>
      </c>
      <c r="Q2" s="2"/>
      <c r="R2" s="2" t="s">
        <v>4</v>
      </c>
      <c r="S2" s="2"/>
      <c r="T2" s="2" t="s">
        <v>10</v>
      </c>
      <c r="U2" s="2"/>
    </row>
    <row r="3" spans="1:21" x14ac:dyDescent="0.2">
      <c r="A3" s="2"/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  <c r="K3" s="11" t="s">
        <v>8</v>
      </c>
      <c r="M3" s="2"/>
      <c r="N3" s="4" t="s">
        <v>6</v>
      </c>
      <c r="O3" s="4" t="s">
        <v>7</v>
      </c>
      <c r="P3" s="4" t="s">
        <v>6</v>
      </c>
      <c r="Q3" s="4" t="s">
        <v>7</v>
      </c>
      <c r="R3" s="4" t="s">
        <v>6</v>
      </c>
      <c r="S3" s="4" t="s">
        <v>7</v>
      </c>
      <c r="T3" s="4" t="s">
        <v>6</v>
      </c>
      <c r="U3" s="4" t="s">
        <v>7</v>
      </c>
    </row>
    <row r="4" spans="1:21" x14ac:dyDescent="0.2">
      <c r="A4" s="5">
        <v>100</v>
      </c>
      <c r="B4" s="3">
        <f>0.2653*10^-4</f>
        <v>2.6529999999999998E-5</v>
      </c>
      <c r="C4" s="3">
        <v>180.9</v>
      </c>
      <c r="D4" s="3">
        <f>0.2543*10^-4</f>
        <v>2.5430000000000002E-5</v>
      </c>
      <c r="E4" s="3">
        <v>173</v>
      </c>
      <c r="F4" s="3">
        <f>0.2638*10^-4</f>
        <v>2.6379999999999998E-5</v>
      </c>
      <c r="G4" s="3">
        <v>174.4</v>
      </c>
      <c r="H4" s="3">
        <f>0.2438*10^-4</f>
        <v>2.438E-5</v>
      </c>
      <c r="I4" s="3">
        <v>172.3</v>
      </c>
      <c r="K4" s="3">
        <v>1E-10</v>
      </c>
      <c r="M4" s="12">
        <f t="shared" ref="M4:M35" si="0">A4</f>
        <v>100</v>
      </c>
      <c r="N4" s="12">
        <f t="shared" ref="N4:N35" si="1">B4+$K4</f>
        <v>2.6530099999999999E-5</v>
      </c>
      <c r="O4" s="12">
        <f t="shared" ref="O4:O35" si="2">C4+$K4</f>
        <v>180.90000000009999</v>
      </c>
      <c r="P4" s="12">
        <f t="shared" ref="P4:P35" si="3">D4+$K4</f>
        <v>2.5430100000000002E-5</v>
      </c>
      <c r="Q4" s="12">
        <f t="shared" ref="Q4:Q35" si="4">E4+$K4</f>
        <v>173.00000000009999</v>
      </c>
      <c r="R4" s="12">
        <f t="shared" ref="R4:R35" si="5">F4+$K4</f>
        <v>2.6380099999999998E-5</v>
      </c>
      <c r="S4" s="12">
        <f t="shared" ref="S4:S35" si="6">G4+$K4</f>
        <v>174.40000000009999</v>
      </c>
      <c r="T4" s="12">
        <f t="shared" ref="T4:T35" si="7">H4+$K4</f>
        <v>2.4380100000000001E-5</v>
      </c>
      <c r="U4" s="12">
        <f t="shared" ref="U4:U35" si="8">I4+$K4</f>
        <v>172.3000000001</v>
      </c>
    </row>
    <row r="5" spans="1:21" x14ac:dyDescent="0.2">
      <c r="A5" s="7">
        <v>99</v>
      </c>
      <c r="B5" s="3">
        <f>0.3405*10^-4</f>
        <v>3.4050000000000001E-5</v>
      </c>
      <c r="C5" s="3">
        <v>179.6</v>
      </c>
      <c r="D5" s="3">
        <f>0.3299*10^-4</f>
        <v>3.2990000000000001E-5</v>
      </c>
      <c r="E5" s="3">
        <v>172.3</v>
      </c>
      <c r="F5" s="3">
        <f>0.3415*10^-4</f>
        <v>3.4150000000000003E-5</v>
      </c>
      <c r="G5" s="3">
        <v>173.6</v>
      </c>
      <c r="H5" s="3">
        <f>0.3169*10^-4</f>
        <v>3.1690000000000003E-5</v>
      </c>
      <c r="I5" s="3">
        <v>170.7</v>
      </c>
      <c r="K5" s="8">
        <v>2.0000000000000001E-10</v>
      </c>
      <c r="M5" s="12">
        <f t="shared" si="0"/>
        <v>99</v>
      </c>
      <c r="N5" s="12">
        <f t="shared" si="1"/>
        <v>3.4050200000000001E-5</v>
      </c>
      <c r="O5" s="12">
        <f t="shared" si="2"/>
        <v>179.6000000002</v>
      </c>
      <c r="P5" s="12">
        <f t="shared" si="3"/>
        <v>3.2990200000000001E-5</v>
      </c>
      <c r="Q5" s="12">
        <f t="shared" si="4"/>
        <v>172.30000000020001</v>
      </c>
      <c r="R5" s="12">
        <f t="shared" si="5"/>
        <v>3.4150200000000004E-5</v>
      </c>
      <c r="S5" s="12">
        <f t="shared" si="6"/>
        <v>173.6000000002</v>
      </c>
      <c r="T5" s="12">
        <f t="shared" si="7"/>
        <v>3.1690200000000004E-5</v>
      </c>
      <c r="U5" s="12">
        <f t="shared" si="8"/>
        <v>170.70000000019999</v>
      </c>
    </row>
    <row r="6" spans="1:21" x14ac:dyDescent="0.2">
      <c r="A6" s="7">
        <v>98</v>
      </c>
      <c r="B6" s="3">
        <f>0.4378*10^-4</f>
        <v>4.3780000000000004E-5</v>
      </c>
      <c r="C6" s="3">
        <v>178.4</v>
      </c>
      <c r="D6" s="3">
        <f>0.4285*10^-4</f>
        <v>4.2849999999999998E-5</v>
      </c>
      <c r="E6" s="3">
        <v>171.7</v>
      </c>
      <c r="F6" s="3">
        <f>0.4427*10^-4</f>
        <v>4.4270000000000001E-5</v>
      </c>
      <c r="G6" s="3">
        <v>172.7</v>
      </c>
      <c r="H6" s="3">
        <f>0.413*10^-4</f>
        <v>4.1300000000000001E-5</v>
      </c>
      <c r="I6" s="3">
        <v>169</v>
      </c>
      <c r="K6" s="8">
        <v>3E-10</v>
      </c>
      <c r="M6" s="12">
        <f t="shared" si="0"/>
        <v>98</v>
      </c>
      <c r="N6" s="12">
        <f t="shared" si="1"/>
        <v>4.3780300000000005E-5</v>
      </c>
      <c r="O6" s="12">
        <f t="shared" si="2"/>
        <v>178.4000000003</v>
      </c>
      <c r="P6" s="12">
        <f t="shared" si="3"/>
        <v>4.2850299999999999E-5</v>
      </c>
      <c r="Q6" s="12">
        <f t="shared" si="4"/>
        <v>171.70000000029998</v>
      </c>
      <c r="R6" s="12">
        <f t="shared" si="5"/>
        <v>4.4270300000000002E-5</v>
      </c>
      <c r="S6" s="12">
        <f t="shared" si="6"/>
        <v>172.70000000029998</v>
      </c>
      <c r="T6" s="12">
        <f t="shared" si="7"/>
        <v>4.1300300000000002E-5</v>
      </c>
      <c r="U6" s="12">
        <f t="shared" si="8"/>
        <v>169.00000000029999</v>
      </c>
    </row>
    <row r="7" spans="1:21" x14ac:dyDescent="0.2">
      <c r="A7" s="7">
        <v>97</v>
      </c>
      <c r="B7" s="3">
        <f>0.5637*10^-4</f>
        <v>5.6369999999999997E-5</v>
      </c>
      <c r="C7" s="3">
        <v>177.3</v>
      </c>
      <c r="D7" s="3">
        <f>0.557*10^-4</f>
        <v>5.5700000000000005E-5</v>
      </c>
      <c r="E7" s="3">
        <v>171.2</v>
      </c>
      <c r="F7" s="3">
        <f>0.5748*10^-4</f>
        <v>5.7479999999999999E-5</v>
      </c>
      <c r="G7" s="3">
        <v>171.9</v>
      </c>
      <c r="H7" s="3">
        <f>0.5396*10^-4</f>
        <v>5.3959999999999998E-5</v>
      </c>
      <c r="I7" s="3">
        <v>167.6</v>
      </c>
      <c r="K7" s="3">
        <v>4.0000000000000001E-10</v>
      </c>
      <c r="M7" s="12">
        <f t="shared" si="0"/>
        <v>97</v>
      </c>
      <c r="N7" s="12">
        <f t="shared" si="1"/>
        <v>5.6370399999999998E-5</v>
      </c>
      <c r="O7" s="12">
        <f t="shared" si="2"/>
        <v>177.30000000040002</v>
      </c>
      <c r="P7" s="12">
        <f t="shared" si="3"/>
        <v>5.5700400000000006E-5</v>
      </c>
      <c r="Q7" s="12">
        <f t="shared" si="4"/>
        <v>171.2000000004</v>
      </c>
      <c r="R7" s="12">
        <f t="shared" si="5"/>
        <v>5.7480399999999999E-5</v>
      </c>
      <c r="S7" s="12">
        <f t="shared" si="6"/>
        <v>171.90000000040001</v>
      </c>
      <c r="T7" s="12">
        <f t="shared" si="7"/>
        <v>5.3960399999999999E-5</v>
      </c>
      <c r="U7" s="12">
        <f t="shared" si="8"/>
        <v>167.6000000004</v>
      </c>
    </row>
    <row r="8" spans="1:21" x14ac:dyDescent="0.2">
      <c r="A8" s="7">
        <v>96</v>
      </c>
      <c r="B8" s="3">
        <f>0.7273*10^-4</f>
        <v>7.2730000000000003E-5</v>
      </c>
      <c r="C8" s="3">
        <v>176</v>
      </c>
      <c r="D8" s="3">
        <f>0.7246*10^-4</f>
        <v>7.2460000000000008E-5</v>
      </c>
      <c r="E8" s="3">
        <v>170.7</v>
      </c>
      <c r="F8" s="3">
        <f>0.7472*10^-4</f>
        <v>7.4720000000000003E-5</v>
      </c>
      <c r="G8" s="3">
        <v>171.1</v>
      </c>
      <c r="H8" s="3">
        <f>0.7065*10^-4</f>
        <v>7.065000000000001E-5</v>
      </c>
      <c r="I8" s="3">
        <v>166.2</v>
      </c>
      <c r="K8" s="8">
        <v>5.0000000000000003E-10</v>
      </c>
      <c r="M8" s="12">
        <f t="shared" si="0"/>
        <v>96</v>
      </c>
      <c r="N8" s="12">
        <f t="shared" si="1"/>
        <v>7.2730499999999998E-5</v>
      </c>
      <c r="O8" s="12">
        <f t="shared" si="2"/>
        <v>176.00000000049999</v>
      </c>
      <c r="P8" s="12">
        <f t="shared" si="3"/>
        <v>7.2460500000000002E-5</v>
      </c>
      <c r="Q8" s="12">
        <f t="shared" si="4"/>
        <v>170.70000000049998</v>
      </c>
      <c r="R8" s="12">
        <f t="shared" si="5"/>
        <v>7.4720499999999997E-5</v>
      </c>
      <c r="S8" s="12">
        <f t="shared" si="6"/>
        <v>171.10000000049999</v>
      </c>
      <c r="T8" s="12">
        <f t="shared" si="7"/>
        <v>7.0650500000000004E-5</v>
      </c>
      <c r="U8" s="12">
        <f t="shared" si="8"/>
        <v>166.20000000049998</v>
      </c>
    </row>
    <row r="9" spans="1:21" x14ac:dyDescent="0.2">
      <c r="A9" s="7">
        <v>95</v>
      </c>
      <c r="B9" s="3">
        <f>0.9401*10^-4</f>
        <v>9.4010000000000003E-5</v>
      </c>
      <c r="C9" s="3">
        <v>174.8</v>
      </c>
      <c r="D9" s="3">
        <f>0.9434*10^-4</f>
        <v>9.4340000000000008E-5</v>
      </c>
      <c r="E9" s="3">
        <v>170.3</v>
      </c>
      <c r="F9" s="3">
        <f>0.9725*10^-4</f>
        <v>9.7250000000000006E-5</v>
      </c>
      <c r="G9" s="3">
        <v>170.5</v>
      </c>
      <c r="H9" s="3">
        <f>0.9273*10^-4</f>
        <v>9.2730000000000002E-5</v>
      </c>
      <c r="I9" s="3">
        <v>165</v>
      </c>
      <c r="K9" s="8">
        <v>6E-10</v>
      </c>
      <c r="M9" s="12">
        <f t="shared" si="0"/>
        <v>95</v>
      </c>
      <c r="N9" s="12">
        <f t="shared" si="1"/>
        <v>9.4010600000000004E-5</v>
      </c>
      <c r="O9" s="12">
        <f t="shared" si="2"/>
        <v>174.80000000060002</v>
      </c>
      <c r="P9" s="12">
        <f t="shared" si="3"/>
        <v>9.4340600000000009E-5</v>
      </c>
      <c r="Q9" s="12">
        <f t="shared" si="4"/>
        <v>170.30000000060002</v>
      </c>
      <c r="R9" s="12">
        <f t="shared" si="5"/>
        <v>9.7250600000000007E-5</v>
      </c>
      <c r="S9" s="12">
        <f t="shared" si="6"/>
        <v>170.50000000060001</v>
      </c>
      <c r="T9" s="12">
        <f t="shared" si="7"/>
        <v>9.2730600000000003E-5</v>
      </c>
      <c r="U9" s="12">
        <f t="shared" si="8"/>
        <v>165.00000000060001</v>
      </c>
    </row>
    <row r="10" spans="1:21" x14ac:dyDescent="0.2">
      <c r="A10" s="7">
        <v>94</v>
      </c>
      <c r="B10" s="3">
        <f>0.1216*10^-3</f>
        <v>1.216E-4</v>
      </c>
      <c r="C10" s="3">
        <v>174.6</v>
      </c>
      <c r="D10" s="3">
        <f>0.1228*10^-3</f>
        <v>1.228E-4</v>
      </c>
      <c r="E10" s="3">
        <v>170.8</v>
      </c>
      <c r="F10" s="3">
        <f>0.1266*10^-3</f>
        <v>1.2659999999999999E-4</v>
      </c>
      <c r="G10" s="3">
        <v>170.8</v>
      </c>
      <c r="H10" s="3">
        <f>0.1218*10^-3</f>
        <v>1.2180000000000001E-4</v>
      </c>
      <c r="I10" s="3">
        <v>165.1</v>
      </c>
      <c r="K10" s="3">
        <v>6.9999999999999996E-10</v>
      </c>
      <c r="M10" s="12">
        <f t="shared" si="0"/>
        <v>94</v>
      </c>
      <c r="N10" s="12">
        <f t="shared" si="1"/>
        <v>1.216007E-4</v>
      </c>
      <c r="O10" s="12">
        <f t="shared" si="2"/>
        <v>174.60000000069999</v>
      </c>
      <c r="P10" s="12">
        <f t="shared" si="3"/>
        <v>1.228007E-4</v>
      </c>
      <c r="Q10" s="12">
        <f t="shared" si="4"/>
        <v>170.80000000070001</v>
      </c>
      <c r="R10" s="12">
        <f t="shared" si="5"/>
        <v>1.2660069999999998E-4</v>
      </c>
      <c r="S10" s="12">
        <f t="shared" si="6"/>
        <v>170.80000000070001</v>
      </c>
      <c r="T10" s="12">
        <f t="shared" si="7"/>
        <v>1.218007E-4</v>
      </c>
      <c r="U10" s="12">
        <f t="shared" si="8"/>
        <v>165.10000000069999</v>
      </c>
    </row>
    <row r="11" spans="1:21" x14ac:dyDescent="0.2">
      <c r="A11" s="7">
        <v>93</v>
      </c>
      <c r="B11" s="3">
        <f>0.1574*10^-3</f>
        <v>1.574E-4</v>
      </c>
      <c r="C11" s="3">
        <v>174.8</v>
      </c>
      <c r="D11" s="3">
        <f>0.1597*10^-3</f>
        <v>1.5970000000000001E-4</v>
      </c>
      <c r="E11" s="3">
        <v>171.6</v>
      </c>
      <c r="F11" s="3">
        <f>0.1647*10^-3</f>
        <v>1.6470000000000002E-4</v>
      </c>
      <c r="G11" s="3">
        <v>171.4</v>
      </c>
      <c r="H11" s="3">
        <f>0.1599*10^-3</f>
        <v>1.5989999999999998E-4</v>
      </c>
      <c r="I11" s="3">
        <v>165.7</v>
      </c>
      <c r="K11" s="8">
        <v>8.0000000000000003E-10</v>
      </c>
      <c r="M11" s="12">
        <f t="shared" si="0"/>
        <v>93</v>
      </c>
      <c r="N11" s="12">
        <f t="shared" si="1"/>
        <v>1.5740080000000001E-4</v>
      </c>
      <c r="O11" s="12">
        <f t="shared" si="2"/>
        <v>174.8000000008</v>
      </c>
      <c r="P11" s="12">
        <f t="shared" si="3"/>
        <v>1.5970080000000001E-4</v>
      </c>
      <c r="Q11" s="12">
        <f t="shared" si="4"/>
        <v>171.60000000079998</v>
      </c>
      <c r="R11" s="12">
        <f t="shared" si="5"/>
        <v>1.6470080000000002E-4</v>
      </c>
      <c r="S11" s="12">
        <f t="shared" si="6"/>
        <v>171.40000000079999</v>
      </c>
      <c r="T11" s="12">
        <f t="shared" si="7"/>
        <v>1.5990079999999999E-4</v>
      </c>
      <c r="U11" s="12">
        <f t="shared" si="8"/>
        <v>165.70000000079997</v>
      </c>
    </row>
    <row r="12" spans="1:21" x14ac:dyDescent="0.2">
      <c r="A12" s="7">
        <v>92</v>
      </c>
      <c r="B12" s="3">
        <f>0.2036*10^-3</f>
        <v>2.0360000000000002E-4</v>
      </c>
      <c r="C12" s="3">
        <v>175</v>
      </c>
      <c r="D12" s="3">
        <f>0.2075*10^-3</f>
        <v>2.075E-4</v>
      </c>
      <c r="E12" s="3">
        <v>172.3</v>
      </c>
      <c r="F12" s="3">
        <f>0.2141*10^-3</f>
        <v>2.1410000000000003E-4</v>
      </c>
      <c r="G12" s="3">
        <v>171.8</v>
      </c>
      <c r="H12" s="3">
        <f>0.2097*10^-3</f>
        <v>2.097E-4</v>
      </c>
      <c r="I12" s="3">
        <v>166.3</v>
      </c>
      <c r="K12" s="8">
        <v>8.9999999999999999E-10</v>
      </c>
      <c r="M12" s="12">
        <f t="shared" si="0"/>
        <v>92</v>
      </c>
      <c r="N12" s="12">
        <f t="shared" si="1"/>
        <v>2.0360090000000002E-4</v>
      </c>
      <c r="O12" s="12">
        <f t="shared" si="2"/>
        <v>175.0000000009</v>
      </c>
      <c r="P12" s="12">
        <f t="shared" si="3"/>
        <v>2.0750090000000001E-4</v>
      </c>
      <c r="Q12" s="12">
        <f t="shared" si="4"/>
        <v>172.30000000090001</v>
      </c>
      <c r="R12" s="12">
        <f t="shared" si="5"/>
        <v>2.1410090000000004E-4</v>
      </c>
      <c r="S12" s="12">
        <f t="shared" si="6"/>
        <v>171.80000000090001</v>
      </c>
      <c r="T12" s="12">
        <f t="shared" si="7"/>
        <v>2.0970090000000001E-4</v>
      </c>
      <c r="U12" s="12">
        <f t="shared" si="8"/>
        <v>166.30000000090001</v>
      </c>
    </row>
    <row r="13" spans="1:21" x14ac:dyDescent="0.2">
      <c r="A13" s="7">
        <v>91</v>
      </c>
      <c r="B13" s="3">
        <f>0.2633*10^-3</f>
        <v>2.633E-4</v>
      </c>
      <c r="C13" s="3">
        <v>175.2</v>
      </c>
      <c r="D13" s="3">
        <f>0.2694*10^-3</f>
        <v>2.6939999999999999E-4</v>
      </c>
      <c r="E13" s="3">
        <v>173</v>
      </c>
      <c r="F13" s="3">
        <f>0.2781*10^-3</f>
        <v>2.7810000000000004E-4</v>
      </c>
      <c r="G13" s="3">
        <v>172.3</v>
      </c>
      <c r="H13" s="3">
        <f>0.2748*10^-3</f>
        <v>2.7480000000000001E-4</v>
      </c>
      <c r="I13" s="3">
        <v>166.9</v>
      </c>
      <c r="K13" s="3">
        <v>1.0000000000000001E-9</v>
      </c>
      <c r="M13" s="12">
        <f t="shared" si="0"/>
        <v>91</v>
      </c>
      <c r="N13" s="12">
        <f t="shared" si="1"/>
        <v>2.6330100000000002E-4</v>
      </c>
      <c r="O13" s="12">
        <f t="shared" si="2"/>
        <v>175.20000000099998</v>
      </c>
      <c r="P13" s="12">
        <f t="shared" si="3"/>
        <v>2.69401E-4</v>
      </c>
      <c r="Q13" s="12">
        <f t="shared" si="4"/>
        <v>173.00000000099999</v>
      </c>
      <c r="R13" s="12">
        <f t="shared" si="5"/>
        <v>2.7810100000000005E-4</v>
      </c>
      <c r="S13" s="12">
        <f t="shared" si="6"/>
        <v>172.300000001</v>
      </c>
      <c r="T13" s="12">
        <f t="shared" si="7"/>
        <v>2.7480100000000003E-4</v>
      </c>
      <c r="U13" s="12">
        <f t="shared" si="8"/>
        <v>166.900000001</v>
      </c>
    </row>
    <row r="14" spans="1:21" x14ac:dyDescent="0.2">
      <c r="A14" s="7">
        <v>90</v>
      </c>
      <c r="B14" s="3">
        <f>0.3405*10^-3</f>
        <v>3.4050000000000004E-4</v>
      </c>
      <c r="C14" s="3">
        <v>175.3</v>
      </c>
      <c r="D14" s="3">
        <f>0.3493*10^-3</f>
        <v>3.4930000000000003E-4</v>
      </c>
      <c r="E14" s="3">
        <v>173.8</v>
      </c>
      <c r="F14" s="3">
        <f>0.3611*10^-3</f>
        <v>3.611E-4</v>
      </c>
      <c r="G14" s="3">
        <v>172.7</v>
      </c>
      <c r="H14" s="3">
        <f>0.3597*10^-3</f>
        <v>3.5970000000000002E-4</v>
      </c>
      <c r="I14" s="3">
        <v>167.7</v>
      </c>
      <c r="K14" s="8">
        <v>1.0999999999999999E-9</v>
      </c>
      <c r="M14" s="12">
        <f t="shared" si="0"/>
        <v>90</v>
      </c>
      <c r="N14" s="12">
        <f t="shared" si="1"/>
        <v>3.4050110000000003E-4</v>
      </c>
      <c r="O14" s="12">
        <f t="shared" si="2"/>
        <v>175.30000000110002</v>
      </c>
      <c r="P14" s="12">
        <f t="shared" si="3"/>
        <v>3.4930110000000003E-4</v>
      </c>
      <c r="Q14" s="12">
        <f t="shared" si="4"/>
        <v>173.80000000110002</v>
      </c>
      <c r="R14" s="12">
        <f t="shared" si="5"/>
        <v>3.6110109999999999E-4</v>
      </c>
      <c r="S14" s="12">
        <f t="shared" si="6"/>
        <v>172.70000000109999</v>
      </c>
      <c r="T14" s="12">
        <f t="shared" si="7"/>
        <v>3.5970110000000001E-4</v>
      </c>
      <c r="U14" s="12">
        <f t="shared" si="8"/>
        <v>167.70000000109999</v>
      </c>
    </row>
    <row r="15" spans="1:21" x14ac:dyDescent="0.2">
      <c r="A15" s="7">
        <v>89</v>
      </c>
      <c r="B15" s="3">
        <f>0.4401*10^-3</f>
        <v>4.4010000000000002E-4</v>
      </c>
      <c r="C15" s="3">
        <v>176.1</v>
      </c>
      <c r="D15" s="3">
        <f>0.4522*10^-3</f>
        <v>4.5219999999999999E-4</v>
      </c>
      <c r="E15" s="3">
        <v>175.4</v>
      </c>
      <c r="F15" s="3">
        <f>0.4683*10^-3</f>
        <v>4.683E-4</v>
      </c>
      <c r="G15" s="3">
        <v>174.1</v>
      </c>
      <c r="H15" s="3">
        <f>0.4697*10^-3</f>
        <v>4.6970000000000003E-4</v>
      </c>
      <c r="I15" s="3">
        <v>169.8</v>
      </c>
      <c r="K15" s="8">
        <v>1.2E-9</v>
      </c>
      <c r="M15" s="12">
        <f t="shared" si="0"/>
        <v>89</v>
      </c>
      <c r="N15" s="12">
        <f t="shared" si="1"/>
        <v>4.4010119999999999E-4</v>
      </c>
      <c r="O15" s="12">
        <f t="shared" si="2"/>
        <v>176.10000000119999</v>
      </c>
      <c r="P15" s="12">
        <f t="shared" si="3"/>
        <v>4.5220119999999996E-4</v>
      </c>
      <c r="Q15" s="12">
        <f t="shared" si="4"/>
        <v>175.4000000012</v>
      </c>
      <c r="R15" s="12">
        <f t="shared" si="5"/>
        <v>4.6830119999999997E-4</v>
      </c>
      <c r="S15" s="12">
        <f t="shared" si="6"/>
        <v>174.10000000119999</v>
      </c>
      <c r="T15" s="12">
        <f t="shared" si="7"/>
        <v>4.6970120000000001E-4</v>
      </c>
      <c r="U15" s="12">
        <f t="shared" si="8"/>
        <v>169.8000000012</v>
      </c>
    </row>
    <row r="16" spans="1:21" x14ac:dyDescent="0.2">
      <c r="A16" s="7">
        <v>88</v>
      </c>
      <c r="B16" s="3">
        <f>0.5678*10^-3</f>
        <v>5.6780000000000003E-4</v>
      </c>
      <c r="C16" s="3">
        <v>177.5</v>
      </c>
      <c r="D16" s="3">
        <f>0.5835*10^-3</f>
        <v>5.8350000000000003E-4</v>
      </c>
      <c r="E16" s="3">
        <v>177.7</v>
      </c>
      <c r="F16" s="3">
        <f>0.6059*10^-3</f>
        <v>6.0590000000000004E-4</v>
      </c>
      <c r="G16" s="3">
        <v>175.8</v>
      </c>
      <c r="H16" s="3">
        <f>0.611*10^-3</f>
        <v>6.11E-4</v>
      </c>
      <c r="I16" s="3">
        <v>172.7</v>
      </c>
      <c r="K16" s="3">
        <v>1.3000000000000001E-9</v>
      </c>
      <c r="M16" s="12">
        <f t="shared" si="0"/>
        <v>88</v>
      </c>
      <c r="N16" s="12">
        <f t="shared" si="1"/>
        <v>5.6780130000000004E-4</v>
      </c>
      <c r="O16" s="12">
        <f t="shared" si="2"/>
        <v>177.50000000130001</v>
      </c>
      <c r="P16" s="12">
        <f t="shared" si="3"/>
        <v>5.8350130000000004E-4</v>
      </c>
      <c r="Q16" s="12">
        <f t="shared" si="4"/>
        <v>177.7000000013</v>
      </c>
      <c r="R16" s="12">
        <f t="shared" si="5"/>
        <v>6.0590130000000005E-4</v>
      </c>
      <c r="S16" s="12">
        <f t="shared" si="6"/>
        <v>175.80000000130002</v>
      </c>
      <c r="T16" s="12">
        <f t="shared" si="7"/>
        <v>6.1100130000000001E-4</v>
      </c>
      <c r="U16" s="12">
        <f t="shared" si="8"/>
        <v>172.7000000013</v>
      </c>
    </row>
    <row r="17" spans="1:21" x14ac:dyDescent="0.2">
      <c r="A17" s="7">
        <v>87</v>
      </c>
      <c r="B17" s="3">
        <f>0.7311*10^-3</f>
        <v>7.3109999999999994E-4</v>
      </c>
      <c r="C17" s="3">
        <v>179.2</v>
      </c>
      <c r="D17" s="3">
        <f>0.7505*10^-3</f>
        <v>7.5049999999999997E-4</v>
      </c>
      <c r="E17" s="3">
        <v>180.3</v>
      </c>
      <c r="F17" s="3">
        <f>0.7817*10^-3</f>
        <v>7.8169999999999997E-4</v>
      </c>
      <c r="G17" s="3">
        <v>177.9</v>
      </c>
      <c r="H17" s="3">
        <f>0.791*10^-3</f>
        <v>7.9100000000000004E-4</v>
      </c>
      <c r="I17" s="3">
        <v>176.3</v>
      </c>
      <c r="K17" s="8">
        <v>1.3999999999999999E-9</v>
      </c>
      <c r="M17" s="12">
        <f t="shared" si="0"/>
        <v>87</v>
      </c>
      <c r="N17" s="12">
        <f t="shared" si="1"/>
        <v>7.3110139999999998E-4</v>
      </c>
      <c r="O17" s="12">
        <f t="shared" si="2"/>
        <v>179.20000000139999</v>
      </c>
      <c r="P17" s="12">
        <f t="shared" si="3"/>
        <v>7.5050140000000002E-4</v>
      </c>
      <c r="Q17" s="12">
        <f t="shared" si="4"/>
        <v>180.30000000140001</v>
      </c>
      <c r="R17" s="12">
        <f t="shared" si="5"/>
        <v>7.8170140000000002E-4</v>
      </c>
      <c r="S17" s="12">
        <f t="shared" si="6"/>
        <v>177.9000000014</v>
      </c>
      <c r="T17" s="12">
        <f t="shared" si="7"/>
        <v>7.9100140000000008E-4</v>
      </c>
      <c r="U17" s="12">
        <f t="shared" si="8"/>
        <v>176.30000000140001</v>
      </c>
    </row>
    <row r="18" spans="1:21" x14ac:dyDescent="0.2">
      <c r="A18" s="7">
        <v>86</v>
      </c>
      <c r="B18" s="3">
        <f>0.9387*10^-3</f>
        <v>9.3869999999999999E-4</v>
      </c>
      <c r="C18" s="3">
        <v>181.3</v>
      </c>
      <c r="D18" s="3">
        <f>0.9616*10^-3</f>
        <v>9.6160000000000006E-4</v>
      </c>
      <c r="E18" s="3">
        <v>183.3</v>
      </c>
      <c r="F18" s="3">
        <f>0.1006*10^-2</f>
        <v>1.0059999999999999E-3</v>
      </c>
      <c r="G18" s="3">
        <v>180</v>
      </c>
      <c r="H18" s="3">
        <f>0.1018*10^-2</f>
        <v>1.018E-3</v>
      </c>
      <c r="I18" s="3">
        <v>180.4</v>
      </c>
      <c r="K18" s="8">
        <v>1.5E-9</v>
      </c>
      <c r="M18" s="12">
        <f t="shared" si="0"/>
        <v>86</v>
      </c>
      <c r="N18" s="12">
        <f t="shared" si="1"/>
        <v>9.3870149999999996E-4</v>
      </c>
      <c r="O18" s="12">
        <f t="shared" si="2"/>
        <v>181.30000000150002</v>
      </c>
      <c r="P18" s="12">
        <f t="shared" si="3"/>
        <v>9.6160150000000003E-4</v>
      </c>
      <c r="Q18" s="12">
        <f t="shared" si="4"/>
        <v>183.30000000150002</v>
      </c>
      <c r="R18" s="12">
        <f t="shared" si="5"/>
        <v>1.0060015E-3</v>
      </c>
      <c r="S18" s="12">
        <f t="shared" si="6"/>
        <v>180.00000000150001</v>
      </c>
      <c r="T18" s="12">
        <f t="shared" si="7"/>
        <v>1.0180015000000001E-3</v>
      </c>
      <c r="U18" s="12">
        <f t="shared" si="8"/>
        <v>180.40000000150002</v>
      </c>
    </row>
    <row r="19" spans="1:21" x14ac:dyDescent="0.2">
      <c r="A19" s="7">
        <v>85</v>
      </c>
      <c r="B19" s="3">
        <f>0.1202*10^-2</f>
        <v>1.2019999999999999E-3</v>
      </c>
      <c r="C19" s="3">
        <v>183.9</v>
      </c>
      <c r="D19" s="3">
        <f>0.1227*10^-2</f>
        <v>1.227E-3</v>
      </c>
      <c r="E19" s="3">
        <v>186.7</v>
      </c>
      <c r="F19" s="3">
        <f>0.1289*10^-2</f>
        <v>1.289E-3</v>
      </c>
      <c r="G19" s="3">
        <v>182.8</v>
      </c>
      <c r="H19" s="3">
        <f>0.1302*10^-2</f>
        <v>1.3020000000000002E-3</v>
      </c>
      <c r="I19" s="3">
        <v>185.3</v>
      </c>
      <c r="K19" s="3">
        <v>1.6000000000000001E-9</v>
      </c>
      <c r="M19" s="12">
        <f t="shared" si="0"/>
        <v>85</v>
      </c>
      <c r="N19" s="12">
        <f t="shared" si="1"/>
        <v>1.2020015999999998E-3</v>
      </c>
      <c r="O19" s="12">
        <f t="shared" si="2"/>
        <v>183.90000000160001</v>
      </c>
      <c r="P19" s="12">
        <f t="shared" si="3"/>
        <v>1.2270015999999999E-3</v>
      </c>
      <c r="Q19" s="12">
        <f t="shared" si="4"/>
        <v>186.70000000159999</v>
      </c>
      <c r="R19" s="12">
        <f t="shared" si="5"/>
        <v>1.2890015999999999E-3</v>
      </c>
      <c r="S19" s="12">
        <f t="shared" si="6"/>
        <v>182.80000000160001</v>
      </c>
      <c r="T19" s="12">
        <f t="shared" si="7"/>
        <v>1.3020016000000001E-3</v>
      </c>
      <c r="U19" s="12">
        <f t="shared" si="8"/>
        <v>185.30000000160001</v>
      </c>
    </row>
    <row r="20" spans="1:21" x14ac:dyDescent="0.2">
      <c r="A20" s="7">
        <v>84</v>
      </c>
      <c r="B20" s="3">
        <f>0.1532*10^-2</f>
        <v>1.5320000000000002E-3</v>
      </c>
      <c r="C20" s="3">
        <v>187</v>
      </c>
      <c r="D20" s="3">
        <f>0.1558*10^-2</f>
        <v>1.5579999999999999E-3</v>
      </c>
      <c r="E20" s="3">
        <v>190.4</v>
      </c>
      <c r="F20" s="3">
        <f>0.1646*10^-2</f>
        <v>1.6459999999999999E-3</v>
      </c>
      <c r="G20" s="3">
        <v>185.8</v>
      </c>
      <c r="H20" s="3">
        <f>0.1655*10^-2</f>
        <v>1.6550000000000002E-3</v>
      </c>
      <c r="I20" s="3">
        <v>190.5</v>
      </c>
      <c r="K20" s="8">
        <v>1.6999999999999999E-9</v>
      </c>
      <c r="M20" s="12">
        <f t="shared" si="0"/>
        <v>84</v>
      </c>
      <c r="N20" s="12">
        <f t="shared" si="1"/>
        <v>1.5320017000000001E-3</v>
      </c>
      <c r="O20" s="12">
        <f t="shared" si="2"/>
        <v>187.00000000169999</v>
      </c>
      <c r="P20" s="12">
        <f t="shared" si="3"/>
        <v>1.5580016999999999E-3</v>
      </c>
      <c r="Q20" s="12">
        <f t="shared" si="4"/>
        <v>190.40000000169999</v>
      </c>
      <c r="R20" s="12">
        <f t="shared" si="5"/>
        <v>1.6460016999999998E-3</v>
      </c>
      <c r="S20" s="12">
        <f t="shared" si="6"/>
        <v>185.8000000017</v>
      </c>
      <c r="T20" s="12">
        <f t="shared" si="7"/>
        <v>1.6550017000000002E-3</v>
      </c>
      <c r="U20" s="12">
        <f t="shared" si="8"/>
        <v>190.50000000169999</v>
      </c>
    </row>
    <row r="21" spans="1:21" x14ac:dyDescent="0.2">
      <c r="A21" s="7">
        <v>83</v>
      </c>
      <c r="B21" s="3">
        <f>0.1946*10^-2</f>
        <v>1.946E-3</v>
      </c>
      <c r="C21" s="3">
        <v>190.5</v>
      </c>
      <c r="D21" s="3">
        <f>0.1969*10^-2</f>
        <v>1.9689999999999998E-3</v>
      </c>
      <c r="E21" s="3">
        <v>194.3</v>
      </c>
      <c r="F21" s="3">
        <f>0.2094*10^-2</f>
        <v>2.0939999999999999E-3</v>
      </c>
      <c r="G21" s="3">
        <v>189.3</v>
      </c>
      <c r="H21" s="3">
        <f>0.2089*10^-2</f>
        <v>2.0890000000000001E-3</v>
      </c>
      <c r="I21" s="3">
        <v>196</v>
      </c>
      <c r="K21" s="8">
        <v>1.8E-9</v>
      </c>
      <c r="M21" s="12">
        <f t="shared" si="0"/>
        <v>83</v>
      </c>
      <c r="N21" s="12">
        <f t="shared" si="1"/>
        <v>1.9460018E-3</v>
      </c>
      <c r="O21" s="12">
        <f t="shared" si="2"/>
        <v>190.5000000018</v>
      </c>
      <c r="P21" s="12">
        <f t="shared" si="3"/>
        <v>1.9690018E-3</v>
      </c>
      <c r="Q21" s="12">
        <f t="shared" si="4"/>
        <v>194.30000000180002</v>
      </c>
      <c r="R21" s="12">
        <f t="shared" si="5"/>
        <v>2.0940018000000001E-3</v>
      </c>
      <c r="S21" s="12">
        <f t="shared" si="6"/>
        <v>189.30000000180002</v>
      </c>
      <c r="T21" s="12">
        <f t="shared" si="7"/>
        <v>2.0890018000000003E-3</v>
      </c>
      <c r="U21" s="12">
        <f t="shared" si="8"/>
        <v>196.0000000018</v>
      </c>
    </row>
    <row r="22" spans="1:21" x14ac:dyDescent="0.2">
      <c r="A22" s="7">
        <v>82</v>
      </c>
      <c r="B22" s="3">
        <f>0.246*10^-2</f>
        <v>2.4599999999999999E-3</v>
      </c>
      <c r="C22" s="3">
        <v>194.4</v>
      </c>
      <c r="D22" s="3">
        <f>0.2478*10^-2</f>
        <v>2.4780000000000002E-3</v>
      </c>
      <c r="E22" s="3">
        <v>198.1</v>
      </c>
      <c r="F22" s="3">
        <f>0.2651*10^-2</f>
        <v>2.6510000000000001E-3</v>
      </c>
      <c r="G22" s="3">
        <v>193</v>
      </c>
      <c r="H22" s="3">
        <f>0.2622*10^-2</f>
        <v>2.6219999999999998E-3</v>
      </c>
      <c r="I22" s="3">
        <v>200.9</v>
      </c>
      <c r="K22" s="3">
        <v>1.9000000000000001E-9</v>
      </c>
      <c r="M22" s="12">
        <f t="shared" si="0"/>
        <v>82</v>
      </c>
      <c r="N22" s="12">
        <f t="shared" si="1"/>
        <v>2.4600019000000002E-3</v>
      </c>
      <c r="O22" s="12">
        <f t="shared" si="2"/>
        <v>194.4000000019</v>
      </c>
      <c r="P22" s="12">
        <f t="shared" si="3"/>
        <v>2.4780019000000004E-3</v>
      </c>
      <c r="Q22" s="12">
        <f t="shared" si="4"/>
        <v>198.10000000189999</v>
      </c>
      <c r="R22" s="12">
        <f t="shared" si="5"/>
        <v>2.6510019000000004E-3</v>
      </c>
      <c r="S22" s="12">
        <f t="shared" si="6"/>
        <v>193.00000000189999</v>
      </c>
      <c r="T22" s="12">
        <f t="shared" si="7"/>
        <v>2.6220019E-3</v>
      </c>
      <c r="U22" s="12">
        <f t="shared" si="8"/>
        <v>200.9000000019</v>
      </c>
    </row>
    <row r="23" spans="1:21" x14ac:dyDescent="0.2">
      <c r="A23" s="7">
        <v>81</v>
      </c>
      <c r="B23" s="3">
        <f>0.3095*10^-2</f>
        <v>3.0950000000000001E-3</v>
      </c>
      <c r="C23" s="3">
        <v>198.4</v>
      </c>
      <c r="D23" s="3">
        <f>0.3106*10^-2</f>
        <v>3.1059999999999998E-3</v>
      </c>
      <c r="E23" s="3">
        <v>201.5</v>
      </c>
      <c r="F23" s="3">
        <f>0.3341*10^-2</f>
        <v>3.3410000000000002E-3</v>
      </c>
      <c r="G23" s="3">
        <v>197</v>
      </c>
      <c r="H23" s="3">
        <f>0.3274*10^-2</f>
        <v>3.2740000000000004E-3</v>
      </c>
      <c r="I23" s="3">
        <v>205</v>
      </c>
      <c r="K23" s="8">
        <v>2.0000000000000001E-9</v>
      </c>
      <c r="M23" s="12">
        <f t="shared" si="0"/>
        <v>81</v>
      </c>
      <c r="N23" s="12">
        <f t="shared" si="1"/>
        <v>3.0950019999999999E-3</v>
      </c>
      <c r="O23" s="12">
        <f t="shared" si="2"/>
        <v>198.40000000200001</v>
      </c>
      <c r="P23" s="12">
        <f t="shared" si="3"/>
        <v>3.1060019999999996E-3</v>
      </c>
      <c r="Q23" s="12">
        <f t="shared" si="4"/>
        <v>201.50000000200001</v>
      </c>
      <c r="R23" s="12">
        <f t="shared" si="5"/>
        <v>3.341002E-3</v>
      </c>
      <c r="S23" s="12">
        <f t="shared" si="6"/>
        <v>197.00000000200001</v>
      </c>
      <c r="T23" s="12">
        <f t="shared" si="7"/>
        <v>3.2740020000000002E-3</v>
      </c>
      <c r="U23" s="12">
        <f t="shared" si="8"/>
        <v>205.00000000200001</v>
      </c>
    </row>
    <row r="24" spans="1:21" x14ac:dyDescent="0.2">
      <c r="A24" s="7">
        <v>80</v>
      </c>
      <c r="B24" s="3">
        <f>0.3876*10^-2</f>
        <v>3.8760000000000001E-3</v>
      </c>
      <c r="C24" s="3">
        <v>202.3</v>
      </c>
      <c r="D24" s="3">
        <f>0.3879*10^-2</f>
        <v>3.8790000000000005E-3</v>
      </c>
      <c r="E24" s="3">
        <v>204.7</v>
      </c>
      <c r="F24" s="3">
        <f>0.419*10^-2</f>
        <v>4.1900000000000001E-3</v>
      </c>
      <c r="G24" s="3">
        <v>201.2</v>
      </c>
      <c r="H24" s="3">
        <f>0.4072*10^-2</f>
        <v>4.0720000000000001E-3</v>
      </c>
      <c r="I24" s="3">
        <v>208.5</v>
      </c>
      <c r="K24" s="8">
        <v>2.1000000000000002E-9</v>
      </c>
      <c r="M24" s="12">
        <f t="shared" si="0"/>
        <v>80</v>
      </c>
      <c r="N24" s="12">
        <f t="shared" si="1"/>
        <v>3.8760021E-3</v>
      </c>
      <c r="O24" s="12">
        <f t="shared" si="2"/>
        <v>202.30000000210001</v>
      </c>
      <c r="P24" s="12">
        <f t="shared" si="3"/>
        <v>3.8790021000000004E-3</v>
      </c>
      <c r="Q24" s="12">
        <f t="shared" si="4"/>
        <v>204.70000000209998</v>
      </c>
      <c r="R24" s="12">
        <f t="shared" si="5"/>
        <v>4.1900021000000004E-3</v>
      </c>
      <c r="S24" s="12">
        <f t="shared" si="6"/>
        <v>201.20000000209998</v>
      </c>
      <c r="T24" s="12">
        <f t="shared" si="7"/>
        <v>4.0720021000000004E-3</v>
      </c>
      <c r="U24" s="12">
        <f t="shared" si="8"/>
        <v>208.50000000209999</v>
      </c>
    </row>
    <row r="25" spans="1:21" x14ac:dyDescent="0.2">
      <c r="A25" s="7">
        <v>79</v>
      </c>
      <c r="B25" s="3">
        <f>0.4835*10^-2</f>
        <v>4.8349999999999999E-3</v>
      </c>
      <c r="C25" s="3">
        <v>206.2</v>
      </c>
      <c r="D25" s="3">
        <f>0.4828*10^-2</f>
        <v>4.8279999999999998E-3</v>
      </c>
      <c r="E25" s="3">
        <v>207.8</v>
      </c>
      <c r="F25" s="3">
        <f>0.523*10^-2</f>
        <v>5.2300000000000003E-3</v>
      </c>
      <c r="G25" s="3">
        <v>205.8</v>
      </c>
      <c r="H25" s="3">
        <f>0.5048*10^-2</f>
        <v>5.0480000000000004E-3</v>
      </c>
      <c r="I25" s="3">
        <v>211.7</v>
      </c>
      <c r="K25" s="3">
        <v>2.1999999999999998E-9</v>
      </c>
      <c r="M25" s="12">
        <f t="shared" si="0"/>
        <v>79</v>
      </c>
      <c r="N25" s="12">
        <f t="shared" si="1"/>
        <v>4.8350021999999998E-3</v>
      </c>
      <c r="O25" s="12">
        <f t="shared" si="2"/>
        <v>206.2000000022</v>
      </c>
      <c r="P25" s="12">
        <f t="shared" si="3"/>
        <v>4.8280021999999997E-3</v>
      </c>
      <c r="Q25" s="12">
        <f t="shared" si="4"/>
        <v>207.80000000220002</v>
      </c>
      <c r="R25" s="12">
        <f t="shared" si="5"/>
        <v>5.2300022000000002E-3</v>
      </c>
      <c r="S25" s="12">
        <f t="shared" si="6"/>
        <v>205.80000000220002</v>
      </c>
      <c r="T25" s="12">
        <f t="shared" si="7"/>
        <v>5.0480022000000003E-3</v>
      </c>
      <c r="U25" s="12">
        <f t="shared" si="8"/>
        <v>211.7000000022</v>
      </c>
    </row>
    <row r="26" spans="1:21" x14ac:dyDescent="0.2">
      <c r="A26" s="7">
        <v>78</v>
      </c>
      <c r="B26" s="3">
        <f>0.6006*10^-2</f>
        <v>6.0060000000000001E-3</v>
      </c>
      <c r="C26" s="3">
        <v>210</v>
      </c>
      <c r="D26" s="3">
        <f>0.599*10^-2</f>
        <v>5.9899999999999997E-3</v>
      </c>
      <c r="E26" s="3">
        <v>211</v>
      </c>
      <c r="F26" s="3">
        <f>0.6497*10^-2</f>
        <v>6.497000000000001E-3</v>
      </c>
      <c r="G26" s="3">
        <v>210.5</v>
      </c>
      <c r="H26" s="3">
        <f>0.624*10^-2</f>
        <v>6.2399999999999999E-3</v>
      </c>
      <c r="I26" s="3">
        <v>214.5</v>
      </c>
      <c r="K26" s="8">
        <v>2.2999999999999999E-9</v>
      </c>
      <c r="M26" s="12">
        <f t="shared" si="0"/>
        <v>78</v>
      </c>
      <c r="N26" s="12">
        <f t="shared" si="1"/>
        <v>6.0060023000000004E-3</v>
      </c>
      <c r="O26" s="12">
        <f t="shared" si="2"/>
        <v>210.0000000023</v>
      </c>
      <c r="P26" s="12">
        <f t="shared" si="3"/>
        <v>5.9900023E-3</v>
      </c>
      <c r="Q26" s="12">
        <f t="shared" si="4"/>
        <v>211.0000000023</v>
      </c>
      <c r="R26" s="12">
        <f t="shared" si="5"/>
        <v>6.4970023000000014E-3</v>
      </c>
      <c r="S26" s="12">
        <f t="shared" si="6"/>
        <v>210.5000000023</v>
      </c>
      <c r="T26" s="12">
        <f t="shared" si="7"/>
        <v>6.2400023000000002E-3</v>
      </c>
      <c r="U26" s="12">
        <f t="shared" si="8"/>
        <v>214.5000000023</v>
      </c>
    </row>
    <row r="27" spans="1:21" x14ac:dyDescent="0.2">
      <c r="A27" s="7">
        <v>77</v>
      </c>
      <c r="B27" s="3">
        <f>0.7435*10^-2</f>
        <v>7.4350000000000006E-3</v>
      </c>
      <c r="C27" s="3">
        <v>213.3</v>
      </c>
      <c r="D27" s="3">
        <f>0.7409*10^-2</f>
        <v>7.4089999999999998E-3</v>
      </c>
      <c r="E27" s="3">
        <v>213.9</v>
      </c>
      <c r="F27" s="3">
        <f>0.8035*10^-2</f>
        <v>8.0350000000000005E-3</v>
      </c>
      <c r="G27" s="3">
        <v>214.4</v>
      </c>
      <c r="H27" s="3">
        <f>0.7695*10^-2</f>
        <v>7.6949999999999996E-3</v>
      </c>
      <c r="I27" s="3">
        <v>216.7</v>
      </c>
      <c r="K27" s="8">
        <v>2.4E-9</v>
      </c>
      <c r="M27" s="12">
        <f t="shared" si="0"/>
        <v>77</v>
      </c>
      <c r="N27" s="12">
        <f t="shared" si="1"/>
        <v>7.4350024000000006E-3</v>
      </c>
      <c r="O27" s="12">
        <f t="shared" si="2"/>
        <v>213.3000000024</v>
      </c>
      <c r="P27" s="12">
        <f t="shared" si="3"/>
        <v>7.4090023999999997E-3</v>
      </c>
      <c r="Q27" s="12">
        <f t="shared" si="4"/>
        <v>213.90000000239999</v>
      </c>
      <c r="R27" s="12">
        <f t="shared" si="5"/>
        <v>8.0350024000000013E-3</v>
      </c>
      <c r="S27" s="12">
        <f t="shared" si="6"/>
        <v>214.40000000239999</v>
      </c>
      <c r="T27" s="12">
        <f t="shared" si="7"/>
        <v>7.6950023999999995E-3</v>
      </c>
      <c r="U27" s="12">
        <f t="shared" si="8"/>
        <v>216.70000000239997</v>
      </c>
    </row>
    <row r="28" spans="1:21" x14ac:dyDescent="0.2">
      <c r="A28" s="7">
        <v>76</v>
      </c>
      <c r="B28" s="3">
        <f>0.9178*10^-2</f>
        <v>9.1780000000000004E-3</v>
      </c>
      <c r="C28" s="3">
        <v>216.1</v>
      </c>
      <c r="D28" s="3">
        <f>0.9141*10^-2</f>
        <v>9.1409999999999998E-3</v>
      </c>
      <c r="E28" s="3">
        <v>216.4</v>
      </c>
      <c r="F28" s="3">
        <f>0.9903*10^-2</f>
        <v>9.9030000000000003E-3</v>
      </c>
      <c r="G28" s="3">
        <v>218</v>
      </c>
      <c r="H28" s="3">
        <f>0.9473*10^-2</f>
        <v>9.4730000000000005E-3</v>
      </c>
      <c r="I28" s="3">
        <v>218.4</v>
      </c>
      <c r="K28" s="3">
        <v>2.5000000000000001E-9</v>
      </c>
      <c r="M28" s="12">
        <f t="shared" si="0"/>
        <v>76</v>
      </c>
      <c r="N28" s="12">
        <f t="shared" si="1"/>
        <v>9.1780025000000008E-3</v>
      </c>
      <c r="O28" s="12">
        <f t="shared" si="2"/>
        <v>216.1000000025</v>
      </c>
      <c r="P28" s="12">
        <f t="shared" si="3"/>
        <v>9.1410025000000002E-3</v>
      </c>
      <c r="Q28" s="12">
        <f t="shared" si="4"/>
        <v>216.40000000250001</v>
      </c>
      <c r="R28" s="12">
        <f t="shared" si="5"/>
        <v>9.9030025000000008E-3</v>
      </c>
      <c r="S28" s="12">
        <f t="shared" si="6"/>
        <v>218.0000000025</v>
      </c>
      <c r="T28" s="12">
        <f t="shared" si="7"/>
        <v>9.4730025000000009E-3</v>
      </c>
      <c r="U28" s="12">
        <f t="shared" si="8"/>
        <v>218.40000000250001</v>
      </c>
    </row>
    <row r="29" spans="1:21" x14ac:dyDescent="0.2">
      <c r="A29" s="7">
        <v>75</v>
      </c>
      <c r="B29" s="3">
        <f>0.113*10^-1</f>
        <v>1.1300000000000001E-2</v>
      </c>
      <c r="C29" s="3">
        <v>218.8</v>
      </c>
      <c r="D29" s="3">
        <f>0.1125*10^-1</f>
        <v>1.1250000000000001E-2</v>
      </c>
      <c r="E29" s="3">
        <v>218.8</v>
      </c>
      <c r="F29" s="3">
        <f>0.1217*10^-1</f>
        <v>1.217E-2</v>
      </c>
      <c r="G29" s="3">
        <v>221.1</v>
      </c>
      <c r="H29" s="3">
        <f>0.1164*10^-1</f>
        <v>1.1640000000000001E-2</v>
      </c>
      <c r="I29" s="3">
        <v>220.1</v>
      </c>
      <c r="K29" s="8">
        <v>2.6000000000000001E-9</v>
      </c>
      <c r="M29" s="12">
        <f t="shared" si="0"/>
        <v>75</v>
      </c>
      <c r="N29" s="12">
        <f t="shared" si="1"/>
        <v>1.1300002600000001E-2</v>
      </c>
      <c r="O29" s="12">
        <f t="shared" si="2"/>
        <v>218.8000000026</v>
      </c>
      <c r="P29" s="12">
        <f t="shared" si="3"/>
        <v>1.1250002600000001E-2</v>
      </c>
      <c r="Q29" s="12">
        <f t="shared" si="4"/>
        <v>218.8000000026</v>
      </c>
      <c r="R29" s="12">
        <f t="shared" si="5"/>
        <v>1.21700026E-2</v>
      </c>
      <c r="S29" s="12">
        <f t="shared" si="6"/>
        <v>221.10000000259998</v>
      </c>
      <c r="T29" s="12">
        <f t="shared" si="7"/>
        <v>1.1640002600000001E-2</v>
      </c>
      <c r="U29" s="12">
        <f t="shared" si="8"/>
        <v>220.10000000259998</v>
      </c>
    </row>
    <row r="30" spans="1:21" x14ac:dyDescent="0.2">
      <c r="A30" s="7">
        <v>74</v>
      </c>
      <c r="B30" s="3">
        <f>0.1388*10^-1</f>
        <v>1.3880000000000002E-2</v>
      </c>
      <c r="C30" s="3">
        <v>221.4</v>
      </c>
      <c r="D30" s="3">
        <f>0.1382*10^-1</f>
        <v>1.3819999999999999E-2</v>
      </c>
      <c r="E30" s="3">
        <v>220.9</v>
      </c>
      <c r="F30" s="3">
        <f>0.1491*10^-1</f>
        <v>1.4910000000000001E-2</v>
      </c>
      <c r="G30" s="3">
        <v>224.1</v>
      </c>
      <c r="H30" s="3">
        <f>0.1429*10^-1</f>
        <v>1.4290000000000001E-2</v>
      </c>
      <c r="I30" s="3">
        <v>221.7</v>
      </c>
      <c r="K30" s="8">
        <v>2.7000000000000002E-9</v>
      </c>
      <c r="M30" s="12">
        <f t="shared" si="0"/>
        <v>74</v>
      </c>
      <c r="N30" s="12">
        <f t="shared" si="1"/>
        <v>1.3880002700000001E-2</v>
      </c>
      <c r="O30" s="12">
        <f t="shared" si="2"/>
        <v>221.40000000270001</v>
      </c>
      <c r="P30" s="12">
        <f t="shared" si="3"/>
        <v>1.3820002699999999E-2</v>
      </c>
      <c r="Q30" s="12">
        <f t="shared" si="4"/>
        <v>220.90000000270001</v>
      </c>
      <c r="R30" s="12">
        <f t="shared" si="5"/>
        <v>1.4910002700000001E-2</v>
      </c>
      <c r="S30" s="12">
        <f t="shared" si="6"/>
        <v>224.1000000027</v>
      </c>
      <c r="T30" s="12">
        <f t="shared" si="7"/>
        <v>1.42900027E-2</v>
      </c>
      <c r="U30" s="12">
        <f t="shared" si="8"/>
        <v>221.70000000269999</v>
      </c>
    </row>
    <row r="31" spans="1:21" x14ac:dyDescent="0.2">
      <c r="A31" s="7">
        <v>73</v>
      </c>
      <c r="B31" s="3">
        <f>0.17*10^-1</f>
        <v>1.7000000000000001E-2</v>
      </c>
      <c r="C31" s="3">
        <v>223.9</v>
      </c>
      <c r="D31" s="3">
        <f>0.1695*10^-1</f>
        <v>1.6950000000000003E-2</v>
      </c>
      <c r="E31" s="3">
        <v>222.6</v>
      </c>
      <c r="F31" s="3">
        <f>0.1822*10^-1</f>
        <v>1.822E-2</v>
      </c>
      <c r="G31" s="3">
        <v>226.5</v>
      </c>
      <c r="H31" s="3">
        <f>0.1752*10^-1</f>
        <v>1.7520000000000001E-2</v>
      </c>
      <c r="I31" s="3">
        <v>223</v>
      </c>
      <c r="K31" s="3">
        <v>2.7999999999999998E-9</v>
      </c>
      <c r="M31" s="12">
        <f t="shared" si="0"/>
        <v>73</v>
      </c>
      <c r="N31" s="12">
        <f t="shared" si="1"/>
        <v>1.70000028E-2</v>
      </c>
      <c r="O31" s="12">
        <f t="shared" si="2"/>
        <v>223.9000000028</v>
      </c>
      <c r="P31" s="12">
        <f t="shared" si="3"/>
        <v>1.6950002800000002E-2</v>
      </c>
      <c r="Q31" s="12">
        <f t="shared" si="4"/>
        <v>222.60000000279999</v>
      </c>
      <c r="R31" s="12">
        <f t="shared" si="5"/>
        <v>1.8220002799999999E-2</v>
      </c>
      <c r="S31" s="12">
        <f t="shared" si="6"/>
        <v>226.50000000279999</v>
      </c>
      <c r="T31" s="12">
        <f t="shared" si="7"/>
        <v>1.75200028E-2</v>
      </c>
      <c r="U31" s="12">
        <f t="shared" si="8"/>
        <v>223.00000000279999</v>
      </c>
    </row>
    <row r="32" spans="1:21" x14ac:dyDescent="0.2">
      <c r="A32" s="7">
        <v>72</v>
      </c>
      <c r="B32" s="3">
        <f>0.2079*10^-1</f>
        <v>2.0790000000000003E-2</v>
      </c>
      <c r="C32" s="3">
        <v>225.9</v>
      </c>
      <c r="D32" s="3">
        <f>0.2077*10^-1</f>
        <v>2.077E-2</v>
      </c>
      <c r="E32" s="3">
        <v>223.8</v>
      </c>
      <c r="F32" s="3">
        <f>0.2224*10^-1</f>
        <v>2.2239999999999999E-2</v>
      </c>
      <c r="G32" s="3">
        <v>228.3</v>
      </c>
      <c r="H32" s="3">
        <f>0.2145*10^-1</f>
        <v>2.145E-2</v>
      </c>
      <c r="I32" s="3">
        <v>224.3</v>
      </c>
      <c r="K32" s="8">
        <v>2.8999999999999999E-9</v>
      </c>
      <c r="M32" s="12">
        <f t="shared" si="0"/>
        <v>72</v>
      </c>
      <c r="N32" s="12">
        <f t="shared" si="1"/>
        <v>2.0790002900000003E-2</v>
      </c>
      <c r="O32" s="12">
        <f t="shared" si="2"/>
        <v>225.90000000290001</v>
      </c>
      <c r="P32" s="12">
        <f t="shared" si="3"/>
        <v>2.0770002900000001E-2</v>
      </c>
      <c r="Q32" s="12">
        <f t="shared" si="4"/>
        <v>223.80000000290002</v>
      </c>
      <c r="R32" s="12">
        <f t="shared" si="5"/>
        <v>2.22400029E-2</v>
      </c>
      <c r="S32" s="12">
        <f t="shared" si="6"/>
        <v>228.30000000290002</v>
      </c>
      <c r="T32" s="12">
        <f t="shared" si="7"/>
        <v>2.1450002900000001E-2</v>
      </c>
      <c r="U32" s="12">
        <f t="shared" si="8"/>
        <v>224.30000000290002</v>
      </c>
    </row>
    <row r="33" spans="1:21" x14ac:dyDescent="0.2">
      <c r="A33" s="7">
        <v>71</v>
      </c>
      <c r="B33" s="3">
        <f>0.2539*10^-1</f>
        <v>2.5390000000000003E-2</v>
      </c>
      <c r="C33" s="3">
        <v>227.6</v>
      </c>
      <c r="D33" s="3">
        <f>0.2542*10^-1</f>
        <v>2.5419999999999998E-2</v>
      </c>
      <c r="E33" s="3">
        <v>224.8</v>
      </c>
      <c r="F33" s="3">
        <f>0.271*10^-1</f>
        <v>2.7100000000000003E-2</v>
      </c>
      <c r="G33" s="3">
        <v>229.9</v>
      </c>
      <c r="H33" s="3">
        <f>0.2624*10^-1</f>
        <v>2.6240000000000003E-2</v>
      </c>
      <c r="I33" s="3">
        <v>225.7</v>
      </c>
      <c r="K33" s="8">
        <v>3E-9</v>
      </c>
      <c r="M33" s="12">
        <f t="shared" si="0"/>
        <v>71</v>
      </c>
      <c r="N33" s="12">
        <f t="shared" si="1"/>
        <v>2.5390003000000001E-2</v>
      </c>
      <c r="O33" s="12">
        <f t="shared" si="2"/>
        <v>227.60000000299999</v>
      </c>
      <c r="P33" s="12">
        <f t="shared" si="3"/>
        <v>2.5420002999999997E-2</v>
      </c>
      <c r="Q33" s="12">
        <f t="shared" si="4"/>
        <v>224.80000000300001</v>
      </c>
      <c r="R33" s="12">
        <f t="shared" si="5"/>
        <v>2.7100003000000001E-2</v>
      </c>
      <c r="S33" s="12">
        <f t="shared" si="6"/>
        <v>229.900000003</v>
      </c>
      <c r="T33" s="12">
        <f t="shared" si="7"/>
        <v>2.6240003000000001E-2</v>
      </c>
      <c r="U33" s="12">
        <f t="shared" si="8"/>
        <v>225.70000000299999</v>
      </c>
    </row>
    <row r="34" spans="1:21" x14ac:dyDescent="0.2">
      <c r="A34" s="7">
        <v>70</v>
      </c>
      <c r="B34" s="3">
        <f>0.3097*10^-1</f>
        <v>3.0969999999999998E-2</v>
      </c>
      <c r="C34" s="3">
        <v>228.9</v>
      </c>
      <c r="D34" s="3">
        <f>0.3109*10^-1</f>
        <v>3.1090000000000003E-2</v>
      </c>
      <c r="E34" s="3">
        <v>225.5</v>
      </c>
      <c r="F34" s="3">
        <f>0.3298*10^-1</f>
        <v>3.2980000000000002E-2</v>
      </c>
      <c r="G34" s="3">
        <v>231.2</v>
      </c>
      <c r="H34" s="3">
        <f>0.3205*10^-1</f>
        <v>3.2050000000000002E-2</v>
      </c>
      <c r="I34" s="3">
        <v>227.1</v>
      </c>
      <c r="K34" s="3">
        <v>3.1E-9</v>
      </c>
      <c r="M34" s="12">
        <f t="shared" si="0"/>
        <v>70</v>
      </c>
      <c r="N34" s="12">
        <f t="shared" si="1"/>
        <v>3.0970003099999997E-2</v>
      </c>
      <c r="O34" s="12">
        <f t="shared" si="2"/>
        <v>228.90000000310002</v>
      </c>
      <c r="P34" s="12">
        <f t="shared" si="3"/>
        <v>3.1090003100000003E-2</v>
      </c>
      <c r="Q34" s="12">
        <f t="shared" si="4"/>
        <v>225.50000000310001</v>
      </c>
      <c r="R34" s="12">
        <f t="shared" si="5"/>
        <v>3.2980003100000002E-2</v>
      </c>
      <c r="S34" s="12">
        <f t="shared" si="6"/>
        <v>231.2000000031</v>
      </c>
      <c r="T34" s="12">
        <f t="shared" si="7"/>
        <v>3.2050003100000002E-2</v>
      </c>
      <c r="U34" s="12">
        <f t="shared" si="8"/>
        <v>227.10000000310001</v>
      </c>
    </row>
    <row r="35" spans="1:21" x14ac:dyDescent="0.2">
      <c r="A35" s="7">
        <v>69</v>
      </c>
      <c r="B35" s="3">
        <f>0.3774*10^-1</f>
        <v>3.7740000000000003E-2</v>
      </c>
      <c r="C35" s="3">
        <v>229.8</v>
      </c>
      <c r="D35" s="3">
        <f>0.3801*10^-1</f>
        <v>3.8010000000000002E-2</v>
      </c>
      <c r="E35" s="3">
        <v>226</v>
      </c>
      <c r="F35" s="3">
        <f>0.4011*10^-1</f>
        <v>4.0110000000000007E-2</v>
      </c>
      <c r="G35" s="3">
        <v>232.4</v>
      </c>
      <c r="H35" s="3">
        <f>0.3911*10^-1</f>
        <v>3.9110000000000006E-2</v>
      </c>
      <c r="I35" s="3">
        <v>228.5</v>
      </c>
      <c r="K35" s="8">
        <v>3.2000000000000001E-9</v>
      </c>
      <c r="M35" s="12">
        <f t="shared" si="0"/>
        <v>69</v>
      </c>
      <c r="N35" s="12">
        <f t="shared" si="1"/>
        <v>3.7740003200000004E-2</v>
      </c>
      <c r="O35" s="12">
        <f t="shared" si="2"/>
        <v>229.80000000320001</v>
      </c>
      <c r="P35" s="12">
        <f t="shared" si="3"/>
        <v>3.8010003200000003E-2</v>
      </c>
      <c r="Q35" s="12">
        <f t="shared" si="4"/>
        <v>226.0000000032</v>
      </c>
      <c r="R35" s="12">
        <f t="shared" si="5"/>
        <v>4.0110003200000008E-2</v>
      </c>
      <c r="S35" s="12">
        <f t="shared" si="6"/>
        <v>232.40000000320001</v>
      </c>
      <c r="T35" s="12">
        <f t="shared" si="7"/>
        <v>3.9110003200000007E-2</v>
      </c>
      <c r="U35" s="12">
        <f t="shared" si="8"/>
        <v>228.5000000032</v>
      </c>
    </row>
    <row r="36" spans="1:21" x14ac:dyDescent="0.2">
      <c r="A36" s="7">
        <v>68</v>
      </c>
      <c r="B36" s="3">
        <f>0.4596*10^-1</f>
        <v>4.5960000000000001E-2</v>
      </c>
      <c r="C36" s="3">
        <v>230.5</v>
      </c>
      <c r="D36" s="3">
        <f>0.4644*10^-1</f>
        <v>4.6440000000000002E-2</v>
      </c>
      <c r="E36" s="3">
        <v>226.6</v>
      </c>
      <c r="F36" s="3">
        <f>0.4874*10^-1</f>
        <v>4.8740000000000006E-2</v>
      </c>
      <c r="G36" s="3">
        <v>233.4</v>
      </c>
      <c r="H36" s="3">
        <f>0.4767*10^-1</f>
        <v>4.7670000000000004E-2</v>
      </c>
      <c r="I36" s="3">
        <v>230</v>
      </c>
      <c r="K36" s="8">
        <v>3.3000000000000002E-9</v>
      </c>
      <c r="M36" s="12">
        <f t="shared" ref="M36:M54" si="9">A36</f>
        <v>68</v>
      </c>
      <c r="N36" s="12">
        <f t="shared" ref="N36:N54" si="10">B36+$K36</f>
        <v>4.5960003300000003E-2</v>
      </c>
      <c r="O36" s="12">
        <f t="shared" ref="O36:O54" si="11">C36+$K36</f>
        <v>230.50000000329999</v>
      </c>
      <c r="P36" s="12">
        <f t="shared" ref="P36:P54" si="12">D36+$K36</f>
        <v>4.6440003300000005E-2</v>
      </c>
      <c r="Q36" s="12">
        <f t="shared" ref="Q36:Q54" si="13">E36+$K36</f>
        <v>226.60000000329998</v>
      </c>
      <c r="R36" s="12">
        <f t="shared" ref="R36:R54" si="14">F36+$K36</f>
        <v>4.8740003300000008E-2</v>
      </c>
      <c r="S36" s="12">
        <f t="shared" ref="S36:S54" si="15">G36+$K36</f>
        <v>233.40000000329999</v>
      </c>
      <c r="T36" s="12">
        <f t="shared" ref="T36:T54" si="16">H36+$K36</f>
        <v>4.7670003300000006E-2</v>
      </c>
      <c r="U36" s="12">
        <f t="shared" ref="U36:U54" si="17">I36+$K36</f>
        <v>230.00000000329999</v>
      </c>
    </row>
    <row r="37" spans="1:21" x14ac:dyDescent="0.2">
      <c r="A37" s="7">
        <v>67</v>
      </c>
      <c r="B37" s="3">
        <f>0.5595*10^-1</f>
        <v>5.595E-2</v>
      </c>
      <c r="C37" s="3">
        <v>231</v>
      </c>
      <c r="D37" s="3">
        <f>0.5673*10^-1</f>
        <v>5.6730000000000003E-2</v>
      </c>
      <c r="E37" s="3">
        <v>227.3</v>
      </c>
      <c r="F37" s="3">
        <f>0.5916*10^-1</f>
        <v>5.9160000000000004E-2</v>
      </c>
      <c r="G37" s="3">
        <v>234.6</v>
      </c>
      <c r="H37" s="3">
        <f>0.5802*10^-1</f>
        <v>5.8020000000000009E-2</v>
      </c>
      <c r="I37" s="3">
        <v>231.5</v>
      </c>
      <c r="K37" s="3">
        <v>3.3999999999999998E-9</v>
      </c>
      <c r="M37" s="12">
        <f t="shared" si="9"/>
        <v>67</v>
      </c>
      <c r="N37" s="12">
        <f t="shared" si="10"/>
        <v>5.5950003399999997E-2</v>
      </c>
      <c r="O37" s="12">
        <f t="shared" si="11"/>
        <v>231.0000000034</v>
      </c>
      <c r="P37" s="12">
        <f t="shared" si="12"/>
        <v>5.6730003399999999E-2</v>
      </c>
      <c r="Q37" s="12">
        <f t="shared" si="13"/>
        <v>227.30000000340002</v>
      </c>
      <c r="R37" s="12">
        <f t="shared" si="14"/>
        <v>5.9160003400000001E-2</v>
      </c>
      <c r="S37" s="12">
        <f t="shared" si="15"/>
        <v>234.6000000034</v>
      </c>
      <c r="T37" s="12">
        <f t="shared" si="16"/>
        <v>5.8020003400000006E-2</v>
      </c>
      <c r="U37" s="12">
        <f t="shared" si="17"/>
        <v>231.5000000034</v>
      </c>
    </row>
    <row r="38" spans="1:21" x14ac:dyDescent="0.2">
      <c r="A38" s="7">
        <v>66</v>
      </c>
      <c r="B38" s="3">
        <f>0.6809*10^-1</f>
        <v>6.8089999999999998E-2</v>
      </c>
      <c r="C38" s="3">
        <v>231.6</v>
      </c>
      <c r="D38" s="3">
        <f>0.6925*10^-1</f>
        <v>6.9250000000000006E-2</v>
      </c>
      <c r="E38" s="3">
        <v>228</v>
      </c>
      <c r="F38" s="3">
        <f>0.7175*10^-1</f>
        <v>7.1750000000000008E-2</v>
      </c>
      <c r="G38" s="3">
        <v>236</v>
      </c>
      <c r="H38" s="3">
        <f>0.7055*10^-1</f>
        <v>7.0550000000000002E-2</v>
      </c>
      <c r="I38" s="3">
        <v>232.9</v>
      </c>
      <c r="K38" s="8">
        <v>3.4999999999999999E-9</v>
      </c>
      <c r="M38" s="12">
        <f t="shared" si="9"/>
        <v>66</v>
      </c>
      <c r="N38" s="12">
        <f t="shared" si="10"/>
        <v>6.8090003499999996E-2</v>
      </c>
      <c r="O38" s="12">
        <f t="shared" si="11"/>
        <v>231.60000000349999</v>
      </c>
      <c r="P38" s="12">
        <f t="shared" si="12"/>
        <v>6.9250003500000004E-2</v>
      </c>
      <c r="Q38" s="12">
        <f t="shared" si="13"/>
        <v>228.00000000349999</v>
      </c>
      <c r="R38" s="12">
        <f t="shared" si="14"/>
        <v>7.1750003500000006E-2</v>
      </c>
      <c r="S38" s="12">
        <f t="shared" si="15"/>
        <v>236.00000000349999</v>
      </c>
      <c r="T38" s="12">
        <f t="shared" si="16"/>
        <v>7.05500035E-2</v>
      </c>
      <c r="U38" s="12">
        <f t="shared" si="17"/>
        <v>232.9000000035</v>
      </c>
    </row>
    <row r="39" spans="1:21" x14ac:dyDescent="0.2">
      <c r="A39" s="7">
        <v>65</v>
      </c>
      <c r="B39" s="3">
        <f>0.8281*10^-1</f>
        <v>8.2809999999999995E-2</v>
      </c>
      <c r="C39" s="3">
        <v>232.5</v>
      </c>
      <c r="D39" s="3">
        <f>0.8446*10^-1</f>
        <v>8.4460000000000007E-2</v>
      </c>
      <c r="E39" s="3">
        <v>229.2</v>
      </c>
      <c r="F39" s="3">
        <f>0.8691*10^-1</f>
        <v>8.6910000000000001E-2</v>
      </c>
      <c r="G39" s="3">
        <v>237.6</v>
      </c>
      <c r="H39" s="3">
        <f>0.8567*10^-1</f>
        <v>8.567000000000001E-2</v>
      </c>
      <c r="I39" s="3">
        <v>234.6</v>
      </c>
      <c r="K39" s="8">
        <v>3.6E-9</v>
      </c>
      <c r="M39" s="12">
        <f t="shared" si="9"/>
        <v>65</v>
      </c>
      <c r="N39" s="12">
        <f t="shared" si="10"/>
        <v>8.2810003600000001E-2</v>
      </c>
      <c r="O39" s="12">
        <f t="shared" si="11"/>
        <v>232.50000000360001</v>
      </c>
      <c r="P39" s="12">
        <f t="shared" si="12"/>
        <v>8.4460003600000014E-2</v>
      </c>
      <c r="Q39" s="12">
        <f t="shared" si="13"/>
        <v>229.2000000036</v>
      </c>
      <c r="R39" s="12">
        <f t="shared" si="14"/>
        <v>8.6910003600000008E-2</v>
      </c>
      <c r="S39" s="12">
        <f t="shared" si="15"/>
        <v>237.6000000036</v>
      </c>
      <c r="T39" s="12">
        <f t="shared" si="16"/>
        <v>8.5670003600000016E-2</v>
      </c>
      <c r="U39" s="12">
        <f t="shared" si="17"/>
        <v>234.6000000036</v>
      </c>
    </row>
    <row r="40" spans="1:21" x14ac:dyDescent="0.2">
      <c r="A40" s="7">
        <v>64</v>
      </c>
      <c r="B40" s="3">
        <f>0.1006</f>
        <v>0.10059999999999999</v>
      </c>
      <c r="C40" s="3">
        <v>233.7</v>
      </c>
      <c r="D40" s="3">
        <f>0.1029</f>
        <v>0.10290000000000001</v>
      </c>
      <c r="E40" s="3">
        <v>231.1</v>
      </c>
      <c r="F40" s="3">
        <f>0.1051</f>
        <v>0.1051</v>
      </c>
      <c r="G40" s="3">
        <v>239.5</v>
      </c>
      <c r="H40" s="3">
        <f>0.1039</f>
        <v>0.10390000000000001</v>
      </c>
      <c r="I40" s="3">
        <v>236.5</v>
      </c>
      <c r="K40" s="3">
        <v>3.7E-9</v>
      </c>
      <c r="M40" s="12">
        <f t="shared" si="9"/>
        <v>64</v>
      </c>
      <c r="N40" s="12">
        <f t="shared" si="10"/>
        <v>0.1006000037</v>
      </c>
      <c r="O40" s="12">
        <f t="shared" si="11"/>
        <v>233.70000000369998</v>
      </c>
      <c r="P40" s="12">
        <f t="shared" si="12"/>
        <v>0.10290000370000001</v>
      </c>
      <c r="Q40" s="12">
        <f t="shared" si="13"/>
        <v>231.10000000369999</v>
      </c>
      <c r="R40" s="12">
        <f t="shared" si="14"/>
        <v>0.1051000037</v>
      </c>
      <c r="S40" s="12">
        <f t="shared" si="15"/>
        <v>239.50000000369999</v>
      </c>
      <c r="T40" s="12">
        <f t="shared" si="16"/>
        <v>0.10390000370000001</v>
      </c>
      <c r="U40" s="12">
        <f t="shared" si="17"/>
        <v>236.50000000369999</v>
      </c>
    </row>
    <row r="41" spans="1:21" x14ac:dyDescent="0.2">
      <c r="A41" s="7">
        <v>63</v>
      </c>
      <c r="B41" s="3">
        <f>0.1221</f>
        <v>0.1221</v>
      </c>
      <c r="C41" s="3">
        <v>235.5</v>
      </c>
      <c r="D41" s="3">
        <f>0.1251</f>
        <v>0.12509999999999999</v>
      </c>
      <c r="E41" s="3">
        <v>233.7</v>
      </c>
      <c r="F41" s="3">
        <f>0.127</f>
        <v>0.127</v>
      </c>
      <c r="G41" s="3">
        <v>241.9</v>
      </c>
      <c r="H41" s="3">
        <f>0.1257</f>
        <v>0.12570000000000001</v>
      </c>
      <c r="I41" s="3">
        <v>238.8</v>
      </c>
      <c r="K41" s="8">
        <v>3.8000000000000001E-9</v>
      </c>
      <c r="M41" s="12">
        <f t="shared" si="9"/>
        <v>63</v>
      </c>
      <c r="N41" s="12">
        <f t="shared" si="10"/>
        <v>0.1221000038</v>
      </c>
      <c r="O41" s="12">
        <f t="shared" si="11"/>
        <v>235.50000000380001</v>
      </c>
      <c r="P41" s="12">
        <f t="shared" si="12"/>
        <v>0.1251000038</v>
      </c>
      <c r="Q41" s="12">
        <f t="shared" si="13"/>
        <v>233.7000000038</v>
      </c>
      <c r="R41" s="12">
        <f t="shared" si="14"/>
        <v>0.12700000380000001</v>
      </c>
      <c r="S41" s="12">
        <f t="shared" si="15"/>
        <v>241.90000000380002</v>
      </c>
      <c r="T41" s="12">
        <f t="shared" si="16"/>
        <v>0.12570000380000002</v>
      </c>
      <c r="U41" s="12">
        <f t="shared" si="17"/>
        <v>238.80000000380002</v>
      </c>
    </row>
    <row r="42" spans="1:21" x14ac:dyDescent="0.2">
      <c r="A42" s="7">
        <v>62</v>
      </c>
      <c r="B42" s="3">
        <f>0.1479</f>
        <v>0.1479</v>
      </c>
      <c r="C42" s="3">
        <v>237.9</v>
      </c>
      <c r="D42" s="3">
        <f>0.1517</f>
        <v>0.1517</v>
      </c>
      <c r="E42" s="3">
        <v>237.2</v>
      </c>
      <c r="F42" s="3">
        <f>0.153</f>
        <v>0.153</v>
      </c>
      <c r="G42" s="3">
        <v>244.4</v>
      </c>
      <c r="H42" s="3">
        <f>0.1519</f>
        <v>0.15190000000000001</v>
      </c>
      <c r="I42" s="3">
        <v>241.4</v>
      </c>
      <c r="K42" s="8">
        <v>3.9000000000000002E-9</v>
      </c>
      <c r="M42" s="12">
        <f t="shared" si="9"/>
        <v>62</v>
      </c>
      <c r="N42" s="12">
        <f t="shared" si="10"/>
        <v>0.14790000389999999</v>
      </c>
      <c r="O42" s="12">
        <f t="shared" si="11"/>
        <v>237.9000000039</v>
      </c>
      <c r="P42" s="12">
        <f t="shared" si="12"/>
        <v>0.15170000389999999</v>
      </c>
      <c r="Q42" s="12">
        <f t="shared" si="13"/>
        <v>237.20000000389999</v>
      </c>
      <c r="R42" s="12">
        <f t="shared" si="14"/>
        <v>0.15300000389999999</v>
      </c>
      <c r="S42" s="12">
        <f t="shared" si="15"/>
        <v>244.4000000039</v>
      </c>
      <c r="T42" s="12">
        <f t="shared" si="16"/>
        <v>0.1519000039</v>
      </c>
      <c r="U42" s="12">
        <f t="shared" si="17"/>
        <v>241.4000000039</v>
      </c>
    </row>
    <row r="43" spans="1:21" x14ac:dyDescent="0.2">
      <c r="A43" s="7">
        <v>61</v>
      </c>
      <c r="B43" s="3">
        <f>0.1789</f>
        <v>0.1789</v>
      </c>
      <c r="C43" s="3">
        <v>241</v>
      </c>
      <c r="D43" s="3">
        <f>0.1833</f>
        <v>0.18329999999999999</v>
      </c>
      <c r="E43" s="3">
        <v>241.9</v>
      </c>
      <c r="F43" s="3">
        <f>0.1841</f>
        <v>0.18410000000000001</v>
      </c>
      <c r="G43" s="3">
        <v>247.4</v>
      </c>
      <c r="H43" s="3">
        <f>0.1831</f>
        <v>0.18310000000000001</v>
      </c>
      <c r="I43" s="3">
        <v>244.7</v>
      </c>
      <c r="K43" s="3">
        <v>4.0000000000000002E-9</v>
      </c>
      <c r="M43" s="12">
        <f t="shared" si="9"/>
        <v>61</v>
      </c>
      <c r="N43" s="12">
        <f t="shared" si="10"/>
        <v>0.178900004</v>
      </c>
      <c r="O43" s="12">
        <f t="shared" si="11"/>
        <v>241.00000000399999</v>
      </c>
      <c r="P43" s="12">
        <f t="shared" si="12"/>
        <v>0.18330000399999999</v>
      </c>
      <c r="Q43" s="12">
        <f t="shared" si="13"/>
        <v>241.90000000399999</v>
      </c>
      <c r="R43" s="12">
        <f t="shared" si="14"/>
        <v>0.18410000400000001</v>
      </c>
      <c r="S43" s="12">
        <f t="shared" si="15"/>
        <v>247.40000000399999</v>
      </c>
      <c r="T43" s="12">
        <f t="shared" si="16"/>
        <v>0.18310000400000001</v>
      </c>
      <c r="U43" s="12">
        <f t="shared" si="17"/>
        <v>244.70000000399997</v>
      </c>
    </row>
    <row r="44" spans="1:21" x14ac:dyDescent="0.2">
      <c r="A44" s="7">
        <v>60</v>
      </c>
      <c r="B44" s="3">
        <f>0.2157</f>
        <v>0.2157</v>
      </c>
      <c r="C44" s="3">
        <v>244.5</v>
      </c>
      <c r="D44" s="3">
        <f>0.2207</f>
        <v>0.22070000000000001</v>
      </c>
      <c r="E44" s="3">
        <v>247.1</v>
      </c>
      <c r="F44" s="3">
        <f>0.2209</f>
        <v>0.22090000000000001</v>
      </c>
      <c r="G44" s="3">
        <v>250.4</v>
      </c>
      <c r="H44" s="3">
        <f>0.2202</f>
        <v>0.22020000000000001</v>
      </c>
      <c r="I44" s="3">
        <v>248.3</v>
      </c>
      <c r="K44" s="8">
        <v>4.1000000000000003E-9</v>
      </c>
      <c r="M44" s="12">
        <f t="shared" si="9"/>
        <v>60</v>
      </c>
      <c r="N44" s="12">
        <f t="shared" si="10"/>
        <v>0.21570000410000001</v>
      </c>
      <c r="O44" s="12">
        <f t="shared" si="11"/>
        <v>244.5000000041</v>
      </c>
      <c r="P44" s="12">
        <f t="shared" si="12"/>
        <v>0.22070000410000001</v>
      </c>
      <c r="Q44" s="12">
        <f t="shared" si="13"/>
        <v>247.1000000041</v>
      </c>
      <c r="R44" s="12">
        <f t="shared" si="14"/>
        <v>0.22090000410000002</v>
      </c>
      <c r="S44" s="12">
        <f t="shared" si="15"/>
        <v>250.40000000410001</v>
      </c>
      <c r="T44" s="12">
        <f t="shared" si="16"/>
        <v>0.22020000410000001</v>
      </c>
      <c r="U44" s="12">
        <f t="shared" si="17"/>
        <v>248.30000000410001</v>
      </c>
    </row>
    <row r="45" spans="1:21" x14ac:dyDescent="0.2">
      <c r="A45" s="7">
        <v>59</v>
      </c>
      <c r="B45" s="3">
        <f>0.2592</f>
        <v>0.25919999999999999</v>
      </c>
      <c r="C45" s="3">
        <v>249.2</v>
      </c>
      <c r="D45" s="3">
        <f>0.2646</f>
        <v>0.2646</v>
      </c>
      <c r="E45" s="3">
        <v>254.1</v>
      </c>
      <c r="F45" s="3">
        <f>0.2644</f>
        <v>0.26440000000000002</v>
      </c>
      <c r="G45" s="3">
        <v>255.3</v>
      </c>
      <c r="H45" s="3">
        <f>0.2639</f>
        <v>0.26390000000000002</v>
      </c>
      <c r="I45" s="3">
        <v>253.8</v>
      </c>
      <c r="K45" s="8">
        <v>4.2000000000000004E-9</v>
      </c>
      <c r="M45" s="12">
        <f t="shared" si="9"/>
        <v>59</v>
      </c>
      <c r="N45" s="12">
        <f t="shared" si="10"/>
        <v>0.2592000042</v>
      </c>
      <c r="O45" s="12">
        <f t="shared" si="11"/>
        <v>249.20000000419998</v>
      </c>
      <c r="P45" s="12">
        <f t="shared" si="12"/>
        <v>0.26460000420000002</v>
      </c>
      <c r="Q45" s="12">
        <f t="shared" si="13"/>
        <v>254.10000000419998</v>
      </c>
      <c r="R45" s="12">
        <f t="shared" si="14"/>
        <v>0.26440000420000004</v>
      </c>
      <c r="S45" s="12">
        <f t="shared" si="15"/>
        <v>255.3000000042</v>
      </c>
      <c r="T45" s="12">
        <f t="shared" si="16"/>
        <v>0.26390000420000004</v>
      </c>
      <c r="U45" s="12">
        <f t="shared" si="17"/>
        <v>253.8000000042</v>
      </c>
    </row>
    <row r="46" spans="1:21" x14ac:dyDescent="0.2">
      <c r="A46" s="7">
        <v>58</v>
      </c>
      <c r="B46" s="3">
        <f>0.3104</f>
        <v>0.31040000000000001</v>
      </c>
      <c r="C46" s="3">
        <v>255.5</v>
      </c>
      <c r="D46" s="3">
        <f>0.3154</f>
        <v>0.31540000000000001</v>
      </c>
      <c r="E46" s="3">
        <v>261.89999999999998</v>
      </c>
      <c r="F46" s="3">
        <f>0.3153</f>
        <v>0.31530000000000002</v>
      </c>
      <c r="G46" s="3">
        <v>261.39999999999998</v>
      </c>
      <c r="H46" s="3">
        <f>0.3148</f>
        <v>0.31480000000000002</v>
      </c>
      <c r="I46" s="3">
        <v>260.5</v>
      </c>
      <c r="K46" s="3">
        <v>4.2999999999999996E-9</v>
      </c>
      <c r="M46" s="12">
        <f t="shared" si="9"/>
        <v>58</v>
      </c>
      <c r="N46" s="12">
        <f t="shared" si="10"/>
        <v>0.31040000430000003</v>
      </c>
      <c r="O46" s="12">
        <f t="shared" si="11"/>
        <v>255.50000000430001</v>
      </c>
      <c r="P46" s="12">
        <f t="shared" si="12"/>
        <v>0.31540000430000004</v>
      </c>
      <c r="Q46" s="12">
        <f t="shared" si="13"/>
        <v>261.90000000429995</v>
      </c>
      <c r="R46" s="12">
        <f t="shared" si="14"/>
        <v>0.31530000430000005</v>
      </c>
      <c r="S46" s="12">
        <f t="shared" si="15"/>
        <v>261.40000000429995</v>
      </c>
      <c r="T46" s="12">
        <f t="shared" si="16"/>
        <v>0.31480000430000005</v>
      </c>
      <c r="U46" s="12">
        <f t="shared" si="17"/>
        <v>260.50000000429998</v>
      </c>
    </row>
    <row r="47" spans="1:21" x14ac:dyDescent="0.2">
      <c r="A47" s="7">
        <v>57</v>
      </c>
      <c r="B47" s="3">
        <f>0.3695</f>
        <v>0.3695</v>
      </c>
      <c r="C47" s="3">
        <v>265</v>
      </c>
      <c r="D47" s="3">
        <f>0.3739</f>
        <v>0.37390000000000001</v>
      </c>
      <c r="E47" s="3">
        <v>271.60000000000002</v>
      </c>
      <c r="F47" s="3">
        <f>0.3738</f>
        <v>0.37380000000000002</v>
      </c>
      <c r="G47" s="3">
        <v>270.8</v>
      </c>
      <c r="H47" s="3">
        <f>0.3735</f>
        <v>0.3735</v>
      </c>
      <c r="I47" s="3">
        <v>270.10000000000002</v>
      </c>
      <c r="K47" s="8">
        <v>4.3999999999999997E-9</v>
      </c>
      <c r="M47" s="12">
        <f t="shared" si="9"/>
        <v>57</v>
      </c>
      <c r="N47" s="12">
        <f t="shared" si="10"/>
        <v>0.36950000439999997</v>
      </c>
      <c r="O47" s="12">
        <f t="shared" si="11"/>
        <v>265.00000000440002</v>
      </c>
      <c r="P47" s="12">
        <f t="shared" si="12"/>
        <v>0.37390000439999999</v>
      </c>
      <c r="Q47" s="12">
        <f t="shared" si="13"/>
        <v>271.60000000440004</v>
      </c>
      <c r="R47" s="12">
        <f t="shared" si="14"/>
        <v>0.3738000044</v>
      </c>
      <c r="S47" s="12">
        <f t="shared" si="15"/>
        <v>270.80000000440003</v>
      </c>
      <c r="T47" s="12">
        <f t="shared" si="16"/>
        <v>0.37350000439999997</v>
      </c>
      <c r="U47" s="12">
        <f t="shared" si="17"/>
        <v>270.10000000440004</v>
      </c>
    </row>
    <row r="48" spans="1:21" x14ac:dyDescent="0.2">
      <c r="A48" s="7">
        <v>56</v>
      </c>
      <c r="B48" s="3">
        <f>0.437</f>
        <v>0.437</v>
      </c>
      <c r="C48" s="3">
        <v>275.7</v>
      </c>
      <c r="D48" s="3">
        <f>0.4405</f>
        <v>0.4405</v>
      </c>
      <c r="E48" s="3">
        <v>281.60000000000002</v>
      </c>
      <c r="F48" s="3">
        <f>0.4406</f>
        <v>0.44059999999999999</v>
      </c>
      <c r="G48" s="3">
        <v>281.2</v>
      </c>
      <c r="H48" s="3">
        <f>0.4404</f>
        <v>0.44040000000000001</v>
      </c>
      <c r="I48" s="3">
        <v>280.5</v>
      </c>
      <c r="K48" s="8">
        <v>4.4999999999999998E-9</v>
      </c>
      <c r="M48" s="12">
        <f t="shared" si="9"/>
        <v>56</v>
      </c>
      <c r="N48" s="12">
        <f t="shared" si="10"/>
        <v>0.43700000449999998</v>
      </c>
      <c r="O48" s="12">
        <f t="shared" si="11"/>
        <v>275.7000000045</v>
      </c>
      <c r="P48" s="12">
        <f t="shared" si="12"/>
        <v>0.44050000449999999</v>
      </c>
      <c r="Q48" s="12">
        <f t="shared" si="13"/>
        <v>281.60000000450003</v>
      </c>
      <c r="R48" s="12">
        <f t="shared" si="14"/>
        <v>0.44060000449999998</v>
      </c>
      <c r="S48" s="12">
        <f t="shared" si="15"/>
        <v>281.2000000045</v>
      </c>
      <c r="T48" s="12">
        <f t="shared" si="16"/>
        <v>0.4404000045</v>
      </c>
      <c r="U48" s="12">
        <f t="shared" si="17"/>
        <v>280.50000000450001</v>
      </c>
    </row>
    <row r="49" spans="1:21" x14ac:dyDescent="0.2">
      <c r="A49" s="7">
        <v>55</v>
      </c>
      <c r="B49" s="3">
        <f>0.5133</f>
        <v>0.51329999999999998</v>
      </c>
      <c r="C49" s="3">
        <v>286.8</v>
      </c>
      <c r="D49" s="3">
        <f>0.5159</f>
        <v>0.51590000000000003</v>
      </c>
      <c r="E49" s="3">
        <v>291.89999999999998</v>
      </c>
      <c r="F49" s="3">
        <f>0.5162</f>
        <v>0.51619999999999999</v>
      </c>
      <c r="G49" s="3">
        <v>291.5</v>
      </c>
      <c r="H49" s="3">
        <f>0.5161</f>
        <v>0.5161</v>
      </c>
      <c r="I49" s="3">
        <v>291</v>
      </c>
      <c r="K49" s="3">
        <v>4.5999999999999998E-9</v>
      </c>
      <c r="M49" s="12">
        <f t="shared" si="9"/>
        <v>55</v>
      </c>
      <c r="N49" s="12">
        <f t="shared" si="10"/>
        <v>0.51330000460000003</v>
      </c>
      <c r="O49" s="12">
        <f t="shared" si="11"/>
        <v>286.80000000460001</v>
      </c>
      <c r="P49" s="12">
        <f t="shared" si="12"/>
        <v>0.51590000460000007</v>
      </c>
      <c r="Q49" s="12">
        <f t="shared" si="13"/>
        <v>291.90000000459997</v>
      </c>
      <c r="R49" s="12">
        <f t="shared" si="14"/>
        <v>0.51620000460000004</v>
      </c>
      <c r="S49" s="12">
        <f t="shared" si="15"/>
        <v>291.5000000046</v>
      </c>
      <c r="T49" s="12">
        <f t="shared" si="16"/>
        <v>0.51610000460000005</v>
      </c>
      <c r="U49" s="12">
        <f t="shared" si="17"/>
        <v>291.0000000046</v>
      </c>
    </row>
    <row r="50" spans="1:21" x14ac:dyDescent="0.2">
      <c r="A50" s="7">
        <v>54</v>
      </c>
      <c r="B50" s="3">
        <f>0.5995</f>
        <v>0.59950000000000003</v>
      </c>
      <c r="C50" s="3">
        <v>298</v>
      </c>
      <c r="D50" s="3">
        <f>0.601</f>
        <v>0.60099999999999998</v>
      </c>
      <c r="E50" s="3">
        <v>302.2</v>
      </c>
      <c r="F50" s="3">
        <f>0.6014</f>
        <v>0.60140000000000005</v>
      </c>
      <c r="G50" s="3">
        <v>301.89999999999998</v>
      </c>
      <c r="H50" s="3">
        <f>0.6015</f>
        <v>0.60150000000000003</v>
      </c>
      <c r="I50" s="3">
        <v>301.5</v>
      </c>
      <c r="K50" s="8">
        <v>4.6999999999999999E-9</v>
      </c>
      <c r="M50" s="12">
        <f t="shared" si="9"/>
        <v>54</v>
      </c>
      <c r="N50" s="12">
        <f t="shared" si="10"/>
        <v>0.59950000469999998</v>
      </c>
      <c r="O50" s="12">
        <f t="shared" si="11"/>
        <v>298.00000000469998</v>
      </c>
      <c r="P50" s="12">
        <f t="shared" si="12"/>
        <v>0.60100000469999992</v>
      </c>
      <c r="Q50" s="12">
        <f t="shared" si="13"/>
        <v>302.20000000469997</v>
      </c>
      <c r="R50" s="12">
        <f t="shared" si="14"/>
        <v>0.60140000469999999</v>
      </c>
      <c r="S50" s="12">
        <f t="shared" si="15"/>
        <v>301.90000000469996</v>
      </c>
      <c r="T50" s="12">
        <f t="shared" si="16"/>
        <v>0.60150000469999998</v>
      </c>
      <c r="U50" s="12">
        <f t="shared" si="17"/>
        <v>301.50000000469998</v>
      </c>
    </row>
    <row r="51" spans="1:21" x14ac:dyDescent="0.2">
      <c r="A51" s="7">
        <v>53</v>
      </c>
      <c r="B51" s="3">
        <f>0.696</f>
        <v>0.69599999999999995</v>
      </c>
      <c r="C51" s="3">
        <v>309.3</v>
      </c>
      <c r="D51" s="3">
        <f>0.6966</f>
        <v>0.6966</v>
      </c>
      <c r="E51" s="3">
        <v>312.60000000000002</v>
      </c>
      <c r="F51" s="3">
        <f>0.6972</f>
        <v>0.69720000000000004</v>
      </c>
      <c r="G51" s="3">
        <v>312.39999999999998</v>
      </c>
      <c r="H51" s="3">
        <f>0.6974</f>
        <v>0.69740000000000002</v>
      </c>
      <c r="I51" s="3">
        <v>312</v>
      </c>
      <c r="K51" s="8">
        <v>4.8E-9</v>
      </c>
      <c r="M51" s="12">
        <f t="shared" si="9"/>
        <v>53</v>
      </c>
      <c r="N51" s="12">
        <f t="shared" si="10"/>
        <v>0.69600000479999991</v>
      </c>
      <c r="O51" s="12">
        <f t="shared" si="11"/>
        <v>309.30000000479998</v>
      </c>
      <c r="P51" s="12">
        <f t="shared" si="12"/>
        <v>0.69660000479999995</v>
      </c>
      <c r="Q51" s="12">
        <f t="shared" si="13"/>
        <v>312.60000000479999</v>
      </c>
      <c r="R51" s="12">
        <f t="shared" si="14"/>
        <v>0.69720000479999999</v>
      </c>
      <c r="S51" s="12">
        <f t="shared" si="15"/>
        <v>312.40000000479995</v>
      </c>
      <c r="T51" s="12">
        <f t="shared" si="16"/>
        <v>0.69740000479999997</v>
      </c>
      <c r="U51" s="12">
        <f t="shared" si="17"/>
        <v>312.00000000479997</v>
      </c>
    </row>
    <row r="52" spans="1:21" x14ac:dyDescent="0.2">
      <c r="A52" s="7">
        <v>52</v>
      </c>
      <c r="B52" s="3">
        <f>0.8038</f>
        <v>0.80379999999999996</v>
      </c>
      <c r="C52" s="3">
        <v>320.60000000000002</v>
      </c>
      <c r="D52" s="3">
        <f>0.8035</f>
        <v>0.80349999999999999</v>
      </c>
      <c r="E52" s="3">
        <v>323</v>
      </c>
      <c r="F52" s="3">
        <f>0.8043</f>
        <v>0.80430000000000001</v>
      </c>
      <c r="G52" s="3">
        <v>322.8</v>
      </c>
      <c r="H52" s="3">
        <f>0.8046</f>
        <v>0.80459999999999998</v>
      </c>
      <c r="I52" s="3">
        <v>322.60000000000002</v>
      </c>
      <c r="K52" s="3">
        <v>4.9E-9</v>
      </c>
      <c r="M52" s="12">
        <f t="shared" si="9"/>
        <v>52</v>
      </c>
      <c r="N52" s="12">
        <f t="shared" si="10"/>
        <v>0.80380000489999992</v>
      </c>
      <c r="O52" s="12">
        <f t="shared" si="11"/>
        <v>320.60000000490004</v>
      </c>
      <c r="P52" s="12">
        <f t="shared" si="12"/>
        <v>0.80350000489999995</v>
      </c>
      <c r="Q52" s="12">
        <f t="shared" si="13"/>
        <v>323.00000000490002</v>
      </c>
      <c r="R52" s="12">
        <f t="shared" si="14"/>
        <v>0.80430000489999998</v>
      </c>
      <c r="S52" s="12">
        <f t="shared" si="15"/>
        <v>322.80000000490003</v>
      </c>
      <c r="T52" s="12">
        <f t="shared" si="16"/>
        <v>0.80460000489999994</v>
      </c>
      <c r="U52" s="12">
        <f t="shared" si="17"/>
        <v>322.60000000490004</v>
      </c>
    </row>
    <row r="53" spans="1:21" x14ac:dyDescent="0.2">
      <c r="A53" s="7">
        <v>51</v>
      </c>
      <c r="B53" s="3">
        <f>0.9238</f>
        <v>0.92379999999999995</v>
      </c>
      <c r="C53" s="3">
        <v>332.1</v>
      </c>
      <c r="D53" s="3">
        <f>0.9227</f>
        <v>0.92269999999999996</v>
      </c>
      <c r="E53" s="3">
        <v>333.5</v>
      </c>
      <c r="F53" s="3">
        <f>0.9236</f>
        <v>0.92359999999999998</v>
      </c>
      <c r="G53" s="3">
        <v>333.3</v>
      </c>
      <c r="H53" s="3">
        <f>0.9241</f>
        <v>0.92410000000000003</v>
      </c>
      <c r="I53" s="3">
        <v>333.2</v>
      </c>
      <c r="K53" s="8">
        <v>5.0000000000000001E-9</v>
      </c>
      <c r="M53" s="12">
        <f t="shared" si="9"/>
        <v>51</v>
      </c>
      <c r="N53" s="12">
        <f t="shared" si="10"/>
        <v>0.92380000499999992</v>
      </c>
      <c r="O53" s="12">
        <f t="shared" si="11"/>
        <v>332.10000000500003</v>
      </c>
      <c r="P53" s="12">
        <f t="shared" si="12"/>
        <v>0.92270000499999993</v>
      </c>
      <c r="Q53" s="12">
        <f t="shared" si="13"/>
        <v>333.500000005</v>
      </c>
      <c r="R53" s="12">
        <f t="shared" si="14"/>
        <v>0.92360000499999995</v>
      </c>
      <c r="S53" s="12">
        <f t="shared" si="15"/>
        <v>333.30000000500002</v>
      </c>
      <c r="T53" s="12">
        <f t="shared" si="16"/>
        <v>0.924100005</v>
      </c>
      <c r="U53" s="12">
        <f t="shared" si="17"/>
        <v>333.20000000499999</v>
      </c>
    </row>
    <row r="54" spans="1:21" x14ac:dyDescent="0.2">
      <c r="A54" s="7">
        <v>50</v>
      </c>
      <c r="B54" s="3">
        <f>1.056</f>
        <v>1.056</v>
      </c>
      <c r="C54" s="3">
        <v>344.7</v>
      </c>
      <c r="D54" s="3">
        <f>1.054</f>
        <v>1.054</v>
      </c>
      <c r="E54" s="3">
        <v>344.9</v>
      </c>
      <c r="F54" s="3">
        <f>1.055</f>
        <v>1.0549999999999999</v>
      </c>
      <c r="G54" s="3">
        <v>344.8</v>
      </c>
      <c r="H54" s="3">
        <f>1.056</f>
        <v>1.056</v>
      </c>
      <c r="I54" s="3">
        <v>344.9</v>
      </c>
      <c r="K54" s="8">
        <v>5.1000000000000002E-9</v>
      </c>
      <c r="M54" s="12">
        <f t="shared" si="9"/>
        <v>50</v>
      </c>
      <c r="N54" s="12">
        <f t="shared" si="10"/>
        <v>1.0560000051</v>
      </c>
      <c r="O54" s="12">
        <f t="shared" si="11"/>
        <v>344.70000000509998</v>
      </c>
      <c r="P54" s="12">
        <f t="shared" si="12"/>
        <v>1.0540000051</v>
      </c>
      <c r="Q54" s="12">
        <f t="shared" si="13"/>
        <v>344.90000000509997</v>
      </c>
      <c r="R54" s="12">
        <f t="shared" si="14"/>
        <v>1.0550000050999999</v>
      </c>
      <c r="S54" s="12">
        <f t="shared" si="15"/>
        <v>344.8000000051</v>
      </c>
      <c r="T54" s="12">
        <f t="shared" si="16"/>
        <v>1.0560000051</v>
      </c>
      <c r="U54" s="12">
        <f t="shared" si="17"/>
        <v>344.90000000509997</v>
      </c>
    </row>
  </sheetData>
  <mergeCells count="12">
    <mergeCell ref="A1:I1"/>
    <mergeCell ref="M1:U1"/>
    <mergeCell ref="A2:A3"/>
    <mergeCell ref="B2:C2"/>
    <mergeCell ref="D2:E2"/>
    <mergeCell ref="F2:G2"/>
    <mergeCell ref="H2:I2"/>
    <mergeCell ref="M2:M3"/>
    <mergeCell ref="N2:O2"/>
    <mergeCell ref="P2:Q2"/>
    <mergeCell ref="R2:S2"/>
    <mergeCell ref="T2:U2"/>
  </mergeCells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55"/>
  <sheetViews>
    <sheetView zoomScale="80" zoomScaleNormal="80" workbookViewId="0">
      <selection activeCell="A27" sqref="A27"/>
    </sheetView>
  </sheetViews>
  <sheetFormatPr defaultRowHeight="14.25" x14ac:dyDescent="0.2"/>
  <cols>
    <col min="1" max="9" width="10.625" style="3" customWidth="1"/>
    <col min="10" max="257" width="9" style="3" customWidth="1"/>
    <col min="258" max="1025" width="9" customWidth="1"/>
  </cols>
  <sheetData>
    <row r="1" spans="1:21" x14ac:dyDescent="0.2">
      <c r="A1" s="2" t="s">
        <v>11</v>
      </c>
      <c r="B1" s="2"/>
      <c r="C1" s="2"/>
      <c r="D1" s="2"/>
      <c r="E1" s="2"/>
      <c r="F1" s="2"/>
      <c r="G1" s="2"/>
      <c r="H1" s="2"/>
      <c r="I1" s="2"/>
      <c r="M1" s="2" t="s">
        <v>11</v>
      </c>
      <c r="N1" s="2"/>
      <c r="O1" s="2"/>
      <c r="P1" s="2"/>
      <c r="Q1" s="2"/>
      <c r="R1" s="2"/>
      <c r="S1" s="2"/>
      <c r="T1" s="2"/>
      <c r="U1" s="2"/>
    </row>
    <row r="2" spans="1:21" x14ac:dyDescent="0.2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5</v>
      </c>
      <c r="I2" s="2"/>
      <c r="K2"/>
      <c r="M2" s="2" t="s">
        <v>1</v>
      </c>
      <c r="N2" s="2" t="s">
        <v>2</v>
      </c>
      <c r="O2" s="2"/>
      <c r="P2" s="2" t="s">
        <v>3</v>
      </c>
      <c r="Q2" s="2"/>
      <c r="R2" s="2" t="s">
        <v>4</v>
      </c>
      <c r="S2" s="2"/>
      <c r="T2" s="2" t="s">
        <v>5</v>
      </c>
      <c r="U2" s="2"/>
    </row>
    <row r="3" spans="1:21" x14ac:dyDescent="0.2">
      <c r="A3" s="2"/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  <c r="M3" s="2"/>
      <c r="N3" s="4" t="s">
        <v>6</v>
      </c>
      <c r="O3" s="4" t="s">
        <v>7</v>
      </c>
      <c r="P3" s="4" t="s">
        <v>6</v>
      </c>
      <c r="Q3" s="4" t="s">
        <v>7</v>
      </c>
      <c r="R3" s="4" t="s">
        <v>6</v>
      </c>
      <c r="S3" s="4" t="s">
        <v>7</v>
      </c>
      <c r="T3" s="4" t="s">
        <v>6</v>
      </c>
      <c r="U3" s="4" t="s">
        <v>7</v>
      </c>
    </row>
    <row r="4" spans="1:21" x14ac:dyDescent="0.2">
      <c r="A4" s="5">
        <v>100</v>
      </c>
      <c r="B4" s="12">
        <f>0.2134*10^-4</f>
        <v>2.1340000000000002E-5</v>
      </c>
      <c r="C4" s="12">
        <v>177.8</v>
      </c>
      <c r="D4" s="12">
        <f>0.2185*10^-4</f>
        <v>2.1850000000000003E-5</v>
      </c>
      <c r="E4" s="12">
        <v>169.7</v>
      </c>
      <c r="F4" s="12">
        <f>0.2366*10^-4</f>
        <v>2.366E-5</v>
      </c>
      <c r="G4" s="12">
        <v>171.6</v>
      </c>
      <c r="H4" s="12">
        <f>0.2335*10^-4</f>
        <v>2.3350000000000002E-5</v>
      </c>
      <c r="I4" s="12">
        <v>172</v>
      </c>
      <c r="J4"/>
      <c r="M4" s="12">
        <f t="shared" ref="M4:M35" si="0">A4</f>
        <v>100</v>
      </c>
      <c r="N4" s="13">
        <f t="shared" ref="N4:N35" si="1">B4+$K5</f>
        <v>2.1340100000000003E-5</v>
      </c>
      <c r="O4" s="12">
        <f t="shared" ref="O4:O35" si="2">C4+$K5</f>
        <v>177.8000000001</v>
      </c>
      <c r="P4" s="12">
        <f t="shared" ref="P4:P35" si="3">D4+$K5</f>
        <v>2.1850100000000003E-5</v>
      </c>
      <c r="Q4" s="12">
        <f t="shared" ref="Q4:Q35" si="4">E4+$K5</f>
        <v>169.70000000009998</v>
      </c>
      <c r="R4" s="12">
        <f t="shared" ref="R4:R35" si="5">F4+$K5</f>
        <v>2.3660100000000001E-5</v>
      </c>
      <c r="S4" s="12">
        <f t="shared" ref="S4:S35" si="6">G4+$K5</f>
        <v>171.60000000009998</v>
      </c>
      <c r="T4" s="12">
        <f t="shared" ref="T4:T35" si="7">H4+$K5</f>
        <v>2.3350100000000002E-5</v>
      </c>
      <c r="U4" s="12">
        <f t="shared" ref="U4:U35" si="8">I4+$K5</f>
        <v>172.00000000009999</v>
      </c>
    </row>
    <row r="5" spans="1:21" x14ac:dyDescent="0.2">
      <c r="A5" s="7">
        <v>99</v>
      </c>
      <c r="B5" s="12">
        <f>0.275*10^-4</f>
        <v>2.7500000000000004E-5</v>
      </c>
      <c r="C5" s="12">
        <v>176.7</v>
      </c>
      <c r="D5" s="12">
        <f>0.2848*10^-4</f>
        <v>2.8480000000000002E-5</v>
      </c>
      <c r="E5" s="12">
        <v>169.3</v>
      </c>
      <c r="F5" s="12">
        <f>0.3075*10^-4</f>
        <v>3.0750000000000002E-5</v>
      </c>
      <c r="G5" s="12">
        <v>171.1</v>
      </c>
      <c r="H5" s="12">
        <f>0.3035*10^-4</f>
        <v>3.0349999999999999E-5</v>
      </c>
      <c r="I5" s="12">
        <v>171.2</v>
      </c>
      <c r="J5"/>
      <c r="K5" s="3">
        <v>1E-10</v>
      </c>
      <c r="M5" s="12">
        <f t="shared" si="0"/>
        <v>99</v>
      </c>
      <c r="N5" s="12">
        <f t="shared" si="1"/>
        <v>2.7500200000000005E-5</v>
      </c>
      <c r="O5" s="12">
        <f t="shared" si="2"/>
        <v>176.70000000019999</v>
      </c>
      <c r="P5" s="12">
        <f t="shared" si="3"/>
        <v>2.8480200000000002E-5</v>
      </c>
      <c r="Q5" s="12">
        <f t="shared" si="4"/>
        <v>169.30000000020001</v>
      </c>
      <c r="R5" s="12">
        <f t="shared" si="5"/>
        <v>3.0750200000000002E-5</v>
      </c>
      <c r="S5" s="12">
        <f t="shared" si="6"/>
        <v>171.1000000002</v>
      </c>
      <c r="T5" s="12">
        <f t="shared" si="7"/>
        <v>3.03502E-5</v>
      </c>
      <c r="U5" s="12">
        <f t="shared" si="8"/>
        <v>171.20000000019999</v>
      </c>
    </row>
    <row r="6" spans="1:21" x14ac:dyDescent="0.2">
      <c r="A6" s="7">
        <v>98</v>
      </c>
      <c r="B6" s="12">
        <f>0.3549*10^-4</f>
        <v>3.5490000000000001E-5</v>
      </c>
      <c r="C6" s="12">
        <v>175.9</v>
      </c>
      <c r="D6" s="12">
        <f>0.3714*10^-4</f>
        <v>3.714E-5</v>
      </c>
      <c r="E6" s="12">
        <v>169.3</v>
      </c>
      <c r="F6" s="12">
        <f>0.3999*10^-4</f>
        <v>3.9990000000000002E-5</v>
      </c>
      <c r="G6" s="12">
        <v>170.9</v>
      </c>
      <c r="H6" s="12">
        <f>0.3948*10^-4</f>
        <v>3.9480000000000001E-5</v>
      </c>
      <c r="I6" s="12">
        <v>170.6</v>
      </c>
      <c r="J6"/>
      <c r="K6" s="8">
        <v>2.0000000000000001E-10</v>
      </c>
      <c r="M6" s="12">
        <f t="shared" si="0"/>
        <v>98</v>
      </c>
      <c r="N6" s="12">
        <f t="shared" si="1"/>
        <v>3.5490300000000001E-5</v>
      </c>
      <c r="O6" s="12">
        <f t="shared" si="2"/>
        <v>175.9000000003</v>
      </c>
      <c r="P6" s="12">
        <f t="shared" si="3"/>
        <v>3.7140300000000001E-5</v>
      </c>
      <c r="Q6" s="12">
        <f t="shared" si="4"/>
        <v>169.3000000003</v>
      </c>
      <c r="R6" s="12">
        <f t="shared" si="5"/>
        <v>3.9990300000000002E-5</v>
      </c>
      <c r="S6" s="12">
        <f t="shared" si="6"/>
        <v>170.9000000003</v>
      </c>
      <c r="T6" s="12">
        <f t="shared" si="7"/>
        <v>3.9480300000000002E-5</v>
      </c>
      <c r="U6" s="12">
        <f t="shared" si="8"/>
        <v>170.60000000029999</v>
      </c>
    </row>
    <row r="7" spans="1:21" x14ac:dyDescent="0.2">
      <c r="A7" s="7">
        <v>97</v>
      </c>
      <c r="B7" s="12">
        <f>0.4585*10^-4</f>
        <v>4.5850000000000003E-5</v>
      </c>
      <c r="C7" s="12">
        <v>175.3</v>
      </c>
      <c r="D7" s="12">
        <f>0.4843*10^-4</f>
        <v>4.8430000000000002E-5</v>
      </c>
      <c r="E7" s="12">
        <v>169.5</v>
      </c>
      <c r="F7" s="12">
        <f>0.5204*10^-4</f>
        <v>5.2040000000000003E-5</v>
      </c>
      <c r="G7" s="12">
        <v>170.7</v>
      </c>
      <c r="H7" s="12">
        <f>0.5141*10^-4</f>
        <v>5.1410000000000004E-5</v>
      </c>
      <c r="I7" s="12">
        <v>170.1</v>
      </c>
      <c r="J7"/>
      <c r="K7" s="8">
        <v>3E-10</v>
      </c>
      <c r="M7" s="12">
        <f t="shared" si="0"/>
        <v>97</v>
      </c>
      <c r="N7" s="12">
        <f t="shared" si="1"/>
        <v>4.5850400000000004E-5</v>
      </c>
      <c r="O7" s="12">
        <f t="shared" si="2"/>
        <v>175.30000000040002</v>
      </c>
      <c r="P7" s="12">
        <f t="shared" si="3"/>
        <v>4.8430400000000003E-5</v>
      </c>
      <c r="Q7" s="12">
        <f t="shared" si="4"/>
        <v>169.50000000040001</v>
      </c>
      <c r="R7" s="12">
        <f t="shared" si="5"/>
        <v>5.2040400000000004E-5</v>
      </c>
      <c r="S7" s="12">
        <f t="shared" si="6"/>
        <v>170.7000000004</v>
      </c>
      <c r="T7" s="12">
        <f t="shared" si="7"/>
        <v>5.1410400000000005E-5</v>
      </c>
      <c r="U7" s="12">
        <f t="shared" si="8"/>
        <v>170.1000000004</v>
      </c>
    </row>
    <row r="8" spans="1:21" x14ac:dyDescent="0.2">
      <c r="A8" s="7">
        <v>96</v>
      </c>
      <c r="B8" s="12">
        <f>0.593*10^-4</f>
        <v>5.9299999999999998E-5</v>
      </c>
      <c r="C8" s="12">
        <v>174.6</v>
      </c>
      <c r="D8" s="12">
        <f>0.6314*10^-4</f>
        <v>6.3139999999999995E-5</v>
      </c>
      <c r="E8" s="12">
        <v>169.7</v>
      </c>
      <c r="F8" s="12">
        <f>0.6772*10^-4</f>
        <v>6.7720000000000009E-5</v>
      </c>
      <c r="G8" s="12">
        <v>170.6</v>
      </c>
      <c r="H8" s="12">
        <f>0.67*10^-4</f>
        <v>6.7000000000000002E-5</v>
      </c>
      <c r="I8" s="12">
        <v>169.5</v>
      </c>
      <c r="J8"/>
      <c r="K8" s="3">
        <v>4.0000000000000001E-10</v>
      </c>
      <c r="M8" s="12">
        <f t="shared" si="0"/>
        <v>96</v>
      </c>
      <c r="N8" s="12">
        <f t="shared" si="1"/>
        <v>5.9300499999999999E-5</v>
      </c>
      <c r="O8" s="12">
        <f t="shared" si="2"/>
        <v>174.60000000049999</v>
      </c>
      <c r="P8" s="12">
        <f t="shared" si="3"/>
        <v>6.3140499999999989E-5</v>
      </c>
      <c r="Q8" s="12">
        <f t="shared" si="4"/>
        <v>169.70000000049998</v>
      </c>
      <c r="R8" s="12">
        <f t="shared" si="5"/>
        <v>6.7720500000000003E-5</v>
      </c>
      <c r="S8" s="12">
        <f t="shared" si="6"/>
        <v>170.60000000049999</v>
      </c>
      <c r="T8" s="12">
        <f t="shared" si="7"/>
        <v>6.7000499999999997E-5</v>
      </c>
      <c r="U8" s="12">
        <f t="shared" si="8"/>
        <v>169.50000000049999</v>
      </c>
    </row>
    <row r="9" spans="1:21" x14ac:dyDescent="0.2">
      <c r="A9" s="7">
        <v>95</v>
      </c>
      <c r="B9" s="12">
        <f>0.7678*10^-4</f>
        <v>7.6780000000000007E-5</v>
      </c>
      <c r="C9" s="12">
        <v>173.8</v>
      </c>
      <c r="D9" s="12">
        <f>0.8228*10^-4</f>
        <v>8.2280000000000005E-5</v>
      </c>
      <c r="E9" s="12">
        <v>170</v>
      </c>
      <c r="F9" s="12">
        <f>0.8816*10^-4</f>
        <v>8.816000000000001E-5</v>
      </c>
      <c r="G9" s="12">
        <v>170.6</v>
      </c>
      <c r="H9" s="12">
        <f>0.874*10^-4</f>
        <v>8.740000000000001E-5</v>
      </c>
      <c r="I9" s="12">
        <v>169</v>
      </c>
      <c r="J9"/>
      <c r="K9" s="8">
        <v>5.0000000000000003E-10</v>
      </c>
      <c r="M9" s="12">
        <f t="shared" si="0"/>
        <v>95</v>
      </c>
      <c r="N9" s="12">
        <f t="shared" si="1"/>
        <v>7.6780600000000008E-5</v>
      </c>
      <c r="O9" s="12">
        <f t="shared" si="2"/>
        <v>173.80000000060002</v>
      </c>
      <c r="P9" s="12">
        <f t="shared" si="3"/>
        <v>8.2280600000000006E-5</v>
      </c>
      <c r="Q9" s="12">
        <f t="shared" si="4"/>
        <v>170.00000000060001</v>
      </c>
      <c r="R9" s="12">
        <f t="shared" si="5"/>
        <v>8.8160600000000011E-5</v>
      </c>
      <c r="S9" s="12">
        <f t="shared" si="6"/>
        <v>170.60000000060001</v>
      </c>
      <c r="T9" s="12">
        <f t="shared" si="7"/>
        <v>8.7400600000000012E-5</v>
      </c>
      <c r="U9" s="12">
        <f t="shared" si="8"/>
        <v>169.00000000060001</v>
      </c>
    </row>
    <row r="10" spans="1:21" x14ac:dyDescent="0.2">
      <c r="A10" s="7">
        <v>94</v>
      </c>
      <c r="B10" s="12">
        <f>0.9951*10^-4</f>
        <v>9.9510000000000001E-5</v>
      </c>
      <c r="C10" s="12">
        <v>173.3</v>
      </c>
      <c r="D10" s="12">
        <f>0.1072*10^-3</f>
        <v>1.072E-4</v>
      </c>
      <c r="E10" s="12">
        <v>170.6</v>
      </c>
      <c r="F10" s="12">
        <f>0.1147*10^-3</f>
        <v>1.147E-4</v>
      </c>
      <c r="G10" s="12">
        <v>171</v>
      </c>
      <c r="H10" s="12">
        <f>0.1141*10^-3</f>
        <v>1.141E-4</v>
      </c>
      <c r="I10" s="12">
        <v>169.1</v>
      </c>
      <c r="J10"/>
      <c r="K10" s="8">
        <v>6E-10</v>
      </c>
      <c r="M10" s="12">
        <f t="shared" si="0"/>
        <v>94</v>
      </c>
      <c r="N10" s="12">
        <f t="shared" si="1"/>
        <v>9.9510699999999996E-5</v>
      </c>
      <c r="O10" s="12">
        <f t="shared" si="2"/>
        <v>173.30000000070001</v>
      </c>
      <c r="P10" s="12">
        <f t="shared" si="3"/>
        <v>1.072007E-4</v>
      </c>
      <c r="Q10" s="12">
        <f t="shared" si="4"/>
        <v>170.60000000069999</v>
      </c>
      <c r="R10" s="12">
        <f t="shared" si="5"/>
        <v>1.1470069999999999E-4</v>
      </c>
      <c r="S10" s="12">
        <f t="shared" si="6"/>
        <v>171.0000000007</v>
      </c>
      <c r="T10" s="12">
        <f t="shared" si="7"/>
        <v>1.1410069999999999E-4</v>
      </c>
      <c r="U10" s="12">
        <f t="shared" si="8"/>
        <v>169.10000000069999</v>
      </c>
    </row>
    <row r="11" spans="1:21" x14ac:dyDescent="0.2">
      <c r="A11" s="7">
        <v>93</v>
      </c>
      <c r="B11" s="12">
        <f>0.129*10^-3</f>
        <v>1.2900000000000002E-4</v>
      </c>
      <c r="C11" s="12">
        <v>173.5</v>
      </c>
      <c r="D11" s="12">
        <f>0.1394*10^-3</f>
        <v>1.394E-4</v>
      </c>
      <c r="E11" s="12">
        <v>171.5</v>
      </c>
      <c r="F11" s="12">
        <f>0.1492*10^-3</f>
        <v>1.4919999999999999E-4</v>
      </c>
      <c r="G11" s="12">
        <v>171.8</v>
      </c>
      <c r="H11" s="12">
        <f>0.1488*10^-3</f>
        <v>1.4879999999999998E-4</v>
      </c>
      <c r="I11" s="12">
        <v>169.6</v>
      </c>
      <c r="J11"/>
      <c r="K11" s="3">
        <v>6.9999999999999996E-10</v>
      </c>
      <c r="M11" s="12">
        <f t="shared" si="0"/>
        <v>93</v>
      </c>
      <c r="N11" s="12">
        <f t="shared" si="1"/>
        <v>1.2900080000000002E-4</v>
      </c>
      <c r="O11" s="12">
        <f t="shared" si="2"/>
        <v>173.50000000079999</v>
      </c>
      <c r="P11" s="12">
        <f t="shared" si="3"/>
        <v>1.394008E-4</v>
      </c>
      <c r="Q11" s="12">
        <f t="shared" si="4"/>
        <v>171.50000000079999</v>
      </c>
      <c r="R11" s="12">
        <f t="shared" si="5"/>
        <v>1.492008E-4</v>
      </c>
      <c r="S11" s="12">
        <f t="shared" si="6"/>
        <v>171.8000000008</v>
      </c>
      <c r="T11" s="12">
        <f t="shared" si="7"/>
        <v>1.4880079999999999E-4</v>
      </c>
      <c r="U11" s="12">
        <f t="shared" si="8"/>
        <v>169.60000000079998</v>
      </c>
    </row>
    <row r="12" spans="1:21" x14ac:dyDescent="0.2">
      <c r="A12" s="7">
        <v>92</v>
      </c>
      <c r="B12" s="12">
        <f>0.1672*10^-3</f>
        <v>1.672E-4</v>
      </c>
      <c r="C12" s="12">
        <v>173.8</v>
      </c>
      <c r="D12" s="12">
        <f>0.1811*10^-3</f>
        <v>1.8110000000000001E-4</v>
      </c>
      <c r="E12" s="12">
        <v>172.5</v>
      </c>
      <c r="F12" s="12">
        <f>0.1937*10^-3</f>
        <v>1.9370000000000002E-4</v>
      </c>
      <c r="G12" s="12">
        <v>172.7</v>
      </c>
      <c r="H12" s="12">
        <f>0.194*10^-3</f>
        <v>1.94E-4</v>
      </c>
      <c r="I12" s="12">
        <v>170.1</v>
      </c>
      <c r="J12"/>
      <c r="K12" s="8">
        <v>8.0000000000000003E-10</v>
      </c>
      <c r="M12" s="12">
        <f t="shared" si="0"/>
        <v>92</v>
      </c>
      <c r="N12" s="12">
        <f t="shared" si="1"/>
        <v>1.6720090000000001E-4</v>
      </c>
      <c r="O12" s="12">
        <f t="shared" si="2"/>
        <v>173.80000000090001</v>
      </c>
      <c r="P12" s="12">
        <f t="shared" si="3"/>
        <v>1.8110090000000002E-4</v>
      </c>
      <c r="Q12" s="12">
        <f t="shared" si="4"/>
        <v>172.5000000009</v>
      </c>
      <c r="R12" s="12">
        <f t="shared" si="5"/>
        <v>1.9370090000000003E-4</v>
      </c>
      <c r="S12" s="12">
        <f t="shared" si="6"/>
        <v>172.70000000089999</v>
      </c>
      <c r="T12" s="12">
        <f t="shared" si="7"/>
        <v>1.9400090000000001E-4</v>
      </c>
      <c r="U12" s="12">
        <f t="shared" si="8"/>
        <v>170.1000000009</v>
      </c>
    </row>
    <row r="13" spans="1:21" x14ac:dyDescent="0.2">
      <c r="A13" s="7">
        <v>91</v>
      </c>
      <c r="B13" s="12">
        <f>0.2166*10^-3</f>
        <v>2.1659999999999998E-4</v>
      </c>
      <c r="C13" s="12">
        <v>174.3</v>
      </c>
      <c r="D13" s="12">
        <f>0.2349*10^-3</f>
        <v>2.3489999999999999E-4</v>
      </c>
      <c r="E13" s="12">
        <v>173.5</v>
      </c>
      <c r="F13" s="12">
        <f>0.2513*10^-3</f>
        <v>2.5130000000000004E-4</v>
      </c>
      <c r="G13" s="12">
        <v>173.5</v>
      </c>
      <c r="H13" s="12">
        <f>0.2526*10^-3</f>
        <v>2.5260000000000001E-4</v>
      </c>
      <c r="I13" s="12">
        <v>170.7</v>
      </c>
      <c r="J13"/>
      <c r="K13" s="8">
        <v>8.9999999999999999E-10</v>
      </c>
      <c r="M13" s="12">
        <f t="shared" si="0"/>
        <v>91</v>
      </c>
      <c r="N13" s="12">
        <f t="shared" si="1"/>
        <v>2.1660099999999997E-4</v>
      </c>
      <c r="O13" s="12">
        <f t="shared" si="2"/>
        <v>174.300000001</v>
      </c>
      <c r="P13" s="12">
        <f t="shared" si="3"/>
        <v>2.3490099999999998E-4</v>
      </c>
      <c r="Q13" s="12">
        <f t="shared" si="4"/>
        <v>173.50000000099999</v>
      </c>
      <c r="R13" s="12">
        <f t="shared" si="5"/>
        <v>2.5130100000000005E-4</v>
      </c>
      <c r="S13" s="12">
        <f t="shared" si="6"/>
        <v>173.50000000099999</v>
      </c>
      <c r="T13" s="12">
        <f t="shared" si="7"/>
        <v>2.5260100000000003E-4</v>
      </c>
      <c r="U13" s="12">
        <f t="shared" si="8"/>
        <v>170.70000000099998</v>
      </c>
    </row>
    <row r="14" spans="1:21" x14ac:dyDescent="0.2">
      <c r="A14" s="7">
        <v>90</v>
      </c>
      <c r="B14" s="12">
        <f>0.2804*10^-3</f>
        <v>2.8039999999999999E-4</v>
      </c>
      <c r="C14" s="12">
        <v>174.7</v>
      </c>
      <c r="D14" s="12">
        <f>0.3043*10^-3</f>
        <v>3.0430000000000002E-4</v>
      </c>
      <c r="E14" s="12">
        <v>174.6</v>
      </c>
      <c r="F14" s="12">
        <f>0.3256*10^-3</f>
        <v>3.256E-4</v>
      </c>
      <c r="G14" s="12">
        <v>174.2</v>
      </c>
      <c r="H14" s="12">
        <f>0.3287*10^-3</f>
        <v>3.2870000000000002E-4</v>
      </c>
      <c r="I14" s="12">
        <v>171.4</v>
      </c>
      <c r="J14"/>
      <c r="K14" s="3">
        <v>1.0000000000000001E-9</v>
      </c>
      <c r="M14" s="12">
        <f t="shared" si="0"/>
        <v>90</v>
      </c>
      <c r="N14" s="12">
        <f t="shared" si="1"/>
        <v>2.8040109999999998E-4</v>
      </c>
      <c r="O14" s="12">
        <f t="shared" si="2"/>
        <v>174.70000000109999</v>
      </c>
      <c r="P14" s="12">
        <f t="shared" si="3"/>
        <v>3.0430110000000002E-4</v>
      </c>
      <c r="Q14" s="12">
        <f t="shared" si="4"/>
        <v>174.6000000011</v>
      </c>
      <c r="R14" s="12">
        <f t="shared" si="5"/>
        <v>3.256011E-4</v>
      </c>
      <c r="S14" s="12">
        <f t="shared" si="6"/>
        <v>174.20000000109999</v>
      </c>
      <c r="T14" s="12">
        <f t="shared" si="7"/>
        <v>3.2870110000000002E-4</v>
      </c>
      <c r="U14" s="12">
        <f t="shared" si="8"/>
        <v>171.40000000110001</v>
      </c>
    </row>
    <row r="15" spans="1:21" x14ac:dyDescent="0.2">
      <c r="A15" s="7">
        <v>89</v>
      </c>
      <c r="B15" s="12">
        <f>0.3628*10^-3</f>
        <v>3.6280000000000004E-4</v>
      </c>
      <c r="C15" s="12">
        <v>175.1</v>
      </c>
      <c r="D15" s="12">
        <f>0.3934*10^-3</f>
        <v>3.9340000000000002E-4</v>
      </c>
      <c r="E15" s="12">
        <v>176.2</v>
      </c>
      <c r="F15" s="12">
        <f>0.4213*10^-3</f>
        <v>4.2129999999999999E-4</v>
      </c>
      <c r="G15" s="12">
        <v>175.6</v>
      </c>
      <c r="H15" s="12">
        <f>0.4272*10^-3</f>
        <v>4.2720000000000003E-4</v>
      </c>
      <c r="I15" s="12">
        <v>172.8</v>
      </c>
      <c r="J15"/>
      <c r="K15" s="8">
        <v>1.0999999999999999E-9</v>
      </c>
      <c r="M15" s="12">
        <f t="shared" si="0"/>
        <v>89</v>
      </c>
      <c r="N15" s="12">
        <f t="shared" si="1"/>
        <v>3.6280120000000001E-4</v>
      </c>
      <c r="O15" s="12">
        <f t="shared" si="2"/>
        <v>175.10000000119999</v>
      </c>
      <c r="P15" s="12">
        <f t="shared" si="3"/>
        <v>3.934012E-4</v>
      </c>
      <c r="Q15" s="12">
        <f t="shared" si="4"/>
        <v>176.20000000119998</v>
      </c>
      <c r="R15" s="12">
        <f t="shared" si="5"/>
        <v>4.2130119999999997E-4</v>
      </c>
      <c r="S15" s="12">
        <f t="shared" si="6"/>
        <v>175.60000000119999</v>
      </c>
      <c r="T15" s="12">
        <f t="shared" si="7"/>
        <v>4.2720120000000001E-4</v>
      </c>
      <c r="U15" s="12">
        <f t="shared" si="8"/>
        <v>172.8000000012</v>
      </c>
    </row>
    <row r="16" spans="1:21" x14ac:dyDescent="0.2">
      <c r="A16" s="7">
        <v>88</v>
      </c>
      <c r="B16" s="12">
        <f>0.4687*10^-3</f>
        <v>4.6870000000000001E-4</v>
      </c>
      <c r="C16" s="12">
        <v>176.9</v>
      </c>
      <c r="D16" s="12">
        <f>0.5072*10^-3</f>
        <v>5.0719999999999997E-4</v>
      </c>
      <c r="E16" s="12">
        <v>178.5</v>
      </c>
      <c r="F16" s="12">
        <f>0.5436*10^-3</f>
        <v>5.4359999999999999E-4</v>
      </c>
      <c r="G16" s="12">
        <v>177.9</v>
      </c>
      <c r="H16" s="12">
        <f>0.5535*10^-3</f>
        <v>5.5349999999999996E-4</v>
      </c>
      <c r="I16" s="12">
        <v>175</v>
      </c>
      <c r="J16"/>
      <c r="K16" s="8">
        <v>1.2E-9</v>
      </c>
      <c r="M16" s="12">
        <f t="shared" si="0"/>
        <v>88</v>
      </c>
      <c r="N16" s="12">
        <f t="shared" si="1"/>
        <v>4.6870130000000002E-4</v>
      </c>
      <c r="O16" s="12">
        <f t="shared" si="2"/>
        <v>176.90000000130001</v>
      </c>
      <c r="P16" s="12">
        <f t="shared" si="3"/>
        <v>5.0720129999999998E-4</v>
      </c>
      <c r="Q16" s="12">
        <f t="shared" si="4"/>
        <v>178.50000000130001</v>
      </c>
      <c r="R16" s="12">
        <f t="shared" si="5"/>
        <v>5.436013E-4</v>
      </c>
      <c r="S16" s="12">
        <f t="shared" si="6"/>
        <v>177.90000000130001</v>
      </c>
      <c r="T16" s="12">
        <f t="shared" si="7"/>
        <v>5.5350129999999997E-4</v>
      </c>
      <c r="U16" s="12">
        <f t="shared" si="8"/>
        <v>175.00000000130001</v>
      </c>
    </row>
    <row r="17" spans="1:21" x14ac:dyDescent="0.2">
      <c r="A17" s="7">
        <v>87</v>
      </c>
      <c r="B17" s="12">
        <f>0.6037*10^-3</f>
        <v>6.0369999999999998E-4</v>
      </c>
      <c r="C17" s="12">
        <v>179.1</v>
      </c>
      <c r="D17" s="12">
        <f>0.6515*10^-3</f>
        <v>6.5149999999999995E-4</v>
      </c>
      <c r="E17" s="12">
        <v>181.3</v>
      </c>
      <c r="F17" s="12">
        <f>0.699*10^-3</f>
        <v>6.9899999999999997E-4</v>
      </c>
      <c r="G17" s="12">
        <v>180.4</v>
      </c>
      <c r="H17" s="12">
        <f>0.7145*10^-3</f>
        <v>7.1450000000000007E-4</v>
      </c>
      <c r="I17" s="12">
        <v>177.7</v>
      </c>
      <c r="J17"/>
      <c r="K17" s="3">
        <v>1.3000000000000001E-9</v>
      </c>
      <c r="M17" s="12">
        <f t="shared" si="0"/>
        <v>87</v>
      </c>
      <c r="N17" s="12">
        <f t="shared" si="1"/>
        <v>6.0370140000000003E-4</v>
      </c>
      <c r="O17" s="12">
        <f t="shared" si="2"/>
        <v>179.10000000139999</v>
      </c>
      <c r="P17" s="12">
        <f t="shared" si="3"/>
        <v>6.515014E-4</v>
      </c>
      <c r="Q17" s="12">
        <f t="shared" si="4"/>
        <v>181.30000000140001</v>
      </c>
      <c r="R17" s="12">
        <f t="shared" si="5"/>
        <v>6.9900140000000001E-4</v>
      </c>
      <c r="S17" s="12">
        <f t="shared" si="6"/>
        <v>180.4000000014</v>
      </c>
      <c r="T17" s="12">
        <f t="shared" si="7"/>
        <v>7.1450140000000012E-4</v>
      </c>
      <c r="U17" s="12">
        <f t="shared" si="8"/>
        <v>177.70000000139999</v>
      </c>
    </row>
    <row r="18" spans="1:21" x14ac:dyDescent="0.2">
      <c r="A18" s="7">
        <v>86</v>
      </c>
      <c r="B18" s="12">
        <f>0.775*10^-3</f>
        <v>7.7500000000000008E-4</v>
      </c>
      <c r="C18" s="12">
        <v>181.9</v>
      </c>
      <c r="D18" s="12">
        <f>0.8336*10^-3</f>
        <v>8.3359999999999999E-4</v>
      </c>
      <c r="E18" s="12">
        <v>184.4</v>
      </c>
      <c r="F18" s="12">
        <f>0.8956*10^-3</f>
        <v>8.9559999999999998E-4</v>
      </c>
      <c r="G18" s="12">
        <v>183.2</v>
      </c>
      <c r="H18" s="12">
        <f>0.9186*10^-3</f>
        <v>9.1859999999999999E-4</v>
      </c>
      <c r="I18" s="12">
        <v>180.9</v>
      </c>
      <c r="J18"/>
      <c r="K18" s="8">
        <v>1.3999999999999999E-9</v>
      </c>
      <c r="M18" s="12">
        <f t="shared" si="0"/>
        <v>86</v>
      </c>
      <c r="N18" s="12">
        <f t="shared" si="1"/>
        <v>7.7500150000000005E-4</v>
      </c>
      <c r="O18" s="12">
        <f t="shared" si="2"/>
        <v>181.90000000150002</v>
      </c>
      <c r="P18" s="12">
        <f t="shared" si="3"/>
        <v>8.3360149999999996E-4</v>
      </c>
      <c r="Q18" s="12">
        <f t="shared" si="4"/>
        <v>184.40000000150002</v>
      </c>
      <c r="R18" s="12">
        <f t="shared" si="5"/>
        <v>8.9560149999999995E-4</v>
      </c>
      <c r="S18" s="12">
        <f t="shared" si="6"/>
        <v>183.2000000015</v>
      </c>
      <c r="T18" s="12">
        <f t="shared" si="7"/>
        <v>9.1860149999999996E-4</v>
      </c>
      <c r="U18" s="12">
        <f t="shared" si="8"/>
        <v>180.90000000150002</v>
      </c>
    </row>
    <row r="19" spans="1:21" x14ac:dyDescent="0.2">
      <c r="A19" s="7">
        <v>85</v>
      </c>
      <c r="B19" s="12">
        <f>0.9908*10^-3</f>
        <v>9.9080000000000001E-4</v>
      </c>
      <c r="C19" s="12">
        <v>184.9</v>
      </c>
      <c r="D19" s="12">
        <f>0.1062*10^-2</f>
        <v>1.062E-3</v>
      </c>
      <c r="E19" s="12">
        <v>188</v>
      </c>
      <c r="F19" s="12">
        <f>0.1143*10^-2</f>
        <v>1.1429999999999999E-3</v>
      </c>
      <c r="G19" s="12">
        <v>186.5</v>
      </c>
      <c r="H19" s="12">
        <f>0.1175*10^-2</f>
        <v>1.175E-3</v>
      </c>
      <c r="I19" s="12">
        <v>184.7</v>
      </c>
      <c r="J19"/>
      <c r="K19" s="8">
        <v>1.5E-9</v>
      </c>
      <c r="M19" s="12">
        <f t="shared" si="0"/>
        <v>85</v>
      </c>
      <c r="N19" s="12">
        <f t="shared" si="1"/>
        <v>9.9080159999999991E-4</v>
      </c>
      <c r="O19" s="12">
        <f t="shared" si="2"/>
        <v>184.90000000160001</v>
      </c>
      <c r="P19" s="12">
        <f t="shared" si="3"/>
        <v>1.0620015999999999E-3</v>
      </c>
      <c r="Q19" s="12">
        <f t="shared" si="4"/>
        <v>188.0000000016</v>
      </c>
      <c r="R19" s="12">
        <f t="shared" si="5"/>
        <v>1.1430015999999998E-3</v>
      </c>
      <c r="S19" s="12">
        <f t="shared" si="6"/>
        <v>186.5000000016</v>
      </c>
      <c r="T19" s="12">
        <f t="shared" si="7"/>
        <v>1.1750015999999999E-3</v>
      </c>
      <c r="U19" s="12">
        <f t="shared" si="8"/>
        <v>184.70000000159999</v>
      </c>
    </row>
    <row r="20" spans="1:21" x14ac:dyDescent="0.2">
      <c r="A20" s="7">
        <v>84</v>
      </c>
      <c r="B20" s="12">
        <f>0.1261*10^-2</f>
        <v>1.261E-3</v>
      </c>
      <c r="C20" s="12">
        <v>189.1</v>
      </c>
      <c r="D20" s="12">
        <f>0.1346*10^-2</f>
        <v>1.346E-3</v>
      </c>
      <c r="E20" s="12">
        <v>192.1</v>
      </c>
      <c r="F20" s="12">
        <f>0.1452*10^-2</f>
        <v>1.4519999999999999E-3</v>
      </c>
      <c r="G20" s="12">
        <v>190.5</v>
      </c>
      <c r="H20" s="12">
        <f>0.1496*10^-2</f>
        <v>1.4960000000000002E-3</v>
      </c>
      <c r="I20" s="12">
        <v>189</v>
      </c>
      <c r="J20"/>
      <c r="K20" s="3">
        <v>1.6000000000000001E-9</v>
      </c>
      <c r="M20" s="12">
        <f t="shared" si="0"/>
        <v>84</v>
      </c>
      <c r="N20" s="12">
        <f t="shared" si="1"/>
        <v>1.2610016999999999E-3</v>
      </c>
      <c r="O20" s="12">
        <f t="shared" si="2"/>
        <v>189.10000000169998</v>
      </c>
      <c r="P20" s="12">
        <f t="shared" si="3"/>
        <v>1.3460016999999999E-3</v>
      </c>
      <c r="Q20" s="12">
        <f t="shared" si="4"/>
        <v>192.10000000169998</v>
      </c>
      <c r="R20" s="12">
        <f t="shared" si="5"/>
        <v>1.4520016999999999E-3</v>
      </c>
      <c r="S20" s="12">
        <f t="shared" si="6"/>
        <v>190.50000000169999</v>
      </c>
      <c r="T20" s="12">
        <f t="shared" si="7"/>
        <v>1.4960017000000001E-3</v>
      </c>
      <c r="U20" s="12">
        <f t="shared" si="8"/>
        <v>189.00000000169999</v>
      </c>
    </row>
    <row r="21" spans="1:21" x14ac:dyDescent="0.2">
      <c r="A21" s="7">
        <v>83</v>
      </c>
      <c r="B21" s="12">
        <f>0.1596*10^-2</f>
        <v>1.596E-3</v>
      </c>
      <c r="C21" s="12">
        <v>193.6</v>
      </c>
      <c r="D21" s="12">
        <f>0.1697*10^-2</f>
        <v>1.6969999999999999E-3</v>
      </c>
      <c r="E21" s="12">
        <v>196.4</v>
      </c>
      <c r="F21" s="12">
        <f>0.1835*10^-2</f>
        <v>1.835E-3</v>
      </c>
      <c r="G21" s="12">
        <v>194.4</v>
      </c>
      <c r="H21" s="12">
        <f>0.1893*10^-2</f>
        <v>1.8929999999999999E-3</v>
      </c>
      <c r="I21" s="12">
        <v>193.7</v>
      </c>
      <c r="J21"/>
      <c r="K21" s="8">
        <v>1.6999999999999999E-9</v>
      </c>
      <c r="M21" s="12">
        <f t="shared" si="0"/>
        <v>83</v>
      </c>
      <c r="N21" s="12">
        <f t="shared" si="1"/>
        <v>1.5960017999999999E-3</v>
      </c>
      <c r="O21" s="12">
        <f t="shared" si="2"/>
        <v>193.6000000018</v>
      </c>
      <c r="P21" s="12">
        <f t="shared" si="3"/>
        <v>1.6970017999999999E-3</v>
      </c>
      <c r="Q21" s="12">
        <f t="shared" si="4"/>
        <v>196.40000000180001</v>
      </c>
      <c r="R21" s="12">
        <f t="shared" si="5"/>
        <v>1.8350018E-3</v>
      </c>
      <c r="S21" s="12">
        <f t="shared" si="6"/>
        <v>194.40000000180001</v>
      </c>
      <c r="T21" s="12">
        <f t="shared" si="7"/>
        <v>1.8930017999999999E-3</v>
      </c>
      <c r="U21" s="12">
        <f t="shared" si="8"/>
        <v>193.70000000179999</v>
      </c>
    </row>
    <row r="22" spans="1:21" x14ac:dyDescent="0.2">
      <c r="A22" s="7">
        <v>82</v>
      </c>
      <c r="B22" s="12">
        <f>0.2008*10^-2</f>
        <v>2.0080000000000002E-3</v>
      </c>
      <c r="C22" s="12">
        <v>198.4</v>
      </c>
      <c r="D22" s="12">
        <f>0.213*10^-2</f>
        <v>2.1299999999999999E-3</v>
      </c>
      <c r="E22" s="12">
        <v>200.5</v>
      </c>
      <c r="F22" s="12">
        <f>0.2309*10^-2</f>
        <v>2.3089999999999999E-3</v>
      </c>
      <c r="G22" s="12">
        <v>198.2</v>
      </c>
      <c r="H22" s="12">
        <f>0.2383*10^-2</f>
        <v>2.3830000000000001E-3</v>
      </c>
      <c r="I22" s="12">
        <v>198.2</v>
      </c>
      <c r="J22"/>
      <c r="K22" s="8">
        <v>1.8E-9</v>
      </c>
      <c r="M22" s="12">
        <f t="shared" si="0"/>
        <v>82</v>
      </c>
      <c r="N22" s="12">
        <f t="shared" si="1"/>
        <v>2.0080019000000005E-3</v>
      </c>
      <c r="O22" s="12">
        <f t="shared" si="2"/>
        <v>198.4000000019</v>
      </c>
      <c r="P22" s="12">
        <f t="shared" si="3"/>
        <v>2.1300019000000002E-3</v>
      </c>
      <c r="Q22" s="12">
        <f t="shared" si="4"/>
        <v>200.50000000189999</v>
      </c>
      <c r="R22" s="12">
        <f t="shared" si="5"/>
        <v>2.3090019000000001E-3</v>
      </c>
      <c r="S22" s="12">
        <f t="shared" si="6"/>
        <v>198.20000000189998</v>
      </c>
      <c r="T22" s="12">
        <f t="shared" si="7"/>
        <v>2.3830019000000003E-3</v>
      </c>
      <c r="U22" s="12">
        <f t="shared" si="8"/>
        <v>198.20000000189998</v>
      </c>
    </row>
    <row r="23" spans="1:21" x14ac:dyDescent="0.2">
      <c r="A23" s="7">
        <v>81</v>
      </c>
      <c r="B23" s="12">
        <f>0.2514*10^-2</f>
        <v>2.5140000000000002E-3</v>
      </c>
      <c r="C23" s="12">
        <v>203.1</v>
      </c>
      <c r="D23" s="12">
        <f>0.2662*10^-2</f>
        <v>2.6619999999999999E-3</v>
      </c>
      <c r="E23" s="12">
        <v>203.9</v>
      </c>
      <c r="F23" s="12">
        <f>0.2893*10^-2</f>
        <v>2.8930000000000002E-3</v>
      </c>
      <c r="G23" s="12">
        <v>201.7</v>
      </c>
      <c r="H23" s="12">
        <f>0.2984*10^-2</f>
        <v>2.9840000000000001E-3</v>
      </c>
      <c r="I23" s="12">
        <v>202.5</v>
      </c>
      <c r="J23"/>
      <c r="K23" s="3">
        <v>1.9000000000000001E-9</v>
      </c>
      <c r="M23" s="12">
        <f t="shared" si="0"/>
        <v>81</v>
      </c>
      <c r="N23" s="12">
        <f t="shared" si="1"/>
        <v>2.514002E-3</v>
      </c>
      <c r="O23" s="12">
        <f t="shared" si="2"/>
        <v>203.100000002</v>
      </c>
      <c r="P23" s="12">
        <f t="shared" si="3"/>
        <v>2.6620019999999997E-3</v>
      </c>
      <c r="Q23" s="12">
        <f t="shared" si="4"/>
        <v>203.90000000200001</v>
      </c>
      <c r="R23" s="12">
        <f t="shared" si="5"/>
        <v>2.893002E-3</v>
      </c>
      <c r="S23" s="12">
        <f t="shared" si="6"/>
        <v>201.700000002</v>
      </c>
      <c r="T23" s="12">
        <f t="shared" si="7"/>
        <v>2.9840019999999999E-3</v>
      </c>
      <c r="U23" s="12">
        <f t="shared" si="8"/>
        <v>202.50000000200001</v>
      </c>
    </row>
    <row r="24" spans="1:21" x14ac:dyDescent="0.2">
      <c r="A24" s="7">
        <v>80</v>
      </c>
      <c r="B24" s="12">
        <f>0.3131*10^-2</f>
        <v>3.1310000000000001E-3</v>
      </c>
      <c r="C24" s="12">
        <v>207.6</v>
      </c>
      <c r="D24" s="12">
        <f>0.3316*10^-2</f>
        <v>3.3159999999999999E-3</v>
      </c>
      <c r="E24" s="12">
        <v>207</v>
      </c>
      <c r="F24" s="12">
        <f>0.3611*10^-2</f>
        <v>3.6109999999999996E-3</v>
      </c>
      <c r="G24" s="12">
        <v>205.2</v>
      </c>
      <c r="H24" s="12">
        <f>0.3721*10^-2</f>
        <v>3.7209999999999999E-3</v>
      </c>
      <c r="I24" s="12">
        <v>206.4</v>
      </c>
      <c r="J24"/>
      <c r="K24" s="8">
        <v>2.0000000000000001E-9</v>
      </c>
      <c r="M24" s="12">
        <f t="shared" si="0"/>
        <v>80</v>
      </c>
      <c r="N24" s="12">
        <f t="shared" si="1"/>
        <v>3.1310021E-3</v>
      </c>
      <c r="O24" s="12">
        <f t="shared" si="2"/>
        <v>207.60000000209999</v>
      </c>
      <c r="P24" s="12">
        <f t="shared" si="3"/>
        <v>3.3160020999999998E-3</v>
      </c>
      <c r="Q24" s="12">
        <f t="shared" si="4"/>
        <v>207.00000000209999</v>
      </c>
      <c r="R24" s="12">
        <f t="shared" si="5"/>
        <v>3.6110020999999995E-3</v>
      </c>
      <c r="S24" s="12">
        <f t="shared" si="6"/>
        <v>205.20000000209998</v>
      </c>
      <c r="T24" s="12">
        <f t="shared" si="7"/>
        <v>3.7210020999999998E-3</v>
      </c>
      <c r="U24" s="12">
        <f t="shared" si="8"/>
        <v>206.4000000021</v>
      </c>
    </row>
    <row r="25" spans="1:21" x14ac:dyDescent="0.2">
      <c r="A25" s="7">
        <v>79</v>
      </c>
      <c r="B25" s="12">
        <f>0.3882*10^-2</f>
        <v>3.882E-3</v>
      </c>
      <c r="C25" s="12">
        <v>211.7</v>
      </c>
      <c r="D25" s="12">
        <f>0.4118*10^-2</f>
        <v>4.1180000000000001E-3</v>
      </c>
      <c r="E25" s="12">
        <v>210</v>
      </c>
      <c r="F25" s="12">
        <f>0.4492*10^-2</f>
        <v>4.4920000000000003E-3</v>
      </c>
      <c r="G25" s="12">
        <v>208.6</v>
      </c>
      <c r="H25" s="12">
        <f>0.4621*10^-2</f>
        <v>4.6210000000000001E-3</v>
      </c>
      <c r="I25" s="12">
        <v>210</v>
      </c>
      <c r="J25"/>
      <c r="K25" s="8">
        <v>2.1000000000000002E-9</v>
      </c>
      <c r="M25" s="12">
        <f t="shared" si="0"/>
        <v>79</v>
      </c>
      <c r="N25" s="12">
        <f t="shared" si="1"/>
        <v>3.8820021999999999E-3</v>
      </c>
      <c r="O25" s="12">
        <f t="shared" si="2"/>
        <v>211.7000000022</v>
      </c>
      <c r="P25" s="12">
        <f t="shared" si="3"/>
        <v>4.1180022E-3</v>
      </c>
      <c r="Q25" s="12">
        <f t="shared" si="4"/>
        <v>210.00000000220001</v>
      </c>
      <c r="R25" s="12">
        <f t="shared" si="5"/>
        <v>4.4920022000000002E-3</v>
      </c>
      <c r="S25" s="12">
        <f t="shared" si="6"/>
        <v>208.60000000220001</v>
      </c>
      <c r="T25" s="12">
        <f t="shared" si="7"/>
        <v>4.6210022E-3</v>
      </c>
      <c r="U25" s="12">
        <f t="shared" si="8"/>
        <v>210.00000000220001</v>
      </c>
    </row>
    <row r="26" spans="1:21" x14ac:dyDescent="0.2">
      <c r="A26" s="7">
        <v>78</v>
      </c>
      <c r="B26" s="12">
        <f>0.4797*10^-2</f>
        <v>4.797E-3</v>
      </c>
      <c r="C26" s="12">
        <v>215.3</v>
      </c>
      <c r="D26" s="12">
        <f>0.51*10^-2</f>
        <v>5.1000000000000004E-3</v>
      </c>
      <c r="E26" s="12">
        <v>212.6</v>
      </c>
      <c r="F26" s="12">
        <f>0.5567*10^-2</f>
        <v>5.5669999999999999E-3</v>
      </c>
      <c r="G26" s="12">
        <v>212.2</v>
      </c>
      <c r="H26" s="12">
        <f>0.572*10^-2</f>
        <v>5.7199999999999994E-3</v>
      </c>
      <c r="I26" s="12">
        <v>213.4</v>
      </c>
      <c r="J26"/>
      <c r="K26" s="3">
        <v>2.1999999999999998E-9</v>
      </c>
      <c r="M26" s="12">
        <f t="shared" si="0"/>
        <v>78</v>
      </c>
      <c r="N26" s="12">
        <f t="shared" si="1"/>
        <v>4.7970023000000004E-3</v>
      </c>
      <c r="O26" s="12">
        <f t="shared" si="2"/>
        <v>215.30000000230001</v>
      </c>
      <c r="P26" s="12">
        <f t="shared" si="3"/>
        <v>5.1000023000000007E-3</v>
      </c>
      <c r="Q26" s="12">
        <f t="shared" si="4"/>
        <v>212.60000000229999</v>
      </c>
      <c r="R26" s="12">
        <f t="shared" si="5"/>
        <v>5.5670023000000003E-3</v>
      </c>
      <c r="S26" s="12">
        <f t="shared" si="6"/>
        <v>212.20000000229999</v>
      </c>
      <c r="T26" s="12">
        <f t="shared" si="7"/>
        <v>5.7200022999999997E-3</v>
      </c>
      <c r="U26" s="12">
        <f t="shared" si="8"/>
        <v>213.4000000023</v>
      </c>
    </row>
    <row r="27" spans="1:21" x14ac:dyDescent="0.2">
      <c r="A27" s="7">
        <v>77</v>
      </c>
      <c r="B27" s="12">
        <f>0.5907*10^-2</f>
        <v>5.9069999999999999E-3</v>
      </c>
      <c r="C27" s="12">
        <v>218.7</v>
      </c>
      <c r="D27" s="12">
        <f>0.6299*10^-2</f>
        <v>6.2989999999999999E-3</v>
      </c>
      <c r="E27" s="12">
        <v>215.3</v>
      </c>
      <c r="F27" s="12">
        <f>0.6875*10^-2</f>
        <v>6.875E-3</v>
      </c>
      <c r="G27" s="12">
        <v>215.8</v>
      </c>
      <c r="H27" s="12">
        <f>0.7057*10^-2</f>
        <v>7.0569999999999999E-3</v>
      </c>
      <c r="I27" s="12">
        <v>216.6</v>
      </c>
      <c r="J27"/>
      <c r="K27" s="8">
        <v>2.2999999999999999E-9</v>
      </c>
      <c r="M27" s="12">
        <f t="shared" si="0"/>
        <v>77</v>
      </c>
      <c r="N27" s="12">
        <f t="shared" si="1"/>
        <v>5.9070023999999999E-3</v>
      </c>
      <c r="O27" s="12">
        <f t="shared" si="2"/>
        <v>218.70000000239997</v>
      </c>
      <c r="P27" s="12">
        <f t="shared" si="3"/>
        <v>6.2990023999999999E-3</v>
      </c>
      <c r="Q27" s="12">
        <f t="shared" si="4"/>
        <v>215.3000000024</v>
      </c>
      <c r="R27" s="12">
        <f t="shared" si="5"/>
        <v>6.8750024E-3</v>
      </c>
      <c r="S27" s="12">
        <f t="shared" si="6"/>
        <v>215.8000000024</v>
      </c>
      <c r="T27" s="12">
        <f t="shared" si="7"/>
        <v>7.0570023999999999E-3</v>
      </c>
      <c r="U27" s="12">
        <f t="shared" si="8"/>
        <v>216.60000000239998</v>
      </c>
    </row>
    <row r="28" spans="1:21" x14ac:dyDescent="0.2">
      <c r="A28" s="7">
        <v>76</v>
      </c>
      <c r="B28" s="12">
        <f>0.7253*10^-2</f>
        <v>7.2529999999999999E-3</v>
      </c>
      <c r="C28" s="12">
        <v>221.4</v>
      </c>
      <c r="D28" s="12">
        <f>0.776*10^-2</f>
        <v>7.7600000000000004E-3</v>
      </c>
      <c r="E28" s="12">
        <v>218.2</v>
      </c>
      <c r="F28" s="12">
        <f>0.8463*10^-2</f>
        <v>8.463E-3</v>
      </c>
      <c r="G28" s="12">
        <v>219.3</v>
      </c>
      <c r="H28" s="12">
        <f>0.8683*10^-2</f>
        <v>8.6829999999999997E-3</v>
      </c>
      <c r="I28" s="12">
        <v>219.4</v>
      </c>
      <c r="J28"/>
      <c r="K28" s="8">
        <v>2.4E-9</v>
      </c>
      <c r="M28" s="12">
        <f t="shared" si="0"/>
        <v>76</v>
      </c>
      <c r="N28" s="12">
        <f t="shared" si="1"/>
        <v>7.2530025000000003E-3</v>
      </c>
      <c r="O28" s="12">
        <f t="shared" si="2"/>
        <v>221.40000000250001</v>
      </c>
      <c r="P28" s="12">
        <f t="shared" si="3"/>
        <v>7.7600025000000008E-3</v>
      </c>
      <c r="Q28" s="12">
        <f t="shared" si="4"/>
        <v>218.20000000249999</v>
      </c>
      <c r="R28" s="12">
        <f t="shared" si="5"/>
        <v>8.4630025000000005E-3</v>
      </c>
      <c r="S28" s="12">
        <f t="shared" si="6"/>
        <v>219.30000000250001</v>
      </c>
      <c r="T28" s="12">
        <f t="shared" si="7"/>
        <v>8.6830025000000002E-3</v>
      </c>
      <c r="U28" s="12">
        <f t="shared" si="8"/>
        <v>219.40000000250001</v>
      </c>
    </row>
    <row r="29" spans="1:21" x14ac:dyDescent="0.2">
      <c r="A29" s="7">
        <v>75</v>
      </c>
      <c r="B29" s="12">
        <f>0.8887*10^-2</f>
        <v>8.8870000000000008E-3</v>
      </c>
      <c r="C29" s="12">
        <v>223.8</v>
      </c>
      <c r="D29" s="12">
        <f>0.9535*10^-2</f>
        <v>9.5350000000000001E-3</v>
      </c>
      <c r="E29" s="12">
        <v>221</v>
      </c>
      <c r="F29" s="12">
        <f>0.1038*10^-2</f>
        <v>1.0380000000000001E-3</v>
      </c>
      <c r="G29" s="12">
        <v>222.6</v>
      </c>
      <c r="H29" s="12">
        <f>0.1066*10^-2</f>
        <v>1.0660000000000001E-3</v>
      </c>
      <c r="I29" s="12">
        <v>222</v>
      </c>
      <c r="J29"/>
      <c r="K29" s="3">
        <v>2.5000000000000001E-9</v>
      </c>
      <c r="M29" s="12">
        <f t="shared" si="0"/>
        <v>75</v>
      </c>
      <c r="N29" s="12">
        <f t="shared" si="1"/>
        <v>8.8870026000000008E-3</v>
      </c>
      <c r="O29" s="12">
        <f t="shared" si="2"/>
        <v>223.8000000026</v>
      </c>
      <c r="P29" s="12">
        <f t="shared" si="3"/>
        <v>9.5350026000000001E-3</v>
      </c>
      <c r="Q29" s="12">
        <f t="shared" si="4"/>
        <v>221.00000000259999</v>
      </c>
      <c r="R29" s="12">
        <f t="shared" si="5"/>
        <v>1.0380026000000001E-3</v>
      </c>
      <c r="S29" s="12">
        <f t="shared" si="6"/>
        <v>222.60000000259998</v>
      </c>
      <c r="T29" s="12">
        <f t="shared" si="7"/>
        <v>1.0660026000000001E-3</v>
      </c>
      <c r="U29" s="12">
        <f t="shared" si="8"/>
        <v>222.00000000259999</v>
      </c>
    </row>
    <row r="30" spans="1:21" x14ac:dyDescent="0.2">
      <c r="A30" s="7">
        <v>74</v>
      </c>
      <c r="B30" s="12">
        <f>0.1087*10^-2</f>
        <v>1.0870000000000001E-3</v>
      </c>
      <c r="C30" s="12">
        <v>225.9</v>
      </c>
      <c r="D30" s="12">
        <f>0.1169*10^-1</f>
        <v>1.1690000000000001E-2</v>
      </c>
      <c r="E30" s="12">
        <v>223.6</v>
      </c>
      <c r="F30" s="12">
        <f>0.1271*10^-1</f>
        <v>1.2709999999999999E-2</v>
      </c>
      <c r="G30" s="12">
        <v>225.4</v>
      </c>
      <c r="H30" s="12">
        <f>0.1305*10^-1</f>
        <v>1.3050000000000001E-2</v>
      </c>
      <c r="I30" s="12">
        <v>224.3</v>
      </c>
      <c r="J30"/>
      <c r="K30" s="8">
        <v>2.6000000000000001E-9</v>
      </c>
      <c r="M30" s="12">
        <f t="shared" si="0"/>
        <v>74</v>
      </c>
      <c r="N30" s="12">
        <f t="shared" si="1"/>
        <v>1.0870027000000001E-3</v>
      </c>
      <c r="O30" s="12">
        <f t="shared" si="2"/>
        <v>225.90000000270001</v>
      </c>
      <c r="P30" s="12">
        <f t="shared" si="3"/>
        <v>1.16900027E-2</v>
      </c>
      <c r="Q30" s="12">
        <f t="shared" si="4"/>
        <v>223.6000000027</v>
      </c>
      <c r="R30" s="12">
        <f t="shared" si="5"/>
        <v>1.2710002699999999E-2</v>
      </c>
      <c r="S30" s="12">
        <f t="shared" si="6"/>
        <v>225.40000000270001</v>
      </c>
      <c r="T30" s="12">
        <f t="shared" si="7"/>
        <v>1.30500027E-2</v>
      </c>
      <c r="U30" s="12">
        <f t="shared" si="8"/>
        <v>224.30000000270002</v>
      </c>
    </row>
    <row r="31" spans="1:21" x14ac:dyDescent="0.2">
      <c r="A31" s="7">
        <v>73</v>
      </c>
      <c r="B31" s="12">
        <f>0.1327*10^-1</f>
        <v>1.3270000000000002E-2</v>
      </c>
      <c r="C31" s="12">
        <v>227.8</v>
      </c>
      <c r="D31" s="12">
        <f>0.1429*10^-1</f>
        <v>1.4290000000000001E-2</v>
      </c>
      <c r="E31" s="12">
        <v>226</v>
      </c>
      <c r="F31" s="12">
        <f>0.1551*10^-1</f>
        <v>1.5509999999999999E-2</v>
      </c>
      <c r="G31" s="12">
        <v>228</v>
      </c>
      <c r="H31" s="12">
        <f>0.1595*10^-1</f>
        <v>1.5950000000000002E-2</v>
      </c>
      <c r="I31" s="12">
        <v>226.4</v>
      </c>
      <c r="J31"/>
      <c r="K31" s="8">
        <v>2.7000000000000002E-9</v>
      </c>
      <c r="M31" s="12">
        <f t="shared" si="0"/>
        <v>73</v>
      </c>
      <c r="N31" s="12">
        <f t="shared" si="1"/>
        <v>1.3270002800000001E-2</v>
      </c>
      <c r="O31" s="12">
        <f t="shared" si="2"/>
        <v>227.8000000028</v>
      </c>
      <c r="P31" s="12">
        <f t="shared" si="3"/>
        <v>1.42900028E-2</v>
      </c>
      <c r="Q31" s="12">
        <f t="shared" si="4"/>
        <v>226.00000000279999</v>
      </c>
      <c r="R31" s="12">
        <f t="shared" si="5"/>
        <v>1.5510002799999999E-2</v>
      </c>
      <c r="S31" s="12">
        <f t="shared" si="6"/>
        <v>228.00000000279999</v>
      </c>
      <c r="T31" s="12">
        <f t="shared" si="7"/>
        <v>1.5950002800000002E-2</v>
      </c>
      <c r="U31" s="12">
        <f t="shared" si="8"/>
        <v>226.4000000028</v>
      </c>
    </row>
    <row r="32" spans="1:21" x14ac:dyDescent="0.2">
      <c r="A32" s="7">
        <v>72</v>
      </c>
      <c r="B32" s="12">
        <f>0.1617*10^-1</f>
        <v>1.617E-2</v>
      </c>
      <c r="C32" s="12">
        <v>229.3</v>
      </c>
      <c r="D32" s="12">
        <f>0.1744*10^-1</f>
        <v>1.7440000000000001E-2</v>
      </c>
      <c r="E32" s="12">
        <v>228</v>
      </c>
      <c r="F32" s="12">
        <f>0.189*10^-1</f>
        <v>1.89E-2</v>
      </c>
      <c r="G32" s="12">
        <v>230.1</v>
      </c>
      <c r="H32" s="12">
        <f>0.1947*10^-1</f>
        <v>1.9470000000000001E-2</v>
      </c>
      <c r="I32" s="12">
        <v>228.1</v>
      </c>
      <c r="J32"/>
      <c r="K32" s="3">
        <v>2.7999999999999998E-9</v>
      </c>
      <c r="M32" s="12">
        <f t="shared" si="0"/>
        <v>72</v>
      </c>
      <c r="N32" s="12">
        <f t="shared" si="1"/>
        <v>1.6170002900000001E-2</v>
      </c>
      <c r="O32" s="12">
        <f t="shared" si="2"/>
        <v>229.30000000290002</v>
      </c>
      <c r="P32" s="12">
        <f t="shared" si="3"/>
        <v>1.7440002900000001E-2</v>
      </c>
      <c r="Q32" s="12">
        <f t="shared" si="4"/>
        <v>228.00000000290001</v>
      </c>
      <c r="R32" s="12">
        <f t="shared" si="5"/>
        <v>1.8900002900000001E-2</v>
      </c>
      <c r="S32" s="12">
        <f t="shared" si="6"/>
        <v>230.1000000029</v>
      </c>
      <c r="T32" s="12">
        <f t="shared" si="7"/>
        <v>1.9470002900000002E-2</v>
      </c>
      <c r="U32" s="12">
        <f t="shared" si="8"/>
        <v>228.1000000029</v>
      </c>
    </row>
    <row r="33" spans="1:21" x14ac:dyDescent="0.2">
      <c r="A33" s="7">
        <v>71</v>
      </c>
      <c r="B33" s="12">
        <f>0.197*10^-1</f>
        <v>1.9700000000000002E-2</v>
      </c>
      <c r="C33" s="12">
        <v>230.5</v>
      </c>
      <c r="D33" s="12">
        <f>0.2127*10^-1</f>
        <v>2.1270000000000001E-2</v>
      </c>
      <c r="E33" s="12">
        <v>229.4</v>
      </c>
      <c r="F33" s="12">
        <f>0.23*10^-1</f>
        <v>2.3000000000000003E-2</v>
      </c>
      <c r="G33" s="12">
        <v>231.6</v>
      </c>
      <c r="H33" s="12">
        <f>0.2373*10^-1</f>
        <v>2.3730000000000001E-2</v>
      </c>
      <c r="I33" s="12">
        <v>229.5</v>
      </c>
      <c r="J33"/>
      <c r="K33" s="8">
        <v>2.8999999999999999E-9</v>
      </c>
      <c r="M33" s="12">
        <f t="shared" si="0"/>
        <v>71</v>
      </c>
      <c r="N33" s="12">
        <f t="shared" si="1"/>
        <v>1.9700003000000001E-2</v>
      </c>
      <c r="O33" s="12">
        <f t="shared" si="2"/>
        <v>230.500000003</v>
      </c>
      <c r="P33" s="12">
        <f t="shared" si="3"/>
        <v>2.1270002999999999E-2</v>
      </c>
      <c r="Q33" s="12">
        <f t="shared" si="4"/>
        <v>229.400000003</v>
      </c>
      <c r="R33" s="12">
        <f t="shared" si="5"/>
        <v>2.3000003000000002E-2</v>
      </c>
      <c r="S33" s="12">
        <f t="shared" si="6"/>
        <v>231.60000000299999</v>
      </c>
      <c r="T33" s="12">
        <f t="shared" si="7"/>
        <v>2.3730003E-2</v>
      </c>
      <c r="U33" s="12">
        <f t="shared" si="8"/>
        <v>229.500000003</v>
      </c>
    </row>
    <row r="34" spans="1:21" x14ac:dyDescent="0.2">
      <c r="A34" s="7">
        <v>70</v>
      </c>
      <c r="B34" s="12">
        <f>0.2397*10^-1</f>
        <v>2.3970000000000002E-2</v>
      </c>
      <c r="C34" s="12">
        <v>231.1</v>
      </c>
      <c r="D34" s="12">
        <f>0.259*10^-1</f>
        <v>2.5900000000000003E-2</v>
      </c>
      <c r="E34" s="12">
        <v>230.2</v>
      </c>
      <c r="F34" s="12">
        <f>0.2796*10^-1</f>
        <v>2.7960000000000002E-2</v>
      </c>
      <c r="G34" s="12">
        <v>232.6</v>
      </c>
      <c r="H34" s="12">
        <f>0.289*10^-1</f>
        <v>2.8899999999999999E-2</v>
      </c>
      <c r="I34" s="12">
        <v>230.6</v>
      </c>
      <c r="J34"/>
      <c r="K34" s="8">
        <v>3E-9</v>
      </c>
      <c r="M34" s="12">
        <f t="shared" si="0"/>
        <v>70</v>
      </c>
      <c r="N34" s="12">
        <f t="shared" si="1"/>
        <v>2.3970003100000001E-2</v>
      </c>
      <c r="O34" s="12">
        <f t="shared" si="2"/>
        <v>231.10000000310001</v>
      </c>
      <c r="P34" s="12">
        <f t="shared" si="3"/>
        <v>2.5900003100000003E-2</v>
      </c>
      <c r="Q34" s="12">
        <f t="shared" si="4"/>
        <v>230.2000000031</v>
      </c>
      <c r="R34" s="12">
        <f t="shared" si="5"/>
        <v>2.7960003100000002E-2</v>
      </c>
      <c r="S34" s="12">
        <f t="shared" si="6"/>
        <v>232.60000000310001</v>
      </c>
      <c r="T34" s="12">
        <f t="shared" si="7"/>
        <v>2.8900003099999998E-2</v>
      </c>
      <c r="U34" s="12">
        <f t="shared" si="8"/>
        <v>230.60000000310001</v>
      </c>
    </row>
    <row r="35" spans="1:21" x14ac:dyDescent="0.2">
      <c r="A35" s="7">
        <v>69</v>
      </c>
      <c r="B35" s="12">
        <f>0.2917*10^-1</f>
        <v>2.9170000000000001E-2</v>
      </c>
      <c r="C35" s="12">
        <v>231.2</v>
      </c>
      <c r="D35" s="12">
        <f>0.3154*10^-1</f>
        <v>3.1540000000000006E-2</v>
      </c>
      <c r="E35" s="12">
        <v>230.3</v>
      </c>
      <c r="F35" s="12">
        <f>0.3397*10^-1</f>
        <v>3.397E-2</v>
      </c>
      <c r="G35" s="12">
        <v>232.9</v>
      </c>
      <c r="H35" s="12">
        <f>0.3517*10^-1</f>
        <v>3.517E-2</v>
      </c>
      <c r="I35" s="12">
        <v>231.2</v>
      </c>
      <c r="J35"/>
      <c r="K35" s="3">
        <v>3.1E-9</v>
      </c>
      <c r="M35" s="12">
        <f t="shared" si="0"/>
        <v>69</v>
      </c>
      <c r="N35" s="12">
        <f t="shared" si="1"/>
        <v>2.9170003200000003E-2</v>
      </c>
      <c r="O35" s="12">
        <f t="shared" si="2"/>
        <v>231.20000000319999</v>
      </c>
      <c r="P35" s="12">
        <f t="shared" si="3"/>
        <v>3.1540003200000007E-2</v>
      </c>
      <c r="Q35" s="12">
        <f t="shared" si="4"/>
        <v>230.30000000320001</v>
      </c>
      <c r="R35" s="12">
        <f t="shared" si="5"/>
        <v>3.3970003200000001E-2</v>
      </c>
      <c r="S35" s="12">
        <f t="shared" si="6"/>
        <v>232.90000000320001</v>
      </c>
      <c r="T35" s="12">
        <f t="shared" si="7"/>
        <v>3.5170003200000001E-2</v>
      </c>
      <c r="U35" s="12">
        <f t="shared" si="8"/>
        <v>231.20000000319999</v>
      </c>
    </row>
    <row r="36" spans="1:21" x14ac:dyDescent="0.2">
      <c r="A36" s="7">
        <v>68</v>
      </c>
      <c r="B36" s="12">
        <f>0.3551*10^-1</f>
        <v>3.5510000000000007E-2</v>
      </c>
      <c r="C36" s="12">
        <v>230.4</v>
      </c>
      <c r="D36" s="12">
        <f>0.3842*10^-1</f>
        <v>3.8420000000000003E-2</v>
      </c>
      <c r="E36" s="12">
        <v>229.5</v>
      </c>
      <c r="F36" s="12">
        <f>0.4129*10^-1</f>
        <v>4.129E-2</v>
      </c>
      <c r="G36" s="12">
        <v>232.6</v>
      </c>
      <c r="H36" s="12">
        <f>0.428*10^-1</f>
        <v>4.2800000000000005E-2</v>
      </c>
      <c r="I36" s="12">
        <v>231.4</v>
      </c>
      <c r="J36"/>
      <c r="K36" s="8">
        <v>3.2000000000000001E-9</v>
      </c>
      <c r="M36" s="12">
        <f t="shared" ref="M36:M54" si="9">A36</f>
        <v>68</v>
      </c>
      <c r="N36" s="12">
        <f t="shared" ref="N36:N54" si="10">B36+$K37</f>
        <v>3.5510003300000009E-2</v>
      </c>
      <c r="O36" s="12">
        <f t="shared" ref="O36:O54" si="11">C36+$K37</f>
        <v>230.40000000329999</v>
      </c>
      <c r="P36" s="12">
        <f t="shared" ref="P36:P54" si="12">D36+$K37</f>
        <v>3.8420003300000005E-2</v>
      </c>
      <c r="Q36" s="12">
        <f t="shared" ref="Q36:Q54" si="13">E36+$K37</f>
        <v>229.50000000329999</v>
      </c>
      <c r="R36" s="12">
        <f t="shared" ref="R36:R54" si="14">F36+$K37</f>
        <v>4.1290003300000003E-2</v>
      </c>
      <c r="S36" s="12">
        <f t="shared" ref="S36:S54" si="15">G36+$K37</f>
        <v>232.60000000329998</v>
      </c>
      <c r="T36" s="12">
        <f t="shared" ref="T36:T54" si="16">H36+$K37</f>
        <v>4.2800003300000007E-2</v>
      </c>
      <c r="U36" s="12">
        <f t="shared" ref="U36:U54" si="17">I36+$K37</f>
        <v>231.40000000329999</v>
      </c>
    </row>
    <row r="37" spans="1:21" x14ac:dyDescent="0.2">
      <c r="A37" s="7">
        <v>67</v>
      </c>
      <c r="B37" s="12">
        <f>0.4327*10^-1</f>
        <v>4.3270000000000003E-2</v>
      </c>
      <c r="C37" s="12">
        <v>228.8</v>
      </c>
      <c r="D37" s="12">
        <f>0.4686*10^-1</f>
        <v>4.6860000000000006E-2</v>
      </c>
      <c r="E37" s="12">
        <v>228</v>
      </c>
      <c r="F37" s="12">
        <f>0.5021*10^-1</f>
        <v>5.0210000000000005E-2</v>
      </c>
      <c r="G37" s="12">
        <v>231.7</v>
      </c>
      <c r="H37" s="12">
        <f>0.5207*10^-1</f>
        <v>5.2070000000000005E-2</v>
      </c>
      <c r="I37" s="12">
        <v>231.2</v>
      </c>
      <c r="J37"/>
      <c r="K37" s="8">
        <v>3.3000000000000002E-9</v>
      </c>
      <c r="M37" s="12">
        <f t="shared" si="9"/>
        <v>67</v>
      </c>
      <c r="N37" s="12">
        <f t="shared" si="10"/>
        <v>4.32700034E-2</v>
      </c>
      <c r="O37" s="12">
        <f t="shared" si="11"/>
        <v>228.80000000340002</v>
      </c>
      <c r="P37" s="12">
        <f t="shared" si="12"/>
        <v>4.6860003400000003E-2</v>
      </c>
      <c r="Q37" s="12">
        <f t="shared" si="13"/>
        <v>228.0000000034</v>
      </c>
      <c r="R37" s="12">
        <f t="shared" si="14"/>
        <v>5.0210003400000001E-2</v>
      </c>
      <c r="S37" s="12">
        <f t="shared" si="15"/>
        <v>231.70000000339999</v>
      </c>
      <c r="T37" s="12">
        <f t="shared" si="16"/>
        <v>5.2070003400000002E-2</v>
      </c>
      <c r="U37" s="12">
        <f t="shared" si="17"/>
        <v>231.20000000339999</v>
      </c>
    </row>
    <row r="38" spans="1:21" x14ac:dyDescent="0.2">
      <c r="A38" s="7">
        <v>66</v>
      </c>
      <c r="B38" s="12">
        <f>0.5283*10^-1</f>
        <v>5.2830000000000002E-2</v>
      </c>
      <c r="C38" s="12">
        <v>226.5</v>
      </c>
      <c r="D38" s="12">
        <f>0.5725*10^-1</f>
        <v>5.7250000000000002E-2</v>
      </c>
      <c r="E38" s="12">
        <v>226.1</v>
      </c>
      <c r="F38" s="12">
        <f>0.6112*10^-1</f>
        <v>6.1120000000000001E-2</v>
      </c>
      <c r="G38" s="12">
        <v>230.5</v>
      </c>
      <c r="H38" s="12">
        <f>0.6339*10^-1</f>
        <v>6.3390000000000002E-2</v>
      </c>
      <c r="I38" s="12">
        <v>230.8</v>
      </c>
      <c r="J38"/>
      <c r="K38" s="3">
        <v>3.3999999999999998E-9</v>
      </c>
      <c r="M38" s="12">
        <f t="shared" si="9"/>
        <v>66</v>
      </c>
      <c r="N38" s="12">
        <f t="shared" si="10"/>
        <v>5.28300035E-2</v>
      </c>
      <c r="O38" s="12">
        <f t="shared" si="11"/>
        <v>226.50000000349999</v>
      </c>
      <c r="P38" s="12">
        <f t="shared" si="12"/>
        <v>5.72500035E-2</v>
      </c>
      <c r="Q38" s="12">
        <f t="shared" si="13"/>
        <v>226.10000000349999</v>
      </c>
      <c r="R38" s="12">
        <f t="shared" si="14"/>
        <v>6.1120003499999999E-2</v>
      </c>
      <c r="S38" s="12">
        <f t="shared" si="15"/>
        <v>230.50000000349999</v>
      </c>
      <c r="T38" s="12">
        <f t="shared" si="16"/>
        <v>6.33900035E-2</v>
      </c>
      <c r="U38" s="12">
        <f t="shared" si="17"/>
        <v>230.8000000035</v>
      </c>
    </row>
    <row r="39" spans="1:21" x14ac:dyDescent="0.2">
      <c r="A39" s="7">
        <v>65</v>
      </c>
      <c r="B39" s="12">
        <f>0.6465*10^-1</f>
        <v>6.4649999999999999E-2</v>
      </c>
      <c r="C39" s="12">
        <v>224.1</v>
      </c>
      <c r="D39" s="12">
        <f>0.7006*10^-1</f>
        <v>7.0059999999999997E-2</v>
      </c>
      <c r="E39" s="12">
        <v>224.2</v>
      </c>
      <c r="F39" s="12">
        <f>0.7447*10^-1</f>
        <v>7.4470000000000008E-2</v>
      </c>
      <c r="G39" s="12">
        <v>229.4</v>
      </c>
      <c r="H39" s="12">
        <f>0.772*10^-1</f>
        <v>7.7200000000000005E-2</v>
      </c>
      <c r="I39" s="12">
        <v>230.3</v>
      </c>
      <c r="J39"/>
      <c r="K39" s="8">
        <v>3.4999999999999999E-9</v>
      </c>
      <c r="M39" s="12">
        <f t="shared" si="9"/>
        <v>65</v>
      </c>
      <c r="N39" s="12">
        <f t="shared" si="10"/>
        <v>6.4650003600000006E-2</v>
      </c>
      <c r="O39" s="12">
        <f t="shared" si="11"/>
        <v>224.1000000036</v>
      </c>
      <c r="P39" s="12">
        <f t="shared" si="12"/>
        <v>7.0060003600000004E-2</v>
      </c>
      <c r="Q39" s="12">
        <f t="shared" si="13"/>
        <v>224.2000000036</v>
      </c>
      <c r="R39" s="12">
        <f t="shared" si="14"/>
        <v>7.4470003600000015E-2</v>
      </c>
      <c r="S39" s="12">
        <f t="shared" si="15"/>
        <v>229.40000000360001</v>
      </c>
      <c r="T39" s="12">
        <f t="shared" si="16"/>
        <v>7.7200003600000011E-2</v>
      </c>
      <c r="U39" s="12">
        <f t="shared" si="17"/>
        <v>230.30000000360002</v>
      </c>
    </row>
    <row r="40" spans="1:21" x14ac:dyDescent="0.2">
      <c r="A40" s="7">
        <v>64</v>
      </c>
      <c r="B40" s="12">
        <f>0.7929*10^-1</f>
        <v>7.9290000000000013E-2</v>
      </c>
      <c r="C40" s="12">
        <v>221.8</v>
      </c>
      <c r="D40" s="12">
        <f>0.8588*10^-1</f>
        <v>8.5880000000000012E-2</v>
      </c>
      <c r="E40" s="12">
        <v>222.8</v>
      </c>
      <c r="F40" s="12">
        <f>0.9083*10^-1</f>
        <v>9.0830000000000008E-2</v>
      </c>
      <c r="G40" s="12">
        <v>228.6</v>
      </c>
      <c r="H40" s="12">
        <f>0.9404*10^-1</f>
        <v>9.4040000000000012E-2</v>
      </c>
      <c r="I40" s="12">
        <v>230.5</v>
      </c>
      <c r="J40"/>
      <c r="K40" s="8">
        <v>3.6E-9</v>
      </c>
      <c r="M40" s="12">
        <f t="shared" si="9"/>
        <v>64</v>
      </c>
      <c r="N40" s="12">
        <f t="shared" si="10"/>
        <v>7.9290003700000014E-2</v>
      </c>
      <c r="O40" s="12">
        <f t="shared" si="11"/>
        <v>221.80000000370001</v>
      </c>
      <c r="P40" s="12">
        <f t="shared" si="12"/>
        <v>8.5880003700000013E-2</v>
      </c>
      <c r="Q40" s="12">
        <f t="shared" si="13"/>
        <v>222.80000000370001</v>
      </c>
      <c r="R40" s="12">
        <f t="shared" si="14"/>
        <v>9.0830003700000009E-2</v>
      </c>
      <c r="S40" s="12">
        <f t="shared" si="15"/>
        <v>228.60000000369999</v>
      </c>
      <c r="T40" s="12">
        <f t="shared" si="16"/>
        <v>9.4040003700000013E-2</v>
      </c>
      <c r="U40" s="12">
        <f t="shared" si="17"/>
        <v>230.50000000369999</v>
      </c>
    </row>
    <row r="41" spans="1:21" x14ac:dyDescent="0.2">
      <c r="A41" s="7">
        <v>63</v>
      </c>
      <c r="B41" s="12">
        <f>0.9742*10^-1</f>
        <v>9.7420000000000007E-2</v>
      </c>
      <c r="C41" s="12">
        <v>220.1</v>
      </c>
      <c r="D41" s="12">
        <f>0.1053</f>
        <v>0.1053</v>
      </c>
      <c r="E41" s="12">
        <v>222.5</v>
      </c>
      <c r="F41" s="12">
        <f>0.1108</f>
        <v>0.1108</v>
      </c>
      <c r="G41" s="12">
        <v>228.7</v>
      </c>
      <c r="H41" s="12">
        <f>0.1145</f>
        <v>0.1145</v>
      </c>
      <c r="I41" s="12">
        <v>231.4</v>
      </c>
      <c r="J41"/>
      <c r="K41" s="3">
        <v>3.7E-9</v>
      </c>
      <c r="M41" s="12">
        <f t="shared" si="9"/>
        <v>63</v>
      </c>
      <c r="N41" s="12">
        <f t="shared" si="10"/>
        <v>9.7420003800000002E-2</v>
      </c>
      <c r="O41" s="12">
        <f t="shared" si="11"/>
        <v>220.10000000380001</v>
      </c>
      <c r="P41" s="12">
        <f t="shared" si="12"/>
        <v>0.1053000038</v>
      </c>
      <c r="Q41" s="12">
        <f t="shared" si="13"/>
        <v>222.50000000380001</v>
      </c>
      <c r="R41" s="12">
        <f t="shared" si="14"/>
        <v>0.11080000379999999</v>
      </c>
      <c r="S41" s="12">
        <f t="shared" si="15"/>
        <v>228.7000000038</v>
      </c>
      <c r="T41" s="12">
        <f t="shared" si="16"/>
        <v>0.1145000038</v>
      </c>
      <c r="U41" s="12">
        <f t="shared" si="17"/>
        <v>231.40000000380002</v>
      </c>
    </row>
    <row r="42" spans="1:21" x14ac:dyDescent="0.2">
      <c r="A42" s="7">
        <v>62</v>
      </c>
      <c r="B42" s="12">
        <f>0.1198</f>
        <v>0.1198</v>
      </c>
      <c r="C42" s="12">
        <v>220.2</v>
      </c>
      <c r="D42" s="12">
        <f>0.1291</f>
        <v>0.12909999999999999</v>
      </c>
      <c r="E42" s="12">
        <v>223.8</v>
      </c>
      <c r="F42" s="12">
        <f>0.1351</f>
        <v>0.1351</v>
      </c>
      <c r="G42" s="12">
        <v>230.1</v>
      </c>
      <c r="H42" s="12">
        <f>0.1392</f>
        <v>0.13919999999999999</v>
      </c>
      <c r="I42" s="12">
        <v>233.6</v>
      </c>
      <c r="J42"/>
      <c r="K42" s="8">
        <v>3.8000000000000001E-9</v>
      </c>
      <c r="M42" s="12">
        <f t="shared" si="9"/>
        <v>62</v>
      </c>
      <c r="N42" s="12">
        <f t="shared" si="10"/>
        <v>0.11980000390000001</v>
      </c>
      <c r="O42" s="12">
        <f t="shared" si="11"/>
        <v>220.20000000389999</v>
      </c>
      <c r="P42" s="12">
        <f t="shared" si="12"/>
        <v>0.12910000389999998</v>
      </c>
      <c r="Q42" s="12">
        <f t="shared" si="13"/>
        <v>223.80000000390001</v>
      </c>
      <c r="R42" s="12">
        <f t="shared" si="14"/>
        <v>0.13510000389999999</v>
      </c>
      <c r="S42" s="12">
        <f t="shared" si="15"/>
        <v>230.10000000389999</v>
      </c>
      <c r="T42" s="12">
        <f t="shared" si="16"/>
        <v>0.13920000389999998</v>
      </c>
      <c r="U42" s="12">
        <f t="shared" si="17"/>
        <v>233.60000000389999</v>
      </c>
    </row>
    <row r="43" spans="1:21" x14ac:dyDescent="0.2">
      <c r="A43" s="7">
        <v>61</v>
      </c>
      <c r="B43" s="12">
        <f>0.1472</f>
        <v>0.1472</v>
      </c>
      <c r="C43" s="12">
        <v>221.1</v>
      </c>
      <c r="D43" s="12">
        <f>0.158</f>
        <v>0.158</v>
      </c>
      <c r="E43" s="12">
        <v>226.6</v>
      </c>
      <c r="F43" s="12">
        <f>0.1644</f>
        <v>0.16439999999999999</v>
      </c>
      <c r="G43" s="12">
        <v>232.8</v>
      </c>
      <c r="H43" s="12">
        <f>0.1689</f>
        <v>0.16889999999999999</v>
      </c>
      <c r="I43" s="12">
        <v>236.8</v>
      </c>
      <c r="J43"/>
      <c r="K43" s="8">
        <v>3.9000000000000002E-9</v>
      </c>
      <c r="M43" s="12">
        <f t="shared" si="9"/>
        <v>61</v>
      </c>
      <c r="N43" s="12">
        <f t="shared" si="10"/>
        <v>0.147200004</v>
      </c>
      <c r="O43" s="12">
        <f t="shared" si="11"/>
        <v>221.10000000399998</v>
      </c>
      <c r="P43" s="12">
        <f t="shared" si="12"/>
        <v>0.158000004</v>
      </c>
      <c r="Q43" s="12">
        <f t="shared" si="13"/>
        <v>226.60000000399998</v>
      </c>
      <c r="R43" s="12">
        <f t="shared" si="14"/>
        <v>0.16440000399999999</v>
      </c>
      <c r="S43" s="12">
        <f t="shared" si="15"/>
        <v>232.800000004</v>
      </c>
      <c r="T43" s="12">
        <f t="shared" si="16"/>
        <v>0.16890000399999999</v>
      </c>
      <c r="U43" s="12">
        <f t="shared" si="17"/>
        <v>236.800000004</v>
      </c>
    </row>
    <row r="44" spans="1:21" x14ac:dyDescent="0.2">
      <c r="A44" s="7">
        <v>60</v>
      </c>
      <c r="B44" s="12">
        <f>0.1806</f>
        <v>0.18060000000000001</v>
      </c>
      <c r="C44" s="12">
        <v>224</v>
      </c>
      <c r="D44" s="12">
        <f>0.1927</f>
        <v>0.19270000000000001</v>
      </c>
      <c r="E44" s="12">
        <v>230.8</v>
      </c>
      <c r="F44" s="12">
        <f>0.1996</f>
        <v>0.1996</v>
      </c>
      <c r="G44" s="12">
        <v>236.4</v>
      </c>
      <c r="H44" s="12">
        <f>0.2042</f>
        <v>0.20419999999999999</v>
      </c>
      <c r="I44" s="12">
        <v>241</v>
      </c>
      <c r="J44"/>
      <c r="K44" s="3">
        <v>4.0000000000000002E-9</v>
      </c>
      <c r="M44" s="12">
        <f t="shared" si="9"/>
        <v>60</v>
      </c>
      <c r="N44" s="12">
        <f t="shared" si="10"/>
        <v>0.18060000410000002</v>
      </c>
      <c r="O44" s="12">
        <f t="shared" si="11"/>
        <v>224.0000000041</v>
      </c>
      <c r="P44" s="12">
        <f t="shared" si="12"/>
        <v>0.19270000410000002</v>
      </c>
      <c r="Q44" s="12">
        <f t="shared" si="13"/>
        <v>230.80000000410001</v>
      </c>
      <c r="R44" s="12">
        <f t="shared" si="14"/>
        <v>0.19960000410000001</v>
      </c>
      <c r="S44" s="12">
        <f t="shared" si="15"/>
        <v>236.40000000410001</v>
      </c>
      <c r="T44" s="12">
        <f t="shared" si="16"/>
        <v>0.2042000041</v>
      </c>
      <c r="U44" s="12">
        <f t="shared" si="17"/>
        <v>241.0000000041</v>
      </c>
    </row>
    <row r="45" spans="1:21" x14ac:dyDescent="0.2">
      <c r="A45" s="7">
        <v>59</v>
      </c>
      <c r="B45" s="12">
        <f>0.2209</f>
        <v>0.22090000000000001</v>
      </c>
      <c r="C45" s="12">
        <v>226.6</v>
      </c>
      <c r="D45" s="12">
        <f>0.2342</f>
        <v>0.23419999999999999</v>
      </c>
      <c r="E45" s="12">
        <v>235.4</v>
      </c>
      <c r="F45" s="12">
        <f>0.2415</f>
        <v>0.24149999999999999</v>
      </c>
      <c r="G45" s="12">
        <v>240</v>
      </c>
      <c r="H45" s="12">
        <f>0.2461</f>
        <v>0.24610000000000001</v>
      </c>
      <c r="I45" s="12">
        <v>245.8</v>
      </c>
      <c r="J45"/>
      <c r="K45" s="8">
        <v>4.1000000000000003E-9</v>
      </c>
      <c r="M45" s="12">
        <f t="shared" si="9"/>
        <v>59</v>
      </c>
      <c r="N45" s="12">
        <f t="shared" si="10"/>
        <v>0.2209000042</v>
      </c>
      <c r="O45" s="12">
        <f t="shared" si="11"/>
        <v>226.60000000419998</v>
      </c>
      <c r="P45" s="12">
        <f t="shared" si="12"/>
        <v>0.23420000419999998</v>
      </c>
      <c r="Q45" s="12">
        <f t="shared" si="13"/>
        <v>235.4000000042</v>
      </c>
      <c r="R45" s="12">
        <f t="shared" si="14"/>
        <v>0.24150000419999998</v>
      </c>
      <c r="S45" s="12">
        <f t="shared" si="15"/>
        <v>240.00000000419999</v>
      </c>
      <c r="T45" s="12">
        <f t="shared" si="16"/>
        <v>0.2461000042</v>
      </c>
      <c r="U45" s="12">
        <f t="shared" si="17"/>
        <v>245.8000000042</v>
      </c>
    </row>
    <row r="46" spans="1:21" x14ac:dyDescent="0.2">
      <c r="A46" s="7">
        <v>58</v>
      </c>
      <c r="B46" s="12">
        <f>0.2696</f>
        <v>0.26960000000000001</v>
      </c>
      <c r="C46" s="12">
        <v>229.7</v>
      </c>
      <c r="D46" s="12">
        <f>0.2835</f>
        <v>0.28349999999999997</v>
      </c>
      <c r="E46" s="12">
        <v>240</v>
      </c>
      <c r="F46" s="12">
        <f>0.2914</f>
        <v>0.29139999999999999</v>
      </c>
      <c r="G46" s="12">
        <v>244.1</v>
      </c>
      <c r="H46" s="12">
        <f>0.2955</f>
        <v>0.29549999999999998</v>
      </c>
      <c r="I46" s="12">
        <v>251.1</v>
      </c>
      <c r="J46"/>
      <c r="K46" s="8">
        <v>4.2000000000000004E-9</v>
      </c>
      <c r="M46" s="12">
        <f t="shared" si="9"/>
        <v>58</v>
      </c>
      <c r="N46" s="12">
        <f t="shared" si="10"/>
        <v>0.26960000430000003</v>
      </c>
      <c r="O46" s="12">
        <f t="shared" si="11"/>
        <v>229.70000000429999</v>
      </c>
      <c r="P46" s="12">
        <f t="shared" si="12"/>
        <v>0.2835000043</v>
      </c>
      <c r="Q46" s="12">
        <f t="shared" si="13"/>
        <v>240.00000000430001</v>
      </c>
      <c r="R46" s="12">
        <f t="shared" si="14"/>
        <v>0.29140000430000002</v>
      </c>
      <c r="S46" s="12">
        <f t="shared" si="15"/>
        <v>244.1000000043</v>
      </c>
      <c r="T46" s="12">
        <f t="shared" si="16"/>
        <v>0.29550000430000001</v>
      </c>
      <c r="U46" s="12">
        <f t="shared" si="17"/>
        <v>251.1000000043</v>
      </c>
    </row>
    <row r="47" spans="1:21" x14ac:dyDescent="0.2">
      <c r="A47" s="7">
        <v>57</v>
      </c>
      <c r="B47" s="12">
        <f>0.3283</f>
        <v>0.32829999999999998</v>
      </c>
      <c r="C47" s="12">
        <v>232.7</v>
      </c>
      <c r="D47" s="12">
        <f>0.3419</f>
        <v>0.34189999999999998</v>
      </c>
      <c r="E47" s="12">
        <v>245.3</v>
      </c>
      <c r="F47" s="12">
        <f>0.35</f>
        <v>0.35</v>
      </c>
      <c r="G47" s="12">
        <v>251.6</v>
      </c>
      <c r="H47" s="12">
        <f>0.3532</f>
        <v>0.35320000000000001</v>
      </c>
      <c r="I47" s="12">
        <v>257.5</v>
      </c>
      <c r="J47"/>
      <c r="K47" s="3">
        <v>4.2999999999999996E-9</v>
      </c>
      <c r="M47" s="12">
        <f t="shared" si="9"/>
        <v>57</v>
      </c>
      <c r="N47" s="12">
        <f t="shared" si="10"/>
        <v>0.32830000439999996</v>
      </c>
      <c r="O47" s="12">
        <f t="shared" si="11"/>
        <v>232.70000000439998</v>
      </c>
      <c r="P47" s="12">
        <f t="shared" si="12"/>
        <v>0.34190000439999996</v>
      </c>
      <c r="Q47" s="12">
        <f t="shared" si="13"/>
        <v>245.3000000044</v>
      </c>
      <c r="R47" s="12">
        <f t="shared" si="14"/>
        <v>0.35000000439999995</v>
      </c>
      <c r="S47" s="12">
        <f t="shared" si="15"/>
        <v>251.60000000439999</v>
      </c>
      <c r="T47" s="12">
        <f t="shared" si="16"/>
        <v>0.35320000439999999</v>
      </c>
      <c r="U47" s="12">
        <f t="shared" si="17"/>
        <v>257.50000000440002</v>
      </c>
    </row>
    <row r="48" spans="1:21" x14ac:dyDescent="0.2">
      <c r="A48" s="7">
        <v>56</v>
      </c>
      <c r="B48" s="12">
        <f>0.3983</f>
        <v>0.39829999999999999</v>
      </c>
      <c r="C48" s="12">
        <v>238.1</v>
      </c>
      <c r="D48" s="12">
        <f>0.4103</f>
        <v>0.4103</v>
      </c>
      <c r="E48" s="12">
        <v>253.3</v>
      </c>
      <c r="F48" s="12">
        <f>0.4177</f>
        <v>0.41770000000000002</v>
      </c>
      <c r="G48" s="12">
        <v>261.7</v>
      </c>
      <c r="H48" s="12">
        <f>0.4202</f>
        <v>0.42020000000000002</v>
      </c>
      <c r="I48" s="12">
        <v>265.39999999999998</v>
      </c>
      <c r="J48"/>
      <c r="K48" s="8">
        <v>4.3999999999999997E-9</v>
      </c>
      <c r="M48" s="12">
        <f t="shared" si="9"/>
        <v>56</v>
      </c>
      <c r="N48" s="12">
        <f t="shared" si="10"/>
        <v>0.39830000449999997</v>
      </c>
      <c r="O48" s="12">
        <f t="shared" si="11"/>
        <v>238.1000000045</v>
      </c>
      <c r="P48" s="12">
        <f t="shared" si="12"/>
        <v>0.41030000449999998</v>
      </c>
      <c r="Q48" s="12">
        <f t="shared" si="13"/>
        <v>253.30000000450002</v>
      </c>
      <c r="R48" s="12">
        <f t="shared" si="14"/>
        <v>0.4177000045</v>
      </c>
      <c r="S48" s="12">
        <f t="shared" si="15"/>
        <v>261.7000000045</v>
      </c>
      <c r="T48" s="12">
        <f t="shared" si="16"/>
        <v>0.4202000045</v>
      </c>
      <c r="U48" s="12">
        <f t="shared" si="17"/>
        <v>265.40000000449999</v>
      </c>
    </row>
    <row r="49" spans="1:21" x14ac:dyDescent="0.2">
      <c r="A49" s="7">
        <v>55</v>
      </c>
      <c r="B49" s="12">
        <f>0.4793</f>
        <v>0.4793</v>
      </c>
      <c r="C49" s="12">
        <v>252.1</v>
      </c>
      <c r="D49" s="12">
        <f>0.4886</f>
        <v>0.48859999999999998</v>
      </c>
      <c r="E49" s="12">
        <v>266</v>
      </c>
      <c r="F49" s="12">
        <f>0.4947</f>
        <v>0.49469999999999997</v>
      </c>
      <c r="G49" s="12">
        <v>274</v>
      </c>
      <c r="H49" s="12">
        <f>0.4968</f>
        <v>0.49680000000000002</v>
      </c>
      <c r="I49" s="12">
        <v>276.7</v>
      </c>
      <c r="J49"/>
      <c r="K49" s="8">
        <v>4.4999999999999998E-9</v>
      </c>
      <c r="M49" s="12">
        <f t="shared" si="9"/>
        <v>55</v>
      </c>
      <c r="N49" s="12">
        <f t="shared" si="10"/>
        <v>0.4793000046</v>
      </c>
      <c r="O49" s="12">
        <f t="shared" si="11"/>
        <v>252.10000000459999</v>
      </c>
      <c r="P49" s="12">
        <f t="shared" si="12"/>
        <v>0.48860000459999997</v>
      </c>
      <c r="Q49" s="12">
        <f t="shared" si="13"/>
        <v>266.0000000046</v>
      </c>
      <c r="R49" s="12">
        <f t="shared" si="14"/>
        <v>0.49470000459999997</v>
      </c>
      <c r="S49" s="12">
        <f t="shared" si="15"/>
        <v>274.0000000046</v>
      </c>
      <c r="T49" s="12">
        <f t="shared" si="16"/>
        <v>0.49680000460000001</v>
      </c>
      <c r="U49" s="12">
        <f t="shared" si="17"/>
        <v>276.70000000459999</v>
      </c>
    </row>
    <row r="50" spans="1:21" x14ac:dyDescent="0.2">
      <c r="A50" s="7">
        <v>54</v>
      </c>
      <c r="B50" s="12">
        <f>0.5703</f>
        <v>0.57030000000000003</v>
      </c>
      <c r="C50" s="12">
        <v>268.3</v>
      </c>
      <c r="D50" s="12">
        <f>0.5768</f>
        <v>0.57679999999999998</v>
      </c>
      <c r="E50" s="12">
        <v>279.89999999999998</v>
      </c>
      <c r="F50" s="12">
        <f>0.5815</f>
        <v>0.58150000000000002</v>
      </c>
      <c r="G50" s="12">
        <v>286.60000000000002</v>
      </c>
      <c r="H50" s="12">
        <f>0.5831</f>
        <v>0.58309999999999995</v>
      </c>
      <c r="I50" s="12">
        <v>289</v>
      </c>
      <c r="J50"/>
      <c r="K50" s="3">
        <v>4.5999999999999998E-9</v>
      </c>
      <c r="M50" s="12">
        <f t="shared" si="9"/>
        <v>54</v>
      </c>
      <c r="N50" s="12">
        <f t="shared" si="10"/>
        <v>0.57030000469999997</v>
      </c>
      <c r="O50" s="12">
        <f t="shared" si="11"/>
        <v>268.3000000047</v>
      </c>
      <c r="P50" s="12">
        <f t="shared" si="12"/>
        <v>0.57680000469999992</v>
      </c>
      <c r="Q50" s="12">
        <f t="shared" si="13"/>
        <v>279.90000000469996</v>
      </c>
      <c r="R50" s="12">
        <f t="shared" si="14"/>
        <v>0.58150000469999996</v>
      </c>
      <c r="S50" s="12">
        <f t="shared" si="15"/>
        <v>286.60000000470001</v>
      </c>
      <c r="T50" s="12">
        <f t="shared" si="16"/>
        <v>0.5831000046999999</v>
      </c>
      <c r="U50" s="12">
        <f t="shared" si="17"/>
        <v>289.00000000469998</v>
      </c>
    </row>
    <row r="51" spans="1:21" x14ac:dyDescent="0.2">
      <c r="A51" s="7">
        <v>53</v>
      </c>
      <c r="B51" s="12">
        <f>0.6716</f>
        <v>0.67159999999999997</v>
      </c>
      <c r="C51" s="12">
        <v>285</v>
      </c>
      <c r="D51" s="12">
        <f>0.6753</f>
        <v>0.67530000000000001</v>
      </c>
      <c r="E51" s="12">
        <v>294.10000000000002</v>
      </c>
      <c r="F51" s="12">
        <f>0.6787</f>
        <v>0.67869999999999997</v>
      </c>
      <c r="G51" s="12">
        <v>299.5</v>
      </c>
      <c r="H51" s="12">
        <f>0.6799</f>
        <v>0.67989999999999995</v>
      </c>
      <c r="I51" s="12">
        <v>301.39999999999998</v>
      </c>
      <c r="J51"/>
      <c r="K51" s="8">
        <v>4.6999999999999999E-9</v>
      </c>
      <c r="M51" s="12">
        <f t="shared" si="9"/>
        <v>53</v>
      </c>
      <c r="N51" s="12">
        <f t="shared" si="10"/>
        <v>0.67160000479999993</v>
      </c>
      <c r="O51" s="12">
        <f t="shared" si="11"/>
        <v>285.00000000479997</v>
      </c>
      <c r="P51" s="12">
        <f t="shared" si="12"/>
        <v>0.67530000479999996</v>
      </c>
      <c r="Q51" s="12">
        <f t="shared" si="13"/>
        <v>294.10000000479999</v>
      </c>
      <c r="R51" s="12">
        <f t="shared" si="14"/>
        <v>0.67870000479999992</v>
      </c>
      <c r="S51" s="12">
        <f t="shared" si="15"/>
        <v>299.50000000479997</v>
      </c>
      <c r="T51" s="12">
        <f t="shared" si="16"/>
        <v>0.6799000047999999</v>
      </c>
      <c r="U51" s="12">
        <f t="shared" si="17"/>
        <v>301.40000000479995</v>
      </c>
    </row>
    <row r="52" spans="1:21" x14ac:dyDescent="0.2">
      <c r="A52" s="7">
        <v>52</v>
      </c>
      <c r="B52" s="12">
        <f>0.7835</f>
        <v>0.78349999999999997</v>
      </c>
      <c r="C52" s="12">
        <v>302.2</v>
      </c>
      <c r="D52" s="12">
        <f>0.7848</f>
        <v>0.78480000000000005</v>
      </c>
      <c r="E52" s="12">
        <v>308.7</v>
      </c>
      <c r="F52" s="12">
        <f>0.7871</f>
        <v>0.78710000000000002</v>
      </c>
      <c r="G52" s="12">
        <v>312.60000000000002</v>
      </c>
      <c r="H52" s="12">
        <f>0.7879</f>
        <v>0.78790000000000004</v>
      </c>
      <c r="I52" s="12">
        <v>313.89999999999998</v>
      </c>
      <c r="J52"/>
      <c r="K52" s="8">
        <v>4.8E-9</v>
      </c>
      <c r="M52" s="12">
        <f t="shared" si="9"/>
        <v>52</v>
      </c>
      <c r="N52" s="12">
        <f t="shared" si="10"/>
        <v>0.78350000489999994</v>
      </c>
      <c r="O52" s="12">
        <f t="shared" si="11"/>
        <v>302.20000000490001</v>
      </c>
      <c r="P52" s="12">
        <f t="shared" si="12"/>
        <v>0.78480000490000001</v>
      </c>
      <c r="Q52" s="12">
        <f t="shared" si="13"/>
        <v>308.70000000490001</v>
      </c>
      <c r="R52" s="12">
        <f t="shared" si="14"/>
        <v>0.78710000489999998</v>
      </c>
      <c r="S52" s="12">
        <f t="shared" si="15"/>
        <v>312.60000000490004</v>
      </c>
      <c r="T52" s="12">
        <f t="shared" si="16"/>
        <v>0.78790000490000001</v>
      </c>
      <c r="U52" s="12">
        <f t="shared" si="17"/>
        <v>313.90000000489999</v>
      </c>
    </row>
    <row r="53" spans="1:21" x14ac:dyDescent="0.2">
      <c r="A53" s="7">
        <v>51</v>
      </c>
      <c r="B53" s="12">
        <f>0.9062</f>
        <v>0.90620000000000001</v>
      </c>
      <c r="C53" s="12">
        <v>319.89999999999998</v>
      </c>
      <c r="D53" s="12">
        <f>0.9058</f>
        <v>0.90580000000000005</v>
      </c>
      <c r="E53" s="12">
        <v>323.60000000000002</v>
      </c>
      <c r="F53" s="12">
        <f>0.9072</f>
        <v>0.90720000000000001</v>
      </c>
      <c r="G53" s="12">
        <v>325.8</v>
      </c>
      <c r="H53" s="12">
        <f>0.9077</f>
        <v>0.90769999999999995</v>
      </c>
      <c r="I53" s="12">
        <v>326.7</v>
      </c>
      <c r="J53"/>
      <c r="K53" s="3">
        <v>4.9E-9</v>
      </c>
      <c r="M53" s="12">
        <f t="shared" si="9"/>
        <v>51</v>
      </c>
      <c r="N53" s="12">
        <f t="shared" si="10"/>
        <v>0.90620000499999998</v>
      </c>
      <c r="O53" s="12">
        <f t="shared" si="11"/>
        <v>319.90000000499998</v>
      </c>
      <c r="P53" s="12">
        <f t="shared" si="12"/>
        <v>0.90580000500000002</v>
      </c>
      <c r="Q53" s="12">
        <f t="shared" si="13"/>
        <v>323.60000000500003</v>
      </c>
      <c r="R53" s="12">
        <f t="shared" si="14"/>
        <v>0.90720000499999998</v>
      </c>
      <c r="S53" s="12">
        <f t="shared" si="15"/>
        <v>325.80000000500002</v>
      </c>
      <c r="T53" s="12">
        <f t="shared" si="16"/>
        <v>0.90770000499999992</v>
      </c>
      <c r="U53" s="12">
        <f t="shared" si="17"/>
        <v>326.70000000499999</v>
      </c>
    </row>
    <row r="54" spans="1:21" x14ac:dyDescent="0.2">
      <c r="A54" s="7">
        <v>50</v>
      </c>
      <c r="B54" s="12">
        <f>1.039</f>
        <v>1.0389999999999999</v>
      </c>
      <c r="C54" s="12">
        <v>338.5</v>
      </c>
      <c r="D54" s="12">
        <f>1.038</f>
        <v>1.038</v>
      </c>
      <c r="E54" s="12">
        <v>339.2</v>
      </c>
      <c r="F54" s="12">
        <f>1.039</f>
        <v>1.0389999999999999</v>
      </c>
      <c r="G54" s="12">
        <v>339.9</v>
      </c>
      <c r="H54" s="12">
        <f>1.039</f>
        <v>1.0389999999999999</v>
      </c>
      <c r="I54" s="12">
        <v>340.1</v>
      </c>
      <c r="J54"/>
      <c r="K54" s="8">
        <v>5.0000000000000001E-9</v>
      </c>
      <c r="M54" s="12">
        <f t="shared" si="9"/>
        <v>50</v>
      </c>
      <c r="N54" s="12">
        <f t="shared" si="10"/>
        <v>1.0390000050999999</v>
      </c>
      <c r="O54" s="12">
        <f t="shared" si="11"/>
        <v>338.50000000509999</v>
      </c>
      <c r="P54" s="12">
        <f t="shared" si="12"/>
        <v>1.0380000051</v>
      </c>
      <c r="Q54" s="12">
        <f t="shared" si="13"/>
        <v>339.20000000509998</v>
      </c>
      <c r="R54" s="12">
        <f t="shared" si="14"/>
        <v>1.0390000050999999</v>
      </c>
      <c r="S54" s="12">
        <f t="shared" si="15"/>
        <v>339.90000000509997</v>
      </c>
      <c r="T54" s="12">
        <f t="shared" si="16"/>
        <v>1.0390000050999999</v>
      </c>
      <c r="U54" s="12">
        <f t="shared" si="17"/>
        <v>340.10000000510001</v>
      </c>
    </row>
    <row r="55" spans="1:21" x14ac:dyDescent="0.2">
      <c r="K55" s="8">
        <v>5.1000000000000002E-9</v>
      </c>
    </row>
  </sheetData>
  <mergeCells count="12">
    <mergeCell ref="A1:I1"/>
    <mergeCell ref="M1:U1"/>
    <mergeCell ref="A2:A3"/>
    <mergeCell ref="B2:C2"/>
    <mergeCell ref="D2:E2"/>
    <mergeCell ref="F2:G2"/>
    <mergeCell ref="H2:I2"/>
    <mergeCell ref="M2:M3"/>
    <mergeCell ref="N2:O2"/>
    <mergeCell ref="P2:Q2"/>
    <mergeCell ref="R2:S2"/>
    <mergeCell ref="T2:U2"/>
  </mergeCells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57"/>
  <sheetViews>
    <sheetView zoomScale="80" zoomScaleNormal="80" workbookViewId="0">
      <selection activeCell="E6" sqref="E6"/>
    </sheetView>
  </sheetViews>
  <sheetFormatPr defaultRowHeight="14.25" x14ac:dyDescent="0.2"/>
  <cols>
    <col min="1" max="9" width="10.625" style="3" customWidth="1"/>
    <col min="10" max="257" width="9" style="3" customWidth="1"/>
    <col min="258" max="1025" width="9" customWidth="1"/>
  </cols>
  <sheetData>
    <row r="1" spans="1:21" x14ac:dyDescent="0.2">
      <c r="A1" s="14"/>
      <c r="B1" s="14"/>
      <c r="C1" s="14"/>
      <c r="D1" s="14"/>
      <c r="E1" s="4" t="s">
        <v>12</v>
      </c>
      <c r="F1" s="4"/>
      <c r="G1" s="14"/>
      <c r="H1" s="14"/>
      <c r="I1" s="14"/>
      <c r="M1" s="14"/>
      <c r="N1" s="14"/>
      <c r="O1" s="14"/>
      <c r="P1" s="14"/>
      <c r="Q1" s="4" t="s">
        <v>12</v>
      </c>
      <c r="R1" s="4"/>
      <c r="S1" s="14"/>
      <c r="T1" s="14"/>
      <c r="U1" s="14"/>
    </row>
    <row r="2" spans="1:21" ht="25.5" customHeight="1" x14ac:dyDescent="0.2">
      <c r="A2" s="1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K2"/>
      <c r="M2" s="1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2">
      <c r="A3" s="1"/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  <c r="K3" s="3" t="s">
        <v>8</v>
      </c>
      <c r="M3" s="1"/>
      <c r="N3" s="4" t="s">
        <v>6</v>
      </c>
      <c r="O3" s="4" t="s">
        <v>7</v>
      </c>
      <c r="P3" s="4" t="s">
        <v>6</v>
      </c>
      <c r="Q3" s="4" t="s">
        <v>7</v>
      </c>
      <c r="R3" s="4" t="s">
        <v>6</v>
      </c>
      <c r="S3" s="4" t="s">
        <v>7</v>
      </c>
      <c r="T3" s="4" t="s">
        <v>6</v>
      </c>
      <c r="U3" s="4" t="s">
        <v>7</v>
      </c>
    </row>
    <row r="4" spans="1:21" x14ac:dyDescent="0.2">
      <c r="A4" s="5">
        <v>100</v>
      </c>
      <c r="B4" s="3">
        <f>0.2504*10^-4</f>
        <v>2.5040000000000001E-5</v>
      </c>
      <c r="C4" s="3">
        <v>171.9</v>
      </c>
      <c r="D4" s="3">
        <f>0.248*10^-4</f>
        <v>2.48E-5</v>
      </c>
      <c r="E4" s="3">
        <v>166.8</v>
      </c>
      <c r="F4" s="3">
        <f>0.2554*10^-4</f>
        <v>2.5540000000000003E-5</v>
      </c>
      <c r="G4" s="3">
        <v>168</v>
      </c>
      <c r="H4" s="3">
        <f>0.2557*10^-4</f>
        <v>2.5570000000000001E-5</v>
      </c>
      <c r="I4" s="3">
        <v>168.9</v>
      </c>
      <c r="K4" s="3">
        <v>1E-10</v>
      </c>
      <c r="M4" s="3">
        <f t="shared" ref="M4:M35" si="0">A4</f>
        <v>100</v>
      </c>
      <c r="N4" s="3">
        <f t="shared" ref="N4:N35" si="1">B4+$K5</f>
        <v>2.5040200000000001E-5</v>
      </c>
      <c r="O4" s="3">
        <f t="shared" ref="O4:O35" si="2">C4+$K5</f>
        <v>171.90000000020001</v>
      </c>
      <c r="P4" s="3">
        <f t="shared" ref="P4:P35" si="3">D4+$K5</f>
        <v>2.48002E-5</v>
      </c>
      <c r="Q4" s="3">
        <f t="shared" ref="Q4:Q35" si="4">E4+$K5</f>
        <v>166.80000000020001</v>
      </c>
      <c r="R4" s="3">
        <f t="shared" ref="R4:R35" si="5">F4+$K5</f>
        <v>2.5540200000000003E-5</v>
      </c>
      <c r="S4" s="3">
        <f t="shared" ref="S4:S35" si="6">G4+$K5</f>
        <v>168.0000000002</v>
      </c>
      <c r="T4" s="3">
        <f t="shared" ref="T4:T35" si="7">H4+$K5</f>
        <v>2.5570200000000001E-5</v>
      </c>
      <c r="U4" s="3">
        <f t="shared" ref="U4:U35" si="8">I4+$K5</f>
        <v>168.90000000020001</v>
      </c>
    </row>
    <row r="5" spans="1:21" x14ac:dyDescent="0.2">
      <c r="A5" s="7">
        <v>99</v>
      </c>
      <c r="B5" s="3">
        <f>0.3253*10^-4</f>
        <v>3.2530000000000002E-5</v>
      </c>
      <c r="C5" s="3">
        <v>171.4</v>
      </c>
      <c r="D5" s="3">
        <f>0.3246*10^-4</f>
        <v>3.2460000000000004E-5</v>
      </c>
      <c r="E5" s="3">
        <v>167</v>
      </c>
      <c r="F5" s="3">
        <f>0.3338*10^-4</f>
        <v>3.3380000000000002E-5</v>
      </c>
      <c r="G5" s="3">
        <v>167.8</v>
      </c>
      <c r="H5" s="3">
        <f>0.3336*10^-4</f>
        <v>3.3359999999999999E-5</v>
      </c>
      <c r="I5" s="3">
        <v>168.8</v>
      </c>
      <c r="K5" s="8">
        <v>2.0000000000000001E-10</v>
      </c>
      <c r="M5" s="3">
        <f t="shared" si="0"/>
        <v>99</v>
      </c>
      <c r="N5" s="3">
        <f t="shared" si="1"/>
        <v>3.2530300000000003E-5</v>
      </c>
      <c r="O5" s="3">
        <f t="shared" si="2"/>
        <v>171.4000000003</v>
      </c>
      <c r="P5" s="3">
        <f t="shared" si="3"/>
        <v>3.2460300000000005E-5</v>
      </c>
      <c r="Q5" s="3">
        <f t="shared" si="4"/>
        <v>167.00000000029999</v>
      </c>
      <c r="R5" s="3">
        <f t="shared" si="5"/>
        <v>3.3380300000000003E-5</v>
      </c>
      <c r="S5" s="3">
        <f t="shared" si="6"/>
        <v>167.8000000003</v>
      </c>
      <c r="T5" s="3">
        <f t="shared" si="7"/>
        <v>3.33603E-5</v>
      </c>
      <c r="U5" s="3">
        <f t="shared" si="8"/>
        <v>168.8000000003</v>
      </c>
    </row>
    <row r="6" spans="1:21" x14ac:dyDescent="0.2">
      <c r="A6" s="7">
        <v>98</v>
      </c>
      <c r="B6" s="3">
        <f>0.4227*10^-4</f>
        <v>4.2270000000000007E-5</v>
      </c>
      <c r="C6" s="3">
        <v>171.7</v>
      </c>
      <c r="D6" s="3">
        <f>0.4246*10^-4</f>
        <v>4.2459999999999997E-5</v>
      </c>
      <c r="E6" s="3">
        <v>167.7</v>
      </c>
      <c r="F6" s="3">
        <f>0.436*10^-4</f>
        <v>4.3600000000000003E-5</v>
      </c>
      <c r="G6" s="3">
        <v>168.4</v>
      </c>
      <c r="H6" s="3">
        <f>0.4353*10^-4</f>
        <v>4.3530000000000005E-5</v>
      </c>
      <c r="I6" s="3">
        <v>169.1</v>
      </c>
      <c r="K6" s="8">
        <v>3E-10</v>
      </c>
      <c r="M6" s="3">
        <f t="shared" si="0"/>
        <v>98</v>
      </c>
      <c r="N6" s="3">
        <f t="shared" si="1"/>
        <v>4.2270400000000008E-5</v>
      </c>
      <c r="O6" s="3">
        <f t="shared" si="2"/>
        <v>171.7000000004</v>
      </c>
      <c r="P6" s="3">
        <f t="shared" si="3"/>
        <v>4.2460399999999998E-5</v>
      </c>
      <c r="Q6" s="3">
        <f t="shared" si="4"/>
        <v>167.7000000004</v>
      </c>
      <c r="R6" s="3">
        <f t="shared" si="5"/>
        <v>4.3600400000000004E-5</v>
      </c>
      <c r="S6" s="3">
        <f t="shared" si="6"/>
        <v>168.40000000040001</v>
      </c>
      <c r="T6" s="3">
        <f t="shared" si="7"/>
        <v>4.3530400000000006E-5</v>
      </c>
      <c r="U6" s="3">
        <f t="shared" si="8"/>
        <v>169.1000000004</v>
      </c>
    </row>
    <row r="7" spans="1:21" x14ac:dyDescent="0.2">
      <c r="A7" s="7">
        <v>97</v>
      </c>
      <c r="B7" s="3">
        <f>0.549*10^-4</f>
        <v>5.4900000000000006E-5</v>
      </c>
      <c r="C7" s="3">
        <v>172.2</v>
      </c>
      <c r="D7" s="3">
        <f>0.5547*10^-4</f>
        <v>5.5470000000000003E-5</v>
      </c>
      <c r="E7" s="3">
        <v>168.7</v>
      </c>
      <c r="F7" s="3">
        <f>0.5691*10^-4</f>
        <v>5.6910000000000009E-5</v>
      </c>
      <c r="G7" s="3">
        <v>169.1</v>
      </c>
      <c r="H7" s="3">
        <f>0.5676*10^-4</f>
        <v>5.6760000000000005E-5</v>
      </c>
      <c r="I7" s="3">
        <v>169.6</v>
      </c>
      <c r="K7" s="3">
        <v>4.0000000000000001E-10</v>
      </c>
      <c r="M7" s="3">
        <f t="shared" si="0"/>
        <v>97</v>
      </c>
      <c r="N7" s="3">
        <f t="shared" si="1"/>
        <v>5.4900500000000007E-5</v>
      </c>
      <c r="O7" s="3">
        <f t="shared" si="2"/>
        <v>172.20000000049998</v>
      </c>
      <c r="P7" s="3">
        <f t="shared" si="3"/>
        <v>5.5470500000000004E-5</v>
      </c>
      <c r="Q7" s="3">
        <f t="shared" si="4"/>
        <v>168.70000000049998</v>
      </c>
      <c r="R7" s="3">
        <f t="shared" si="5"/>
        <v>5.691050000000001E-5</v>
      </c>
      <c r="S7" s="3">
        <f t="shared" si="6"/>
        <v>169.10000000049999</v>
      </c>
      <c r="T7" s="3">
        <f t="shared" si="7"/>
        <v>5.6760500000000007E-5</v>
      </c>
      <c r="U7" s="3">
        <f t="shared" si="8"/>
        <v>169.60000000049999</v>
      </c>
    </row>
    <row r="8" spans="1:21" x14ac:dyDescent="0.2">
      <c r="A8" s="7">
        <v>96</v>
      </c>
      <c r="B8" s="3">
        <f>0.7126*10^-4</f>
        <v>7.1260000000000006E-5</v>
      </c>
      <c r="C8" s="3">
        <v>172.6</v>
      </c>
      <c r="D8" s="3">
        <f>0.7234*10^-4</f>
        <v>7.2340000000000002E-5</v>
      </c>
      <c r="E8" s="3">
        <v>169.8</v>
      </c>
      <c r="F8" s="3">
        <f>0.7419*10^-4</f>
        <v>7.4190000000000006E-5</v>
      </c>
      <c r="G8" s="3">
        <v>169.9</v>
      </c>
      <c r="H8" s="3">
        <f>0.7396*10^-4</f>
        <v>7.3960000000000003E-5</v>
      </c>
      <c r="I8" s="3">
        <v>170</v>
      </c>
      <c r="K8" s="8">
        <v>5.0000000000000003E-10</v>
      </c>
      <c r="M8" s="3">
        <f t="shared" si="0"/>
        <v>96</v>
      </c>
      <c r="N8" s="3">
        <f t="shared" si="1"/>
        <v>7.1260600000000007E-5</v>
      </c>
      <c r="O8" s="3">
        <f t="shared" si="2"/>
        <v>172.60000000060001</v>
      </c>
      <c r="P8" s="3">
        <f t="shared" si="3"/>
        <v>7.2340600000000003E-5</v>
      </c>
      <c r="Q8" s="3">
        <f t="shared" si="4"/>
        <v>169.80000000060002</v>
      </c>
      <c r="R8" s="3">
        <f t="shared" si="5"/>
        <v>7.4190600000000008E-5</v>
      </c>
      <c r="S8" s="3">
        <f t="shared" si="6"/>
        <v>169.90000000060002</v>
      </c>
      <c r="T8" s="3">
        <f t="shared" si="7"/>
        <v>7.3960600000000005E-5</v>
      </c>
      <c r="U8" s="3">
        <f t="shared" si="8"/>
        <v>170.00000000060001</v>
      </c>
    </row>
    <row r="9" spans="1:21" x14ac:dyDescent="0.2">
      <c r="A9" s="7">
        <v>95</v>
      </c>
      <c r="B9" s="3">
        <f>0.9243*10^-4</f>
        <v>9.2430000000000008E-5</v>
      </c>
      <c r="C9" s="3">
        <v>173.2</v>
      </c>
      <c r="D9" s="3">
        <f>0.9419*10^-4</f>
        <v>9.4190000000000005E-5</v>
      </c>
      <c r="E9" s="3">
        <v>170.9</v>
      </c>
      <c r="F9" s="3">
        <f>0.9661*10^-4</f>
        <v>9.6609999999999998E-5</v>
      </c>
      <c r="G9" s="3">
        <v>170.7</v>
      </c>
      <c r="H9" s="3">
        <f>0.9632*10^-4</f>
        <v>9.6319999999999999E-5</v>
      </c>
      <c r="I9" s="3">
        <v>170.5</v>
      </c>
      <c r="K9" s="8">
        <v>6E-10</v>
      </c>
      <c r="M9" s="3">
        <f t="shared" si="0"/>
        <v>95</v>
      </c>
      <c r="N9" s="3">
        <f t="shared" si="1"/>
        <v>9.2430700000000003E-5</v>
      </c>
      <c r="O9" s="3">
        <f t="shared" si="2"/>
        <v>173.20000000069999</v>
      </c>
      <c r="P9" s="3">
        <f t="shared" si="3"/>
        <v>9.4190699999999999E-5</v>
      </c>
      <c r="Q9" s="3">
        <f t="shared" si="4"/>
        <v>170.9000000007</v>
      </c>
      <c r="R9" s="3">
        <f t="shared" si="5"/>
        <v>9.6610699999999993E-5</v>
      </c>
      <c r="S9" s="3">
        <f t="shared" si="6"/>
        <v>170.70000000069999</v>
      </c>
      <c r="T9" s="3">
        <f t="shared" si="7"/>
        <v>9.6320699999999994E-5</v>
      </c>
      <c r="U9" s="3">
        <f t="shared" si="8"/>
        <v>170.5000000007</v>
      </c>
    </row>
    <row r="10" spans="1:21" x14ac:dyDescent="0.2">
      <c r="A10" s="7">
        <v>94</v>
      </c>
      <c r="B10" s="3">
        <f>0.1198*10^-3</f>
        <v>1.1980000000000001E-4</v>
      </c>
      <c r="C10" s="3">
        <v>174.1</v>
      </c>
      <c r="D10" s="3">
        <f>0.1224*10^-3</f>
        <v>1.2239999999999999E-4</v>
      </c>
      <c r="E10" s="3">
        <v>172.3</v>
      </c>
      <c r="F10" s="3">
        <f>0.1256*10^-3</f>
        <v>1.2559999999999999E-4</v>
      </c>
      <c r="G10" s="3">
        <v>171.9</v>
      </c>
      <c r="H10" s="3">
        <f>0.1253*10^-3</f>
        <v>1.2530000000000001E-4</v>
      </c>
      <c r="I10" s="3">
        <v>171.3</v>
      </c>
      <c r="K10" s="3">
        <v>6.9999999999999996E-10</v>
      </c>
      <c r="M10" s="3">
        <f t="shared" si="0"/>
        <v>94</v>
      </c>
      <c r="N10" s="3">
        <f t="shared" si="1"/>
        <v>1.1980080000000001E-4</v>
      </c>
      <c r="O10" s="3">
        <f t="shared" si="2"/>
        <v>174.10000000079998</v>
      </c>
      <c r="P10" s="3">
        <f t="shared" si="3"/>
        <v>1.224008E-4</v>
      </c>
      <c r="Q10" s="3">
        <f t="shared" si="4"/>
        <v>172.3000000008</v>
      </c>
      <c r="R10" s="3">
        <f t="shared" si="5"/>
        <v>1.2560079999999999E-4</v>
      </c>
      <c r="S10" s="3">
        <f t="shared" si="6"/>
        <v>171.90000000079999</v>
      </c>
      <c r="T10" s="3">
        <f t="shared" si="7"/>
        <v>1.2530080000000001E-4</v>
      </c>
      <c r="U10" s="3">
        <f t="shared" si="8"/>
        <v>171.3000000008</v>
      </c>
    </row>
    <row r="11" spans="1:21" x14ac:dyDescent="0.2">
      <c r="A11" s="7">
        <v>93</v>
      </c>
      <c r="B11" s="3">
        <f>0.1549*10^-3</f>
        <v>1.5490000000000002E-4</v>
      </c>
      <c r="C11" s="3">
        <v>175.3</v>
      </c>
      <c r="D11" s="3">
        <f>0.1588*10^-3</f>
        <v>1.5880000000000001E-4</v>
      </c>
      <c r="E11" s="3">
        <v>173.8</v>
      </c>
      <c r="F11" s="3">
        <f>0.163*10^-3</f>
        <v>1.63E-4</v>
      </c>
      <c r="G11" s="3">
        <v>173.4</v>
      </c>
      <c r="H11" s="3">
        <f>0.1628*10^-3</f>
        <v>1.628E-4</v>
      </c>
      <c r="I11" s="3">
        <v>172.4</v>
      </c>
      <c r="K11" s="8">
        <v>8.0000000000000003E-10</v>
      </c>
      <c r="M11" s="3">
        <f t="shared" si="0"/>
        <v>93</v>
      </c>
      <c r="N11" s="3">
        <f t="shared" si="1"/>
        <v>1.5490090000000003E-4</v>
      </c>
      <c r="O11" s="3">
        <f t="shared" si="2"/>
        <v>175.30000000090001</v>
      </c>
      <c r="P11" s="3">
        <f t="shared" si="3"/>
        <v>1.5880090000000002E-4</v>
      </c>
      <c r="Q11" s="3">
        <f t="shared" si="4"/>
        <v>173.80000000090001</v>
      </c>
      <c r="R11" s="3">
        <f t="shared" si="5"/>
        <v>1.6300090000000001E-4</v>
      </c>
      <c r="S11" s="3">
        <f t="shared" si="6"/>
        <v>173.40000000090001</v>
      </c>
      <c r="T11" s="3">
        <f t="shared" si="7"/>
        <v>1.6280090000000001E-4</v>
      </c>
      <c r="U11" s="3">
        <f t="shared" si="8"/>
        <v>172.40000000090001</v>
      </c>
    </row>
    <row r="12" spans="1:21" x14ac:dyDescent="0.2">
      <c r="A12" s="7">
        <v>92</v>
      </c>
      <c r="B12" s="3">
        <f>0.2001*10^-3</f>
        <v>2.0010000000000001E-4</v>
      </c>
      <c r="C12" s="3">
        <v>176.6</v>
      </c>
      <c r="D12" s="3">
        <f>0.2054*10^-3</f>
        <v>2.0540000000000001E-4</v>
      </c>
      <c r="E12" s="3">
        <v>175.4</v>
      </c>
      <c r="F12" s="3">
        <f>0.211*10^-3</f>
        <v>2.1100000000000001E-4</v>
      </c>
      <c r="G12" s="3">
        <v>174.9</v>
      </c>
      <c r="H12" s="3">
        <f>0.2112*10^-3</f>
        <v>2.1120000000000001E-4</v>
      </c>
      <c r="I12" s="3">
        <v>173.6</v>
      </c>
      <c r="K12" s="8">
        <v>8.9999999999999999E-10</v>
      </c>
      <c r="M12" s="3">
        <f t="shared" si="0"/>
        <v>92</v>
      </c>
      <c r="N12" s="3">
        <f t="shared" si="1"/>
        <v>2.00101E-4</v>
      </c>
      <c r="O12" s="3">
        <f t="shared" si="2"/>
        <v>176.60000000099998</v>
      </c>
      <c r="P12" s="3">
        <f t="shared" si="3"/>
        <v>2.0540099999999999E-4</v>
      </c>
      <c r="Q12" s="3">
        <f t="shared" si="4"/>
        <v>175.400000001</v>
      </c>
      <c r="R12" s="3">
        <f t="shared" si="5"/>
        <v>2.1100099999999999E-4</v>
      </c>
      <c r="S12" s="3">
        <f t="shared" si="6"/>
        <v>174.900000001</v>
      </c>
      <c r="T12" s="3">
        <f t="shared" si="7"/>
        <v>2.11201E-4</v>
      </c>
      <c r="U12" s="3">
        <f t="shared" si="8"/>
        <v>173.60000000099998</v>
      </c>
    </row>
    <row r="13" spans="1:21" x14ac:dyDescent="0.2">
      <c r="A13" s="7">
        <v>91</v>
      </c>
      <c r="B13" s="3">
        <f>0.258*10^-3</f>
        <v>2.5800000000000004E-4</v>
      </c>
      <c r="C13" s="3">
        <v>177.9</v>
      </c>
      <c r="D13" s="3">
        <f>0.2652*10^-3</f>
        <v>2.652E-4</v>
      </c>
      <c r="E13" s="3">
        <v>177</v>
      </c>
      <c r="F13" s="3">
        <f>0.2727*10^-3</f>
        <v>2.7270000000000001E-4</v>
      </c>
      <c r="G13" s="3">
        <v>176.5</v>
      </c>
      <c r="H13" s="3">
        <f>0.2735*10^-3</f>
        <v>2.7350000000000003E-4</v>
      </c>
      <c r="I13" s="3">
        <v>174.8</v>
      </c>
      <c r="K13" s="3">
        <v>1.0000000000000001E-9</v>
      </c>
      <c r="M13" s="3">
        <f t="shared" si="0"/>
        <v>91</v>
      </c>
      <c r="N13" s="3">
        <f t="shared" si="1"/>
        <v>2.5800110000000003E-4</v>
      </c>
      <c r="O13" s="3">
        <f t="shared" si="2"/>
        <v>177.90000000110001</v>
      </c>
      <c r="P13" s="3">
        <f t="shared" si="3"/>
        <v>2.6520109999999999E-4</v>
      </c>
      <c r="Q13" s="3">
        <f t="shared" si="4"/>
        <v>177.00000000110001</v>
      </c>
      <c r="R13" s="3">
        <f t="shared" si="5"/>
        <v>2.7270110000000001E-4</v>
      </c>
      <c r="S13" s="3">
        <f t="shared" si="6"/>
        <v>176.50000000110001</v>
      </c>
      <c r="T13" s="3">
        <f t="shared" si="7"/>
        <v>2.7350110000000003E-4</v>
      </c>
      <c r="U13" s="3">
        <f t="shared" si="8"/>
        <v>174.80000000110002</v>
      </c>
    </row>
    <row r="14" spans="1:21" x14ac:dyDescent="0.2">
      <c r="A14" s="7">
        <v>90</v>
      </c>
      <c r="B14" s="3">
        <f>0.332*10^-3</f>
        <v>3.3200000000000005E-4</v>
      </c>
      <c r="C14" s="3">
        <v>179.1</v>
      </c>
      <c r="D14" s="3">
        <f>0.3416*10^-3</f>
        <v>3.4160000000000001E-4</v>
      </c>
      <c r="E14" s="3">
        <v>178.7</v>
      </c>
      <c r="F14" s="3">
        <f>0.3515*10^-3</f>
        <v>3.5149999999999998E-4</v>
      </c>
      <c r="G14" s="3">
        <v>178</v>
      </c>
      <c r="H14" s="3">
        <f>0.3535*10^-3</f>
        <v>3.5349999999999997E-4</v>
      </c>
      <c r="I14" s="3">
        <v>176.2</v>
      </c>
      <c r="K14" s="8">
        <v>1.0999999999999999E-9</v>
      </c>
      <c r="M14" s="3">
        <f t="shared" si="0"/>
        <v>90</v>
      </c>
      <c r="N14" s="3">
        <f t="shared" si="1"/>
        <v>3.3200120000000002E-4</v>
      </c>
      <c r="O14" s="3">
        <f t="shared" si="2"/>
        <v>179.10000000119999</v>
      </c>
      <c r="P14" s="3">
        <f t="shared" si="3"/>
        <v>3.4160119999999998E-4</v>
      </c>
      <c r="Q14" s="3">
        <f t="shared" si="4"/>
        <v>178.70000000119998</v>
      </c>
      <c r="R14" s="3">
        <f t="shared" si="5"/>
        <v>3.5150119999999995E-4</v>
      </c>
      <c r="S14" s="3">
        <f t="shared" si="6"/>
        <v>178.00000000119999</v>
      </c>
      <c r="T14" s="3">
        <f t="shared" si="7"/>
        <v>3.5350119999999995E-4</v>
      </c>
      <c r="U14" s="3">
        <f t="shared" si="8"/>
        <v>176.20000000119998</v>
      </c>
    </row>
    <row r="15" spans="1:21" x14ac:dyDescent="0.2">
      <c r="A15" s="7">
        <v>89</v>
      </c>
      <c r="B15" s="3">
        <f>0.4265*10^-3</f>
        <v>4.2650000000000001E-4</v>
      </c>
      <c r="C15" s="3">
        <v>180.7</v>
      </c>
      <c r="D15" s="3">
        <f>0.4389*10^-3</f>
        <v>4.3890000000000004E-4</v>
      </c>
      <c r="E15" s="3">
        <v>180.7</v>
      </c>
      <c r="F15" s="3">
        <f>0.4521*10^-3</f>
        <v>4.5209999999999998E-4</v>
      </c>
      <c r="G15" s="3">
        <v>180</v>
      </c>
      <c r="H15" s="3">
        <f>0.4559*10^-3</f>
        <v>4.5590000000000002E-4</v>
      </c>
      <c r="I15" s="3">
        <v>177.9</v>
      </c>
      <c r="K15" s="8">
        <v>1.2E-9</v>
      </c>
      <c r="M15" s="3">
        <f t="shared" si="0"/>
        <v>89</v>
      </c>
      <c r="N15" s="3">
        <f t="shared" si="1"/>
        <v>4.2650130000000002E-4</v>
      </c>
      <c r="O15" s="3">
        <f t="shared" si="2"/>
        <v>180.7000000013</v>
      </c>
      <c r="P15" s="3">
        <f t="shared" si="3"/>
        <v>4.3890130000000005E-4</v>
      </c>
      <c r="Q15" s="3">
        <f t="shared" si="4"/>
        <v>180.7000000013</v>
      </c>
      <c r="R15" s="3">
        <f t="shared" si="5"/>
        <v>4.5210129999999999E-4</v>
      </c>
      <c r="S15" s="3">
        <f t="shared" si="6"/>
        <v>180.00000000130001</v>
      </c>
      <c r="T15" s="3">
        <f t="shared" si="7"/>
        <v>4.5590130000000003E-4</v>
      </c>
      <c r="U15" s="3">
        <f t="shared" si="8"/>
        <v>177.90000000130001</v>
      </c>
    </row>
    <row r="16" spans="1:21" x14ac:dyDescent="0.2">
      <c r="A16" s="7">
        <v>88</v>
      </c>
      <c r="B16" s="3">
        <f>0.5463*10^-3</f>
        <v>5.463E-4</v>
      </c>
      <c r="C16" s="3">
        <v>183.1</v>
      </c>
      <c r="D16" s="3">
        <f>0.5621*10^-3</f>
        <v>5.6210000000000006E-4</v>
      </c>
      <c r="E16" s="3">
        <v>183.2</v>
      </c>
      <c r="F16" s="3">
        <f>0.5795*10^-3</f>
        <v>5.7950000000000005E-4</v>
      </c>
      <c r="G16" s="3">
        <v>182.7</v>
      </c>
      <c r="H16" s="3">
        <f>0.5864*10^-3</f>
        <v>5.8640000000000005E-4</v>
      </c>
      <c r="I16" s="3">
        <v>180</v>
      </c>
      <c r="K16" s="3">
        <v>1.3000000000000001E-9</v>
      </c>
      <c r="M16" s="3">
        <f t="shared" si="0"/>
        <v>88</v>
      </c>
      <c r="N16" s="3">
        <f t="shared" si="1"/>
        <v>5.4630140000000004E-4</v>
      </c>
      <c r="O16" s="3">
        <f t="shared" si="2"/>
        <v>183.10000000139999</v>
      </c>
      <c r="P16" s="3">
        <f t="shared" si="3"/>
        <v>5.621014000000001E-4</v>
      </c>
      <c r="Q16" s="3">
        <f t="shared" si="4"/>
        <v>183.20000000139999</v>
      </c>
      <c r="R16" s="3">
        <f t="shared" si="5"/>
        <v>5.7950140000000009E-4</v>
      </c>
      <c r="S16" s="3">
        <f t="shared" si="6"/>
        <v>182.70000000139999</v>
      </c>
      <c r="T16" s="3">
        <f t="shared" si="7"/>
        <v>5.8640140000000009E-4</v>
      </c>
      <c r="U16" s="3">
        <f t="shared" si="8"/>
        <v>180.0000000014</v>
      </c>
    </row>
    <row r="17" spans="1:21" x14ac:dyDescent="0.2">
      <c r="A17" s="7">
        <v>87</v>
      </c>
      <c r="B17" s="3">
        <f>0.6974*10^-3</f>
        <v>6.9740000000000004E-4</v>
      </c>
      <c r="C17" s="3">
        <v>185.8</v>
      </c>
      <c r="D17" s="3">
        <f>0.7174*10^-3</f>
        <v>7.1740000000000009E-4</v>
      </c>
      <c r="E17" s="3">
        <v>186.1</v>
      </c>
      <c r="F17" s="3">
        <f>0.7401*10^-3</f>
        <v>7.4010000000000005E-4</v>
      </c>
      <c r="G17" s="3">
        <v>185.6</v>
      </c>
      <c r="H17" s="3">
        <f>0.7519*10^-3</f>
        <v>7.5190000000000001E-4</v>
      </c>
      <c r="I17" s="3">
        <v>182.5</v>
      </c>
      <c r="K17" s="8">
        <v>1.3999999999999999E-9</v>
      </c>
      <c r="M17" s="3">
        <f t="shared" si="0"/>
        <v>87</v>
      </c>
      <c r="N17" s="3">
        <f t="shared" si="1"/>
        <v>6.9740150000000001E-4</v>
      </c>
      <c r="O17" s="3">
        <f t="shared" si="2"/>
        <v>185.80000000150002</v>
      </c>
      <c r="P17" s="3">
        <f t="shared" si="3"/>
        <v>7.1740150000000006E-4</v>
      </c>
      <c r="Q17" s="3">
        <f t="shared" si="4"/>
        <v>186.10000000150001</v>
      </c>
      <c r="R17" s="3">
        <f t="shared" si="5"/>
        <v>7.4010150000000002E-4</v>
      </c>
      <c r="S17" s="3">
        <f t="shared" si="6"/>
        <v>185.60000000150001</v>
      </c>
      <c r="T17" s="3">
        <f t="shared" si="7"/>
        <v>7.5190149999999998E-4</v>
      </c>
      <c r="U17" s="3">
        <f t="shared" si="8"/>
        <v>182.50000000150001</v>
      </c>
    </row>
    <row r="18" spans="1:21" x14ac:dyDescent="0.2">
      <c r="A18" s="7">
        <v>86</v>
      </c>
      <c r="B18" s="3">
        <f>0.8869*10^-3</f>
        <v>8.8690000000000004E-4</v>
      </c>
      <c r="C18" s="3">
        <v>189</v>
      </c>
      <c r="D18" s="3">
        <f>0.912*10^-3</f>
        <v>9.1200000000000005E-4</v>
      </c>
      <c r="E18" s="3">
        <v>189.4</v>
      </c>
      <c r="F18" s="3">
        <f>0.9413*10^-3</f>
        <v>9.4130000000000006E-4</v>
      </c>
      <c r="G18" s="3">
        <v>189</v>
      </c>
      <c r="H18" s="3">
        <f>0.9606*10^-3</f>
        <v>9.6060000000000004E-4</v>
      </c>
      <c r="I18" s="3">
        <v>185.4</v>
      </c>
      <c r="K18" s="8">
        <v>1.5E-9</v>
      </c>
      <c r="M18" s="3">
        <f t="shared" si="0"/>
        <v>86</v>
      </c>
      <c r="N18" s="3">
        <f t="shared" si="1"/>
        <v>8.8690160000000004E-4</v>
      </c>
      <c r="O18" s="3">
        <f t="shared" si="2"/>
        <v>189.0000000016</v>
      </c>
      <c r="P18" s="3">
        <f t="shared" si="3"/>
        <v>9.1200160000000005E-4</v>
      </c>
      <c r="Q18" s="3">
        <f t="shared" si="4"/>
        <v>189.40000000160001</v>
      </c>
      <c r="R18" s="3">
        <f t="shared" si="5"/>
        <v>9.4130160000000006E-4</v>
      </c>
      <c r="S18" s="3">
        <f t="shared" si="6"/>
        <v>189.0000000016</v>
      </c>
      <c r="T18" s="3">
        <f t="shared" si="7"/>
        <v>9.6060160000000004E-4</v>
      </c>
      <c r="U18" s="3">
        <f t="shared" si="8"/>
        <v>185.40000000160001</v>
      </c>
    </row>
    <row r="19" spans="1:21" x14ac:dyDescent="0.2">
      <c r="A19" s="7">
        <v>85</v>
      </c>
      <c r="B19" s="3">
        <f>0.1123*10^-2</f>
        <v>1.1230000000000001E-3</v>
      </c>
      <c r="C19" s="3">
        <v>192.5</v>
      </c>
      <c r="D19" s="3">
        <f>0.1154*10^-2</f>
        <v>1.1540000000000001E-3</v>
      </c>
      <c r="E19" s="3">
        <v>193</v>
      </c>
      <c r="F19" s="3">
        <f>0.1192*10^-2</f>
        <v>1.1920000000000001E-3</v>
      </c>
      <c r="G19" s="3">
        <v>192.8</v>
      </c>
      <c r="H19" s="3">
        <f>0.1222*10^-2</f>
        <v>1.222E-3</v>
      </c>
      <c r="I19" s="3">
        <v>188.8</v>
      </c>
      <c r="K19" s="3">
        <v>1.6000000000000001E-9</v>
      </c>
      <c r="M19" s="3">
        <f t="shared" si="0"/>
        <v>85</v>
      </c>
      <c r="N19" s="3">
        <f t="shared" si="1"/>
        <v>1.1230017E-3</v>
      </c>
      <c r="O19" s="3">
        <f t="shared" si="2"/>
        <v>192.50000000169999</v>
      </c>
      <c r="P19" s="3">
        <f t="shared" si="3"/>
        <v>1.1540017E-3</v>
      </c>
      <c r="Q19" s="3">
        <f t="shared" si="4"/>
        <v>193.00000000169999</v>
      </c>
      <c r="R19" s="3">
        <f t="shared" si="5"/>
        <v>1.1920017000000001E-3</v>
      </c>
      <c r="S19" s="3">
        <f t="shared" si="6"/>
        <v>192.8000000017</v>
      </c>
      <c r="T19" s="3">
        <f t="shared" si="7"/>
        <v>1.2220016999999999E-3</v>
      </c>
      <c r="U19" s="3">
        <f t="shared" si="8"/>
        <v>188.8000000017</v>
      </c>
    </row>
    <row r="20" spans="1:21" x14ac:dyDescent="0.2">
      <c r="A20" s="7">
        <v>84</v>
      </c>
      <c r="B20" s="3">
        <f>0.1416*10^-2</f>
        <v>1.4160000000000002E-3</v>
      </c>
      <c r="C20" s="3">
        <v>197</v>
      </c>
      <c r="D20" s="3">
        <f>0.1454*10^-2</f>
        <v>1.454E-3</v>
      </c>
      <c r="E20" s="3">
        <v>197.2</v>
      </c>
      <c r="F20" s="3">
        <f>0.1501*10^-2</f>
        <v>1.5010000000000002E-3</v>
      </c>
      <c r="G20" s="3">
        <v>197.4</v>
      </c>
      <c r="H20" s="3">
        <f>0.1548*10^-2</f>
        <v>1.5479999999999999E-3</v>
      </c>
      <c r="I20" s="3">
        <v>192.7</v>
      </c>
      <c r="K20" s="8">
        <v>1.6999999999999999E-9</v>
      </c>
      <c r="M20" s="3">
        <f t="shared" si="0"/>
        <v>84</v>
      </c>
      <c r="N20" s="3">
        <f t="shared" si="1"/>
        <v>1.4160018000000001E-3</v>
      </c>
      <c r="O20" s="3">
        <f t="shared" si="2"/>
        <v>197.0000000018</v>
      </c>
      <c r="P20" s="3">
        <f t="shared" si="3"/>
        <v>1.4540018E-3</v>
      </c>
      <c r="Q20" s="3">
        <f t="shared" si="4"/>
        <v>197.20000000179999</v>
      </c>
      <c r="R20" s="3">
        <f t="shared" si="5"/>
        <v>1.5010018000000001E-3</v>
      </c>
      <c r="S20" s="3">
        <f t="shared" si="6"/>
        <v>197.40000000180001</v>
      </c>
      <c r="T20" s="3">
        <f t="shared" si="7"/>
        <v>1.5480017999999999E-3</v>
      </c>
      <c r="U20" s="3">
        <f t="shared" si="8"/>
        <v>192.70000000179999</v>
      </c>
    </row>
    <row r="21" spans="1:21" x14ac:dyDescent="0.2">
      <c r="A21" s="7">
        <v>83</v>
      </c>
      <c r="B21" s="3">
        <f>0.1775*10^-2</f>
        <v>1.7749999999999999E-3</v>
      </c>
      <c r="C21" s="3">
        <v>201.7</v>
      </c>
      <c r="D21" s="3">
        <f>0.1823*10^-2</f>
        <v>1.823E-3</v>
      </c>
      <c r="E21" s="3">
        <v>201.5</v>
      </c>
      <c r="F21" s="3">
        <f>0.1882*10^-2</f>
        <v>1.8820000000000002E-3</v>
      </c>
      <c r="G21" s="3">
        <v>202</v>
      </c>
      <c r="H21" s="3">
        <f>0.1951*10^-2</f>
        <v>1.951E-3</v>
      </c>
      <c r="I21" s="3">
        <v>196.9</v>
      </c>
      <c r="K21" s="8">
        <v>1.8E-9</v>
      </c>
      <c r="M21" s="3">
        <f t="shared" si="0"/>
        <v>83</v>
      </c>
      <c r="N21" s="3">
        <f t="shared" si="1"/>
        <v>1.7750018999999999E-3</v>
      </c>
      <c r="O21" s="3">
        <f t="shared" si="2"/>
        <v>201.70000000189998</v>
      </c>
      <c r="P21" s="3">
        <f t="shared" si="3"/>
        <v>1.8230019E-3</v>
      </c>
      <c r="Q21" s="3">
        <f t="shared" si="4"/>
        <v>201.50000000189999</v>
      </c>
      <c r="R21" s="3">
        <f t="shared" si="5"/>
        <v>1.8820019000000002E-3</v>
      </c>
      <c r="S21" s="3">
        <f t="shared" si="6"/>
        <v>202.00000000189999</v>
      </c>
      <c r="T21" s="3">
        <f t="shared" si="7"/>
        <v>1.9510019E-3</v>
      </c>
      <c r="U21" s="3">
        <f t="shared" si="8"/>
        <v>196.9000000019</v>
      </c>
    </row>
    <row r="22" spans="1:21" x14ac:dyDescent="0.2">
      <c r="A22" s="7">
        <v>82</v>
      </c>
      <c r="B22" s="3">
        <f>0.2213*10^-2</f>
        <v>2.2130000000000001E-3</v>
      </c>
      <c r="C22" s="3">
        <v>206.5</v>
      </c>
      <c r="D22" s="3">
        <f>0.2275*10^-2</f>
        <v>2.2750000000000001E-3</v>
      </c>
      <c r="E22" s="3">
        <v>205.4</v>
      </c>
      <c r="F22" s="3">
        <f>0.2346*10^-2</f>
        <v>2.346E-3</v>
      </c>
      <c r="G22" s="3">
        <v>206.5</v>
      </c>
      <c r="H22" s="3">
        <f>0.2447*10^-2</f>
        <v>2.447E-3</v>
      </c>
      <c r="I22" s="3">
        <v>200.9</v>
      </c>
      <c r="K22" s="3">
        <v>1.9000000000000001E-9</v>
      </c>
      <c r="M22" s="3">
        <f t="shared" si="0"/>
        <v>82</v>
      </c>
      <c r="N22" s="3">
        <f t="shared" si="1"/>
        <v>2.2130019999999999E-3</v>
      </c>
      <c r="O22" s="3">
        <f t="shared" si="2"/>
        <v>206.50000000200001</v>
      </c>
      <c r="P22" s="3">
        <f t="shared" si="3"/>
        <v>2.2750019999999999E-3</v>
      </c>
      <c r="Q22" s="3">
        <f t="shared" si="4"/>
        <v>205.40000000200001</v>
      </c>
      <c r="R22" s="3">
        <f t="shared" si="5"/>
        <v>2.3460019999999998E-3</v>
      </c>
      <c r="S22" s="3">
        <f t="shared" si="6"/>
        <v>206.50000000200001</v>
      </c>
      <c r="T22" s="3">
        <f t="shared" si="7"/>
        <v>2.4470019999999998E-3</v>
      </c>
      <c r="U22" s="3">
        <f t="shared" si="8"/>
        <v>200.90000000200001</v>
      </c>
    </row>
    <row r="23" spans="1:21" x14ac:dyDescent="0.2">
      <c r="A23" s="7">
        <v>81</v>
      </c>
      <c r="B23" s="3">
        <f>0.2747*10^-2</f>
        <v>2.7469999999999999E-3</v>
      </c>
      <c r="C23" s="3">
        <v>211</v>
      </c>
      <c r="D23" s="3">
        <f>0.2828*10^-2</f>
        <v>2.8280000000000002E-3</v>
      </c>
      <c r="E23" s="3">
        <v>208.7</v>
      </c>
      <c r="F23" s="3">
        <f>0.2913*10^-2</f>
        <v>2.9130000000000002E-3</v>
      </c>
      <c r="G23" s="3">
        <v>210.3</v>
      </c>
      <c r="H23" s="3">
        <f>0.3057*10^-2</f>
        <v>3.0570000000000003E-3</v>
      </c>
      <c r="I23" s="3">
        <v>204.8</v>
      </c>
      <c r="K23" s="8">
        <v>2.0000000000000001E-9</v>
      </c>
      <c r="M23" s="3">
        <f t="shared" si="0"/>
        <v>81</v>
      </c>
      <c r="N23" s="3">
        <f t="shared" si="1"/>
        <v>2.7470020999999997E-3</v>
      </c>
      <c r="O23" s="3">
        <f t="shared" si="2"/>
        <v>211.00000000209999</v>
      </c>
      <c r="P23" s="3">
        <f t="shared" si="3"/>
        <v>2.8280021000000001E-3</v>
      </c>
      <c r="Q23" s="3">
        <f t="shared" si="4"/>
        <v>208.70000000209998</v>
      </c>
      <c r="R23" s="3">
        <f t="shared" si="5"/>
        <v>2.9130021000000001E-3</v>
      </c>
      <c r="S23" s="3">
        <f t="shared" si="6"/>
        <v>210.30000000210001</v>
      </c>
      <c r="T23" s="3">
        <f t="shared" si="7"/>
        <v>3.0570021000000001E-3</v>
      </c>
      <c r="U23" s="3">
        <f t="shared" si="8"/>
        <v>204.80000000210001</v>
      </c>
    </row>
    <row r="24" spans="1:21" x14ac:dyDescent="0.2">
      <c r="A24" s="7">
        <v>80</v>
      </c>
      <c r="B24" s="3">
        <f>0.3394*10^-2</f>
        <v>3.3939999999999999E-3</v>
      </c>
      <c r="C24" s="3">
        <v>215</v>
      </c>
      <c r="D24" s="3">
        <f>0.3506*10^-2</f>
        <v>3.5060000000000004E-3</v>
      </c>
      <c r="E24" s="3">
        <v>211.6</v>
      </c>
      <c r="F24" s="3">
        <f>0.3604*10^-2</f>
        <v>3.604E-3</v>
      </c>
      <c r="G24" s="3">
        <v>213.6</v>
      </c>
      <c r="H24" s="3">
        <f>0.3803*10^-2</f>
        <v>3.8030000000000004E-3</v>
      </c>
      <c r="I24" s="3">
        <v>208.5</v>
      </c>
      <c r="K24" s="8">
        <v>2.1000000000000002E-9</v>
      </c>
      <c r="M24" s="3">
        <f t="shared" si="0"/>
        <v>80</v>
      </c>
      <c r="N24" s="3">
        <f t="shared" si="1"/>
        <v>3.3940021999999998E-3</v>
      </c>
      <c r="O24" s="3">
        <f t="shared" si="2"/>
        <v>215.00000000220001</v>
      </c>
      <c r="P24" s="3">
        <f t="shared" si="3"/>
        <v>3.5060022000000003E-3</v>
      </c>
      <c r="Q24" s="3">
        <f t="shared" si="4"/>
        <v>211.60000000220001</v>
      </c>
      <c r="R24" s="3">
        <f t="shared" si="5"/>
        <v>3.6040021999999999E-3</v>
      </c>
      <c r="S24" s="3">
        <f t="shared" si="6"/>
        <v>213.60000000220001</v>
      </c>
      <c r="T24" s="3">
        <f t="shared" si="7"/>
        <v>3.8030022000000003E-3</v>
      </c>
      <c r="U24" s="3">
        <f t="shared" si="8"/>
        <v>208.50000000220001</v>
      </c>
    </row>
    <row r="25" spans="1:21" x14ac:dyDescent="0.2">
      <c r="A25" s="7">
        <v>79</v>
      </c>
      <c r="B25" s="3">
        <f>0.418*10^-2</f>
        <v>4.1799999999999997E-3</v>
      </c>
      <c r="C25" s="3">
        <v>218.5</v>
      </c>
      <c r="D25" s="3">
        <f>0.4335*10^-2</f>
        <v>4.3350000000000003E-3</v>
      </c>
      <c r="E25" s="3">
        <v>214.2</v>
      </c>
      <c r="F25" s="3">
        <f>0.4446*10^-2</f>
        <v>4.4460000000000003E-3</v>
      </c>
      <c r="G25" s="3">
        <v>216.4</v>
      </c>
      <c r="H25" s="3">
        <f>0.4713*10^-2</f>
        <v>4.7130000000000002E-3</v>
      </c>
      <c r="I25" s="3">
        <v>211.9</v>
      </c>
      <c r="K25" s="3">
        <v>2.1999999999999998E-9</v>
      </c>
      <c r="M25" s="3">
        <f t="shared" si="0"/>
        <v>79</v>
      </c>
      <c r="N25" s="3">
        <f t="shared" si="1"/>
        <v>4.1800023E-3</v>
      </c>
      <c r="O25" s="3">
        <f t="shared" si="2"/>
        <v>218.5000000023</v>
      </c>
      <c r="P25" s="3">
        <f t="shared" si="3"/>
        <v>4.3350023000000007E-3</v>
      </c>
      <c r="Q25" s="3">
        <f t="shared" si="4"/>
        <v>214.20000000229999</v>
      </c>
      <c r="R25" s="3">
        <f t="shared" si="5"/>
        <v>4.4460023000000006E-3</v>
      </c>
      <c r="S25" s="3">
        <f t="shared" si="6"/>
        <v>216.4000000023</v>
      </c>
      <c r="T25" s="3">
        <f t="shared" si="7"/>
        <v>4.7130023000000005E-3</v>
      </c>
      <c r="U25" s="3">
        <f t="shared" si="8"/>
        <v>211.9000000023</v>
      </c>
    </row>
    <row r="26" spans="1:21" x14ac:dyDescent="0.2">
      <c r="A26" s="7">
        <v>78</v>
      </c>
      <c r="B26" s="3">
        <f>0.5133*10^-2</f>
        <v>5.1329999999999995E-3</v>
      </c>
      <c r="C26" s="3">
        <v>221.4</v>
      </c>
      <c r="D26" s="3">
        <f>0.5347*10^-2</f>
        <v>5.3469999999999993E-3</v>
      </c>
      <c r="E26" s="3">
        <v>216.4</v>
      </c>
      <c r="F26" s="3">
        <f>0.5471*10^-2</f>
        <v>5.4710000000000002E-3</v>
      </c>
      <c r="G26" s="3">
        <v>219</v>
      </c>
      <c r="H26" s="3">
        <f>0.5824*10^-2</f>
        <v>5.8240000000000002E-3</v>
      </c>
      <c r="I26" s="3">
        <v>215.2</v>
      </c>
      <c r="K26" s="8">
        <v>2.2999999999999999E-9</v>
      </c>
      <c r="M26" s="3">
        <f t="shared" si="0"/>
        <v>78</v>
      </c>
      <c r="N26" s="3">
        <f t="shared" si="1"/>
        <v>5.1330023999999995E-3</v>
      </c>
      <c r="O26" s="3">
        <f t="shared" si="2"/>
        <v>221.40000000239999</v>
      </c>
      <c r="P26" s="3">
        <f t="shared" si="3"/>
        <v>5.3470023999999993E-3</v>
      </c>
      <c r="Q26" s="3">
        <f t="shared" si="4"/>
        <v>216.40000000239999</v>
      </c>
      <c r="R26" s="3">
        <f t="shared" si="5"/>
        <v>5.4710024000000001E-3</v>
      </c>
      <c r="S26" s="3">
        <f t="shared" si="6"/>
        <v>219.00000000239999</v>
      </c>
      <c r="T26" s="3">
        <f t="shared" si="7"/>
        <v>5.8240024000000001E-3</v>
      </c>
      <c r="U26" s="3">
        <f t="shared" si="8"/>
        <v>215.20000000239997</v>
      </c>
    </row>
    <row r="27" spans="1:21" x14ac:dyDescent="0.2">
      <c r="A27" s="7">
        <v>77</v>
      </c>
      <c r="B27" s="3">
        <f>0.6289*10^-2</f>
        <v>6.2890000000000003E-3</v>
      </c>
      <c r="C27" s="3">
        <v>223.7</v>
      </c>
      <c r="D27" s="3">
        <f>0.6582*10^-2</f>
        <v>6.5820000000000002E-3</v>
      </c>
      <c r="E27" s="3">
        <v>218.8</v>
      </c>
      <c r="F27" s="3">
        <f>0.6717*10^-2</f>
        <v>6.7169999999999999E-3</v>
      </c>
      <c r="G27" s="3">
        <v>221.5</v>
      </c>
      <c r="H27" s="3">
        <f>0.7171*10^-2</f>
        <v>7.1709999999999994E-3</v>
      </c>
      <c r="I27" s="3">
        <v>218.7</v>
      </c>
      <c r="K27" s="8">
        <v>2.4E-9</v>
      </c>
      <c r="M27" s="3">
        <f t="shared" si="0"/>
        <v>77</v>
      </c>
      <c r="N27" s="3">
        <f t="shared" si="1"/>
        <v>6.2890025000000007E-3</v>
      </c>
      <c r="O27" s="3">
        <f t="shared" si="2"/>
        <v>223.70000000249999</v>
      </c>
      <c r="P27" s="3">
        <f t="shared" si="3"/>
        <v>6.5820025000000006E-3</v>
      </c>
      <c r="Q27" s="3">
        <f t="shared" si="4"/>
        <v>218.80000000250001</v>
      </c>
      <c r="R27" s="3">
        <f t="shared" si="5"/>
        <v>6.7170025000000003E-3</v>
      </c>
      <c r="S27" s="3">
        <f t="shared" si="6"/>
        <v>221.5000000025</v>
      </c>
      <c r="T27" s="3">
        <f t="shared" si="7"/>
        <v>7.1710024999999998E-3</v>
      </c>
      <c r="U27" s="3">
        <f t="shared" si="8"/>
        <v>218.70000000249999</v>
      </c>
    </row>
    <row r="28" spans="1:21" x14ac:dyDescent="0.2">
      <c r="A28" s="7">
        <v>76</v>
      </c>
      <c r="B28" s="3">
        <f>0.7691*10^-2</f>
        <v>7.6909999999999999E-3</v>
      </c>
      <c r="C28" s="3">
        <v>225.9</v>
      </c>
      <c r="D28" s="3">
        <f>0.8082*10^-2</f>
        <v>8.0820000000000006E-3</v>
      </c>
      <c r="E28" s="3">
        <v>221.5</v>
      </c>
      <c r="F28" s="3">
        <f>0.8226*10^-2</f>
        <v>8.2260000000000007E-3</v>
      </c>
      <c r="G28" s="3">
        <v>224.5</v>
      </c>
      <c r="H28" s="3">
        <f>0.8803*10^-2</f>
        <v>8.8030000000000001E-3</v>
      </c>
      <c r="I28" s="3">
        <v>222.2</v>
      </c>
      <c r="K28" s="3">
        <v>2.5000000000000001E-9</v>
      </c>
      <c r="M28" s="3">
        <f t="shared" si="0"/>
        <v>76</v>
      </c>
      <c r="N28" s="3">
        <f t="shared" si="1"/>
        <v>7.6910025999999999E-3</v>
      </c>
      <c r="O28" s="3">
        <f t="shared" si="2"/>
        <v>225.9000000026</v>
      </c>
      <c r="P28" s="3">
        <f t="shared" si="3"/>
        <v>8.0820026000000007E-3</v>
      </c>
      <c r="Q28" s="3">
        <f t="shared" si="4"/>
        <v>221.50000000259999</v>
      </c>
      <c r="R28" s="3">
        <f t="shared" si="5"/>
        <v>8.2260026000000007E-3</v>
      </c>
      <c r="S28" s="3">
        <f t="shared" si="6"/>
        <v>224.50000000259999</v>
      </c>
      <c r="T28" s="3">
        <f t="shared" si="7"/>
        <v>8.8030026000000001E-3</v>
      </c>
      <c r="U28" s="3">
        <f t="shared" si="8"/>
        <v>222.20000000259998</v>
      </c>
    </row>
    <row r="29" spans="1:21" x14ac:dyDescent="0.2">
      <c r="A29" s="7">
        <v>75</v>
      </c>
      <c r="B29" s="3">
        <f>0.9386*10^-2</f>
        <v>9.3860000000000002E-3</v>
      </c>
      <c r="C29" s="3">
        <v>228.1</v>
      </c>
      <c r="D29" s="3">
        <f>0.99*10^-2</f>
        <v>9.9000000000000008E-3</v>
      </c>
      <c r="E29" s="3">
        <v>224.2</v>
      </c>
      <c r="F29" s="3">
        <f>0.1005*10^-1</f>
        <v>1.0050000000000002E-2</v>
      </c>
      <c r="G29" s="3">
        <v>227.3</v>
      </c>
      <c r="H29" s="3">
        <f>0.1077*10^-1</f>
        <v>1.0770000000000002E-2</v>
      </c>
      <c r="I29" s="3">
        <v>225.4</v>
      </c>
      <c r="K29" s="8">
        <v>2.6000000000000001E-9</v>
      </c>
      <c r="M29" s="3">
        <f t="shared" si="0"/>
        <v>75</v>
      </c>
      <c r="N29" s="3">
        <f t="shared" si="1"/>
        <v>9.3860026999999999E-3</v>
      </c>
      <c r="O29" s="3">
        <f t="shared" si="2"/>
        <v>228.1000000027</v>
      </c>
      <c r="P29" s="3">
        <f t="shared" si="3"/>
        <v>9.9000027000000004E-3</v>
      </c>
      <c r="Q29" s="3">
        <f t="shared" si="4"/>
        <v>224.20000000269999</v>
      </c>
      <c r="R29" s="3">
        <f t="shared" si="5"/>
        <v>1.0050002700000001E-2</v>
      </c>
      <c r="S29" s="3">
        <f t="shared" si="6"/>
        <v>227.30000000270002</v>
      </c>
      <c r="T29" s="3">
        <f t="shared" si="7"/>
        <v>1.0770002700000001E-2</v>
      </c>
      <c r="U29" s="3">
        <f t="shared" si="8"/>
        <v>225.40000000270001</v>
      </c>
    </row>
    <row r="30" spans="1:21" x14ac:dyDescent="0.2">
      <c r="A30" s="7">
        <v>74</v>
      </c>
      <c r="B30" s="3">
        <f>0.1144*10^-1</f>
        <v>1.1440000000000001E-2</v>
      </c>
      <c r="C30" s="3">
        <v>229.5</v>
      </c>
      <c r="D30" s="3">
        <f>0.121*10^-1</f>
        <v>1.21E-2</v>
      </c>
      <c r="E30" s="3">
        <v>226.8</v>
      </c>
      <c r="F30" s="3">
        <f>0.1225*10^-1</f>
        <v>1.225E-2</v>
      </c>
      <c r="G30" s="3">
        <v>229.4</v>
      </c>
      <c r="H30" s="3">
        <f>0.1315*10^-1</f>
        <v>1.3150000000000002E-2</v>
      </c>
      <c r="I30" s="3">
        <v>228.3</v>
      </c>
      <c r="K30" s="8">
        <v>2.7000000000000002E-9</v>
      </c>
      <c r="M30" s="3">
        <f t="shared" si="0"/>
        <v>74</v>
      </c>
      <c r="N30" s="3">
        <f t="shared" si="1"/>
        <v>1.14400028E-2</v>
      </c>
      <c r="O30" s="3">
        <f t="shared" si="2"/>
        <v>229.50000000279999</v>
      </c>
      <c r="P30" s="3">
        <f t="shared" si="3"/>
        <v>1.2100002799999999E-2</v>
      </c>
      <c r="Q30" s="3">
        <f t="shared" si="4"/>
        <v>226.8000000028</v>
      </c>
      <c r="R30" s="3">
        <f t="shared" si="5"/>
        <v>1.22500028E-2</v>
      </c>
      <c r="S30" s="3">
        <f t="shared" si="6"/>
        <v>229.4000000028</v>
      </c>
      <c r="T30" s="3">
        <f t="shared" si="7"/>
        <v>1.3150002800000001E-2</v>
      </c>
      <c r="U30" s="3">
        <f t="shared" si="8"/>
        <v>228.3000000028</v>
      </c>
    </row>
    <row r="31" spans="1:21" x14ac:dyDescent="0.2">
      <c r="A31" s="7">
        <v>73</v>
      </c>
      <c r="B31" s="3">
        <f>0.1393*10^-1</f>
        <v>1.3930000000000001E-2</v>
      </c>
      <c r="C31" s="3">
        <v>230.9</v>
      </c>
      <c r="D31" s="3">
        <f>0.1476*10^-1</f>
        <v>1.4760000000000002E-2</v>
      </c>
      <c r="E31" s="3">
        <v>229.1</v>
      </c>
      <c r="F31" s="3">
        <f>0.1491*10^-1</f>
        <v>1.4910000000000001E-2</v>
      </c>
      <c r="G31" s="3">
        <v>231.3</v>
      </c>
      <c r="H31" s="3">
        <f>0.1601*10^-1</f>
        <v>1.601E-2</v>
      </c>
      <c r="I31" s="3">
        <v>230.9</v>
      </c>
      <c r="K31" s="3">
        <v>2.7999999999999998E-9</v>
      </c>
      <c r="M31" s="3">
        <f t="shared" si="0"/>
        <v>73</v>
      </c>
      <c r="N31" s="3">
        <f t="shared" si="1"/>
        <v>1.3930002900000002E-2</v>
      </c>
      <c r="O31" s="3">
        <f t="shared" si="2"/>
        <v>230.90000000290001</v>
      </c>
      <c r="P31" s="3">
        <f t="shared" si="3"/>
        <v>1.4760002900000003E-2</v>
      </c>
      <c r="Q31" s="3">
        <f t="shared" si="4"/>
        <v>229.1000000029</v>
      </c>
      <c r="R31" s="3">
        <f t="shared" si="5"/>
        <v>1.4910002900000002E-2</v>
      </c>
      <c r="S31" s="3">
        <f t="shared" si="6"/>
        <v>231.30000000290002</v>
      </c>
      <c r="T31" s="3">
        <f t="shared" si="7"/>
        <v>1.60100029E-2</v>
      </c>
      <c r="U31" s="3">
        <f t="shared" si="8"/>
        <v>230.90000000290001</v>
      </c>
    </row>
    <row r="32" spans="1:21" x14ac:dyDescent="0.2">
      <c r="A32" s="7">
        <v>72</v>
      </c>
      <c r="B32" s="3">
        <f>0.1694*10^-1</f>
        <v>1.694E-2</v>
      </c>
      <c r="C32" s="3">
        <v>232</v>
      </c>
      <c r="D32" s="3">
        <f>0.1796*10^-1</f>
        <v>1.796E-2</v>
      </c>
      <c r="E32" s="3">
        <v>231.4</v>
      </c>
      <c r="F32" s="3">
        <f>0.1812*10^-1</f>
        <v>1.8120000000000001E-2</v>
      </c>
      <c r="G32" s="3">
        <v>233.1</v>
      </c>
      <c r="H32" s="3">
        <f>0.1946*10^-1</f>
        <v>1.9460000000000002E-2</v>
      </c>
      <c r="I32" s="3">
        <v>233.3</v>
      </c>
      <c r="K32" s="8">
        <v>2.8999999999999999E-9</v>
      </c>
      <c r="M32" s="3">
        <f t="shared" si="0"/>
        <v>72</v>
      </c>
      <c r="N32" s="3">
        <f t="shared" si="1"/>
        <v>1.6940002999999999E-2</v>
      </c>
      <c r="O32" s="3">
        <f t="shared" si="2"/>
        <v>232.000000003</v>
      </c>
      <c r="P32" s="3">
        <f t="shared" si="3"/>
        <v>1.7960002999999999E-2</v>
      </c>
      <c r="Q32" s="3">
        <f t="shared" si="4"/>
        <v>231.400000003</v>
      </c>
      <c r="R32" s="3">
        <f t="shared" si="5"/>
        <v>1.8120002999999999E-2</v>
      </c>
      <c r="S32" s="3">
        <f t="shared" si="6"/>
        <v>233.10000000299999</v>
      </c>
      <c r="T32" s="3">
        <f t="shared" si="7"/>
        <v>1.9460003E-2</v>
      </c>
      <c r="U32" s="3">
        <f t="shared" si="8"/>
        <v>233.30000000300001</v>
      </c>
    </row>
    <row r="33" spans="1:21" x14ac:dyDescent="0.2">
      <c r="A33" s="7">
        <v>71</v>
      </c>
      <c r="B33" s="3">
        <f>0.2058*10^-1</f>
        <v>2.0580000000000001E-2</v>
      </c>
      <c r="C33" s="3">
        <v>233.4</v>
      </c>
      <c r="D33" s="3">
        <f>0.2182*10^-1</f>
        <v>2.1820000000000003E-2</v>
      </c>
      <c r="E33" s="3">
        <v>233.6</v>
      </c>
      <c r="F33" s="3">
        <f>0.2199*10^-1</f>
        <v>2.1990000000000003E-2</v>
      </c>
      <c r="G33" s="3">
        <v>234.9</v>
      </c>
      <c r="H33" s="3">
        <f>0.2361*10^-1</f>
        <v>2.3610000000000003E-2</v>
      </c>
      <c r="I33" s="3">
        <v>235.3</v>
      </c>
      <c r="K33" s="8">
        <v>3E-9</v>
      </c>
      <c r="M33" s="3">
        <f t="shared" si="0"/>
        <v>71</v>
      </c>
      <c r="N33" s="3">
        <f t="shared" si="1"/>
        <v>2.0580003100000001E-2</v>
      </c>
      <c r="O33" s="3">
        <f t="shared" si="2"/>
        <v>233.40000000310002</v>
      </c>
      <c r="P33" s="3">
        <f t="shared" si="3"/>
        <v>2.1820003100000002E-2</v>
      </c>
      <c r="Q33" s="3">
        <f t="shared" si="4"/>
        <v>233.60000000310001</v>
      </c>
      <c r="R33" s="3">
        <f t="shared" si="5"/>
        <v>2.1990003100000002E-2</v>
      </c>
      <c r="S33" s="3">
        <f t="shared" si="6"/>
        <v>234.90000000310002</v>
      </c>
      <c r="T33" s="3">
        <f t="shared" si="7"/>
        <v>2.3610003100000002E-2</v>
      </c>
      <c r="U33" s="3">
        <f t="shared" si="8"/>
        <v>235.30000000310002</v>
      </c>
    </row>
    <row r="34" spans="1:21" x14ac:dyDescent="0.2">
      <c r="A34" s="7">
        <v>70</v>
      </c>
      <c r="B34" s="3">
        <f>0.2498*10^-1</f>
        <v>2.4980000000000002E-2</v>
      </c>
      <c r="C34" s="3">
        <v>234.4</v>
      </c>
      <c r="D34" s="3">
        <f>0.2647*10^-1</f>
        <v>2.647E-2</v>
      </c>
      <c r="E34" s="3">
        <v>235.4</v>
      </c>
      <c r="F34" s="3">
        <f>0.2666*10^-1</f>
        <v>2.6660000000000003E-2</v>
      </c>
      <c r="G34" s="3">
        <v>236.3</v>
      </c>
      <c r="H34" s="3">
        <f>0.2861*10^-1</f>
        <v>2.8610000000000003E-2</v>
      </c>
      <c r="I34" s="3">
        <v>237</v>
      </c>
      <c r="K34" s="3">
        <v>3.1E-9</v>
      </c>
      <c r="M34" s="3">
        <f t="shared" si="0"/>
        <v>70</v>
      </c>
      <c r="N34" s="3">
        <f t="shared" si="1"/>
        <v>2.4980003200000003E-2</v>
      </c>
      <c r="O34" s="3">
        <f t="shared" si="2"/>
        <v>234.40000000320001</v>
      </c>
      <c r="P34" s="3">
        <f t="shared" si="3"/>
        <v>2.6470003200000002E-2</v>
      </c>
      <c r="Q34" s="3">
        <f t="shared" si="4"/>
        <v>235.40000000320001</v>
      </c>
      <c r="R34" s="3">
        <f t="shared" si="5"/>
        <v>2.6660003200000004E-2</v>
      </c>
      <c r="S34" s="3">
        <f t="shared" si="6"/>
        <v>236.30000000320001</v>
      </c>
      <c r="T34" s="3">
        <f t="shared" si="7"/>
        <v>2.8610003200000005E-2</v>
      </c>
      <c r="U34" s="3">
        <f t="shared" si="8"/>
        <v>237.0000000032</v>
      </c>
    </row>
    <row r="35" spans="1:21" x14ac:dyDescent="0.2">
      <c r="A35" s="7">
        <v>69</v>
      </c>
      <c r="B35" s="3">
        <f>0.303*10^-1</f>
        <v>3.0300000000000001E-2</v>
      </c>
      <c r="C35" s="3">
        <v>235.3</v>
      </c>
      <c r="D35" s="3">
        <f>0.3207*10^-1</f>
        <v>3.2070000000000001E-2</v>
      </c>
      <c r="E35" s="3">
        <v>237</v>
      </c>
      <c r="F35" s="3">
        <f>0.3228*10^-1</f>
        <v>3.2279999999999996E-2</v>
      </c>
      <c r="G35" s="3">
        <v>237.5</v>
      </c>
      <c r="H35" s="3">
        <f>0.3462*10^-1</f>
        <v>3.4620000000000005E-2</v>
      </c>
      <c r="I35" s="3">
        <v>238.4</v>
      </c>
      <c r="K35" s="8">
        <v>3.2000000000000001E-9</v>
      </c>
      <c r="M35" s="3">
        <f t="shared" si="0"/>
        <v>69</v>
      </c>
      <c r="N35" s="3">
        <f t="shared" si="1"/>
        <v>3.03000033E-2</v>
      </c>
      <c r="O35" s="3">
        <f t="shared" si="2"/>
        <v>235.3000000033</v>
      </c>
      <c r="P35" s="3">
        <f t="shared" si="3"/>
        <v>3.2070003300000004E-2</v>
      </c>
      <c r="Q35" s="3">
        <f t="shared" si="4"/>
        <v>237.00000000329999</v>
      </c>
      <c r="R35" s="3">
        <f t="shared" si="5"/>
        <v>3.2280003299999999E-2</v>
      </c>
      <c r="S35" s="3">
        <f t="shared" si="6"/>
        <v>237.50000000329999</v>
      </c>
      <c r="T35" s="3">
        <f t="shared" si="7"/>
        <v>3.4620003300000007E-2</v>
      </c>
      <c r="U35" s="3">
        <f t="shared" si="8"/>
        <v>238.40000000329999</v>
      </c>
    </row>
    <row r="36" spans="1:21" x14ac:dyDescent="0.2">
      <c r="A36" s="7">
        <v>68</v>
      </c>
      <c r="B36" s="3">
        <f>0.3674*10^-1</f>
        <v>3.6740000000000002E-2</v>
      </c>
      <c r="C36" s="3">
        <v>235.2</v>
      </c>
      <c r="D36" s="3">
        <f>0.3883*10^-1</f>
        <v>3.8830000000000003E-2</v>
      </c>
      <c r="E36" s="3">
        <v>237.5</v>
      </c>
      <c r="F36" s="3">
        <f>0.3907*10^-1</f>
        <v>3.9070000000000001E-2</v>
      </c>
      <c r="G36" s="3">
        <v>237.7</v>
      </c>
      <c r="H36" s="3">
        <f>0.4186*10^-1</f>
        <v>4.1860000000000008E-2</v>
      </c>
      <c r="I36" s="3">
        <v>238.9</v>
      </c>
      <c r="K36" s="8">
        <v>3.3000000000000002E-9</v>
      </c>
      <c r="M36" s="3">
        <f t="shared" ref="M36:M54" si="9">A36</f>
        <v>68</v>
      </c>
      <c r="N36" s="3">
        <f t="shared" ref="N36:N54" si="10">B36+$K37</f>
        <v>3.6740003399999999E-2</v>
      </c>
      <c r="O36" s="3">
        <f t="shared" ref="O36:O54" si="11">C36+$K37</f>
        <v>235.20000000339999</v>
      </c>
      <c r="P36" s="3">
        <f t="shared" ref="P36:P54" si="12">D36+$K37</f>
        <v>3.88300034E-2</v>
      </c>
      <c r="Q36" s="3">
        <f t="shared" ref="Q36:Q54" si="13">E36+$K37</f>
        <v>237.5000000034</v>
      </c>
      <c r="R36" s="3">
        <f t="shared" ref="R36:R54" si="14">F36+$K37</f>
        <v>3.9070003399999997E-2</v>
      </c>
      <c r="S36" s="3">
        <f t="shared" ref="S36:S54" si="15">G36+$K37</f>
        <v>237.70000000339999</v>
      </c>
      <c r="T36" s="3">
        <f t="shared" ref="T36:T54" si="16">H36+$K37</f>
        <v>4.1860003400000005E-2</v>
      </c>
      <c r="U36" s="3">
        <f t="shared" ref="U36:U54" si="17">I36+$K37</f>
        <v>238.90000000340001</v>
      </c>
    </row>
    <row r="37" spans="1:21" x14ac:dyDescent="0.2">
      <c r="A37" s="7">
        <v>67</v>
      </c>
      <c r="B37" s="3">
        <f>0.4459*10^-1</f>
        <v>4.4590000000000005E-2</v>
      </c>
      <c r="C37" s="3">
        <v>234.1</v>
      </c>
      <c r="D37" s="3">
        <f>0.4703*10^-1</f>
        <v>4.7030000000000002E-2</v>
      </c>
      <c r="E37" s="3">
        <v>236.5</v>
      </c>
      <c r="F37" s="3">
        <f>0.4731*10^-1</f>
        <v>4.7310000000000005E-2</v>
      </c>
      <c r="G37" s="3">
        <v>236.8</v>
      </c>
      <c r="H37" s="3">
        <f>0.5063*10^-1</f>
        <v>5.0630000000000001E-2</v>
      </c>
      <c r="I37" s="3">
        <v>238.4</v>
      </c>
      <c r="K37" s="3">
        <v>3.3999999999999998E-9</v>
      </c>
      <c r="M37" s="3">
        <f t="shared" si="9"/>
        <v>67</v>
      </c>
      <c r="N37" s="3">
        <f t="shared" si="10"/>
        <v>4.4590003500000003E-2</v>
      </c>
      <c r="O37" s="3">
        <f t="shared" si="11"/>
        <v>234.10000000349999</v>
      </c>
      <c r="P37" s="3">
        <f t="shared" si="12"/>
        <v>4.7030003500000001E-2</v>
      </c>
      <c r="Q37" s="3">
        <f t="shared" si="13"/>
        <v>236.50000000349999</v>
      </c>
      <c r="R37" s="3">
        <f t="shared" si="14"/>
        <v>4.7310003500000003E-2</v>
      </c>
      <c r="S37" s="3">
        <f t="shared" si="15"/>
        <v>236.8000000035</v>
      </c>
      <c r="T37" s="3">
        <f t="shared" si="16"/>
        <v>5.06300035E-2</v>
      </c>
      <c r="U37" s="3">
        <f t="shared" si="17"/>
        <v>238.4000000035</v>
      </c>
    </row>
    <row r="38" spans="1:21" x14ac:dyDescent="0.2">
      <c r="A38" s="7">
        <v>66</v>
      </c>
      <c r="B38" s="3">
        <f>0.542*10^-1</f>
        <v>5.4200000000000005E-2</v>
      </c>
      <c r="C38" s="3">
        <v>231.7</v>
      </c>
      <c r="D38" s="3">
        <f>0.5703*10^-1</f>
        <v>5.7030000000000004E-2</v>
      </c>
      <c r="E38" s="3">
        <v>234.8</v>
      </c>
      <c r="F38" s="3">
        <f>0.5736*10^-1</f>
        <v>5.7360000000000001E-2</v>
      </c>
      <c r="G38" s="3">
        <v>235.1</v>
      </c>
      <c r="H38" s="3">
        <f>0.6128*10^-1</f>
        <v>6.1280000000000001E-2</v>
      </c>
      <c r="I38" s="3">
        <v>237.5</v>
      </c>
      <c r="K38" s="8">
        <v>3.4999999999999999E-9</v>
      </c>
      <c r="M38" s="3">
        <f t="shared" si="9"/>
        <v>66</v>
      </c>
      <c r="N38" s="3">
        <f t="shared" si="10"/>
        <v>5.4200003600000005E-2</v>
      </c>
      <c r="O38" s="3">
        <f t="shared" si="11"/>
        <v>231.7000000036</v>
      </c>
      <c r="P38" s="3">
        <f t="shared" si="12"/>
        <v>5.7030003600000004E-2</v>
      </c>
      <c r="Q38" s="3">
        <f t="shared" si="13"/>
        <v>234.80000000360002</v>
      </c>
      <c r="R38" s="3">
        <f t="shared" si="14"/>
        <v>5.7360003600000001E-2</v>
      </c>
      <c r="S38" s="3">
        <f t="shared" si="15"/>
        <v>235.1000000036</v>
      </c>
      <c r="T38" s="3">
        <f t="shared" si="16"/>
        <v>6.1280003600000001E-2</v>
      </c>
      <c r="U38" s="3">
        <f t="shared" si="17"/>
        <v>237.50000000360001</v>
      </c>
    </row>
    <row r="39" spans="1:21" x14ac:dyDescent="0.2">
      <c r="A39" s="7">
        <v>65</v>
      </c>
      <c r="B39" s="3">
        <f>0.6602*10^-1</f>
        <v>6.6020000000000009E-2</v>
      </c>
      <c r="C39" s="3">
        <v>229.2</v>
      </c>
      <c r="D39" s="3">
        <f>0.6927*10^-1</f>
        <v>6.9269999999999998E-2</v>
      </c>
      <c r="E39" s="3">
        <v>233</v>
      </c>
      <c r="F39" s="3">
        <f>0.6964*10^-1</f>
        <v>6.9640000000000007E-2</v>
      </c>
      <c r="G39" s="3">
        <v>233.6</v>
      </c>
      <c r="H39" s="3">
        <f>0.7423*10^-1</f>
        <v>7.4230000000000004E-2</v>
      </c>
      <c r="I39" s="3">
        <v>236.6</v>
      </c>
      <c r="K39" s="8">
        <v>3.6E-9</v>
      </c>
      <c r="M39" s="3">
        <f t="shared" si="9"/>
        <v>65</v>
      </c>
      <c r="N39" s="3">
        <f t="shared" si="10"/>
        <v>6.602000370000001E-2</v>
      </c>
      <c r="O39" s="3">
        <f t="shared" si="11"/>
        <v>229.20000000369998</v>
      </c>
      <c r="P39" s="3">
        <f t="shared" si="12"/>
        <v>6.9270003699999999E-2</v>
      </c>
      <c r="Q39" s="3">
        <f t="shared" si="13"/>
        <v>233.00000000369999</v>
      </c>
      <c r="R39" s="3">
        <f t="shared" si="14"/>
        <v>6.9640003700000008E-2</v>
      </c>
      <c r="S39" s="3">
        <f t="shared" si="15"/>
        <v>233.60000000369999</v>
      </c>
      <c r="T39" s="3">
        <f t="shared" si="16"/>
        <v>7.4230003700000005E-2</v>
      </c>
      <c r="U39" s="3">
        <f t="shared" si="17"/>
        <v>236.60000000369999</v>
      </c>
    </row>
    <row r="40" spans="1:21" x14ac:dyDescent="0.2">
      <c r="A40" s="7">
        <v>64</v>
      </c>
      <c r="B40" s="3">
        <f>0.806*10^-1</f>
        <v>8.0600000000000005E-2</v>
      </c>
      <c r="C40" s="3">
        <v>226.8</v>
      </c>
      <c r="D40" s="3">
        <f>0.8425*10^-1</f>
        <v>8.4250000000000005E-2</v>
      </c>
      <c r="E40" s="3">
        <v>231.6</v>
      </c>
      <c r="F40" s="3">
        <f>0.8464*10^-1</f>
        <v>8.4640000000000007E-2</v>
      </c>
      <c r="G40" s="3">
        <v>232.5</v>
      </c>
      <c r="H40" s="3">
        <f>0.8998*10^-1</f>
        <v>8.9980000000000004E-2</v>
      </c>
      <c r="I40" s="3">
        <v>236.1</v>
      </c>
      <c r="K40" s="3">
        <v>3.7E-9</v>
      </c>
      <c r="M40" s="3">
        <f t="shared" si="9"/>
        <v>64</v>
      </c>
      <c r="N40" s="3">
        <f t="shared" si="10"/>
        <v>8.06000038E-2</v>
      </c>
      <c r="O40" s="3">
        <f t="shared" si="11"/>
        <v>226.80000000380002</v>
      </c>
      <c r="P40" s="3">
        <f t="shared" si="12"/>
        <v>8.4250003800000001E-2</v>
      </c>
      <c r="Q40" s="3">
        <f t="shared" si="13"/>
        <v>231.60000000380001</v>
      </c>
      <c r="R40" s="3">
        <f t="shared" si="14"/>
        <v>8.4640003800000002E-2</v>
      </c>
      <c r="S40" s="3">
        <f t="shared" si="15"/>
        <v>232.50000000380001</v>
      </c>
      <c r="T40" s="3">
        <f t="shared" si="16"/>
        <v>8.99800038E-2</v>
      </c>
      <c r="U40" s="3">
        <f t="shared" si="17"/>
        <v>236.10000000380001</v>
      </c>
    </row>
    <row r="41" spans="1:21" x14ac:dyDescent="0.2">
      <c r="A41" s="7">
        <v>63</v>
      </c>
      <c r="B41" s="3">
        <f>0.9859*10^-1</f>
        <v>9.8590000000000011E-2</v>
      </c>
      <c r="C41" s="3">
        <v>225.1</v>
      </c>
      <c r="D41" s="3">
        <f>0.1026</f>
        <v>0.1026</v>
      </c>
      <c r="E41" s="3">
        <v>230.9</v>
      </c>
      <c r="F41" s="3">
        <f>0.103</f>
        <v>0.10299999999999999</v>
      </c>
      <c r="G41" s="3">
        <v>231.8</v>
      </c>
      <c r="H41" s="3">
        <f>0.1091</f>
        <v>0.1091</v>
      </c>
      <c r="I41" s="3">
        <v>235.9</v>
      </c>
      <c r="K41" s="8">
        <v>3.8000000000000001E-9</v>
      </c>
      <c r="M41" s="3">
        <f t="shared" si="9"/>
        <v>63</v>
      </c>
      <c r="N41" s="3">
        <f t="shared" si="10"/>
        <v>9.8590003900000014E-2</v>
      </c>
      <c r="O41" s="3">
        <f t="shared" si="11"/>
        <v>225.10000000389999</v>
      </c>
      <c r="P41" s="3">
        <f t="shared" si="12"/>
        <v>0.1026000039</v>
      </c>
      <c r="Q41" s="3">
        <f t="shared" si="13"/>
        <v>230.9000000039</v>
      </c>
      <c r="R41" s="3">
        <f t="shared" si="14"/>
        <v>0.1030000039</v>
      </c>
      <c r="S41" s="3">
        <f t="shared" si="15"/>
        <v>231.80000000390001</v>
      </c>
      <c r="T41" s="3">
        <f t="shared" si="16"/>
        <v>0.10910000390000001</v>
      </c>
      <c r="U41" s="3">
        <f t="shared" si="17"/>
        <v>235.9000000039</v>
      </c>
    </row>
    <row r="42" spans="1:21" x14ac:dyDescent="0.2">
      <c r="A42" s="7">
        <v>62</v>
      </c>
      <c r="B42" s="3">
        <f>0.1207</f>
        <v>0.1207</v>
      </c>
      <c r="C42" s="3">
        <v>224.6</v>
      </c>
      <c r="D42" s="3">
        <f>0.1249</f>
        <v>0.1249</v>
      </c>
      <c r="E42" s="3">
        <v>230.9</v>
      </c>
      <c r="F42" s="3">
        <f>0.1253</f>
        <v>0.12529999999999999</v>
      </c>
      <c r="G42" s="3">
        <v>231.5</v>
      </c>
      <c r="H42" s="3">
        <f>0.1323</f>
        <v>0.1323</v>
      </c>
      <c r="I42" s="3">
        <v>236.2</v>
      </c>
      <c r="K42" s="8">
        <v>3.9000000000000002E-9</v>
      </c>
      <c r="M42" s="3">
        <f t="shared" si="9"/>
        <v>62</v>
      </c>
      <c r="N42" s="3">
        <f t="shared" si="10"/>
        <v>0.120700004</v>
      </c>
      <c r="O42" s="3">
        <f t="shared" si="11"/>
        <v>224.60000000399998</v>
      </c>
      <c r="P42" s="3">
        <f t="shared" si="12"/>
        <v>0.124900004</v>
      </c>
      <c r="Q42" s="3">
        <f t="shared" si="13"/>
        <v>230.90000000399999</v>
      </c>
      <c r="R42" s="3">
        <f t="shared" si="14"/>
        <v>0.12530000399999999</v>
      </c>
      <c r="S42" s="3">
        <f t="shared" si="15"/>
        <v>231.50000000399999</v>
      </c>
      <c r="T42" s="3">
        <f t="shared" si="16"/>
        <v>0.132300004</v>
      </c>
      <c r="U42" s="3">
        <f t="shared" si="17"/>
        <v>236.20000000399997</v>
      </c>
    </row>
    <row r="43" spans="1:21" x14ac:dyDescent="0.2">
      <c r="A43" s="7">
        <v>61</v>
      </c>
      <c r="B43" s="3">
        <f>0.1478</f>
        <v>0.14779999999999999</v>
      </c>
      <c r="C43" s="3">
        <v>224.6</v>
      </c>
      <c r="D43" s="3">
        <f>0.1521</f>
        <v>0.15210000000000001</v>
      </c>
      <c r="E43" s="3">
        <v>231.2</v>
      </c>
      <c r="F43" s="3">
        <f>0.1525</f>
        <v>0.1525</v>
      </c>
      <c r="G43" s="3">
        <v>231.4</v>
      </c>
      <c r="H43" s="3">
        <f>0.1603</f>
        <v>0.1603</v>
      </c>
      <c r="I43" s="3">
        <v>237.1</v>
      </c>
      <c r="K43" s="3">
        <v>4.0000000000000002E-9</v>
      </c>
      <c r="M43" s="3">
        <f t="shared" si="9"/>
        <v>61</v>
      </c>
      <c r="N43" s="3">
        <f t="shared" si="10"/>
        <v>0.14780000409999999</v>
      </c>
      <c r="O43" s="3">
        <f t="shared" si="11"/>
        <v>224.6000000041</v>
      </c>
      <c r="P43" s="3">
        <f t="shared" si="12"/>
        <v>0.15210000410000002</v>
      </c>
      <c r="Q43" s="3">
        <f t="shared" si="13"/>
        <v>231.20000000409999</v>
      </c>
      <c r="R43" s="3">
        <f t="shared" si="14"/>
        <v>0.1525000041</v>
      </c>
      <c r="S43" s="3">
        <f t="shared" si="15"/>
        <v>231.40000000410001</v>
      </c>
      <c r="T43" s="3">
        <f t="shared" si="16"/>
        <v>0.1603000041</v>
      </c>
      <c r="U43" s="3">
        <f t="shared" si="17"/>
        <v>237.1000000041</v>
      </c>
    </row>
    <row r="44" spans="1:21" x14ac:dyDescent="0.2">
      <c r="A44" s="7">
        <v>60</v>
      </c>
      <c r="B44" s="3">
        <f>0.1808</f>
        <v>0.18079999999999999</v>
      </c>
      <c r="C44" s="3">
        <v>226.5</v>
      </c>
      <c r="D44" s="3">
        <f>0.185</f>
        <v>0.185</v>
      </c>
      <c r="E44" s="3">
        <v>232.4</v>
      </c>
      <c r="F44" s="3">
        <f>0.1856</f>
        <v>0.18559999999999999</v>
      </c>
      <c r="G44" s="3">
        <v>232.4</v>
      </c>
      <c r="H44" s="3">
        <f>0.1941</f>
        <v>0.19409999999999999</v>
      </c>
      <c r="I44" s="3">
        <v>238.8</v>
      </c>
      <c r="K44" s="8">
        <v>4.1000000000000003E-9</v>
      </c>
      <c r="M44" s="3">
        <f t="shared" si="9"/>
        <v>60</v>
      </c>
      <c r="N44" s="3">
        <f t="shared" si="10"/>
        <v>0.18080000419999998</v>
      </c>
      <c r="O44" s="3">
        <f t="shared" si="11"/>
        <v>226.50000000419999</v>
      </c>
      <c r="P44" s="3">
        <f t="shared" si="12"/>
        <v>0.18500000419999998</v>
      </c>
      <c r="Q44" s="3">
        <f t="shared" si="13"/>
        <v>232.4000000042</v>
      </c>
      <c r="R44" s="3">
        <f t="shared" si="14"/>
        <v>0.18560000419999997</v>
      </c>
      <c r="S44" s="3">
        <f t="shared" si="15"/>
        <v>232.4000000042</v>
      </c>
      <c r="T44" s="3">
        <f t="shared" si="16"/>
        <v>0.19410000419999998</v>
      </c>
      <c r="U44" s="3">
        <f t="shared" si="17"/>
        <v>238.8000000042</v>
      </c>
    </row>
    <row r="45" spans="1:21" x14ac:dyDescent="0.2">
      <c r="A45" s="7">
        <v>59</v>
      </c>
      <c r="B45" s="3">
        <f>0.2208</f>
        <v>0.2208</v>
      </c>
      <c r="C45" s="3">
        <v>229</v>
      </c>
      <c r="D45" s="3">
        <f>0.2248</f>
        <v>0.2248</v>
      </c>
      <c r="E45" s="3">
        <v>234.4</v>
      </c>
      <c r="F45" s="3">
        <f>0.2255</f>
        <v>0.22550000000000001</v>
      </c>
      <c r="G45" s="3">
        <v>234.4</v>
      </c>
      <c r="H45" s="3">
        <f>0.2345</f>
        <v>0.23449999999999999</v>
      </c>
      <c r="I45" s="3">
        <v>241.4</v>
      </c>
      <c r="K45" s="8">
        <v>4.2000000000000004E-9</v>
      </c>
      <c r="M45" s="3">
        <f t="shared" si="9"/>
        <v>59</v>
      </c>
      <c r="N45" s="3">
        <f t="shared" si="10"/>
        <v>0.22080000429999999</v>
      </c>
      <c r="O45" s="3">
        <f t="shared" si="11"/>
        <v>229.00000000430001</v>
      </c>
      <c r="P45" s="3">
        <f t="shared" si="12"/>
        <v>0.22480000429999999</v>
      </c>
      <c r="Q45" s="3">
        <f t="shared" si="13"/>
        <v>234.40000000430001</v>
      </c>
      <c r="R45" s="3">
        <f t="shared" si="14"/>
        <v>0.2255000043</v>
      </c>
      <c r="S45" s="3">
        <f t="shared" si="15"/>
        <v>234.40000000430001</v>
      </c>
      <c r="T45" s="3">
        <f t="shared" si="16"/>
        <v>0.23450000429999998</v>
      </c>
      <c r="U45" s="3">
        <f t="shared" si="17"/>
        <v>241.40000000430001</v>
      </c>
    </row>
    <row r="46" spans="1:21" x14ac:dyDescent="0.2">
      <c r="A46" s="7">
        <v>58</v>
      </c>
      <c r="B46" s="3">
        <f>0.269</f>
        <v>0.26900000000000002</v>
      </c>
      <c r="C46" s="3">
        <v>231.2</v>
      </c>
      <c r="D46" s="3">
        <f>0.2727</f>
        <v>0.2727</v>
      </c>
      <c r="E46" s="3">
        <v>236.6</v>
      </c>
      <c r="F46" s="3">
        <f>0.2735</f>
        <v>0.27350000000000002</v>
      </c>
      <c r="G46" s="3">
        <v>236.6</v>
      </c>
      <c r="H46" s="3">
        <f>0.2827</f>
        <v>0.28270000000000001</v>
      </c>
      <c r="I46" s="3">
        <v>244.8</v>
      </c>
      <c r="K46" s="3">
        <v>4.2999999999999996E-9</v>
      </c>
      <c r="M46" s="3">
        <f t="shared" si="9"/>
        <v>58</v>
      </c>
      <c r="N46" s="3">
        <f t="shared" si="10"/>
        <v>0.26900000439999999</v>
      </c>
      <c r="O46" s="3">
        <f t="shared" si="11"/>
        <v>231.20000000439998</v>
      </c>
      <c r="P46" s="3">
        <f t="shared" si="12"/>
        <v>0.27270000439999997</v>
      </c>
      <c r="Q46" s="3">
        <f t="shared" si="13"/>
        <v>236.60000000439999</v>
      </c>
      <c r="R46" s="3">
        <f t="shared" si="14"/>
        <v>0.2735000044</v>
      </c>
      <c r="S46" s="3">
        <f t="shared" si="15"/>
        <v>236.60000000439999</v>
      </c>
      <c r="T46" s="3">
        <f t="shared" si="16"/>
        <v>0.28270000439999998</v>
      </c>
      <c r="U46" s="3">
        <f t="shared" si="17"/>
        <v>244.8000000044</v>
      </c>
    </row>
    <row r="47" spans="1:21" x14ac:dyDescent="0.2">
      <c r="A47" s="7">
        <v>57</v>
      </c>
      <c r="B47" s="3">
        <f>0.3273</f>
        <v>0.32729999999999998</v>
      </c>
      <c r="C47" s="3">
        <v>233.2</v>
      </c>
      <c r="D47" s="3">
        <f>0.3303</f>
        <v>0.33029999999999998</v>
      </c>
      <c r="E47" s="3">
        <v>238.8</v>
      </c>
      <c r="F47" s="3">
        <f>0.3311</f>
        <v>0.33110000000000001</v>
      </c>
      <c r="G47" s="3">
        <v>240.3</v>
      </c>
      <c r="H47" s="3">
        <f>0.3399</f>
        <v>0.33989999999999998</v>
      </c>
      <c r="I47" s="3">
        <v>249.8</v>
      </c>
      <c r="K47" s="8">
        <v>4.3999999999999997E-9</v>
      </c>
      <c r="M47" s="3">
        <f t="shared" si="9"/>
        <v>57</v>
      </c>
      <c r="N47" s="3">
        <f t="shared" si="10"/>
        <v>0.32730000449999996</v>
      </c>
      <c r="O47" s="3">
        <f t="shared" si="11"/>
        <v>233.2000000045</v>
      </c>
      <c r="P47" s="3">
        <f t="shared" si="12"/>
        <v>0.33030000449999997</v>
      </c>
      <c r="Q47" s="3">
        <f t="shared" si="13"/>
        <v>238.80000000450002</v>
      </c>
      <c r="R47" s="3">
        <f t="shared" si="14"/>
        <v>0.33110000449999999</v>
      </c>
      <c r="S47" s="3">
        <f t="shared" si="15"/>
        <v>240.30000000450002</v>
      </c>
      <c r="T47" s="3">
        <f t="shared" si="16"/>
        <v>0.33990000449999996</v>
      </c>
      <c r="U47" s="3">
        <f t="shared" si="17"/>
        <v>249.80000000450002</v>
      </c>
    </row>
    <row r="48" spans="1:21" x14ac:dyDescent="0.2">
      <c r="A48" s="7">
        <v>56</v>
      </c>
      <c r="B48" s="3">
        <f>0.3952</f>
        <v>0.3952</v>
      </c>
      <c r="C48" s="3">
        <v>248.1</v>
      </c>
      <c r="D48" s="3">
        <f>0.3972</f>
        <v>0.3972</v>
      </c>
      <c r="E48" s="3">
        <v>253.1</v>
      </c>
      <c r="F48" s="3">
        <f>0.3976</f>
        <v>0.39760000000000001</v>
      </c>
      <c r="G48" s="3">
        <v>254.4</v>
      </c>
      <c r="H48" s="3">
        <f>0.4055</f>
        <v>0.40550000000000003</v>
      </c>
      <c r="I48" s="3">
        <v>263.2</v>
      </c>
      <c r="K48" s="8">
        <v>4.4999999999999998E-9</v>
      </c>
      <c r="M48" s="3">
        <f t="shared" si="9"/>
        <v>56</v>
      </c>
      <c r="N48" s="3">
        <f t="shared" si="10"/>
        <v>0.39520000459999999</v>
      </c>
      <c r="O48" s="3">
        <f t="shared" si="11"/>
        <v>248.10000000459999</v>
      </c>
      <c r="P48" s="3">
        <f t="shared" si="12"/>
        <v>0.39720000459999999</v>
      </c>
      <c r="Q48" s="3">
        <f t="shared" si="13"/>
        <v>253.10000000459999</v>
      </c>
      <c r="R48" s="3">
        <f t="shared" si="14"/>
        <v>0.3976000046</v>
      </c>
      <c r="S48" s="3">
        <f t="shared" si="15"/>
        <v>254.4000000046</v>
      </c>
      <c r="T48" s="3">
        <f t="shared" si="16"/>
        <v>0.40550000460000002</v>
      </c>
      <c r="U48" s="3">
        <f t="shared" si="17"/>
        <v>263.20000000459999</v>
      </c>
    </row>
    <row r="49" spans="1:21" x14ac:dyDescent="0.2">
      <c r="A49" s="7">
        <v>55</v>
      </c>
      <c r="B49" s="3">
        <f>0.4715</f>
        <v>0.47149999999999997</v>
      </c>
      <c r="C49" s="3">
        <v>264</v>
      </c>
      <c r="D49" s="3">
        <f>0.4725</f>
        <v>0.47249999999999998</v>
      </c>
      <c r="E49" s="3">
        <v>267.89999999999998</v>
      </c>
      <c r="F49" s="3">
        <f>0.4727</f>
        <v>0.47270000000000001</v>
      </c>
      <c r="G49" s="3">
        <v>268.89999999999998</v>
      </c>
      <c r="H49" s="3">
        <f>0.4797</f>
        <v>0.47970000000000002</v>
      </c>
      <c r="I49" s="3">
        <v>276.3</v>
      </c>
      <c r="K49" s="3">
        <v>4.5999999999999998E-9</v>
      </c>
      <c r="M49" s="3">
        <f t="shared" si="9"/>
        <v>55</v>
      </c>
      <c r="N49" s="3">
        <f t="shared" si="10"/>
        <v>0.47150000469999997</v>
      </c>
      <c r="O49" s="3">
        <f t="shared" si="11"/>
        <v>264.00000000469998</v>
      </c>
      <c r="P49" s="3">
        <f t="shared" si="12"/>
        <v>0.47250000469999998</v>
      </c>
      <c r="Q49" s="3">
        <f t="shared" si="13"/>
        <v>267.90000000469996</v>
      </c>
      <c r="R49" s="3">
        <f t="shared" si="14"/>
        <v>0.47270000470000001</v>
      </c>
      <c r="S49" s="3">
        <f t="shared" si="15"/>
        <v>268.90000000469996</v>
      </c>
      <c r="T49" s="3">
        <f t="shared" si="16"/>
        <v>0.47970000470000002</v>
      </c>
      <c r="U49" s="3">
        <f t="shared" si="17"/>
        <v>276.3000000047</v>
      </c>
    </row>
    <row r="50" spans="1:21" x14ac:dyDescent="0.2">
      <c r="A50" s="7">
        <v>54</v>
      </c>
      <c r="B50" s="3">
        <f>0.557</f>
        <v>0.55700000000000005</v>
      </c>
      <c r="C50" s="3">
        <v>279.10000000000002</v>
      </c>
      <c r="D50" s="3">
        <f>0.5571</f>
        <v>0.55710000000000004</v>
      </c>
      <c r="E50" s="3">
        <v>281.89999999999998</v>
      </c>
      <c r="F50" s="3">
        <f>0.557</f>
        <v>0.55700000000000005</v>
      </c>
      <c r="G50" s="3">
        <v>282.7</v>
      </c>
      <c r="H50" s="3">
        <f>0.5631</f>
        <v>0.56310000000000004</v>
      </c>
      <c r="I50" s="3">
        <v>288.8</v>
      </c>
      <c r="K50" s="8">
        <v>4.6999999999999999E-9</v>
      </c>
      <c r="M50" s="3">
        <f t="shared" si="9"/>
        <v>54</v>
      </c>
      <c r="N50" s="3">
        <f t="shared" si="10"/>
        <v>0.5570000048</v>
      </c>
      <c r="O50" s="3">
        <f t="shared" si="11"/>
        <v>279.10000000479999</v>
      </c>
      <c r="P50" s="3">
        <f t="shared" si="12"/>
        <v>0.55710000479999999</v>
      </c>
      <c r="Q50" s="3">
        <f t="shared" si="13"/>
        <v>281.90000000479995</v>
      </c>
      <c r="R50" s="3">
        <f t="shared" si="14"/>
        <v>0.5570000048</v>
      </c>
      <c r="S50" s="3">
        <f t="shared" si="15"/>
        <v>282.70000000479996</v>
      </c>
      <c r="T50" s="3">
        <f t="shared" si="16"/>
        <v>0.5631000048</v>
      </c>
      <c r="U50" s="3">
        <f t="shared" si="17"/>
        <v>288.80000000479998</v>
      </c>
    </row>
    <row r="51" spans="1:21" x14ac:dyDescent="0.2">
      <c r="A51" s="7">
        <v>53</v>
      </c>
      <c r="B51" s="3">
        <f>0.6525</f>
        <v>0.65249999999999997</v>
      </c>
      <c r="C51" s="3">
        <v>293.39999999999998</v>
      </c>
      <c r="D51" s="3">
        <f>0.6517</f>
        <v>0.65169999999999995</v>
      </c>
      <c r="E51" s="3">
        <v>295.3</v>
      </c>
      <c r="F51" s="3">
        <f>0.6514</f>
        <v>0.65139999999999998</v>
      </c>
      <c r="G51" s="3">
        <v>295.8</v>
      </c>
      <c r="H51" s="3">
        <f>0.6567</f>
        <v>0.65669999999999995</v>
      </c>
      <c r="I51" s="3">
        <v>300.7</v>
      </c>
      <c r="K51" s="8">
        <v>4.8E-9</v>
      </c>
      <c r="M51" s="3">
        <f t="shared" si="9"/>
        <v>53</v>
      </c>
      <c r="N51" s="3">
        <f t="shared" si="10"/>
        <v>0.65250000489999993</v>
      </c>
      <c r="O51" s="3">
        <f t="shared" si="11"/>
        <v>293.40000000489999</v>
      </c>
      <c r="P51" s="3">
        <f t="shared" si="12"/>
        <v>0.65170000489999991</v>
      </c>
      <c r="Q51" s="3">
        <f t="shared" si="13"/>
        <v>295.30000000490003</v>
      </c>
      <c r="R51" s="3">
        <f t="shared" si="14"/>
        <v>0.65140000489999994</v>
      </c>
      <c r="S51" s="3">
        <f t="shared" si="15"/>
        <v>295.80000000490003</v>
      </c>
      <c r="T51" s="3">
        <f t="shared" si="16"/>
        <v>0.65670000489999991</v>
      </c>
      <c r="U51" s="3">
        <f t="shared" si="17"/>
        <v>300.70000000490001</v>
      </c>
    </row>
    <row r="52" spans="1:21" x14ac:dyDescent="0.2">
      <c r="A52" s="7">
        <v>52</v>
      </c>
      <c r="B52" s="3">
        <f>0.7588</f>
        <v>0.75880000000000003</v>
      </c>
      <c r="C52" s="3">
        <v>307</v>
      </c>
      <c r="D52" s="3">
        <f>0.7574</f>
        <v>0.75739999999999996</v>
      </c>
      <c r="E52" s="3">
        <v>308.10000000000002</v>
      </c>
      <c r="F52" s="3">
        <f>0.757</f>
        <v>0.75700000000000001</v>
      </c>
      <c r="G52" s="3">
        <v>308.39999999999998</v>
      </c>
      <c r="H52" s="3">
        <f>0.7615</f>
        <v>0.76149999999999995</v>
      </c>
      <c r="I52" s="3">
        <v>312.3</v>
      </c>
      <c r="K52" s="3">
        <v>4.9E-9</v>
      </c>
      <c r="M52" s="3">
        <f t="shared" si="9"/>
        <v>52</v>
      </c>
      <c r="N52" s="3">
        <f t="shared" si="10"/>
        <v>0.758800005</v>
      </c>
      <c r="O52" s="3">
        <f t="shared" si="11"/>
        <v>307.000000005</v>
      </c>
      <c r="P52" s="3">
        <f t="shared" si="12"/>
        <v>0.75740000499999993</v>
      </c>
      <c r="Q52" s="3">
        <f t="shared" si="13"/>
        <v>308.10000000500003</v>
      </c>
      <c r="R52" s="3">
        <f t="shared" si="14"/>
        <v>0.75700000499999998</v>
      </c>
      <c r="S52" s="3">
        <f t="shared" si="15"/>
        <v>308.40000000499998</v>
      </c>
      <c r="T52" s="3">
        <f t="shared" si="16"/>
        <v>0.76150000499999992</v>
      </c>
      <c r="U52" s="3">
        <f t="shared" si="17"/>
        <v>312.30000000500002</v>
      </c>
    </row>
    <row r="53" spans="1:21" x14ac:dyDescent="0.2">
      <c r="A53" s="7">
        <v>51</v>
      </c>
      <c r="B53" s="3">
        <f>0.8768</f>
        <v>0.87680000000000002</v>
      </c>
      <c r="C53" s="3">
        <v>320.10000000000002</v>
      </c>
      <c r="D53" s="3">
        <f>0.875</f>
        <v>0.875</v>
      </c>
      <c r="E53" s="3">
        <v>320.39999999999998</v>
      </c>
      <c r="F53" s="3">
        <f>0.8744</f>
        <v>0.87439999999999996</v>
      </c>
      <c r="G53" s="3">
        <v>320.39999999999998</v>
      </c>
      <c r="H53" s="3">
        <f>0.8783</f>
        <v>0.87829999999999997</v>
      </c>
      <c r="I53" s="3">
        <v>323.39999999999998</v>
      </c>
      <c r="K53" s="8">
        <v>5.0000000000000001E-9</v>
      </c>
      <c r="M53" s="3">
        <f t="shared" si="9"/>
        <v>51</v>
      </c>
      <c r="N53" s="3">
        <f t="shared" si="10"/>
        <v>0.8768000051</v>
      </c>
      <c r="O53" s="3">
        <f t="shared" si="11"/>
        <v>320.10000000510001</v>
      </c>
      <c r="P53" s="3">
        <f t="shared" si="12"/>
        <v>0.87500000509999998</v>
      </c>
      <c r="Q53" s="3">
        <f t="shared" si="13"/>
        <v>320.40000000509997</v>
      </c>
      <c r="R53" s="3">
        <f t="shared" si="14"/>
        <v>0.87440000509999993</v>
      </c>
      <c r="S53" s="3">
        <f t="shared" si="15"/>
        <v>320.40000000509997</v>
      </c>
      <c r="T53" s="3">
        <f t="shared" si="16"/>
        <v>0.87830000509999995</v>
      </c>
      <c r="U53" s="3">
        <f t="shared" si="17"/>
        <v>323.40000000509997</v>
      </c>
    </row>
    <row r="54" spans="1:21" x14ac:dyDescent="0.2">
      <c r="A54" s="7">
        <v>50</v>
      </c>
      <c r="B54" s="3">
        <f>1.007</f>
        <v>1.0069999999999999</v>
      </c>
      <c r="C54" s="3">
        <v>332.6</v>
      </c>
      <c r="D54" s="3">
        <f>1.006</f>
        <v>1.006</v>
      </c>
      <c r="E54" s="3">
        <v>332.2</v>
      </c>
      <c r="F54" s="3">
        <f>1.005</f>
        <v>1.0049999999999999</v>
      </c>
      <c r="G54" s="3">
        <v>332.1</v>
      </c>
      <c r="H54" s="3">
        <f>1.008</f>
        <v>1.008</v>
      </c>
      <c r="I54" s="3">
        <v>334.2</v>
      </c>
      <c r="K54" s="8">
        <v>5.1000000000000002E-9</v>
      </c>
      <c r="M54" s="3">
        <f t="shared" si="9"/>
        <v>50</v>
      </c>
      <c r="N54" s="3">
        <f t="shared" si="10"/>
        <v>1.0069999999999999</v>
      </c>
      <c r="O54" s="3">
        <f t="shared" si="11"/>
        <v>332.6</v>
      </c>
      <c r="P54" s="3">
        <f t="shared" si="12"/>
        <v>1.006</v>
      </c>
      <c r="Q54" s="3">
        <f t="shared" si="13"/>
        <v>332.2</v>
      </c>
      <c r="R54" s="3">
        <f t="shared" si="14"/>
        <v>1.0049999999999999</v>
      </c>
      <c r="S54" s="3">
        <f t="shared" si="15"/>
        <v>332.1</v>
      </c>
      <c r="T54" s="3">
        <f t="shared" si="16"/>
        <v>1.008</v>
      </c>
      <c r="U54" s="3">
        <f t="shared" si="17"/>
        <v>334.2</v>
      </c>
    </row>
    <row r="55" spans="1:21" x14ac:dyDescent="0.2">
      <c r="A55" s="9"/>
      <c r="B55" s="9"/>
      <c r="C55" s="9"/>
      <c r="D55" s="9"/>
      <c r="E55" s="9"/>
      <c r="F55" s="9"/>
      <c r="G55" s="9"/>
      <c r="H55" s="9"/>
      <c r="I55" s="9"/>
    </row>
    <row r="56" spans="1:21" x14ac:dyDescent="0.2">
      <c r="A56" s="9"/>
      <c r="B56" s="9"/>
      <c r="C56" s="9"/>
      <c r="D56" s="9"/>
      <c r="E56" s="9"/>
      <c r="F56" s="9"/>
      <c r="G56" s="9"/>
      <c r="H56" s="9"/>
      <c r="I56" s="9"/>
    </row>
    <row r="57" spans="1:21" x14ac:dyDescent="0.2">
      <c r="A57" s="9"/>
      <c r="B57" s="9"/>
      <c r="C57" s="9"/>
      <c r="D57" s="9"/>
      <c r="E57" s="9"/>
      <c r="F57" s="9"/>
      <c r="G57" s="9"/>
      <c r="H57" s="9"/>
      <c r="I57" s="9"/>
    </row>
  </sheetData>
  <mergeCells count="2">
    <mergeCell ref="A2:A3"/>
    <mergeCell ref="M2:M3"/>
  </mergeCells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54"/>
  <sheetViews>
    <sheetView zoomScale="80" zoomScaleNormal="80" workbookViewId="0">
      <selection activeCell="H7" sqref="H7"/>
    </sheetView>
  </sheetViews>
  <sheetFormatPr defaultRowHeight="14.25" x14ac:dyDescent="0.2"/>
  <cols>
    <col min="1" max="9" width="10.625" style="3" customWidth="1"/>
    <col min="10" max="257" width="10.5" style="3" customWidth="1"/>
    <col min="258" max="1025" width="10.5" customWidth="1"/>
  </cols>
  <sheetData>
    <row r="1" spans="1:21" x14ac:dyDescent="0.2">
      <c r="A1" s="14"/>
      <c r="B1" s="14"/>
      <c r="C1" s="14"/>
      <c r="D1" s="14"/>
      <c r="E1" s="4" t="s">
        <v>22</v>
      </c>
      <c r="F1" s="4"/>
      <c r="G1" s="14"/>
      <c r="H1" s="14"/>
      <c r="I1" s="14"/>
      <c r="L1"/>
      <c r="M1" s="14"/>
      <c r="N1" s="14"/>
      <c r="O1" s="14"/>
      <c r="P1" s="14"/>
      <c r="Q1" s="4" t="s">
        <v>22</v>
      </c>
      <c r="R1" s="4"/>
      <c r="S1" s="14"/>
      <c r="T1" s="14"/>
      <c r="U1" s="14"/>
    </row>
    <row r="2" spans="1:21" ht="25.5" customHeight="1" x14ac:dyDescent="0.2">
      <c r="A2" s="1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K2"/>
      <c r="L2"/>
      <c r="M2" s="1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2">
      <c r="A3" s="1"/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  <c r="K3" s="3" t="s">
        <v>8</v>
      </c>
      <c r="L3"/>
      <c r="M3" s="1"/>
      <c r="N3" s="4" t="s">
        <v>6</v>
      </c>
      <c r="O3" s="4" t="s">
        <v>7</v>
      </c>
      <c r="P3" s="4" t="s">
        <v>6</v>
      </c>
      <c r="Q3" s="4" t="s">
        <v>7</v>
      </c>
      <c r="R3" s="4" t="s">
        <v>6</v>
      </c>
      <c r="S3" s="4" t="s">
        <v>7</v>
      </c>
      <c r="T3" s="4" t="s">
        <v>6</v>
      </c>
      <c r="U3" s="4" t="s">
        <v>7</v>
      </c>
    </row>
    <row r="4" spans="1:21" x14ac:dyDescent="0.2">
      <c r="A4" s="5">
        <v>100</v>
      </c>
      <c r="B4" s="12">
        <f>0.2682*10^-4</f>
        <v>2.6820000000000001E-5</v>
      </c>
      <c r="C4" s="12">
        <f>168.3</f>
        <v>168.3</v>
      </c>
      <c r="D4" s="12">
        <f>0.2654*10^-4</f>
        <v>2.6540000000000003E-5</v>
      </c>
      <c r="E4" s="12">
        <f>166.2</f>
        <v>166.2</v>
      </c>
      <c r="F4" s="12">
        <f>0.2699*10^-4</f>
        <v>2.6989999999999997E-5</v>
      </c>
      <c r="G4" s="12">
        <f>167.1</f>
        <v>167.1</v>
      </c>
      <c r="H4" s="12">
        <f>0.2523*10^-4</f>
        <v>2.5230000000000004E-5</v>
      </c>
      <c r="I4" s="12">
        <f>165.5</f>
        <v>165.5</v>
      </c>
      <c r="K4" s="3">
        <v>1E-10</v>
      </c>
      <c r="M4" s="3">
        <f t="shared" ref="M4:M35" si="0">A4</f>
        <v>100</v>
      </c>
      <c r="N4" s="3">
        <f t="shared" ref="N4:N35" si="1">B4+$K4</f>
        <v>2.6820100000000001E-5</v>
      </c>
      <c r="O4" s="3">
        <f t="shared" ref="O4:O35" si="2">C4+$K4</f>
        <v>168.3000000001</v>
      </c>
      <c r="P4" s="3">
        <f t="shared" ref="P4:P35" si="3">D4+$K4</f>
        <v>2.6540100000000004E-5</v>
      </c>
      <c r="Q4" s="3">
        <f t="shared" ref="Q4:Q35" si="4">E4+$K4</f>
        <v>166.20000000009998</v>
      </c>
      <c r="R4" s="3">
        <f t="shared" ref="R4:R35" si="5">F4+$K4</f>
        <v>2.6990099999999998E-5</v>
      </c>
      <c r="S4" s="3">
        <f t="shared" ref="S4:S35" si="6">G4+$K4</f>
        <v>167.10000000009998</v>
      </c>
      <c r="T4" s="3">
        <f t="shared" ref="T4:T35" si="7">H4+$K4</f>
        <v>2.5230100000000004E-5</v>
      </c>
      <c r="U4" s="3">
        <f t="shared" ref="U4:U35" si="8">I4+$K4</f>
        <v>165.50000000009999</v>
      </c>
    </row>
    <row r="5" spans="1:21" x14ac:dyDescent="0.2">
      <c r="A5" s="7">
        <v>99</v>
      </c>
      <c r="B5" s="12">
        <f>0.3503*10^-4</f>
        <v>3.5030000000000002E-5</v>
      </c>
      <c r="C5" s="12">
        <f>168.3</f>
        <v>168.3</v>
      </c>
      <c r="D5" s="12">
        <f>0.3477*10^-4</f>
        <v>3.4770000000000001E-5</v>
      </c>
      <c r="E5" s="12">
        <f>166.4</f>
        <v>166.4</v>
      </c>
      <c r="F5" s="12">
        <f>0.3531*10^-4</f>
        <v>3.5310000000000006E-5</v>
      </c>
      <c r="G5" s="12">
        <f>167.3</f>
        <v>167.3</v>
      </c>
      <c r="H5" s="12">
        <f>0.331*10^-4</f>
        <v>3.3100000000000005E-5</v>
      </c>
      <c r="I5" s="12">
        <f>165.5</f>
        <v>165.5</v>
      </c>
      <c r="K5" s="8">
        <v>2.0000000000000001E-10</v>
      </c>
      <c r="M5" s="3">
        <f t="shared" si="0"/>
        <v>99</v>
      </c>
      <c r="N5" s="3">
        <f t="shared" si="1"/>
        <v>3.5030200000000002E-5</v>
      </c>
      <c r="O5" s="3">
        <f t="shared" si="2"/>
        <v>168.30000000020001</v>
      </c>
      <c r="P5" s="3">
        <f t="shared" si="3"/>
        <v>3.4770200000000001E-5</v>
      </c>
      <c r="Q5" s="3">
        <f t="shared" si="4"/>
        <v>166.40000000020001</v>
      </c>
      <c r="R5" s="3">
        <f t="shared" si="5"/>
        <v>3.5310200000000006E-5</v>
      </c>
      <c r="S5" s="3">
        <f t="shared" si="6"/>
        <v>167.30000000020001</v>
      </c>
      <c r="T5" s="3">
        <f t="shared" si="7"/>
        <v>3.3100200000000005E-5</v>
      </c>
      <c r="U5" s="3">
        <f t="shared" si="8"/>
        <v>165.5000000002</v>
      </c>
    </row>
    <row r="6" spans="1:21" x14ac:dyDescent="0.2">
      <c r="A6" s="7">
        <v>98</v>
      </c>
      <c r="B6" s="12">
        <f>0.4572*10^-4</f>
        <v>4.5720000000000003E-5</v>
      </c>
      <c r="C6" s="12">
        <f>169.2</f>
        <v>169.2</v>
      </c>
      <c r="D6" s="12">
        <f>0.4551*10^-4</f>
        <v>4.5510000000000003E-5</v>
      </c>
      <c r="E6" s="12">
        <f>167.4</f>
        <v>167.4</v>
      </c>
      <c r="F6" s="12">
        <f>0.4615*10^-4</f>
        <v>4.6150000000000004E-5</v>
      </c>
      <c r="G6" s="12">
        <f>168.2</f>
        <v>168.2</v>
      </c>
      <c r="H6" s="12">
        <f>0.434*10^-4</f>
        <v>4.3400000000000005E-5</v>
      </c>
      <c r="I6" s="12">
        <f>166.1</f>
        <v>166.1</v>
      </c>
      <c r="K6" s="8">
        <v>3E-10</v>
      </c>
      <c r="M6" s="3">
        <f t="shared" si="0"/>
        <v>98</v>
      </c>
      <c r="N6" s="3">
        <f t="shared" si="1"/>
        <v>4.5720300000000003E-5</v>
      </c>
      <c r="O6" s="3">
        <f t="shared" si="2"/>
        <v>169.20000000029998</v>
      </c>
      <c r="P6" s="3">
        <f t="shared" si="3"/>
        <v>4.5510300000000004E-5</v>
      </c>
      <c r="Q6" s="3">
        <f t="shared" si="4"/>
        <v>167.4000000003</v>
      </c>
      <c r="R6" s="3">
        <f t="shared" si="5"/>
        <v>4.6150300000000004E-5</v>
      </c>
      <c r="S6" s="3">
        <f t="shared" si="6"/>
        <v>168.20000000029998</v>
      </c>
      <c r="T6" s="3">
        <f t="shared" si="7"/>
        <v>4.3400300000000005E-5</v>
      </c>
      <c r="U6" s="3">
        <f t="shared" si="8"/>
        <v>166.10000000029999</v>
      </c>
    </row>
    <row r="7" spans="1:21" x14ac:dyDescent="0.2">
      <c r="A7" s="7">
        <v>97</v>
      </c>
      <c r="B7" s="12">
        <f>0.5958*10^-4</f>
        <v>5.9580000000000002E-5</v>
      </c>
      <c r="C7" s="12">
        <f>170.2</f>
        <v>170.2</v>
      </c>
      <c r="D7" s="12">
        <f>0.5946*10^-4</f>
        <v>5.9460000000000003E-5</v>
      </c>
      <c r="E7" s="12">
        <f>168.7</f>
        <v>168.7</v>
      </c>
      <c r="F7" s="12">
        <f>0.6023*10^-4</f>
        <v>6.0229999999999998E-5</v>
      </c>
      <c r="G7" s="12">
        <f>169.3</f>
        <v>169.3</v>
      </c>
      <c r="H7" s="12">
        <f>0.5685*10^-4</f>
        <v>5.6850000000000006E-5</v>
      </c>
      <c r="I7" s="12">
        <f>166.9</f>
        <v>166.9</v>
      </c>
      <c r="K7" s="3">
        <v>4.0000000000000001E-10</v>
      </c>
      <c r="M7" s="3">
        <f t="shared" si="0"/>
        <v>97</v>
      </c>
      <c r="N7" s="3">
        <f t="shared" si="1"/>
        <v>5.9580400000000003E-5</v>
      </c>
      <c r="O7" s="3">
        <f t="shared" si="2"/>
        <v>170.2000000004</v>
      </c>
      <c r="P7" s="3">
        <f t="shared" si="3"/>
        <v>5.9460400000000004E-5</v>
      </c>
      <c r="Q7" s="3">
        <f t="shared" si="4"/>
        <v>168.7000000004</v>
      </c>
      <c r="R7" s="3">
        <f t="shared" si="5"/>
        <v>6.0230399999999999E-5</v>
      </c>
      <c r="S7" s="3">
        <f t="shared" si="6"/>
        <v>169.30000000040002</v>
      </c>
      <c r="T7" s="3">
        <f t="shared" si="7"/>
        <v>5.6850400000000007E-5</v>
      </c>
      <c r="U7" s="3">
        <f t="shared" si="8"/>
        <v>166.90000000040001</v>
      </c>
    </row>
    <row r="8" spans="1:21" x14ac:dyDescent="0.2">
      <c r="A8" s="7">
        <v>96</v>
      </c>
      <c r="B8" s="12">
        <f>0.7753*10^-4</f>
        <v>7.7529999999999998E-5</v>
      </c>
      <c r="C8" s="12">
        <f>171.2</f>
        <v>171.2</v>
      </c>
      <c r="D8" s="12">
        <f>0.7754*10^-4</f>
        <v>7.7540000000000006E-5</v>
      </c>
      <c r="E8" s="12">
        <f>170</f>
        <v>170</v>
      </c>
      <c r="F8" s="12">
        <f>0.7847*10^-4</f>
        <v>7.8469999999999999E-5</v>
      </c>
      <c r="G8" s="12">
        <f>170.4</f>
        <v>170.4</v>
      </c>
      <c r="H8" s="12">
        <f>0.7438*10^-4</f>
        <v>7.4380000000000003E-5</v>
      </c>
      <c r="I8" s="12">
        <f>167.7</f>
        <v>167.7</v>
      </c>
      <c r="K8" s="8">
        <v>5.0000000000000003E-10</v>
      </c>
      <c r="M8" s="3">
        <f t="shared" si="0"/>
        <v>96</v>
      </c>
      <c r="N8" s="3">
        <f t="shared" si="1"/>
        <v>7.7530499999999992E-5</v>
      </c>
      <c r="O8" s="3">
        <f t="shared" si="2"/>
        <v>171.20000000049998</v>
      </c>
      <c r="P8" s="3">
        <f t="shared" si="3"/>
        <v>7.7540500000000001E-5</v>
      </c>
      <c r="Q8" s="3">
        <f t="shared" si="4"/>
        <v>170.00000000049999</v>
      </c>
      <c r="R8" s="3">
        <f t="shared" si="5"/>
        <v>7.8470499999999993E-5</v>
      </c>
      <c r="S8" s="3">
        <f t="shared" si="6"/>
        <v>170.4000000005</v>
      </c>
      <c r="T8" s="3">
        <f t="shared" si="7"/>
        <v>7.4380499999999997E-5</v>
      </c>
      <c r="U8" s="3">
        <f t="shared" si="8"/>
        <v>167.70000000049998</v>
      </c>
    </row>
    <row r="9" spans="1:21" x14ac:dyDescent="0.2">
      <c r="A9" s="7">
        <v>95</v>
      </c>
      <c r="B9" s="12">
        <f>0.1007*10^-3</f>
        <v>1.0069999999999999E-4</v>
      </c>
      <c r="C9" s="12">
        <f>172.5</f>
        <v>172.5</v>
      </c>
      <c r="D9" s="12">
        <f>0.1009*10^-3</f>
        <v>1.009E-4</v>
      </c>
      <c r="E9" s="12">
        <f>171.5</f>
        <v>171.5</v>
      </c>
      <c r="F9" s="12">
        <f>0.1021*10^-3</f>
        <v>1.021E-4</v>
      </c>
      <c r="G9" s="12">
        <f>171.7</f>
        <v>171.7</v>
      </c>
      <c r="H9" s="12">
        <f>0.9719*10^-4</f>
        <v>9.719000000000001E-5</v>
      </c>
      <c r="I9" s="12">
        <f>168.6</f>
        <v>168.6</v>
      </c>
      <c r="K9" s="8">
        <v>6E-10</v>
      </c>
      <c r="M9" s="3">
        <f t="shared" si="0"/>
        <v>95</v>
      </c>
      <c r="N9" s="3">
        <f t="shared" si="1"/>
        <v>1.007006E-4</v>
      </c>
      <c r="O9" s="3">
        <f t="shared" si="2"/>
        <v>172.50000000060001</v>
      </c>
      <c r="P9" s="3">
        <f t="shared" si="3"/>
        <v>1.009006E-4</v>
      </c>
      <c r="Q9" s="3">
        <f t="shared" si="4"/>
        <v>171.50000000060001</v>
      </c>
      <c r="R9" s="3">
        <f t="shared" si="5"/>
        <v>1.021006E-4</v>
      </c>
      <c r="S9" s="3">
        <f t="shared" si="6"/>
        <v>171.7000000006</v>
      </c>
      <c r="T9" s="3">
        <f t="shared" si="7"/>
        <v>9.7190600000000011E-5</v>
      </c>
      <c r="U9" s="3">
        <f t="shared" si="8"/>
        <v>168.60000000060001</v>
      </c>
    </row>
    <row r="10" spans="1:21" x14ac:dyDescent="0.2">
      <c r="A10" s="7">
        <v>94</v>
      </c>
      <c r="B10" s="12">
        <f>0.1305*10^-3</f>
        <v>1.305E-4</v>
      </c>
      <c r="C10" s="12">
        <f>174.2</f>
        <v>174.2</v>
      </c>
      <c r="D10" s="12">
        <f>0.1309*10^-3</f>
        <v>1.3089999999999998E-4</v>
      </c>
      <c r="E10" s="12">
        <f>173.4</f>
        <v>173.4</v>
      </c>
      <c r="F10" s="12">
        <f>0.1325*10^-3</f>
        <v>1.3250000000000002E-4</v>
      </c>
      <c r="G10" s="12">
        <f>173.3</f>
        <v>173.3</v>
      </c>
      <c r="H10" s="12">
        <f>0.1268*10^-3</f>
        <v>1.2679999999999999E-4</v>
      </c>
      <c r="I10" s="12">
        <f>169.7</f>
        <v>169.7</v>
      </c>
      <c r="K10" s="3">
        <v>6.9999999999999996E-10</v>
      </c>
      <c r="M10" s="3">
        <f t="shared" si="0"/>
        <v>94</v>
      </c>
      <c r="N10" s="3">
        <f t="shared" si="1"/>
        <v>1.305007E-4</v>
      </c>
      <c r="O10" s="3">
        <f t="shared" si="2"/>
        <v>174.20000000069999</v>
      </c>
      <c r="P10" s="3">
        <f t="shared" si="3"/>
        <v>1.3090069999999998E-4</v>
      </c>
      <c r="Q10" s="3">
        <f t="shared" si="4"/>
        <v>173.4000000007</v>
      </c>
      <c r="R10" s="3">
        <f t="shared" si="5"/>
        <v>1.3250070000000002E-4</v>
      </c>
      <c r="S10" s="3">
        <f t="shared" si="6"/>
        <v>173.30000000070001</v>
      </c>
      <c r="T10" s="3">
        <f t="shared" si="7"/>
        <v>1.2680069999999999E-4</v>
      </c>
      <c r="U10" s="3">
        <f t="shared" si="8"/>
        <v>169.70000000069999</v>
      </c>
    </row>
    <row r="11" spans="1:21" x14ac:dyDescent="0.2">
      <c r="A11" s="7">
        <v>93</v>
      </c>
      <c r="B11" s="12">
        <f>0.1688*10^-3</f>
        <v>1.6880000000000001E-4</v>
      </c>
      <c r="C11" s="12">
        <f>176.1</f>
        <v>176.1</v>
      </c>
      <c r="D11" s="12">
        <f>0.1695*10^-3</f>
        <v>1.6950000000000003E-4</v>
      </c>
      <c r="E11" s="12">
        <f>175.3</f>
        <v>175.3</v>
      </c>
      <c r="F11" s="12">
        <f>0.1715*10^-3</f>
        <v>1.7150000000000002E-4</v>
      </c>
      <c r="G11" s="12">
        <f>175</f>
        <v>175</v>
      </c>
      <c r="H11" s="12">
        <f>0.1651*10^-3</f>
        <v>1.651E-4</v>
      </c>
      <c r="I11" s="12">
        <f>171.1</f>
        <v>171.1</v>
      </c>
      <c r="K11" s="8">
        <v>8.0000000000000003E-10</v>
      </c>
      <c r="M11" s="3">
        <f t="shared" si="0"/>
        <v>93</v>
      </c>
      <c r="N11" s="3">
        <f t="shared" si="1"/>
        <v>1.6880080000000001E-4</v>
      </c>
      <c r="O11" s="3">
        <f t="shared" si="2"/>
        <v>176.10000000079998</v>
      </c>
      <c r="P11" s="3">
        <f t="shared" si="3"/>
        <v>1.6950080000000003E-4</v>
      </c>
      <c r="Q11" s="3">
        <f t="shared" si="4"/>
        <v>175.3000000008</v>
      </c>
      <c r="R11" s="3">
        <f t="shared" si="5"/>
        <v>1.7150080000000002E-4</v>
      </c>
      <c r="S11" s="3">
        <f t="shared" si="6"/>
        <v>175.00000000079999</v>
      </c>
      <c r="T11" s="3">
        <f t="shared" si="7"/>
        <v>1.651008E-4</v>
      </c>
      <c r="U11" s="3">
        <f t="shared" si="8"/>
        <v>171.10000000079998</v>
      </c>
    </row>
    <row r="12" spans="1:21" x14ac:dyDescent="0.2">
      <c r="A12" s="7">
        <v>92</v>
      </c>
      <c r="B12" s="12">
        <f>0.2176*10^-3</f>
        <v>2.176E-4</v>
      </c>
      <c r="C12" s="12">
        <f>177.9</f>
        <v>177.9</v>
      </c>
      <c r="D12" s="12">
        <f>0.2188*10^-3</f>
        <v>2.1880000000000001E-4</v>
      </c>
      <c r="E12" s="12">
        <f>177.2</f>
        <v>177.2</v>
      </c>
      <c r="F12" s="12">
        <f>0.2215*10^-3</f>
        <v>2.2150000000000002E-4</v>
      </c>
      <c r="G12" s="12">
        <f>176.7</f>
        <v>176.7</v>
      </c>
      <c r="H12" s="12">
        <f>0.2145*10^-3</f>
        <v>2.1450000000000001E-4</v>
      </c>
      <c r="I12" s="12">
        <f>172.7</f>
        <v>172.7</v>
      </c>
      <c r="K12" s="8">
        <v>8.9999999999999999E-10</v>
      </c>
      <c r="M12" s="3">
        <f t="shared" si="0"/>
        <v>92</v>
      </c>
      <c r="N12" s="3">
        <f t="shared" si="1"/>
        <v>2.1760090000000001E-4</v>
      </c>
      <c r="O12" s="3">
        <f t="shared" si="2"/>
        <v>177.90000000090001</v>
      </c>
      <c r="P12" s="3">
        <f t="shared" si="3"/>
        <v>2.1880090000000001E-4</v>
      </c>
      <c r="Q12" s="3">
        <f t="shared" si="4"/>
        <v>177.20000000089999</v>
      </c>
      <c r="R12" s="3">
        <f t="shared" si="5"/>
        <v>2.2150090000000003E-4</v>
      </c>
      <c r="S12" s="3">
        <f t="shared" si="6"/>
        <v>176.70000000089999</v>
      </c>
      <c r="T12" s="3">
        <f t="shared" si="7"/>
        <v>2.1450090000000002E-4</v>
      </c>
      <c r="U12" s="3">
        <f t="shared" si="8"/>
        <v>172.70000000089999</v>
      </c>
    </row>
    <row r="13" spans="1:21" x14ac:dyDescent="0.2">
      <c r="A13" s="7">
        <v>91</v>
      </c>
      <c r="B13" s="12">
        <f>0.2798*10^-3</f>
        <v>2.7980000000000002E-4</v>
      </c>
      <c r="C13" s="12">
        <f>179.8</f>
        <v>179.8</v>
      </c>
      <c r="D13" s="12">
        <f>0.2816*10^-3</f>
        <v>2.8160000000000001E-4</v>
      </c>
      <c r="E13" s="12">
        <f>179.2</f>
        <v>179.2</v>
      </c>
      <c r="F13" s="12">
        <f>0.2854*10^-3</f>
        <v>2.854E-4</v>
      </c>
      <c r="G13" s="12">
        <f>178.5</f>
        <v>178.5</v>
      </c>
      <c r="H13" s="12">
        <f>0.278*10^-3</f>
        <v>2.7800000000000004E-4</v>
      </c>
      <c r="I13" s="12">
        <f>174.3</f>
        <v>174.3</v>
      </c>
      <c r="K13" s="3">
        <v>1.0000000000000001E-9</v>
      </c>
      <c r="M13" s="3">
        <f t="shared" si="0"/>
        <v>91</v>
      </c>
      <c r="N13" s="3">
        <f t="shared" si="1"/>
        <v>2.7980100000000004E-4</v>
      </c>
      <c r="O13" s="3">
        <f t="shared" si="2"/>
        <v>179.800000001</v>
      </c>
      <c r="P13" s="3">
        <f t="shared" si="3"/>
        <v>2.8160100000000003E-4</v>
      </c>
      <c r="Q13" s="3">
        <f t="shared" si="4"/>
        <v>179.20000000099998</v>
      </c>
      <c r="R13" s="3">
        <f t="shared" si="5"/>
        <v>2.8540100000000001E-4</v>
      </c>
      <c r="S13" s="3">
        <f t="shared" si="6"/>
        <v>178.50000000099999</v>
      </c>
      <c r="T13" s="3">
        <f t="shared" si="7"/>
        <v>2.7800100000000005E-4</v>
      </c>
      <c r="U13" s="3">
        <f t="shared" si="8"/>
        <v>174.300000001</v>
      </c>
    </row>
    <row r="14" spans="1:21" x14ac:dyDescent="0.2">
      <c r="A14" s="7">
        <v>90</v>
      </c>
      <c r="B14" s="12">
        <f>0.3589*10^-3</f>
        <v>3.589E-4</v>
      </c>
      <c r="C14" s="12">
        <f>181.9</f>
        <v>181.9</v>
      </c>
      <c r="D14" s="12">
        <f>0.3615*10^-3</f>
        <v>3.615E-4</v>
      </c>
      <c r="E14" s="12">
        <f>181.2</f>
        <v>181.2</v>
      </c>
      <c r="F14" s="12">
        <f>0.3667*10^-3</f>
        <v>3.6670000000000002E-4</v>
      </c>
      <c r="G14" s="12">
        <f>180.3</f>
        <v>180.3</v>
      </c>
      <c r="H14" s="12">
        <f>0.3595*10^-3</f>
        <v>3.5950000000000001E-4</v>
      </c>
      <c r="I14" s="12">
        <f>176</f>
        <v>176</v>
      </c>
      <c r="K14" s="8">
        <v>1.0999999999999999E-9</v>
      </c>
      <c r="M14" s="3">
        <f t="shared" si="0"/>
        <v>90</v>
      </c>
      <c r="N14" s="3">
        <f t="shared" si="1"/>
        <v>3.5890109999999999E-4</v>
      </c>
      <c r="O14" s="3">
        <f t="shared" si="2"/>
        <v>181.90000000110001</v>
      </c>
      <c r="P14" s="3">
        <f t="shared" si="3"/>
        <v>3.615011E-4</v>
      </c>
      <c r="Q14" s="3">
        <f t="shared" si="4"/>
        <v>181.20000000109999</v>
      </c>
      <c r="R14" s="3">
        <f t="shared" si="5"/>
        <v>3.6670110000000002E-4</v>
      </c>
      <c r="S14" s="3">
        <f t="shared" si="6"/>
        <v>180.30000000110002</v>
      </c>
      <c r="T14" s="3">
        <f t="shared" si="7"/>
        <v>3.5950110000000001E-4</v>
      </c>
      <c r="U14" s="3">
        <f t="shared" si="8"/>
        <v>176.00000000110001</v>
      </c>
    </row>
    <row r="15" spans="1:21" x14ac:dyDescent="0.2">
      <c r="A15" s="7">
        <v>89</v>
      </c>
      <c r="B15" s="12">
        <f>0.459*10^-3</f>
        <v>4.5900000000000004E-4</v>
      </c>
      <c r="C15" s="12">
        <f>184.2</f>
        <v>184.2</v>
      </c>
      <c r="D15" s="12">
        <f>0.4628*10^-3</f>
        <v>4.6279999999999997E-4</v>
      </c>
      <c r="E15" s="12">
        <f>183.6</f>
        <v>183.6</v>
      </c>
      <c r="F15" s="12">
        <f>0.47*10^-3</f>
        <v>4.6999999999999999E-4</v>
      </c>
      <c r="G15" s="12">
        <f>182.6</f>
        <v>182.6</v>
      </c>
      <c r="H15" s="12">
        <f>0.4636*10^-3</f>
        <v>4.6360000000000005E-4</v>
      </c>
      <c r="I15" s="12">
        <f>178.1</f>
        <v>178.1</v>
      </c>
      <c r="K15" s="8">
        <v>1.2E-9</v>
      </c>
      <c r="M15" s="3">
        <f t="shared" si="0"/>
        <v>89</v>
      </c>
      <c r="N15" s="3">
        <f t="shared" si="1"/>
        <v>4.5900120000000002E-4</v>
      </c>
      <c r="O15" s="3">
        <f t="shared" si="2"/>
        <v>184.20000000119998</v>
      </c>
      <c r="P15" s="3">
        <f t="shared" si="3"/>
        <v>4.6280119999999995E-4</v>
      </c>
      <c r="Q15" s="3">
        <f t="shared" si="4"/>
        <v>183.60000000119999</v>
      </c>
      <c r="R15" s="3">
        <f t="shared" si="5"/>
        <v>4.7000119999999996E-4</v>
      </c>
      <c r="S15" s="3">
        <f t="shared" si="6"/>
        <v>182.60000000119999</v>
      </c>
      <c r="T15" s="3">
        <f t="shared" si="7"/>
        <v>4.6360120000000002E-4</v>
      </c>
      <c r="U15" s="3">
        <f t="shared" si="8"/>
        <v>178.10000000119999</v>
      </c>
    </row>
    <row r="16" spans="1:21" x14ac:dyDescent="0.2">
      <c r="A16" s="7">
        <v>88</v>
      </c>
      <c r="B16" s="12">
        <f>0.5849*10^-3</f>
        <v>5.8489999999999996E-4</v>
      </c>
      <c r="C16" s="12">
        <f>187.3</f>
        <v>187.3</v>
      </c>
      <c r="D16" s="12">
        <f>0.5902*10^-3</f>
        <v>5.9019999999999993E-4</v>
      </c>
      <c r="E16" s="12">
        <f>186.6</f>
        <v>186.6</v>
      </c>
      <c r="F16" s="12">
        <f>0.6003*10^-3</f>
        <v>6.0030000000000001E-4</v>
      </c>
      <c r="G16" s="12">
        <f>185.4</f>
        <v>185.4</v>
      </c>
      <c r="H16" s="12">
        <f>0.596*10^-3</f>
        <v>5.9599999999999996E-4</v>
      </c>
      <c r="I16" s="12">
        <f>180.5</f>
        <v>180.5</v>
      </c>
      <c r="K16" s="3">
        <v>1.3000000000000001E-9</v>
      </c>
      <c r="M16" s="3">
        <f t="shared" si="0"/>
        <v>88</v>
      </c>
      <c r="N16" s="3">
        <f t="shared" si="1"/>
        <v>5.8490129999999997E-4</v>
      </c>
      <c r="O16" s="3">
        <f t="shared" si="2"/>
        <v>187.30000000130002</v>
      </c>
      <c r="P16" s="3">
        <f t="shared" si="3"/>
        <v>5.9020129999999994E-4</v>
      </c>
      <c r="Q16" s="3">
        <f t="shared" si="4"/>
        <v>186.6000000013</v>
      </c>
      <c r="R16" s="3">
        <f t="shared" si="5"/>
        <v>6.0030130000000002E-4</v>
      </c>
      <c r="S16" s="3">
        <f t="shared" si="6"/>
        <v>185.40000000130001</v>
      </c>
      <c r="T16" s="3">
        <f t="shared" si="7"/>
        <v>5.9600129999999997E-4</v>
      </c>
      <c r="U16" s="3">
        <f t="shared" si="8"/>
        <v>180.50000000130001</v>
      </c>
    </row>
    <row r="17" spans="1:21" x14ac:dyDescent="0.2">
      <c r="A17" s="7">
        <v>87</v>
      </c>
      <c r="B17" s="12">
        <f>0.7424*10^-3</f>
        <v>7.4239999999999994E-4</v>
      </c>
      <c r="C17" s="12">
        <f>190.6</f>
        <v>190.6</v>
      </c>
      <c r="D17" s="12">
        <f>0.7498*10^-3</f>
        <v>7.4980000000000001E-4</v>
      </c>
      <c r="E17" s="12">
        <f>189.7</f>
        <v>189.7</v>
      </c>
      <c r="F17" s="12">
        <f>0.7639*10^-3</f>
        <v>7.6390000000000008E-4</v>
      </c>
      <c r="G17" s="12">
        <f>188.5</f>
        <v>188.5</v>
      </c>
      <c r="H17" s="12">
        <f>0.7636*10^-3</f>
        <v>7.6359999999999991E-4</v>
      </c>
      <c r="I17" s="12">
        <f>183.1</f>
        <v>183.1</v>
      </c>
      <c r="K17" s="8">
        <v>1.3999999999999999E-9</v>
      </c>
      <c r="M17" s="3">
        <f t="shared" si="0"/>
        <v>87</v>
      </c>
      <c r="N17" s="3">
        <f t="shared" si="1"/>
        <v>7.4240139999999998E-4</v>
      </c>
      <c r="O17" s="3">
        <f t="shared" si="2"/>
        <v>190.60000000139999</v>
      </c>
      <c r="P17" s="3">
        <f t="shared" si="3"/>
        <v>7.4980140000000005E-4</v>
      </c>
      <c r="Q17" s="3">
        <f t="shared" si="4"/>
        <v>189.70000000139999</v>
      </c>
      <c r="R17" s="3">
        <f t="shared" si="5"/>
        <v>7.6390140000000013E-4</v>
      </c>
      <c r="S17" s="3">
        <f t="shared" si="6"/>
        <v>188.5000000014</v>
      </c>
      <c r="T17" s="3">
        <f t="shared" si="7"/>
        <v>7.6360139999999996E-4</v>
      </c>
      <c r="U17" s="3">
        <f t="shared" si="8"/>
        <v>183.10000000139999</v>
      </c>
    </row>
    <row r="18" spans="1:21" x14ac:dyDescent="0.2">
      <c r="A18" s="7">
        <v>86</v>
      </c>
      <c r="B18" s="12">
        <f>0.9383*10^-3</f>
        <v>9.3830000000000009E-4</v>
      </c>
      <c r="C18" s="12">
        <f>194</f>
        <v>194</v>
      </c>
      <c r="D18" s="12">
        <f>0.9487*10^-3</f>
        <v>9.4870000000000002E-4</v>
      </c>
      <c r="E18" s="12">
        <f>193.1</f>
        <v>193.1</v>
      </c>
      <c r="F18" s="12">
        <f>0.9681*10^-3</f>
        <v>9.6809999999999995E-4</v>
      </c>
      <c r="G18" s="12">
        <f>191.7</f>
        <v>191.7</v>
      </c>
      <c r="H18" s="12">
        <f>0.9748*10^-3</f>
        <v>9.7480000000000006E-4</v>
      </c>
      <c r="I18" s="12">
        <f>185.9</f>
        <v>185.9</v>
      </c>
      <c r="K18" s="8">
        <v>1.5E-9</v>
      </c>
      <c r="M18" s="3">
        <f t="shared" si="0"/>
        <v>86</v>
      </c>
      <c r="N18" s="3">
        <f t="shared" si="1"/>
        <v>9.3830150000000006E-4</v>
      </c>
      <c r="O18" s="3">
        <f t="shared" si="2"/>
        <v>194.00000000150001</v>
      </c>
      <c r="P18" s="3">
        <f t="shared" si="3"/>
        <v>9.4870149999999999E-4</v>
      </c>
      <c r="Q18" s="3">
        <f t="shared" si="4"/>
        <v>193.10000000150001</v>
      </c>
      <c r="R18" s="3">
        <f t="shared" si="5"/>
        <v>9.6810149999999992E-4</v>
      </c>
      <c r="S18" s="3">
        <f t="shared" si="6"/>
        <v>191.7000000015</v>
      </c>
      <c r="T18" s="3">
        <f t="shared" si="7"/>
        <v>9.7480150000000003E-4</v>
      </c>
      <c r="U18" s="3">
        <f t="shared" si="8"/>
        <v>185.90000000150002</v>
      </c>
    </row>
    <row r="19" spans="1:21" x14ac:dyDescent="0.2">
      <c r="A19" s="7">
        <v>85</v>
      </c>
      <c r="B19" s="12">
        <f>0.1181*10^-2</f>
        <v>1.181E-3</v>
      </c>
      <c r="C19" s="12">
        <f>197.9</f>
        <v>197.9</v>
      </c>
      <c r="D19" s="12">
        <f>0.1195*10^-2</f>
        <v>1.1949999999999999E-3</v>
      </c>
      <c r="E19" s="12">
        <f>196.8</f>
        <v>196.8</v>
      </c>
      <c r="F19" s="12">
        <f>0.1222*10^-2</f>
        <v>1.222E-3</v>
      </c>
      <c r="G19" s="12">
        <f>195.5</f>
        <v>195.5</v>
      </c>
      <c r="H19" s="12">
        <f>0.124*10^-2</f>
        <v>1.24E-3</v>
      </c>
      <c r="I19" s="12">
        <f>189.1</f>
        <v>189.1</v>
      </c>
      <c r="K19" s="3">
        <v>1.6000000000000001E-9</v>
      </c>
      <c r="M19" s="3">
        <f t="shared" si="0"/>
        <v>85</v>
      </c>
      <c r="N19" s="3">
        <f t="shared" si="1"/>
        <v>1.1810015999999999E-3</v>
      </c>
      <c r="O19" s="3">
        <f t="shared" si="2"/>
        <v>197.90000000160001</v>
      </c>
      <c r="P19" s="3">
        <f t="shared" si="3"/>
        <v>1.1950015999999998E-3</v>
      </c>
      <c r="Q19" s="3">
        <f t="shared" si="4"/>
        <v>196.80000000160001</v>
      </c>
      <c r="R19" s="3">
        <f t="shared" si="5"/>
        <v>1.2220015999999999E-3</v>
      </c>
      <c r="S19" s="3">
        <f t="shared" si="6"/>
        <v>195.5000000016</v>
      </c>
      <c r="T19" s="3">
        <f t="shared" si="7"/>
        <v>1.2400015999999999E-3</v>
      </c>
      <c r="U19" s="3">
        <f t="shared" si="8"/>
        <v>189.10000000159999</v>
      </c>
    </row>
    <row r="20" spans="1:21" x14ac:dyDescent="0.2">
      <c r="A20" s="7">
        <v>84</v>
      </c>
      <c r="B20" s="12">
        <f>0.1479*10^-2</f>
        <v>1.4790000000000001E-3</v>
      </c>
      <c r="C20" s="12">
        <f>202.5</f>
        <v>202.5</v>
      </c>
      <c r="D20" s="12">
        <f>0.1499*10^-2</f>
        <v>1.4990000000000001E-3</v>
      </c>
      <c r="E20" s="12">
        <f>201.1</f>
        <v>201.1</v>
      </c>
      <c r="F20" s="12">
        <f>0.1535*10^-2</f>
        <v>1.5349999999999999E-3</v>
      </c>
      <c r="G20" s="12">
        <f>199.7</f>
        <v>199.7</v>
      </c>
      <c r="H20" s="12">
        <f>0.157*10^-2</f>
        <v>1.57E-3</v>
      </c>
      <c r="I20" s="12">
        <f>192.8</f>
        <v>192.8</v>
      </c>
      <c r="K20" s="8">
        <v>1.6999999999999999E-9</v>
      </c>
      <c r="M20" s="3">
        <f t="shared" si="0"/>
        <v>84</v>
      </c>
      <c r="N20" s="3">
        <f t="shared" si="1"/>
        <v>1.4790017E-3</v>
      </c>
      <c r="O20" s="3">
        <f t="shared" si="2"/>
        <v>202.50000000169999</v>
      </c>
      <c r="P20" s="3">
        <f t="shared" si="3"/>
        <v>1.4990017E-3</v>
      </c>
      <c r="Q20" s="3">
        <f t="shared" si="4"/>
        <v>201.10000000169998</v>
      </c>
      <c r="R20" s="3">
        <f t="shared" si="5"/>
        <v>1.5350016999999998E-3</v>
      </c>
      <c r="S20" s="3">
        <f t="shared" si="6"/>
        <v>199.70000000169998</v>
      </c>
      <c r="T20" s="3">
        <f t="shared" si="7"/>
        <v>1.5700016999999999E-3</v>
      </c>
      <c r="U20" s="3">
        <f t="shared" si="8"/>
        <v>192.8000000017</v>
      </c>
    </row>
    <row r="21" spans="1:21" x14ac:dyDescent="0.2">
      <c r="A21" s="7">
        <v>83</v>
      </c>
      <c r="B21" s="12">
        <f>0.1843*10^-2</f>
        <v>1.843E-3</v>
      </c>
      <c r="C21" s="12">
        <f>206.9</f>
        <v>206.9</v>
      </c>
      <c r="D21" s="12">
        <f>0.1871*10^-2</f>
        <v>1.8709999999999998E-3</v>
      </c>
      <c r="E21" s="12">
        <f>205.3</f>
        <v>205.3</v>
      </c>
      <c r="F21" s="12">
        <f>0.1919*10^-2</f>
        <v>1.9189999999999999E-3</v>
      </c>
      <c r="G21" s="12">
        <f>204</f>
        <v>204</v>
      </c>
      <c r="H21" s="12">
        <f>0.1978*10^-2</f>
        <v>1.9780000000000002E-3</v>
      </c>
      <c r="I21" s="12">
        <f>196.8</f>
        <v>196.8</v>
      </c>
      <c r="K21" s="8">
        <v>1.8E-9</v>
      </c>
      <c r="M21" s="3">
        <f t="shared" si="0"/>
        <v>83</v>
      </c>
      <c r="N21" s="3">
        <f t="shared" si="1"/>
        <v>1.8430018E-3</v>
      </c>
      <c r="O21" s="3">
        <f t="shared" si="2"/>
        <v>206.90000000180001</v>
      </c>
      <c r="P21" s="3">
        <f t="shared" si="3"/>
        <v>1.8710017999999998E-3</v>
      </c>
      <c r="Q21" s="3">
        <f t="shared" si="4"/>
        <v>205.30000000180002</v>
      </c>
      <c r="R21" s="3">
        <f t="shared" si="5"/>
        <v>1.9190017999999999E-3</v>
      </c>
      <c r="S21" s="3">
        <f t="shared" si="6"/>
        <v>204.0000000018</v>
      </c>
      <c r="T21" s="3">
        <f t="shared" si="7"/>
        <v>1.9780018000000003E-3</v>
      </c>
      <c r="U21" s="3">
        <f t="shared" si="8"/>
        <v>196.80000000180002</v>
      </c>
    </row>
    <row r="22" spans="1:21" x14ac:dyDescent="0.2">
      <c r="A22" s="7">
        <v>82</v>
      </c>
      <c r="B22" s="12">
        <f>0.2287*10^-2</f>
        <v>2.287E-3</v>
      </c>
      <c r="C22" s="12">
        <f>211.1</f>
        <v>211.1</v>
      </c>
      <c r="D22" s="12">
        <f>0.2326*10^-2</f>
        <v>2.3259999999999999E-3</v>
      </c>
      <c r="E22" s="12">
        <f>209.1</f>
        <v>209.1</v>
      </c>
      <c r="F22" s="12">
        <f>0.2388*10^-2</f>
        <v>2.3880000000000004E-3</v>
      </c>
      <c r="G22" s="12">
        <f>207.9</f>
        <v>207.9</v>
      </c>
      <c r="H22" s="12">
        <f>0.2482*10^-2</f>
        <v>2.4820000000000003E-3</v>
      </c>
      <c r="I22" s="12">
        <f>200.7</f>
        <v>200.7</v>
      </c>
      <c r="K22" s="3">
        <v>1.9000000000000001E-9</v>
      </c>
      <c r="M22" s="3">
        <f t="shared" si="0"/>
        <v>82</v>
      </c>
      <c r="N22" s="3">
        <f t="shared" si="1"/>
        <v>2.2870019000000002E-3</v>
      </c>
      <c r="O22" s="3">
        <f t="shared" si="2"/>
        <v>211.10000000189999</v>
      </c>
      <c r="P22" s="3">
        <f t="shared" si="3"/>
        <v>2.3260019000000002E-3</v>
      </c>
      <c r="Q22" s="3">
        <f t="shared" si="4"/>
        <v>209.10000000189999</v>
      </c>
      <c r="R22" s="3">
        <f t="shared" si="5"/>
        <v>2.3880019000000006E-3</v>
      </c>
      <c r="S22" s="3">
        <f t="shared" si="6"/>
        <v>207.9000000019</v>
      </c>
      <c r="T22" s="3">
        <f t="shared" si="7"/>
        <v>2.4820019000000005E-3</v>
      </c>
      <c r="U22" s="3">
        <f t="shared" si="8"/>
        <v>200.70000000189998</v>
      </c>
    </row>
    <row r="23" spans="1:21" x14ac:dyDescent="0.2">
      <c r="A23" s="7">
        <v>81</v>
      </c>
      <c r="B23" s="12">
        <f>0.2826*10^-2</f>
        <v>2.8260000000000004E-3</v>
      </c>
      <c r="C23" s="12">
        <f>214.4</f>
        <v>214.4</v>
      </c>
      <c r="D23" s="12">
        <f>0.2882*10^-2</f>
        <v>2.882E-3</v>
      </c>
      <c r="E23" s="12">
        <f>212.2</f>
        <v>212.2</v>
      </c>
      <c r="F23" s="12">
        <f>0.2962*10^-2</f>
        <v>2.9620000000000002E-3</v>
      </c>
      <c r="G23" s="12">
        <f>211.3</f>
        <v>211.3</v>
      </c>
      <c r="H23" s="12">
        <f>0.3101*10^-2</f>
        <v>3.101E-3</v>
      </c>
      <c r="I23" s="12">
        <f>204.3</f>
        <v>204.3</v>
      </c>
      <c r="K23" s="8">
        <v>2.0000000000000001E-9</v>
      </c>
      <c r="M23" s="3">
        <f t="shared" si="0"/>
        <v>81</v>
      </c>
      <c r="N23" s="3">
        <f t="shared" si="1"/>
        <v>2.8260020000000002E-3</v>
      </c>
      <c r="O23" s="3">
        <f t="shared" si="2"/>
        <v>214.40000000200001</v>
      </c>
      <c r="P23" s="3">
        <f t="shared" si="3"/>
        <v>2.8820019999999998E-3</v>
      </c>
      <c r="Q23" s="3">
        <f t="shared" si="4"/>
        <v>212.200000002</v>
      </c>
      <c r="R23" s="3">
        <f t="shared" si="5"/>
        <v>2.962002E-3</v>
      </c>
      <c r="S23" s="3">
        <f t="shared" si="6"/>
        <v>211.30000000200002</v>
      </c>
      <c r="T23" s="3">
        <f t="shared" si="7"/>
        <v>3.1010019999999998E-3</v>
      </c>
      <c r="U23" s="3">
        <f t="shared" si="8"/>
        <v>204.30000000200002</v>
      </c>
    </row>
    <row r="24" spans="1:21" x14ac:dyDescent="0.2">
      <c r="A24" s="7">
        <v>80</v>
      </c>
      <c r="B24" s="12">
        <f>0.3484*10^-2</f>
        <v>3.4840000000000001E-3</v>
      </c>
      <c r="C24" s="12">
        <f>217</f>
        <v>217</v>
      </c>
      <c r="D24" s="12">
        <f>0.356*10^-2</f>
        <v>3.5599999999999998E-3</v>
      </c>
      <c r="E24" s="12">
        <f>214.6</f>
        <v>214.6</v>
      </c>
      <c r="F24" s="12">
        <f>0.3662*10^-2</f>
        <v>3.6620000000000003E-3</v>
      </c>
      <c r="G24" s="12">
        <f>214.1</f>
        <v>214.1</v>
      </c>
      <c r="H24" s="12">
        <f>0.386*10^-2</f>
        <v>3.8600000000000001E-3</v>
      </c>
      <c r="I24" s="12">
        <f>208.1</f>
        <v>208.1</v>
      </c>
      <c r="K24" s="8">
        <v>2.1000000000000002E-9</v>
      </c>
      <c r="M24" s="3">
        <f t="shared" si="0"/>
        <v>80</v>
      </c>
      <c r="N24" s="3">
        <f t="shared" si="1"/>
        <v>3.4840021E-3</v>
      </c>
      <c r="O24" s="3">
        <f t="shared" si="2"/>
        <v>217.00000000209999</v>
      </c>
      <c r="P24" s="3">
        <f t="shared" si="3"/>
        <v>3.5600020999999996E-3</v>
      </c>
      <c r="Q24" s="3">
        <f t="shared" si="4"/>
        <v>214.60000000209999</v>
      </c>
      <c r="R24" s="3">
        <f t="shared" si="5"/>
        <v>3.6620021000000002E-3</v>
      </c>
      <c r="S24" s="3">
        <f t="shared" si="6"/>
        <v>214.10000000209999</v>
      </c>
      <c r="T24" s="3">
        <f t="shared" si="7"/>
        <v>3.8600021E-3</v>
      </c>
      <c r="U24" s="3">
        <f t="shared" si="8"/>
        <v>208.10000000209999</v>
      </c>
    </row>
    <row r="25" spans="1:21" x14ac:dyDescent="0.2">
      <c r="A25" s="7">
        <v>79</v>
      </c>
      <c r="B25" s="12">
        <f>0.4286*10^-2</f>
        <v>4.2859999999999999E-3</v>
      </c>
      <c r="C25" s="12">
        <f>219.2</f>
        <v>219.2</v>
      </c>
      <c r="D25" s="12">
        <f>0.4389*10^-2</f>
        <v>4.3890000000000005E-3</v>
      </c>
      <c r="E25" s="12">
        <f>216.9</f>
        <v>216.9</v>
      </c>
      <c r="F25" s="12">
        <f>0.4515*10^-2</f>
        <v>4.5149999999999999E-3</v>
      </c>
      <c r="G25" s="12">
        <f>216.9</f>
        <v>216.9</v>
      </c>
      <c r="H25" s="12">
        <f>0.4785*10^-2</f>
        <v>4.7850000000000002E-3</v>
      </c>
      <c r="I25" s="12">
        <f>211.9</f>
        <v>211.9</v>
      </c>
      <c r="K25" s="3">
        <v>2.1999999999999998E-9</v>
      </c>
      <c r="M25" s="3">
        <f t="shared" si="0"/>
        <v>79</v>
      </c>
      <c r="N25" s="3">
        <f t="shared" si="1"/>
        <v>4.2860021999999998E-3</v>
      </c>
      <c r="O25" s="3">
        <f t="shared" si="2"/>
        <v>219.2000000022</v>
      </c>
      <c r="P25" s="3">
        <f t="shared" si="3"/>
        <v>4.3890022000000004E-3</v>
      </c>
      <c r="Q25" s="3">
        <f t="shared" si="4"/>
        <v>216.90000000220002</v>
      </c>
      <c r="R25" s="3">
        <f t="shared" si="5"/>
        <v>4.5150021999999998E-3</v>
      </c>
      <c r="S25" s="3">
        <f t="shared" si="6"/>
        <v>216.90000000220002</v>
      </c>
      <c r="T25" s="3">
        <f t="shared" si="7"/>
        <v>4.7850022000000001E-3</v>
      </c>
      <c r="U25" s="3">
        <f t="shared" si="8"/>
        <v>211.90000000220002</v>
      </c>
    </row>
    <row r="26" spans="1:21" x14ac:dyDescent="0.2">
      <c r="A26" s="7">
        <v>78</v>
      </c>
      <c r="B26" s="12">
        <f>0.5262*10^-2</f>
        <v>5.2620000000000002E-3</v>
      </c>
      <c r="C26" s="12">
        <f>221.3</f>
        <v>221.3</v>
      </c>
      <c r="D26" s="12">
        <f>0.54*10^-2</f>
        <v>5.4000000000000003E-3</v>
      </c>
      <c r="E26" s="12">
        <f>219.3</f>
        <v>219.3</v>
      </c>
      <c r="F26" s="12">
        <f>0.5554*10^-2</f>
        <v>5.5539999999999999E-3</v>
      </c>
      <c r="G26" s="12">
        <f>219.6</f>
        <v>219.6</v>
      </c>
      <c r="H26" s="12">
        <f>0.591*10^-2</f>
        <v>5.9099999999999995E-3</v>
      </c>
      <c r="I26" s="12">
        <f>215.9</f>
        <v>215.9</v>
      </c>
      <c r="K26" s="8">
        <v>2.2999999999999999E-9</v>
      </c>
      <c r="M26" s="3">
        <f t="shared" si="0"/>
        <v>78</v>
      </c>
      <c r="N26" s="3">
        <f t="shared" si="1"/>
        <v>5.2620023000000005E-3</v>
      </c>
      <c r="O26" s="3">
        <f t="shared" si="2"/>
        <v>221.30000000230001</v>
      </c>
      <c r="P26" s="3">
        <f t="shared" si="3"/>
        <v>5.4000023000000006E-3</v>
      </c>
      <c r="Q26" s="3">
        <f t="shared" si="4"/>
        <v>219.30000000230001</v>
      </c>
      <c r="R26" s="3">
        <f t="shared" si="5"/>
        <v>5.5540023000000003E-3</v>
      </c>
      <c r="S26" s="3">
        <f t="shared" si="6"/>
        <v>219.60000000229999</v>
      </c>
      <c r="T26" s="3">
        <f t="shared" si="7"/>
        <v>5.9100022999999998E-3</v>
      </c>
      <c r="U26" s="3">
        <f t="shared" si="8"/>
        <v>215.9000000023</v>
      </c>
    </row>
    <row r="27" spans="1:21" x14ac:dyDescent="0.2">
      <c r="A27" s="7">
        <v>77</v>
      </c>
      <c r="B27" s="12">
        <f>0.6449*10^-2</f>
        <v>6.4490000000000007E-3</v>
      </c>
      <c r="C27" s="12">
        <f>223.3</f>
        <v>223.3</v>
      </c>
      <c r="D27" s="12">
        <f>0.6628*10^-2</f>
        <v>6.6279999999999993E-3</v>
      </c>
      <c r="E27" s="12">
        <f>221.6</f>
        <v>221.6</v>
      </c>
      <c r="F27" s="12">
        <f>0.6814*10^-2</f>
        <v>6.8140000000000006E-3</v>
      </c>
      <c r="G27" s="12">
        <f>222.3</f>
        <v>222.3</v>
      </c>
      <c r="H27" s="12">
        <f>0.727*10^-2</f>
        <v>7.2699999999999996E-3</v>
      </c>
      <c r="I27" s="12">
        <f>220.1</f>
        <v>220.1</v>
      </c>
      <c r="K27" s="8">
        <v>2.4E-9</v>
      </c>
      <c r="M27" s="3">
        <f t="shared" si="0"/>
        <v>77</v>
      </c>
      <c r="N27" s="3">
        <f t="shared" si="1"/>
        <v>6.4490024000000007E-3</v>
      </c>
      <c r="O27" s="3">
        <f t="shared" si="2"/>
        <v>223.3000000024</v>
      </c>
      <c r="P27" s="3">
        <f t="shared" si="3"/>
        <v>6.6280023999999993E-3</v>
      </c>
      <c r="Q27" s="3">
        <f t="shared" si="4"/>
        <v>221.60000000239998</v>
      </c>
      <c r="R27" s="3">
        <f t="shared" si="5"/>
        <v>6.8140024000000006E-3</v>
      </c>
      <c r="S27" s="3">
        <f t="shared" si="6"/>
        <v>222.3000000024</v>
      </c>
      <c r="T27" s="3">
        <f t="shared" si="7"/>
        <v>7.2700023999999995E-3</v>
      </c>
      <c r="U27" s="3">
        <f t="shared" si="8"/>
        <v>220.10000000239998</v>
      </c>
    </row>
    <row r="28" spans="1:21" x14ac:dyDescent="0.2">
      <c r="A28" s="7">
        <v>76</v>
      </c>
      <c r="B28" s="12">
        <f>0.7887*10^-2</f>
        <v>7.8869999999999999E-3</v>
      </c>
      <c r="C28" s="12">
        <f>225.7</f>
        <v>225.7</v>
      </c>
      <c r="D28" s="12">
        <f>0.8119*10^-2</f>
        <v>8.1189999999999995E-3</v>
      </c>
      <c r="E28" s="12">
        <f>224.2</f>
        <v>224.2</v>
      </c>
      <c r="F28" s="12">
        <f>0.8341*10^-2</f>
        <v>8.3409999999999995E-3</v>
      </c>
      <c r="G28" s="12">
        <f>225</f>
        <v>225</v>
      </c>
      <c r="H28" s="12">
        <f>0.8911*10^-2</f>
        <v>8.9110000000000005E-3</v>
      </c>
      <c r="I28" s="12">
        <f>223.9</f>
        <v>223.9</v>
      </c>
      <c r="K28" s="3">
        <v>2.5000000000000001E-9</v>
      </c>
      <c r="M28" s="3">
        <f t="shared" si="0"/>
        <v>76</v>
      </c>
      <c r="N28" s="3">
        <f t="shared" si="1"/>
        <v>7.8870025000000003E-3</v>
      </c>
      <c r="O28" s="3">
        <f t="shared" si="2"/>
        <v>225.70000000249999</v>
      </c>
      <c r="P28" s="3">
        <f t="shared" si="3"/>
        <v>8.1190024999999999E-3</v>
      </c>
      <c r="Q28" s="3">
        <f t="shared" si="4"/>
        <v>224.20000000249999</v>
      </c>
      <c r="R28" s="3">
        <f t="shared" si="5"/>
        <v>8.3410024999999999E-3</v>
      </c>
      <c r="S28" s="3">
        <f t="shared" si="6"/>
        <v>225.0000000025</v>
      </c>
      <c r="T28" s="3">
        <f t="shared" si="7"/>
        <v>8.9110025000000009E-3</v>
      </c>
      <c r="U28" s="3">
        <f t="shared" si="8"/>
        <v>223.90000000250001</v>
      </c>
    </row>
    <row r="29" spans="1:21" x14ac:dyDescent="0.2">
      <c r="A29" s="7">
        <v>75</v>
      </c>
      <c r="B29" s="12">
        <f>0.9626*10^-2</f>
        <v>9.6260000000000009E-3</v>
      </c>
      <c r="C29" s="12">
        <f>228.3</f>
        <v>228.3</v>
      </c>
      <c r="D29" s="12">
        <f>0.9922*10^-2</f>
        <v>9.9220000000000003E-3</v>
      </c>
      <c r="E29" s="12">
        <f>226.7</f>
        <v>226.7</v>
      </c>
      <c r="F29" s="12">
        <f>0.1019*10^-1</f>
        <v>1.0190000000000001E-2</v>
      </c>
      <c r="G29" s="12">
        <f>227.5</f>
        <v>227.5</v>
      </c>
      <c r="H29" s="12">
        <f>0.1089*10^-1</f>
        <v>1.089E-2</v>
      </c>
      <c r="I29" s="12">
        <f>227.3</f>
        <v>227.3</v>
      </c>
      <c r="K29" s="8">
        <v>2.6000000000000001E-9</v>
      </c>
      <c r="M29" s="3">
        <f t="shared" si="0"/>
        <v>75</v>
      </c>
      <c r="N29" s="3">
        <f t="shared" si="1"/>
        <v>9.6260026000000009E-3</v>
      </c>
      <c r="O29" s="3">
        <f t="shared" si="2"/>
        <v>228.3000000026</v>
      </c>
      <c r="P29" s="3">
        <f t="shared" si="3"/>
        <v>9.9220026000000003E-3</v>
      </c>
      <c r="Q29" s="3">
        <f t="shared" si="4"/>
        <v>226.70000000259998</v>
      </c>
      <c r="R29" s="3">
        <f t="shared" si="5"/>
        <v>1.0190002600000001E-2</v>
      </c>
      <c r="S29" s="3">
        <f t="shared" si="6"/>
        <v>227.50000000259999</v>
      </c>
      <c r="T29" s="3">
        <f t="shared" si="7"/>
        <v>1.08900026E-2</v>
      </c>
      <c r="U29" s="3">
        <f t="shared" si="8"/>
        <v>227.3000000026</v>
      </c>
    </row>
    <row r="30" spans="1:21" x14ac:dyDescent="0.2">
      <c r="A30" s="7">
        <v>74</v>
      </c>
      <c r="B30" s="12">
        <f>0.1173*10^-1</f>
        <v>1.1730000000000001E-2</v>
      </c>
      <c r="C30" s="12">
        <f>230</f>
        <v>230</v>
      </c>
      <c r="D30" s="12">
        <f>0.121*10^-1</f>
        <v>1.21E-2</v>
      </c>
      <c r="E30" s="12">
        <f>228.7</f>
        <v>228.7</v>
      </c>
      <c r="F30" s="12">
        <f>0.1241*10^-1</f>
        <v>1.2410000000000001E-2</v>
      </c>
      <c r="G30" s="12">
        <f>229.6</f>
        <v>229.6</v>
      </c>
      <c r="H30" s="12">
        <f>0.1327*10^-1</f>
        <v>1.3270000000000002E-2</v>
      </c>
      <c r="I30" s="12">
        <f>230</f>
        <v>230</v>
      </c>
      <c r="K30" s="8">
        <v>2.7000000000000002E-9</v>
      </c>
      <c r="M30" s="3">
        <f t="shared" si="0"/>
        <v>74</v>
      </c>
      <c r="N30" s="3">
        <f t="shared" si="1"/>
        <v>1.17300027E-2</v>
      </c>
      <c r="O30" s="3">
        <f t="shared" si="2"/>
        <v>230.00000000270001</v>
      </c>
      <c r="P30" s="3">
        <f t="shared" si="3"/>
        <v>1.2100002699999999E-2</v>
      </c>
      <c r="Q30" s="3">
        <f t="shared" si="4"/>
        <v>228.70000000269999</v>
      </c>
      <c r="R30" s="3">
        <f t="shared" si="5"/>
        <v>1.2410002700000001E-2</v>
      </c>
      <c r="S30" s="3">
        <f t="shared" si="6"/>
        <v>229.6000000027</v>
      </c>
      <c r="T30" s="3">
        <f t="shared" si="7"/>
        <v>1.3270002700000002E-2</v>
      </c>
      <c r="U30" s="3">
        <f t="shared" si="8"/>
        <v>230.00000000270001</v>
      </c>
    </row>
    <row r="31" spans="1:21" x14ac:dyDescent="0.2">
      <c r="A31" s="7">
        <v>73</v>
      </c>
      <c r="B31" s="12">
        <f>0.1427*10^-1</f>
        <v>1.427E-2</v>
      </c>
      <c r="C31" s="12">
        <f>231.6</f>
        <v>231.6</v>
      </c>
      <c r="D31" s="12">
        <f>0.1474*10^-1</f>
        <v>1.4740000000000001E-2</v>
      </c>
      <c r="E31" s="12">
        <f>230.6</f>
        <v>230.6</v>
      </c>
      <c r="F31" s="12">
        <f>0.1511*10^-1</f>
        <v>1.5110000000000002E-2</v>
      </c>
      <c r="G31" s="12">
        <f>231.4</f>
        <v>231.4</v>
      </c>
      <c r="H31" s="12">
        <f>0.1614*10^-1</f>
        <v>1.6139999999999998E-2</v>
      </c>
      <c r="I31" s="12">
        <f>232.4</f>
        <v>232.4</v>
      </c>
      <c r="K31" s="3">
        <v>2.7999999999999998E-9</v>
      </c>
      <c r="M31" s="3">
        <f t="shared" si="0"/>
        <v>73</v>
      </c>
      <c r="N31" s="3">
        <f t="shared" si="1"/>
        <v>1.4270002799999999E-2</v>
      </c>
      <c r="O31" s="3">
        <f t="shared" si="2"/>
        <v>231.60000000279999</v>
      </c>
      <c r="P31" s="3">
        <f t="shared" si="3"/>
        <v>1.4740002800000001E-2</v>
      </c>
      <c r="Q31" s="3">
        <f t="shared" si="4"/>
        <v>230.60000000279999</v>
      </c>
      <c r="R31" s="3">
        <f t="shared" si="5"/>
        <v>1.5110002800000001E-2</v>
      </c>
      <c r="S31" s="3">
        <f t="shared" si="6"/>
        <v>231.4000000028</v>
      </c>
      <c r="T31" s="3">
        <f t="shared" si="7"/>
        <v>1.6140002799999997E-2</v>
      </c>
      <c r="U31" s="3">
        <f t="shared" si="8"/>
        <v>232.4000000028</v>
      </c>
    </row>
    <row r="32" spans="1:21" x14ac:dyDescent="0.2">
      <c r="A32" s="7">
        <v>72</v>
      </c>
      <c r="B32" s="12">
        <f>0.1734*10^-1</f>
        <v>1.7340000000000001E-2</v>
      </c>
      <c r="C32" s="12">
        <f>232.7</f>
        <v>232.7</v>
      </c>
      <c r="D32" s="12">
        <f>0.1793*10^-1</f>
        <v>1.7929999999999998E-2</v>
      </c>
      <c r="E32" s="12">
        <f>232.2</f>
        <v>232.2</v>
      </c>
      <c r="F32" s="12">
        <f>0.1836*10^-1</f>
        <v>1.8360000000000001E-2</v>
      </c>
      <c r="G32" s="12">
        <f>233.2</f>
        <v>233.2</v>
      </c>
      <c r="H32" s="12">
        <f>0.1959*10^-1</f>
        <v>1.959E-2</v>
      </c>
      <c r="I32" s="12">
        <f>234.9</f>
        <v>234.9</v>
      </c>
      <c r="K32" s="8">
        <v>2.8999999999999999E-9</v>
      </c>
      <c r="M32" s="3">
        <f t="shared" si="0"/>
        <v>72</v>
      </c>
      <c r="N32" s="3">
        <f t="shared" si="1"/>
        <v>1.7340002900000002E-2</v>
      </c>
      <c r="O32" s="3">
        <f t="shared" si="2"/>
        <v>232.7000000029</v>
      </c>
      <c r="P32" s="3">
        <f t="shared" si="3"/>
        <v>1.7930002899999999E-2</v>
      </c>
      <c r="Q32" s="3">
        <f t="shared" si="4"/>
        <v>232.2000000029</v>
      </c>
      <c r="R32" s="3">
        <f t="shared" si="5"/>
        <v>1.8360002900000002E-2</v>
      </c>
      <c r="S32" s="3">
        <f t="shared" si="6"/>
        <v>233.2000000029</v>
      </c>
      <c r="T32" s="3">
        <f t="shared" si="7"/>
        <v>1.95900029E-2</v>
      </c>
      <c r="U32" s="3">
        <f t="shared" si="8"/>
        <v>234.90000000290001</v>
      </c>
    </row>
    <row r="33" spans="1:21" x14ac:dyDescent="0.2">
      <c r="A33" s="7">
        <v>71</v>
      </c>
      <c r="B33" s="12">
        <f>0.2106*10^-1</f>
        <v>2.1060000000000002E-2</v>
      </c>
      <c r="C33" s="12">
        <f>234.1</f>
        <v>234.1</v>
      </c>
      <c r="D33" s="12">
        <f>0.2177*10^-1</f>
        <v>2.1770000000000001E-2</v>
      </c>
      <c r="E33" s="12">
        <f>234.2</f>
        <v>234.2</v>
      </c>
      <c r="F33" s="12">
        <f>0.2228*10^-1</f>
        <v>2.2280000000000001E-2</v>
      </c>
      <c r="G33" s="12">
        <f>235.2</f>
        <v>235.2</v>
      </c>
      <c r="H33" s="12">
        <f>0.2373*10^-1</f>
        <v>2.3730000000000001E-2</v>
      </c>
      <c r="I33" s="12">
        <f>237.1</f>
        <v>237.1</v>
      </c>
      <c r="K33" s="8">
        <v>3E-9</v>
      </c>
      <c r="M33" s="3">
        <f t="shared" si="0"/>
        <v>71</v>
      </c>
      <c r="N33" s="3">
        <f t="shared" si="1"/>
        <v>2.1060003000000001E-2</v>
      </c>
      <c r="O33" s="3">
        <f t="shared" si="2"/>
        <v>234.10000000299999</v>
      </c>
      <c r="P33" s="3">
        <f t="shared" si="3"/>
        <v>2.1770003E-2</v>
      </c>
      <c r="Q33" s="3">
        <f t="shared" si="4"/>
        <v>234.20000000299999</v>
      </c>
      <c r="R33" s="3">
        <f t="shared" si="5"/>
        <v>2.2280003E-2</v>
      </c>
      <c r="S33" s="3">
        <f t="shared" si="6"/>
        <v>235.20000000299999</v>
      </c>
      <c r="T33" s="3">
        <f t="shared" si="7"/>
        <v>2.3730003E-2</v>
      </c>
      <c r="U33" s="3">
        <f t="shared" si="8"/>
        <v>237.10000000299999</v>
      </c>
    </row>
    <row r="34" spans="1:21" x14ac:dyDescent="0.2">
      <c r="A34" s="7">
        <v>70</v>
      </c>
      <c r="B34" s="12">
        <f>0.2554*10^-1</f>
        <v>2.5540000000000004E-2</v>
      </c>
      <c r="C34" s="12">
        <f>235.6</f>
        <v>235.6</v>
      </c>
      <c r="D34" s="12">
        <f>0.2639*10^-1</f>
        <v>2.6390000000000004E-2</v>
      </c>
      <c r="E34" s="12">
        <f>236.3</f>
        <v>236.3</v>
      </c>
      <c r="F34" s="12">
        <f>0.2699*10^-1</f>
        <v>2.699E-2</v>
      </c>
      <c r="G34" s="12">
        <f>237.2</f>
        <v>237.2</v>
      </c>
      <c r="H34" s="12">
        <f>0.287*10^-1</f>
        <v>2.87E-2</v>
      </c>
      <c r="I34" s="12">
        <f>239.5</f>
        <v>239.5</v>
      </c>
      <c r="K34" s="3">
        <v>3.1E-9</v>
      </c>
      <c r="M34" s="3">
        <f t="shared" si="0"/>
        <v>70</v>
      </c>
      <c r="N34" s="3">
        <f t="shared" si="1"/>
        <v>2.5540003100000003E-2</v>
      </c>
      <c r="O34" s="3">
        <f t="shared" si="2"/>
        <v>235.60000000310001</v>
      </c>
      <c r="P34" s="3">
        <f t="shared" si="3"/>
        <v>2.6390003100000003E-2</v>
      </c>
      <c r="Q34" s="3">
        <f t="shared" si="4"/>
        <v>236.30000000310002</v>
      </c>
      <c r="R34" s="3">
        <f t="shared" si="5"/>
        <v>2.69900031E-2</v>
      </c>
      <c r="S34" s="3">
        <f t="shared" si="6"/>
        <v>237.2000000031</v>
      </c>
      <c r="T34" s="3">
        <f t="shared" si="7"/>
        <v>2.87000031E-2</v>
      </c>
      <c r="U34" s="3">
        <f t="shared" si="8"/>
        <v>239.50000000310001</v>
      </c>
    </row>
    <row r="35" spans="1:21" x14ac:dyDescent="0.2">
      <c r="A35" s="7">
        <v>69</v>
      </c>
      <c r="B35" s="12">
        <f>0.3094*10^-1</f>
        <v>3.0940000000000002E-2</v>
      </c>
      <c r="C35" s="12">
        <f>237.1</f>
        <v>237.1</v>
      </c>
      <c r="D35" s="12">
        <f>0.3194*10^-1</f>
        <v>3.1940000000000003E-2</v>
      </c>
      <c r="E35" s="12">
        <f>238.4</f>
        <v>238.4</v>
      </c>
      <c r="F35" s="12">
        <f>0.3264*10^-1</f>
        <v>3.2640000000000002E-2</v>
      </c>
      <c r="G35" s="12">
        <f>239.3</f>
        <v>239.3</v>
      </c>
      <c r="H35" s="12">
        <f>0.3464*10^-1</f>
        <v>3.4639999999999997E-2</v>
      </c>
      <c r="I35" s="12">
        <f>241.8</f>
        <v>241.8</v>
      </c>
      <c r="K35" s="8">
        <v>3.2000000000000001E-9</v>
      </c>
      <c r="M35" s="3">
        <f t="shared" si="0"/>
        <v>69</v>
      </c>
      <c r="N35" s="3">
        <f t="shared" si="1"/>
        <v>3.0940003200000003E-2</v>
      </c>
      <c r="O35" s="3">
        <f t="shared" si="2"/>
        <v>237.10000000319999</v>
      </c>
      <c r="P35" s="3">
        <f t="shared" si="3"/>
        <v>3.1940003200000004E-2</v>
      </c>
      <c r="Q35" s="3">
        <f t="shared" si="4"/>
        <v>238.40000000320001</v>
      </c>
      <c r="R35" s="3">
        <f t="shared" si="5"/>
        <v>3.2640003200000003E-2</v>
      </c>
      <c r="S35" s="3">
        <f t="shared" si="6"/>
        <v>239.30000000320001</v>
      </c>
      <c r="T35" s="3">
        <f t="shared" si="7"/>
        <v>3.4640003199999998E-2</v>
      </c>
      <c r="U35" s="3">
        <f t="shared" si="8"/>
        <v>241.80000000320001</v>
      </c>
    </row>
    <row r="36" spans="1:21" x14ac:dyDescent="0.2">
      <c r="A36" s="7">
        <v>68</v>
      </c>
      <c r="B36" s="12">
        <f>0.3745*10^-1</f>
        <v>3.7450000000000004E-2</v>
      </c>
      <c r="C36" s="12">
        <f>237.9</f>
        <v>237.9</v>
      </c>
      <c r="D36" s="12">
        <f>0.3861*10^-1</f>
        <v>3.8610000000000005E-2</v>
      </c>
      <c r="E36" s="12">
        <f>239.7</f>
        <v>239.7</v>
      </c>
      <c r="F36" s="12">
        <f>0.3943*10^-1</f>
        <v>3.943E-2</v>
      </c>
      <c r="G36" s="12">
        <f>240.5</f>
        <v>240.5</v>
      </c>
      <c r="H36" s="12">
        <f>0.4177*10^-1</f>
        <v>4.1770000000000002E-2</v>
      </c>
      <c r="I36" s="12">
        <f>243.1</f>
        <v>243.1</v>
      </c>
      <c r="K36" s="8">
        <v>3.3000000000000002E-9</v>
      </c>
      <c r="M36" s="3">
        <f t="shared" ref="M36:M54" si="9">A36</f>
        <v>68</v>
      </c>
      <c r="N36" s="3">
        <f t="shared" ref="N36:N54" si="10">B36+$K36</f>
        <v>3.7450003300000007E-2</v>
      </c>
      <c r="O36" s="3">
        <f t="shared" ref="O36:O54" si="11">C36+$K36</f>
        <v>237.90000000329999</v>
      </c>
      <c r="P36" s="3">
        <f t="shared" ref="P36:P54" si="12">D36+$K36</f>
        <v>3.8610003300000008E-2</v>
      </c>
      <c r="Q36" s="3">
        <f t="shared" ref="Q36:Q54" si="13">E36+$K36</f>
        <v>239.70000000329998</v>
      </c>
      <c r="R36" s="3">
        <f t="shared" ref="R36:R54" si="14">F36+$K36</f>
        <v>3.9430003300000002E-2</v>
      </c>
      <c r="S36" s="3">
        <f t="shared" ref="S36:S54" si="15">G36+$K36</f>
        <v>240.50000000329999</v>
      </c>
      <c r="T36" s="3">
        <f t="shared" ref="T36:T54" si="16">H36+$K36</f>
        <v>4.1770003300000004E-2</v>
      </c>
      <c r="U36" s="3">
        <f t="shared" ref="U36:U54" si="17">I36+$K36</f>
        <v>243.10000000329998</v>
      </c>
    </row>
    <row r="37" spans="1:21" x14ac:dyDescent="0.2">
      <c r="A37" s="7">
        <v>67</v>
      </c>
      <c r="B37" s="12">
        <f>0.4533*10^-1</f>
        <v>4.5330000000000002E-2</v>
      </c>
      <c r="C37" s="12">
        <f>237.5</f>
        <v>237.5</v>
      </c>
      <c r="D37" s="12">
        <f>0.4666*10^-1</f>
        <v>4.6660000000000007E-2</v>
      </c>
      <c r="E37" s="12">
        <f>239.5</f>
        <v>239.5</v>
      </c>
      <c r="F37" s="12">
        <f>0.4762*10^-1</f>
        <v>4.7620000000000003E-2</v>
      </c>
      <c r="G37" s="12">
        <f>240.4</f>
        <v>240.4</v>
      </c>
      <c r="H37" s="12">
        <f>0.5033*10^-1</f>
        <v>5.033E-2</v>
      </c>
      <c r="I37" s="12">
        <f>243.4</f>
        <v>243.4</v>
      </c>
      <c r="K37" s="3">
        <v>3.3999999999999998E-9</v>
      </c>
      <c r="M37" s="3">
        <f t="shared" si="9"/>
        <v>67</v>
      </c>
      <c r="N37" s="3">
        <f t="shared" si="10"/>
        <v>4.5330003399999999E-2</v>
      </c>
      <c r="O37" s="3">
        <f t="shared" si="11"/>
        <v>237.5000000034</v>
      </c>
      <c r="P37" s="3">
        <f t="shared" si="12"/>
        <v>4.6660003400000004E-2</v>
      </c>
      <c r="Q37" s="3">
        <f t="shared" si="13"/>
        <v>239.5000000034</v>
      </c>
      <c r="R37" s="3">
        <f t="shared" si="14"/>
        <v>4.7620003399999999E-2</v>
      </c>
      <c r="S37" s="3">
        <f t="shared" si="15"/>
        <v>240.40000000340001</v>
      </c>
      <c r="T37" s="3">
        <f t="shared" si="16"/>
        <v>5.0330003399999997E-2</v>
      </c>
      <c r="U37" s="3">
        <f t="shared" si="17"/>
        <v>243.40000000340001</v>
      </c>
    </row>
    <row r="38" spans="1:21" x14ac:dyDescent="0.2">
      <c r="A38" s="7">
        <v>66</v>
      </c>
      <c r="B38" s="12">
        <f>0.5493*10^-1</f>
        <v>5.4930000000000007E-2</v>
      </c>
      <c r="C38" s="12">
        <f>235.5</f>
        <v>235.5</v>
      </c>
      <c r="D38" s="12">
        <f>0.5643*10^-1</f>
        <v>5.6430000000000008E-2</v>
      </c>
      <c r="E38" s="12">
        <f>238.2</f>
        <v>238.2</v>
      </c>
      <c r="F38" s="12">
        <f>0.5755*10^-1</f>
        <v>5.7550000000000004E-2</v>
      </c>
      <c r="G38" s="12">
        <f>239.3</f>
        <v>239.3</v>
      </c>
      <c r="H38" s="12">
        <f>0.6066*10^-1</f>
        <v>6.0660000000000006E-2</v>
      </c>
      <c r="I38" s="12">
        <f>243.4</f>
        <v>243.4</v>
      </c>
      <c r="K38" s="8">
        <v>3.4999999999999999E-9</v>
      </c>
      <c r="M38" s="3">
        <f t="shared" si="9"/>
        <v>66</v>
      </c>
      <c r="N38" s="3">
        <f t="shared" si="10"/>
        <v>5.4930003500000005E-2</v>
      </c>
      <c r="O38" s="3">
        <f t="shared" si="11"/>
        <v>235.50000000349999</v>
      </c>
      <c r="P38" s="3">
        <f t="shared" si="12"/>
        <v>5.6430003500000006E-2</v>
      </c>
      <c r="Q38" s="3">
        <f t="shared" si="13"/>
        <v>238.20000000349998</v>
      </c>
      <c r="R38" s="3">
        <f t="shared" si="14"/>
        <v>5.7550003500000002E-2</v>
      </c>
      <c r="S38" s="3">
        <f t="shared" si="15"/>
        <v>239.3000000035</v>
      </c>
      <c r="T38" s="3">
        <f t="shared" si="16"/>
        <v>6.0660003500000004E-2</v>
      </c>
      <c r="U38" s="3">
        <f t="shared" si="17"/>
        <v>243.4000000035</v>
      </c>
    </row>
    <row r="39" spans="1:21" x14ac:dyDescent="0.2">
      <c r="A39" s="7">
        <v>65</v>
      </c>
      <c r="B39" s="12">
        <f>0.6668*10^-1</f>
        <v>6.6680000000000003E-2</v>
      </c>
      <c r="C39" s="12">
        <f>234</f>
        <v>234</v>
      </c>
      <c r="D39" s="12">
        <f>0.6832*10^-1</f>
        <v>6.8320000000000006E-2</v>
      </c>
      <c r="E39" s="12">
        <f>237.6</f>
        <v>237.6</v>
      </c>
      <c r="F39" s="12">
        <f>0.696*10^-1</f>
        <v>6.9599999999999995E-2</v>
      </c>
      <c r="G39" s="12">
        <f>239</f>
        <v>239</v>
      </c>
      <c r="H39" s="12">
        <f>0.7309*10^-1</f>
        <v>7.3090000000000002E-2</v>
      </c>
      <c r="I39" s="12">
        <f>243.8</f>
        <v>243.8</v>
      </c>
      <c r="K39" s="8">
        <v>3.6E-9</v>
      </c>
      <c r="M39" s="3">
        <f t="shared" si="9"/>
        <v>65</v>
      </c>
      <c r="N39" s="3">
        <f t="shared" si="10"/>
        <v>6.668000360000001E-2</v>
      </c>
      <c r="O39" s="3">
        <f t="shared" si="11"/>
        <v>234.00000000360001</v>
      </c>
      <c r="P39" s="3">
        <f t="shared" si="12"/>
        <v>6.8320003600000012E-2</v>
      </c>
      <c r="Q39" s="3">
        <f t="shared" si="13"/>
        <v>237.6000000036</v>
      </c>
      <c r="R39" s="3">
        <f t="shared" si="14"/>
        <v>6.9600003600000002E-2</v>
      </c>
      <c r="S39" s="3">
        <f t="shared" si="15"/>
        <v>239.00000000360001</v>
      </c>
      <c r="T39" s="3">
        <f t="shared" si="16"/>
        <v>7.3090003600000009E-2</v>
      </c>
      <c r="U39" s="3">
        <f t="shared" si="17"/>
        <v>243.80000000360002</v>
      </c>
    </row>
    <row r="40" spans="1:21" x14ac:dyDescent="0.2">
      <c r="A40" s="7">
        <v>64</v>
      </c>
      <c r="B40" s="12">
        <f>0.8099*10^-1</f>
        <v>8.0990000000000006E-2</v>
      </c>
      <c r="C40" s="12">
        <f>233.4</f>
        <v>233.4</v>
      </c>
      <c r="D40" s="12">
        <f>0.8271*10^-1</f>
        <v>8.2710000000000006E-2</v>
      </c>
      <c r="E40" s="12">
        <f>237.8</f>
        <v>237.8</v>
      </c>
      <c r="F40" s="12">
        <f>0.8417*10^-1</f>
        <v>8.4170000000000009E-2</v>
      </c>
      <c r="G40" s="12">
        <f>239.3</f>
        <v>239.3</v>
      </c>
      <c r="H40" s="12">
        <f>0.8803*10^-1</f>
        <v>8.8029999999999997E-2</v>
      </c>
      <c r="I40" s="12">
        <f>244.8</f>
        <v>244.8</v>
      </c>
      <c r="K40" s="3">
        <v>3.7E-9</v>
      </c>
      <c r="M40" s="3">
        <f t="shared" si="9"/>
        <v>64</v>
      </c>
      <c r="N40" s="3">
        <f t="shared" si="10"/>
        <v>8.0990003700000007E-2</v>
      </c>
      <c r="O40" s="3">
        <f t="shared" si="11"/>
        <v>233.4000000037</v>
      </c>
      <c r="P40" s="3">
        <f t="shared" si="12"/>
        <v>8.2710003700000007E-2</v>
      </c>
      <c r="Q40" s="3">
        <f t="shared" si="13"/>
        <v>237.80000000370001</v>
      </c>
      <c r="R40" s="3">
        <f t="shared" si="14"/>
        <v>8.417000370000001E-2</v>
      </c>
      <c r="S40" s="3">
        <f t="shared" si="15"/>
        <v>239.30000000370001</v>
      </c>
      <c r="T40" s="3">
        <f t="shared" si="16"/>
        <v>8.8030003699999998E-2</v>
      </c>
      <c r="U40" s="3">
        <f t="shared" si="17"/>
        <v>244.80000000370001</v>
      </c>
    </row>
    <row r="41" spans="1:21" x14ac:dyDescent="0.2">
      <c r="A41" s="7">
        <v>63</v>
      </c>
      <c r="B41" s="12">
        <f>0.9841*10^-1</f>
        <v>9.8409999999999997E-2</v>
      </c>
      <c r="C41" s="12">
        <f>233.5</f>
        <v>233.5</v>
      </c>
      <c r="D41" s="12">
        <f>0.1001</f>
        <v>0.10009999999999999</v>
      </c>
      <c r="E41" s="12">
        <f>238.5</f>
        <v>238.5</v>
      </c>
      <c r="F41" s="12">
        <f>0.1017</f>
        <v>0.1017</v>
      </c>
      <c r="G41" s="12">
        <f>240.2</f>
        <v>240.2</v>
      </c>
      <c r="H41" s="12">
        <f>0.1059</f>
        <v>0.10589999999999999</v>
      </c>
      <c r="I41" s="12">
        <f>245.8</f>
        <v>245.8</v>
      </c>
      <c r="K41" s="8">
        <v>3.8000000000000001E-9</v>
      </c>
      <c r="M41" s="3">
        <f t="shared" si="9"/>
        <v>63</v>
      </c>
      <c r="N41" s="3">
        <f t="shared" si="10"/>
        <v>9.8410003799999993E-2</v>
      </c>
      <c r="O41" s="3">
        <f t="shared" si="11"/>
        <v>233.50000000380001</v>
      </c>
      <c r="P41" s="3">
        <f t="shared" si="12"/>
        <v>0.10010000379999999</v>
      </c>
      <c r="Q41" s="3">
        <f t="shared" si="13"/>
        <v>238.50000000380001</v>
      </c>
      <c r="R41" s="3">
        <f t="shared" si="14"/>
        <v>0.10170000379999999</v>
      </c>
      <c r="S41" s="3">
        <f t="shared" si="15"/>
        <v>240.2000000038</v>
      </c>
      <c r="T41" s="3">
        <f t="shared" si="16"/>
        <v>0.10590000379999999</v>
      </c>
      <c r="U41" s="3">
        <f t="shared" si="17"/>
        <v>245.80000000380002</v>
      </c>
    </row>
    <row r="42" spans="1:21" x14ac:dyDescent="0.2">
      <c r="A42" s="7">
        <v>62</v>
      </c>
      <c r="B42" s="12">
        <f>0.1195</f>
        <v>0.1195</v>
      </c>
      <c r="C42" s="12">
        <f>234.5</f>
        <v>234.5</v>
      </c>
      <c r="D42" s="12">
        <f>0.1211</f>
        <v>0.1211</v>
      </c>
      <c r="E42" s="12">
        <f>239.7</f>
        <v>239.7</v>
      </c>
      <c r="F42" s="12">
        <f>0.1229</f>
        <v>0.1229</v>
      </c>
      <c r="G42" s="12">
        <f>241</f>
        <v>241</v>
      </c>
      <c r="H42" s="12">
        <f>0.1275</f>
        <v>0.1275</v>
      </c>
      <c r="I42" s="12">
        <f>245.7</f>
        <v>245.7</v>
      </c>
      <c r="K42" s="8">
        <v>3.9000000000000002E-9</v>
      </c>
      <c r="M42" s="3">
        <f t="shared" si="9"/>
        <v>62</v>
      </c>
      <c r="N42" s="3">
        <f t="shared" si="10"/>
        <v>0.1195000039</v>
      </c>
      <c r="O42" s="3">
        <f t="shared" si="11"/>
        <v>234.5000000039</v>
      </c>
      <c r="P42" s="3">
        <f t="shared" si="12"/>
        <v>0.1211000039</v>
      </c>
      <c r="Q42" s="3">
        <f t="shared" si="13"/>
        <v>239.70000000389999</v>
      </c>
      <c r="R42" s="3">
        <f t="shared" si="14"/>
        <v>0.1229000039</v>
      </c>
      <c r="S42" s="3">
        <f t="shared" si="15"/>
        <v>241.0000000039</v>
      </c>
      <c r="T42" s="3">
        <f t="shared" si="16"/>
        <v>0.12750000389999999</v>
      </c>
      <c r="U42" s="3">
        <f t="shared" si="17"/>
        <v>245.70000000389999</v>
      </c>
    </row>
    <row r="43" spans="1:21" x14ac:dyDescent="0.2">
      <c r="A43" s="7">
        <v>61</v>
      </c>
      <c r="B43" s="12">
        <f>0.1451</f>
        <v>0.14510000000000001</v>
      </c>
      <c r="C43" s="12">
        <f>233.9</f>
        <v>233.9</v>
      </c>
      <c r="D43" s="12">
        <f>0.1464</f>
        <v>0.1464</v>
      </c>
      <c r="E43" s="12">
        <f>238.7</f>
        <v>238.7</v>
      </c>
      <c r="F43" s="12">
        <f>0.1485</f>
        <v>0.14849999999999999</v>
      </c>
      <c r="G43" s="12">
        <f>239.9</f>
        <v>239.9</v>
      </c>
      <c r="H43" s="12">
        <f>0.1534</f>
        <v>0.15340000000000001</v>
      </c>
      <c r="I43" s="12">
        <f>244.8</f>
        <v>244.8</v>
      </c>
      <c r="K43" s="3">
        <v>4.0000000000000002E-9</v>
      </c>
      <c r="M43" s="3">
        <f t="shared" si="9"/>
        <v>61</v>
      </c>
      <c r="N43" s="3">
        <f t="shared" si="10"/>
        <v>0.145100004</v>
      </c>
      <c r="O43" s="3">
        <f t="shared" si="11"/>
        <v>233.90000000399999</v>
      </c>
      <c r="P43" s="3">
        <f t="shared" si="12"/>
        <v>0.146400004</v>
      </c>
      <c r="Q43" s="3">
        <f t="shared" si="13"/>
        <v>238.70000000399997</v>
      </c>
      <c r="R43" s="3">
        <f t="shared" si="14"/>
        <v>0.14850000399999999</v>
      </c>
      <c r="S43" s="3">
        <f t="shared" si="15"/>
        <v>239.90000000399999</v>
      </c>
      <c r="T43" s="3">
        <f t="shared" si="16"/>
        <v>0.15340000400000001</v>
      </c>
      <c r="U43" s="3">
        <f t="shared" si="17"/>
        <v>244.800000004</v>
      </c>
    </row>
    <row r="44" spans="1:21" x14ac:dyDescent="0.2">
      <c r="A44" s="7">
        <v>60</v>
      </c>
      <c r="B44" s="12">
        <f>0.1763</f>
        <v>0.17630000000000001</v>
      </c>
      <c r="C44" s="12">
        <f>233.4</f>
        <v>233.4</v>
      </c>
      <c r="D44" s="12">
        <f>0.1773</f>
        <v>0.17730000000000001</v>
      </c>
      <c r="E44" s="12">
        <f>237.5</f>
        <v>237.5</v>
      </c>
      <c r="F44" s="12">
        <f>0.1796</f>
        <v>0.17960000000000001</v>
      </c>
      <c r="G44" s="12">
        <f>238.8</f>
        <v>238.8</v>
      </c>
      <c r="H44" s="12">
        <f>0.1849</f>
        <v>0.18490000000000001</v>
      </c>
      <c r="I44" s="12">
        <f>243.4</f>
        <v>243.4</v>
      </c>
      <c r="K44" s="8">
        <v>4.1000000000000003E-9</v>
      </c>
      <c r="M44" s="3">
        <f t="shared" si="9"/>
        <v>60</v>
      </c>
      <c r="N44" s="3">
        <f t="shared" si="10"/>
        <v>0.17630000410000002</v>
      </c>
      <c r="O44" s="3">
        <f t="shared" si="11"/>
        <v>233.40000000410001</v>
      </c>
      <c r="P44" s="3">
        <f t="shared" si="12"/>
        <v>0.17730000410000002</v>
      </c>
      <c r="Q44" s="3">
        <f t="shared" si="13"/>
        <v>237.5000000041</v>
      </c>
      <c r="R44" s="3">
        <f t="shared" si="14"/>
        <v>0.17960000410000002</v>
      </c>
      <c r="S44" s="3">
        <f t="shared" si="15"/>
        <v>238.80000000410001</v>
      </c>
      <c r="T44" s="3">
        <f t="shared" si="16"/>
        <v>0.18490000410000001</v>
      </c>
      <c r="U44" s="3">
        <f t="shared" si="17"/>
        <v>243.40000000410001</v>
      </c>
    </row>
    <row r="45" spans="1:21" x14ac:dyDescent="0.2">
      <c r="A45" s="7">
        <v>59</v>
      </c>
      <c r="B45" s="12">
        <f>0.2141</f>
        <v>0.21410000000000001</v>
      </c>
      <c r="C45" s="12">
        <f>235.1</f>
        <v>235.1</v>
      </c>
      <c r="D45" s="12">
        <f>0.2147</f>
        <v>0.2147</v>
      </c>
      <c r="E45" s="12">
        <f>238.2</f>
        <v>238.2</v>
      </c>
      <c r="F45" s="12">
        <f>0.2173</f>
        <v>0.21729999999999999</v>
      </c>
      <c r="G45" s="12">
        <f>239.3</f>
        <v>239.3</v>
      </c>
      <c r="H45" s="12">
        <f>0.223</f>
        <v>0.223</v>
      </c>
      <c r="I45" s="12">
        <f>243</f>
        <v>243</v>
      </c>
      <c r="K45" s="8">
        <v>4.2000000000000004E-9</v>
      </c>
      <c r="M45" s="3">
        <f t="shared" si="9"/>
        <v>59</v>
      </c>
      <c r="N45" s="3">
        <f t="shared" si="10"/>
        <v>0.2141000042</v>
      </c>
      <c r="O45" s="3">
        <f t="shared" si="11"/>
        <v>235.10000000419998</v>
      </c>
      <c r="P45" s="3">
        <f t="shared" si="12"/>
        <v>0.21470000419999999</v>
      </c>
      <c r="Q45" s="3">
        <f t="shared" si="13"/>
        <v>238.20000000419998</v>
      </c>
      <c r="R45" s="3">
        <f t="shared" si="14"/>
        <v>0.21730000419999998</v>
      </c>
      <c r="S45" s="3">
        <f t="shared" si="15"/>
        <v>239.3000000042</v>
      </c>
      <c r="T45" s="3">
        <f t="shared" si="16"/>
        <v>0.22300000419999999</v>
      </c>
      <c r="U45" s="3">
        <f t="shared" si="17"/>
        <v>243.00000000419999</v>
      </c>
    </row>
    <row r="46" spans="1:21" x14ac:dyDescent="0.2">
      <c r="A46" s="7">
        <v>58</v>
      </c>
      <c r="B46" s="12">
        <f>0.2597</f>
        <v>0.25969999999999999</v>
      </c>
      <c r="C46" s="12">
        <f>236.5</f>
        <v>236.5</v>
      </c>
      <c r="D46" s="12">
        <f>0.2597</f>
        <v>0.25969999999999999</v>
      </c>
      <c r="E46" s="12">
        <f>239.5</f>
        <v>239.5</v>
      </c>
      <c r="F46" s="12">
        <f>0.2626</f>
        <v>0.2626</v>
      </c>
      <c r="G46" s="12">
        <f>240.6</f>
        <v>240.6</v>
      </c>
      <c r="H46" s="12">
        <f>0.2688</f>
        <v>0.26879999999999998</v>
      </c>
      <c r="I46" s="12">
        <f>244.6</f>
        <v>244.6</v>
      </c>
      <c r="K46" s="3">
        <v>4.2999999999999996E-9</v>
      </c>
      <c r="M46" s="3">
        <f t="shared" si="9"/>
        <v>58</v>
      </c>
      <c r="N46" s="3">
        <f t="shared" si="10"/>
        <v>0.25970000430000001</v>
      </c>
      <c r="O46" s="3">
        <f t="shared" si="11"/>
        <v>236.50000000430001</v>
      </c>
      <c r="P46" s="3">
        <f t="shared" si="12"/>
        <v>0.25970000430000001</v>
      </c>
      <c r="Q46" s="3">
        <f t="shared" si="13"/>
        <v>239.50000000430001</v>
      </c>
      <c r="R46" s="3">
        <f t="shared" si="14"/>
        <v>0.26260000430000002</v>
      </c>
      <c r="S46" s="3">
        <f t="shared" si="15"/>
        <v>240.6000000043</v>
      </c>
      <c r="T46" s="3">
        <f t="shared" si="16"/>
        <v>0.26880000430000001</v>
      </c>
      <c r="U46" s="3">
        <f t="shared" si="17"/>
        <v>244.6000000043</v>
      </c>
    </row>
    <row r="47" spans="1:21" x14ac:dyDescent="0.2">
      <c r="A47" s="7">
        <v>57</v>
      </c>
      <c r="B47" s="12">
        <f>0.3145</f>
        <v>0.3145</v>
      </c>
      <c r="C47" s="12">
        <f>238.6</f>
        <v>238.6</v>
      </c>
      <c r="D47" s="12">
        <f>0.3138</f>
        <v>0.31380000000000002</v>
      </c>
      <c r="E47" s="12">
        <f>241.5</f>
        <v>241.5</v>
      </c>
      <c r="F47" s="12">
        <f>0.317</f>
        <v>0.317</v>
      </c>
      <c r="G47" s="12">
        <f>242.7</f>
        <v>242.7</v>
      </c>
      <c r="H47" s="12">
        <f>0.3236</f>
        <v>0.3236</v>
      </c>
      <c r="I47" s="12">
        <f>245.7</f>
        <v>245.7</v>
      </c>
      <c r="K47" s="8">
        <v>4.3999999999999997E-9</v>
      </c>
      <c r="M47" s="3">
        <f t="shared" si="9"/>
        <v>57</v>
      </c>
      <c r="N47" s="3">
        <f t="shared" si="10"/>
        <v>0.31450000439999998</v>
      </c>
      <c r="O47" s="3">
        <f t="shared" si="11"/>
        <v>238.60000000439999</v>
      </c>
      <c r="P47" s="3">
        <f t="shared" si="12"/>
        <v>0.3138000044</v>
      </c>
      <c r="Q47" s="3">
        <f t="shared" si="13"/>
        <v>241.50000000439999</v>
      </c>
      <c r="R47" s="3">
        <f t="shared" si="14"/>
        <v>0.31700000439999998</v>
      </c>
      <c r="S47" s="3">
        <f t="shared" si="15"/>
        <v>242.70000000439998</v>
      </c>
      <c r="T47" s="3">
        <f t="shared" si="16"/>
        <v>0.32360000439999997</v>
      </c>
      <c r="U47" s="3">
        <f t="shared" si="17"/>
        <v>245.70000000439998</v>
      </c>
    </row>
    <row r="48" spans="1:21" x14ac:dyDescent="0.2">
      <c r="A48" s="7">
        <v>56</v>
      </c>
      <c r="B48" s="12">
        <f>0.3806</f>
        <v>0.38059999999999999</v>
      </c>
      <c r="C48" s="12">
        <f>240.7</f>
        <v>240.7</v>
      </c>
      <c r="D48" s="12">
        <f>0.3791</f>
        <v>0.37909999999999999</v>
      </c>
      <c r="E48" s="12">
        <f>242.3</f>
        <v>242.3</v>
      </c>
      <c r="F48" s="12">
        <f>0.3824</f>
        <v>0.38240000000000002</v>
      </c>
      <c r="G48" s="12">
        <f>244.8</f>
        <v>244.8</v>
      </c>
      <c r="H48" s="12">
        <f>0.389</f>
        <v>0.38900000000000001</v>
      </c>
      <c r="I48" s="12">
        <f>250.9</f>
        <v>250.9</v>
      </c>
      <c r="K48" s="8">
        <v>4.4999999999999998E-9</v>
      </c>
      <c r="M48" s="3">
        <f t="shared" si="9"/>
        <v>56</v>
      </c>
      <c r="N48" s="3">
        <f t="shared" si="10"/>
        <v>0.38060000449999998</v>
      </c>
      <c r="O48" s="3">
        <f t="shared" si="11"/>
        <v>240.7000000045</v>
      </c>
      <c r="P48" s="3">
        <f t="shared" si="12"/>
        <v>0.37910000449999998</v>
      </c>
      <c r="Q48" s="3">
        <f t="shared" si="13"/>
        <v>242.30000000450002</v>
      </c>
      <c r="R48" s="3">
        <f t="shared" si="14"/>
        <v>0.3824000045</v>
      </c>
      <c r="S48" s="3">
        <f t="shared" si="15"/>
        <v>244.80000000450002</v>
      </c>
      <c r="T48" s="3">
        <f t="shared" si="16"/>
        <v>0.3890000045</v>
      </c>
      <c r="U48" s="3">
        <f t="shared" si="17"/>
        <v>250.90000000450001</v>
      </c>
    </row>
    <row r="49" spans="1:21" x14ac:dyDescent="0.2">
      <c r="A49" s="7">
        <v>55</v>
      </c>
      <c r="B49" s="12">
        <f>0.4565</f>
        <v>0.45650000000000002</v>
      </c>
      <c r="C49" s="12">
        <f>256.8</f>
        <v>256.8</v>
      </c>
      <c r="D49" s="12">
        <f>0.4543</f>
        <v>0.45429999999999998</v>
      </c>
      <c r="E49" s="12">
        <f>257.6</f>
        <v>257.60000000000002</v>
      </c>
      <c r="F49" s="12">
        <f>0.4575</f>
        <v>0.45750000000000002</v>
      </c>
      <c r="G49" s="12">
        <f>259.9</f>
        <v>259.89999999999998</v>
      </c>
      <c r="H49" s="12">
        <f>0.4635</f>
        <v>0.46350000000000002</v>
      </c>
      <c r="I49" s="12">
        <f>265.3</f>
        <v>265.3</v>
      </c>
      <c r="K49" s="3">
        <v>4.5999999999999998E-9</v>
      </c>
      <c r="M49" s="3">
        <f t="shared" si="9"/>
        <v>55</v>
      </c>
      <c r="N49" s="3">
        <f t="shared" si="10"/>
        <v>0.45650000460000001</v>
      </c>
      <c r="O49" s="3">
        <f t="shared" si="11"/>
        <v>256.80000000460001</v>
      </c>
      <c r="P49" s="3">
        <f t="shared" si="12"/>
        <v>0.45430000459999997</v>
      </c>
      <c r="Q49" s="3">
        <f t="shared" si="13"/>
        <v>257.60000000460002</v>
      </c>
      <c r="R49" s="3">
        <f t="shared" si="14"/>
        <v>0.45750000460000001</v>
      </c>
      <c r="S49" s="3">
        <f t="shared" si="15"/>
        <v>259.90000000459997</v>
      </c>
      <c r="T49" s="3">
        <f t="shared" si="16"/>
        <v>0.46350000460000002</v>
      </c>
      <c r="U49" s="3">
        <f t="shared" si="17"/>
        <v>265.30000000460001</v>
      </c>
    </row>
    <row r="50" spans="1:21" x14ac:dyDescent="0.2">
      <c r="A50" s="7">
        <v>54</v>
      </c>
      <c r="B50" s="12">
        <f>0.5416</f>
        <v>0.54159999999999997</v>
      </c>
      <c r="C50" s="12">
        <f>272</f>
        <v>272</v>
      </c>
      <c r="D50" s="12">
        <f>0.539</f>
        <v>0.53900000000000003</v>
      </c>
      <c r="E50" s="12">
        <f>272.1</f>
        <v>272.10000000000002</v>
      </c>
      <c r="F50" s="12">
        <f>0.542</f>
        <v>0.54200000000000004</v>
      </c>
      <c r="G50" s="12">
        <f>274.2</f>
        <v>274.2</v>
      </c>
      <c r="H50" s="12">
        <f>0.5474</f>
        <v>0.5474</v>
      </c>
      <c r="I50" s="12">
        <f>278.9</f>
        <v>278.89999999999998</v>
      </c>
      <c r="K50" s="8">
        <v>4.6999999999999999E-9</v>
      </c>
      <c r="M50" s="3">
        <f t="shared" si="9"/>
        <v>54</v>
      </c>
      <c r="N50" s="3">
        <f t="shared" si="10"/>
        <v>0.54160000469999992</v>
      </c>
      <c r="O50" s="3">
        <f t="shared" si="11"/>
        <v>272.00000000469998</v>
      </c>
      <c r="P50" s="3">
        <f t="shared" si="12"/>
        <v>0.53900000469999998</v>
      </c>
      <c r="Q50" s="3">
        <f t="shared" si="13"/>
        <v>272.10000000470001</v>
      </c>
      <c r="R50" s="3">
        <f t="shared" si="14"/>
        <v>0.54200000469999998</v>
      </c>
      <c r="S50" s="3">
        <f t="shared" si="15"/>
        <v>274.20000000469997</v>
      </c>
      <c r="T50" s="3">
        <f t="shared" si="16"/>
        <v>0.54740000469999994</v>
      </c>
      <c r="U50" s="3">
        <f t="shared" si="17"/>
        <v>278.90000000469996</v>
      </c>
    </row>
    <row r="51" spans="1:21" x14ac:dyDescent="0.2">
      <c r="A51" s="7">
        <v>53</v>
      </c>
      <c r="B51" s="12">
        <f>0.637</f>
        <v>0.63700000000000001</v>
      </c>
      <c r="C51" s="12">
        <f>286.4</f>
        <v>286.39999999999998</v>
      </c>
      <c r="D51" s="12">
        <f>0.634</f>
        <v>0.63400000000000001</v>
      </c>
      <c r="E51" s="12">
        <f>285.8</f>
        <v>285.8</v>
      </c>
      <c r="F51" s="12">
        <f>0.6368</f>
        <v>0.63680000000000003</v>
      </c>
      <c r="G51" s="12">
        <f>287.9</f>
        <v>287.89999999999998</v>
      </c>
      <c r="H51" s="12">
        <f>0.6416</f>
        <v>0.64159999999999995</v>
      </c>
      <c r="I51" s="12">
        <f>291.9</f>
        <v>291.89999999999998</v>
      </c>
      <c r="K51" s="8">
        <v>4.8E-9</v>
      </c>
      <c r="M51" s="3">
        <f t="shared" si="9"/>
        <v>53</v>
      </c>
      <c r="N51" s="3">
        <f t="shared" si="10"/>
        <v>0.63700000479999996</v>
      </c>
      <c r="O51" s="3">
        <f t="shared" si="11"/>
        <v>286.40000000479995</v>
      </c>
      <c r="P51" s="3">
        <f t="shared" si="12"/>
        <v>0.63400000479999996</v>
      </c>
      <c r="Q51" s="3">
        <f t="shared" si="13"/>
        <v>285.80000000479998</v>
      </c>
      <c r="R51" s="3">
        <f t="shared" si="14"/>
        <v>0.63680000479999999</v>
      </c>
      <c r="S51" s="3">
        <f t="shared" si="15"/>
        <v>287.90000000479995</v>
      </c>
      <c r="T51" s="3">
        <f t="shared" si="16"/>
        <v>0.6416000047999999</v>
      </c>
      <c r="U51" s="3">
        <f t="shared" si="17"/>
        <v>291.90000000479995</v>
      </c>
    </row>
    <row r="52" spans="1:21" x14ac:dyDescent="0.2">
      <c r="A52" s="7">
        <v>52</v>
      </c>
      <c r="B52" s="12">
        <f>0.7434</f>
        <v>0.74339999999999995</v>
      </c>
      <c r="C52" s="12">
        <f>300.1</f>
        <v>300.10000000000002</v>
      </c>
      <c r="D52" s="12">
        <f>0.7402</f>
        <v>0.74019999999999997</v>
      </c>
      <c r="E52" s="12">
        <f>299</f>
        <v>299</v>
      </c>
      <c r="F52" s="12">
        <f>0.7427</f>
        <v>0.74270000000000003</v>
      </c>
      <c r="G52" s="12">
        <f>300.8</f>
        <v>300.8</v>
      </c>
      <c r="H52" s="12">
        <f>0.7469</f>
        <v>0.74690000000000001</v>
      </c>
      <c r="I52" s="12">
        <f>304.4</f>
        <v>304.39999999999998</v>
      </c>
      <c r="K52" s="3">
        <v>4.9E-9</v>
      </c>
      <c r="M52" s="3">
        <f t="shared" si="9"/>
        <v>52</v>
      </c>
      <c r="N52" s="3">
        <f t="shared" si="10"/>
        <v>0.74340000489999991</v>
      </c>
      <c r="O52" s="3">
        <f t="shared" si="11"/>
        <v>300.10000000490004</v>
      </c>
      <c r="P52" s="3">
        <f t="shared" si="12"/>
        <v>0.74020000489999993</v>
      </c>
      <c r="Q52" s="3">
        <f t="shared" si="13"/>
        <v>299.00000000490002</v>
      </c>
      <c r="R52" s="3">
        <f t="shared" si="14"/>
        <v>0.74270000489999999</v>
      </c>
      <c r="S52" s="3">
        <f t="shared" si="15"/>
        <v>300.80000000490003</v>
      </c>
      <c r="T52" s="3">
        <f t="shared" si="16"/>
        <v>0.74690000489999997</v>
      </c>
      <c r="U52" s="3">
        <f t="shared" si="17"/>
        <v>304.40000000489999</v>
      </c>
    </row>
    <row r="53" spans="1:21" x14ac:dyDescent="0.2">
      <c r="A53" s="7">
        <v>51</v>
      </c>
      <c r="B53" s="12">
        <f>0.8619</f>
        <v>0.8619</v>
      </c>
      <c r="C53" s="12">
        <f>313.2</f>
        <v>313.2</v>
      </c>
      <c r="D53" s="12">
        <f>0.8588</f>
        <v>0.85880000000000001</v>
      </c>
      <c r="E53" s="12">
        <f>311.6</f>
        <v>311.60000000000002</v>
      </c>
      <c r="F53" s="12">
        <f>0.861</f>
        <v>0.86099999999999999</v>
      </c>
      <c r="G53" s="12">
        <f>313.3</f>
        <v>313.3</v>
      </c>
      <c r="H53" s="12">
        <f>0.8645</f>
        <v>0.86450000000000005</v>
      </c>
      <c r="I53" s="12">
        <f>316.4</f>
        <v>316.39999999999998</v>
      </c>
      <c r="K53" s="8">
        <v>5.0000000000000001E-9</v>
      </c>
      <c r="M53" s="3">
        <f t="shared" si="9"/>
        <v>51</v>
      </c>
      <c r="N53" s="3">
        <f t="shared" si="10"/>
        <v>0.86190000499999997</v>
      </c>
      <c r="O53" s="3">
        <f t="shared" si="11"/>
        <v>313.20000000499999</v>
      </c>
      <c r="P53" s="3">
        <f t="shared" si="12"/>
        <v>0.85880000499999998</v>
      </c>
      <c r="Q53" s="3">
        <f t="shared" si="13"/>
        <v>311.60000000500003</v>
      </c>
      <c r="R53" s="3">
        <f t="shared" si="14"/>
        <v>0.86100000499999996</v>
      </c>
      <c r="S53" s="3">
        <f t="shared" si="15"/>
        <v>313.30000000500002</v>
      </c>
      <c r="T53" s="3">
        <f t="shared" si="16"/>
        <v>0.86450000500000002</v>
      </c>
      <c r="U53" s="3">
        <f t="shared" si="17"/>
        <v>316.40000000499998</v>
      </c>
    </row>
    <row r="54" spans="1:21" x14ac:dyDescent="0.2">
      <c r="A54" s="7">
        <v>50</v>
      </c>
      <c r="B54" s="12">
        <f>0.9934</f>
        <v>0.99339999999999995</v>
      </c>
      <c r="C54" s="12">
        <f>325.7</f>
        <v>325.7</v>
      </c>
      <c r="D54" s="12">
        <f>0.9906</f>
        <v>0.99060000000000004</v>
      </c>
      <c r="E54" s="12">
        <f>323.8</f>
        <v>323.8</v>
      </c>
      <c r="F54" s="12">
        <f>0.9924</f>
        <v>0.99239999999999995</v>
      </c>
      <c r="G54" s="12">
        <f>325.3</f>
        <v>325.3</v>
      </c>
      <c r="H54" s="12">
        <f>0.9953</f>
        <v>0.99529999999999996</v>
      </c>
      <c r="I54" s="12">
        <f>327.9</f>
        <v>327.9</v>
      </c>
      <c r="K54" s="8">
        <v>5.1000000000000002E-9</v>
      </c>
      <c r="M54" s="3">
        <f t="shared" si="9"/>
        <v>50</v>
      </c>
      <c r="N54" s="3">
        <f t="shared" si="10"/>
        <v>0.99340000509999993</v>
      </c>
      <c r="O54" s="3">
        <f t="shared" si="11"/>
        <v>325.70000000509998</v>
      </c>
      <c r="P54" s="3">
        <f t="shared" si="12"/>
        <v>0.99060000510000001</v>
      </c>
      <c r="Q54" s="3">
        <f t="shared" si="13"/>
        <v>323.8000000051</v>
      </c>
      <c r="R54" s="3">
        <f t="shared" si="14"/>
        <v>0.99240000509999993</v>
      </c>
      <c r="S54" s="3">
        <f t="shared" si="15"/>
        <v>325.3000000051</v>
      </c>
      <c r="T54" s="3">
        <f t="shared" si="16"/>
        <v>0.99530000509999994</v>
      </c>
      <c r="U54" s="3">
        <f t="shared" si="17"/>
        <v>327.90000000509997</v>
      </c>
    </row>
  </sheetData>
  <mergeCells count="2">
    <mergeCell ref="A2:A3"/>
    <mergeCell ref="M2:M3"/>
  </mergeCells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"/>
  <sheetViews>
    <sheetView tabSelected="1" zoomScale="80" zoomScaleNormal="80" workbookViewId="0">
      <selection activeCell="I11" sqref="I11"/>
    </sheetView>
  </sheetViews>
  <sheetFormatPr defaultRowHeight="14.25" x14ac:dyDescent="0.2"/>
  <cols>
    <col min="1" max="3" width="10.5" customWidth="1"/>
    <col min="4" max="4" width="32.125" customWidth="1"/>
    <col min="5" max="5" width="10.75" customWidth="1"/>
    <col min="6" max="1025" width="10.5" customWidth="1"/>
  </cols>
  <sheetData>
    <row r="1" spans="1:21" x14ac:dyDescent="0.2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</row>
    <row r="2" spans="1:21" x14ac:dyDescent="0.2">
      <c r="A2" s="15" t="s">
        <v>28</v>
      </c>
      <c r="B2" s="15" t="s">
        <v>29</v>
      </c>
      <c r="C2" s="15" t="s">
        <v>30</v>
      </c>
      <c r="D2" s="15" t="s">
        <v>31</v>
      </c>
      <c r="E2" s="15" t="s">
        <v>32</v>
      </c>
      <c r="G2" s="11" t="s">
        <v>8</v>
      </c>
    </row>
    <row r="3" spans="1:21" x14ac:dyDescent="0.2">
      <c r="A3" s="15">
        <v>0</v>
      </c>
      <c r="B3" s="15">
        <f>6.47*10^-2</f>
        <v>6.4699999999999994E-2</v>
      </c>
      <c r="C3" s="15">
        <f t="shared" ref="C3:C28" si="0">43.531</f>
        <v>43.530999999999999</v>
      </c>
      <c r="D3" s="16">
        <f>1.09*10^21</f>
        <v>1.0900000000000001E+21</v>
      </c>
      <c r="E3" s="17">
        <f>3.24*10^-5</f>
        <v>3.2400000000000001E-5</v>
      </c>
      <c r="G3" s="3">
        <v>1.0000000000000001E-18</v>
      </c>
      <c r="I3">
        <f>B3*1000</f>
        <v>64.699999999999989</v>
      </c>
    </row>
    <row r="4" spans="1:21" x14ac:dyDescent="0.2">
      <c r="A4" s="15">
        <v>4</v>
      </c>
      <c r="B4" s="15">
        <f>5.27*10^-2</f>
        <v>5.2699999999999997E-2</v>
      </c>
      <c r="C4" s="15">
        <f t="shared" si="0"/>
        <v>43.530999999999999</v>
      </c>
      <c r="D4" s="16">
        <f>8.95*10^20</f>
        <v>8.9499999999999987E+20</v>
      </c>
      <c r="E4" s="17">
        <f>3.15*10^-5</f>
        <v>3.15E-5</v>
      </c>
      <c r="G4" s="8">
        <v>2.0000000000000001E-18</v>
      </c>
      <c r="I4">
        <f t="shared" ref="I4:I28" si="1">B4*1000</f>
        <v>52.699999999999996</v>
      </c>
      <c r="M4">
        <f t="shared" ref="M4:M35" si="2">A4</f>
        <v>4</v>
      </c>
      <c r="N4">
        <f t="shared" ref="N4:N35" si="3">B4+K4</f>
        <v>5.2699999999999997E-2</v>
      </c>
      <c r="O4">
        <f t="shared" ref="O4:O35" si="4">C4+L4</f>
        <v>43.530999999999999</v>
      </c>
      <c r="P4">
        <f t="shared" ref="P4:P35" si="5">D4+M4</f>
        <v>8.9499999999999987E+20</v>
      </c>
      <c r="Q4">
        <f t="shared" ref="Q4:Q35" si="6">E4+N4</f>
        <v>5.2731499999999994E-2</v>
      </c>
      <c r="R4">
        <f t="shared" ref="R4:R35" si="7">F4+O4</f>
        <v>43.530999999999999</v>
      </c>
      <c r="S4">
        <f t="shared" ref="S4:S35" si="8">G4+P4</f>
        <v>8.9499999999999987E+20</v>
      </c>
      <c r="T4">
        <f t="shared" ref="T4:T35" si="9">H4+Q4</f>
        <v>5.2731499999999994E-2</v>
      </c>
      <c r="U4">
        <f t="shared" ref="U4:U35" si="10">I4+R4</f>
        <v>96.230999999999995</v>
      </c>
    </row>
    <row r="5" spans="1:21" x14ac:dyDescent="0.2">
      <c r="A5" s="15">
        <v>8</v>
      </c>
      <c r="B5" s="15">
        <f>4.25*10^-2</f>
        <v>4.2500000000000003E-2</v>
      </c>
      <c r="C5" s="15">
        <f t="shared" si="0"/>
        <v>43.530999999999999</v>
      </c>
      <c r="D5" s="16">
        <f>7.29*10^20</f>
        <v>7.29E+20</v>
      </c>
      <c r="E5" s="17">
        <f>3.06*10^-5</f>
        <v>3.0600000000000005E-5</v>
      </c>
      <c r="G5" s="8">
        <v>2.9999999999999998E-18</v>
      </c>
      <c r="I5">
        <f t="shared" si="1"/>
        <v>42.5</v>
      </c>
      <c r="M5">
        <f t="shared" si="2"/>
        <v>8</v>
      </c>
      <c r="N5">
        <f t="shared" si="3"/>
        <v>4.2500000000000003E-2</v>
      </c>
      <c r="O5">
        <f t="shared" si="4"/>
        <v>43.530999999999999</v>
      </c>
      <c r="P5">
        <f t="shared" si="5"/>
        <v>7.29E+20</v>
      </c>
      <c r="Q5">
        <f t="shared" si="6"/>
        <v>4.2530600000000002E-2</v>
      </c>
      <c r="R5">
        <f t="shared" si="7"/>
        <v>43.530999999999999</v>
      </c>
      <c r="S5">
        <f t="shared" si="8"/>
        <v>7.29E+20</v>
      </c>
      <c r="T5">
        <f t="shared" si="9"/>
        <v>4.2530600000000002E-2</v>
      </c>
      <c r="U5">
        <f t="shared" si="10"/>
        <v>86.031000000000006</v>
      </c>
    </row>
    <row r="6" spans="1:21" x14ac:dyDescent="0.2">
      <c r="A6" s="15">
        <v>12</v>
      </c>
      <c r="B6" s="15">
        <f>3.4*10^-2</f>
        <v>3.4000000000000002E-2</v>
      </c>
      <c r="C6" s="15">
        <f t="shared" si="0"/>
        <v>43.530999999999999</v>
      </c>
      <c r="D6" s="16">
        <f>5.88*10^20</f>
        <v>5.88E+20</v>
      </c>
      <c r="E6" s="17">
        <f>2.96*10^-5</f>
        <v>2.9600000000000001E-5</v>
      </c>
      <c r="G6" s="8">
        <v>4.0000000000000003E-18</v>
      </c>
      <c r="I6">
        <f t="shared" si="1"/>
        <v>34</v>
      </c>
      <c r="M6">
        <f t="shared" si="2"/>
        <v>12</v>
      </c>
      <c r="N6">
        <f t="shared" si="3"/>
        <v>3.4000000000000002E-2</v>
      </c>
      <c r="O6">
        <f t="shared" si="4"/>
        <v>43.530999999999999</v>
      </c>
      <c r="P6">
        <f t="shared" si="5"/>
        <v>5.88E+20</v>
      </c>
      <c r="Q6">
        <f t="shared" si="6"/>
        <v>3.40296E-2</v>
      </c>
      <c r="R6">
        <f t="shared" si="7"/>
        <v>43.530999999999999</v>
      </c>
      <c r="S6">
        <f t="shared" si="8"/>
        <v>5.88E+20</v>
      </c>
      <c r="T6">
        <f t="shared" si="9"/>
        <v>3.40296E-2</v>
      </c>
      <c r="U6">
        <f t="shared" si="10"/>
        <v>77.531000000000006</v>
      </c>
    </row>
    <row r="7" spans="1:21" x14ac:dyDescent="0.2">
      <c r="A7" s="15">
        <v>16</v>
      </c>
      <c r="B7" s="15">
        <f>2.7*10^-2</f>
        <v>2.7000000000000003E-2</v>
      </c>
      <c r="C7" s="15">
        <f t="shared" si="0"/>
        <v>43.530999999999999</v>
      </c>
      <c r="D7" s="16">
        <f>4.71*10^20</f>
        <v>4.71E+20</v>
      </c>
      <c r="E7" s="17">
        <f>2.85*10^-5</f>
        <v>2.8500000000000002E-5</v>
      </c>
      <c r="G7" s="3">
        <v>5.0000000000000004E-18</v>
      </c>
      <c r="I7">
        <f t="shared" si="1"/>
        <v>27.000000000000004</v>
      </c>
      <c r="M7">
        <f t="shared" si="2"/>
        <v>16</v>
      </c>
      <c r="N7">
        <f t="shared" si="3"/>
        <v>2.7000000000000003E-2</v>
      </c>
      <c r="O7">
        <f t="shared" si="4"/>
        <v>43.530999999999999</v>
      </c>
      <c r="P7">
        <f t="shared" si="5"/>
        <v>4.71E+20</v>
      </c>
      <c r="Q7">
        <f t="shared" si="6"/>
        <v>2.7028500000000004E-2</v>
      </c>
      <c r="R7">
        <f t="shared" si="7"/>
        <v>43.530999999999999</v>
      </c>
      <c r="S7">
        <f t="shared" si="8"/>
        <v>4.71E+20</v>
      </c>
      <c r="T7">
        <f t="shared" si="9"/>
        <v>2.7028500000000004E-2</v>
      </c>
      <c r="U7">
        <f t="shared" si="10"/>
        <v>70.531000000000006</v>
      </c>
    </row>
    <row r="8" spans="1:21" x14ac:dyDescent="0.2">
      <c r="A8" s="15">
        <v>20</v>
      </c>
      <c r="B8" s="15">
        <f>2.11*10^-2</f>
        <v>2.1100000000000001E-2</v>
      </c>
      <c r="C8" s="15">
        <f t="shared" si="0"/>
        <v>43.530999999999999</v>
      </c>
      <c r="D8" s="16">
        <f>3.73*10^20</f>
        <v>3.73E+20</v>
      </c>
      <c r="E8" s="17">
        <f>2.74*10^-5</f>
        <v>2.7400000000000005E-5</v>
      </c>
      <c r="G8" s="8">
        <v>5.9999999999999997E-18</v>
      </c>
      <c r="I8">
        <f t="shared" si="1"/>
        <v>21.1</v>
      </c>
      <c r="M8">
        <f t="shared" si="2"/>
        <v>20</v>
      </c>
      <c r="N8">
        <f t="shared" si="3"/>
        <v>2.1100000000000001E-2</v>
      </c>
      <c r="O8">
        <f t="shared" si="4"/>
        <v>43.530999999999999</v>
      </c>
      <c r="P8">
        <f t="shared" si="5"/>
        <v>3.73E+20</v>
      </c>
      <c r="Q8">
        <f t="shared" si="6"/>
        <v>2.1127400000000001E-2</v>
      </c>
      <c r="R8">
        <f t="shared" si="7"/>
        <v>43.530999999999999</v>
      </c>
      <c r="S8">
        <f t="shared" si="8"/>
        <v>3.73E+20</v>
      </c>
      <c r="T8">
        <f t="shared" si="9"/>
        <v>2.1127400000000001E-2</v>
      </c>
      <c r="U8">
        <f t="shared" si="10"/>
        <v>64.631</v>
      </c>
    </row>
    <row r="9" spans="1:21" x14ac:dyDescent="0.2">
      <c r="A9" s="15">
        <v>24</v>
      </c>
      <c r="B9" s="15">
        <f>1.64*10^-2</f>
        <v>1.6399999999999998E-2</v>
      </c>
      <c r="C9" s="15">
        <f t="shared" si="0"/>
        <v>43.530999999999999</v>
      </c>
      <c r="D9" s="16">
        <f>2.93*10^20</f>
        <v>2.93E+20</v>
      </c>
      <c r="E9" s="17">
        <f>2.62*10^-5</f>
        <v>2.6200000000000003E-5</v>
      </c>
      <c r="G9" s="8">
        <v>6.9999999999999997E-18</v>
      </c>
      <c r="I9">
        <f t="shared" si="1"/>
        <v>16.399999999999999</v>
      </c>
      <c r="M9">
        <f t="shared" si="2"/>
        <v>24</v>
      </c>
      <c r="N9">
        <f t="shared" si="3"/>
        <v>1.6399999999999998E-2</v>
      </c>
      <c r="O9">
        <f t="shared" si="4"/>
        <v>43.530999999999999</v>
      </c>
      <c r="P9">
        <f t="shared" si="5"/>
        <v>2.93E+20</v>
      </c>
      <c r="Q9">
        <f t="shared" si="6"/>
        <v>1.6426199999999998E-2</v>
      </c>
      <c r="R9">
        <f t="shared" si="7"/>
        <v>43.530999999999999</v>
      </c>
      <c r="S9">
        <f t="shared" si="8"/>
        <v>2.93E+20</v>
      </c>
      <c r="T9">
        <f t="shared" si="9"/>
        <v>1.6426199999999998E-2</v>
      </c>
      <c r="U9">
        <f t="shared" si="10"/>
        <v>59.930999999999997</v>
      </c>
    </row>
    <row r="10" spans="1:21" x14ac:dyDescent="0.2">
      <c r="A10" s="15">
        <v>28</v>
      </c>
      <c r="B10" s="15">
        <f>1.25*10^-2</f>
        <v>1.2500000000000001E-2</v>
      </c>
      <c r="C10" s="15">
        <f t="shared" si="0"/>
        <v>43.530999999999999</v>
      </c>
      <c r="D10" s="16">
        <f>2.27*10^20</f>
        <v>2.27E+20</v>
      </c>
      <c r="E10" s="17">
        <f>2.51*10^-5</f>
        <v>2.51E-5</v>
      </c>
      <c r="G10" s="8">
        <v>8.0000000000000006E-18</v>
      </c>
      <c r="I10">
        <f t="shared" si="1"/>
        <v>12.5</v>
      </c>
      <c r="M10">
        <f t="shared" si="2"/>
        <v>28</v>
      </c>
      <c r="N10">
        <f t="shared" si="3"/>
        <v>1.2500000000000001E-2</v>
      </c>
      <c r="O10">
        <f t="shared" si="4"/>
        <v>43.530999999999999</v>
      </c>
      <c r="P10">
        <f t="shared" si="5"/>
        <v>2.27E+20</v>
      </c>
      <c r="Q10">
        <f t="shared" si="6"/>
        <v>1.2525100000000001E-2</v>
      </c>
      <c r="R10">
        <f t="shared" si="7"/>
        <v>43.530999999999999</v>
      </c>
      <c r="S10">
        <f t="shared" si="8"/>
        <v>2.27E+20</v>
      </c>
      <c r="T10">
        <f t="shared" si="9"/>
        <v>1.2525100000000001E-2</v>
      </c>
      <c r="U10">
        <f t="shared" si="10"/>
        <v>56.030999999999999</v>
      </c>
    </row>
    <row r="11" spans="1:21" x14ac:dyDescent="0.2">
      <c r="A11" s="15">
        <v>32</v>
      </c>
      <c r="B11" s="15">
        <f>9.4*10^-3</f>
        <v>9.4000000000000004E-3</v>
      </c>
      <c r="C11" s="15">
        <f t="shared" si="0"/>
        <v>43.530999999999999</v>
      </c>
      <c r="D11" s="16">
        <f>1.73*10^20</f>
        <v>1.73E+20</v>
      </c>
      <c r="E11" s="17">
        <f>2.39*10^-5</f>
        <v>2.3900000000000002E-5</v>
      </c>
      <c r="G11" s="3">
        <v>8.9999999999999999E-18</v>
      </c>
      <c r="I11">
        <f t="shared" si="1"/>
        <v>9.4</v>
      </c>
      <c r="M11">
        <f t="shared" si="2"/>
        <v>32</v>
      </c>
      <c r="N11">
        <f t="shared" si="3"/>
        <v>9.4000000000000004E-3</v>
      </c>
      <c r="O11">
        <f t="shared" si="4"/>
        <v>43.530999999999999</v>
      </c>
      <c r="P11">
        <f t="shared" si="5"/>
        <v>1.73E+20</v>
      </c>
      <c r="Q11">
        <f t="shared" si="6"/>
        <v>9.4239000000000007E-3</v>
      </c>
      <c r="R11">
        <f t="shared" si="7"/>
        <v>43.530999999999999</v>
      </c>
      <c r="S11">
        <f t="shared" si="8"/>
        <v>1.73E+20</v>
      </c>
      <c r="T11">
        <f t="shared" si="9"/>
        <v>9.4239000000000007E-3</v>
      </c>
      <c r="U11">
        <f t="shared" si="10"/>
        <v>52.930999999999997</v>
      </c>
    </row>
    <row r="12" spans="1:21" x14ac:dyDescent="0.2">
      <c r="A12" s="15">
        <v>36</v>
      </c>
      <c r="B12" s="15">
        <f>6.94*10^-3</f>
        <v>6.9400000000000009E-3</v>
      </c>
      <c r="C12" s="15">
        <f t="shared" si="0"/>
        <v>43.530999999999999</v>
      </c>
      <c r="D12" s="16">
        <f>1.3*10^20</f>
        <v>1.3E+20</v>
      </c>
      <c r="E12" s="17">
        <f>2.25*10^-5</f>
        <v>2.2500000000000001E-5</v>
      </c>
      <c r="G12" s="8">
        <v>1.0000000000000001E-17</v>
      </c>
      <c r="I12">
        <f t="shared" si="1"/>
        <v>6.9400000000000013</v>
      </c>
      <c r="M12">
        <f t="shared" si="2"/>
        <v>36</v>
      </c>
      <c r="N12">
        <f t="shared" si="3"/>
        <v>6.9400000000000009E-3</v>
      </c>
      <c r="O12">
        <f t="shared" si="4"/>
        <v>43.530999999999999</v>
      </c>
      <c r="P12">
        <f t="shared" si="5"/>
        <v>1.3E+20</v>
      </c>
      <c r="Q12">
        <f t="shared" si="6"/>
        <v>6.9625000000000008E-3</v>
      </c>
      <c r="R12">
        <f t="shared" si="7"/>
        <v>43.530999999999999</v>
      </c>
      <c r="S12">
        <f t="shared" si="8"/>
        <v>1.3E+20</v>
      </c>
      <c r="T12">
        <f t="shared" si="9"/>
        <v>6.9625000000000008E-3</v>
      </c>
      <c r="U12">
        <f t="shared" si="10"/>
        <v>50.471000000000004</v>
      </c>
    </row>
    <row r="13" spans="1:21" x14ac:dyDescent="0.2">
      <c r="A13" s="15">
        <v>40</v>
      </c>
      <c r="B13" s="15">
        <f>5.03*10^-3</f>
        <v>5.0300000000000006E-3</v>
      </c>
      <c r="C13" s="15">
        <f t="shared" si="0"/>
        <v>43.530999999999999</v>
      </c>
      <c r="D13" s="16">
        <f>9.61*10^19</f>
        <v>9.61E+19</v>
      </c>
      <c r="E13" s="17">
        <f>2.09*10^-5</f>
        <v>2.09E-5</v>
      </c>
      <c r="G13" s="8">
        <v>1.1E-17</v>
      </c>
      <c r="I13">
        <f t="shared" si="1"/>
        <v>5.03</v>
      </c>
      <c r="M13">
        <f t="shared" si="2"/>
        <v>40</v>
      </c>
      <c r="N13">
        <f t="shared" si="3"/>
        <v>5.0300000000000006E-3</v>
      </c>
      <c r="O13">
        <f t="shared" si="4"/>
        <v>43.530999999999999</v>
      </c>
      <c r="P13">
        <f t="shared" si="5"/>
        <v>9.61E+19</v>
      </c>
      <c r="Q13">
        <f t="shared" si="6"/>
        <v>5.0509000000000005E-3</v>
      </c>
      <c r="R13">
        <f t="shared" si="7"/>
        <v>43.530999999999999</v>
      </c>
      <c r="S13">
        <f t="shared" si="8"/>
        <v>9.61E+19</v>
      </c>
      <c r="T13">
        <f t="shared" si="9"/>
        <v>5.0509000000000005E-3</v>
      </c>
      <c r="U13">
        <f t="shared" si="10"/>
        <v>48.561</v>
      </c>
    </row>
    <row r="14" spans="1:21" x14ac:dyDescent="0.2">
      <c r="A14" s="15">
        <v>44</v>
      </c>
      <c r="B14" s="15">
        <f>3.52*10^-3</f>
        <v>3.5200000000000001E-3</v>
      </c>
      <c r="C14" s="15">
        <f t="shared" si="0"/>
        <v>43.530999999999999</v>
      </c>
      <c r="D14" s="16">
        <f>6.97*10^19</f>
        <v>6.97E+19</v>
      </c>
      <c r="E14" s="17">
        <f>1.95*10^-5</f>
        <v>1.95E-5</v>
      </c>
      <c r="G14" s="8">
        <v>1.1999999999999999E-17</v>
      </c>
      <c r="I14">
        <f t="shared" si="1"/>
        <v>3.52</v>
      </c>
      <c r="M14">
        <f t="shared" si="2"/>
        <v>44</v>
      </c>
      <c r="N14">
        <f t="shared" si="3"/>
        <v>3.5200000000000001E-3</v>
      </c>
      <c r="O14">
        <f t="shared" si="4"/>
        <v>43.530999999999999</v>
      </c>
      <c r="P14">
        <f t="shared" si="5"/>
        <v>6.97E+19</v>
      </c>
      <c r="Q14">
        <f t="shared" si="6"/>
        <v>3.5395000000000001E-3</v>
      </c>
      <c r="R14">
        <f t="shared" si="7"/>
        <v>43.530999999999999</v>
      </c>
      <c r="S14">
        <f t="shared" si="8"/>
        <v>6.97E+19</v>
      </c>
      <c r="T14">
        <f t="shared" si="9"/>
        <v>3.5395000000000001E-3</v>
      </c>
      <c r="U14">
        <f t="shared" si="10"/>
        <v>47.051000000000002</v>
      </c>
    </row>
    <row r="15" spans="1:21" x14ac:dyDescent="0.2">
      <c r="A15" s="15">
        <v>48</v>
      </c>
      <c r="B15" s="15">
        <f>2.34*10^-3</f>
        <v>2.3400000000000001E-3</v>
      </c>
      <c r="C15" s="15">
        <f t="shared" si="0"/>
        <v>43.530999999999999</v>
      </c>
      <c r="D15" s="16">
        <f>4.87*10^19</f>
        <v>4.87E+19</v>
      </c>
      <c r="E15" s="17">
        <f>1.82*10^-5</f>
        <v>1.8200000000000002E-5</v>
      </c>
      <c r="G15" s="3">
        <v>1.3E-17</v>
      </c>
      <c r="I15">
        <f t="shared" si="1"/>
        <v>2.34</v>
      </c>
      <c r="M15">
        <f t="shared" si="2"/>
        <v>48</v>
      </c>
      <c r="N15">
        <f t="shared" si="3"/>
        <v>2.3400000000000001E-3</v>
      </c>
      <c r="O15">
        <f t="shared" si="4"/>
        <v>43.530999999999999</v>
      </c>
      <c r="P15">
        <f t="shared" si="5"/>
        <v>4.87E+19</v>
      </c>
      <c r="Q15">
        <f t="shared" si="6"/>
        <v>2.3582E-3</v>
      </c>
      <c r="R15">
        <f t="shared" si="7"/>
        <v>43.530999999999999</v>
      </c>
      <c r="S15">
        <f t="shared" si="8"/>
        <v>4.87E+19</v>
      </c>
      <c r="T15">
        <f t="shared" si="9"/>
        <v>2.3582E-3</v>
      </c>
      <c r="U15">
        <f t="shared" si="10"/>
        <v>45.870999999999995</v>
      </c>
    </row>
    <row r="16" spans="1:21" x14ac:dyDescent="0.2">
      <c r="A16" s="15">
        <v>52</v>
      </c>
      <c r="B16" s="15">
        <f>1.54*10^-3</f>
        <v>1.5400000000000001E-3</v>
      </c>
      <c r="C16" s="15">
        <f t="shared" si="0"/>
        <v>43.530999999999999</v>
      </c>
      <c r="D16" s="16">
        <f>3.23*10^19</f>
        <v>3.23E+19</v>
      </c>
      <c r="E16" s="17">
        <f>1.65*10^-5</f>
        <v>1.6500000000000001E-5</v>
      </c>
      <c r="G16" s="8">
        <v>1.3999999999999999E-17</v>
      </c>
      <c r="I16">
        <f t="shared" si="1"/>
        <v>1.54</v>
      </c>
      <c r="M16">
        <f t="shared" si="2"/>
        <v>52</v>
      </c>
      <c r="N16">
        <f t="shared" si="3"/>
        <v>1.5400000000000001E-3</v>
      </c>
      <c r="O16">
        <f t="shared" si="4"/>
        <v>43.530999999999999</v>
      </c>
      <c r="P16">
        <f t="shared" si="5"/>
        <v>3.23E+19</v>
      </c>
      <c r="Q16">
        <f t="shared" si="6"/>
        <v>1.5565000000000002E-3</v>
      </c>
      <c r="R16">
        <f t="shared" si="7"/>
        <v>43.530999999999999</v>
      </c>
      <c r="S16">
        <f t="shared" si="8"/>
        <v>3.23E+19</v>
      </c>
      <c r="T16">
        <f t="shared" si="9"/>
        <v>1.5565000000000002E-3</v>
      </c>
      <c r="U16">
        <f t="shared" si="10"/>
        <v>45.070999999999998</v>
      </c>
    </row>
    <row r="17" spans="1:21" x14ac:dyDescent="0.2">
      <c r="A17" s="15">
        <v>56</v>
      </c>
      <c r="B17" s="15">
        <f>9.74*10^-4</f>
        <v>9.7400000000000004E-4</v>
      </c>
      <c r="C17" s="15">
        <f t="shared" si="0"/>
        <v>43.530999999999999</v>
      </c>
      <c r="D17" s="16">
        <f>2.13*10^19</f>
        <v>2.13E+19</v>
      </c>
      <c r="E17" s="17">
        <f>1.49*10^-5</f>
        <v>1.4900000000000001E-5</v>
      </c>
      <c r="G17" s="8">
        <v>1.5E-17</v>
      </c>
      <c r="I17">
        <f t="shared" si="1"/>
        <v>0.97400000000000009</v>
      </c>
      <c r="M17">
        <f t="shared" si="2"/>
        <v>56</v>
      </c>
      <c r="N17">
        <f t="shared" si="3"/>
        <v>9.7400000000000004E-4</v>
      </c>
      <c r="O17">
        <f t="shared" si="4"/>
        <v>43.530999999999999</v>
      </c>
      <c r="P17">
        <f t="shared" si="5"/>
        <v>2.13E+19</v>
      </c>
      <c r="Q17">
        <f t="shared" si="6"/>
        <v>9.8890000000000002E-4</v>
      </c>
      <c r="R17">
        <f t="shared" si="7"/>
        <v>43.530999999999999</v>
      </c>
      <c r="S17">
        <f t="shared" si="8"/>
        <v>2.13E+19</v>
      </c>
      <c r="T17">
        <f t="shared" si="9"/>
        <v>9.8890000000000002E-4</v>
      </c>
      <c r="U17">
        <f t="shared" si="10"/>
        <v>44.504999999999995</v>
      </c>
    </row>
    <row r="18" spans="1:21" x14ac:dyDescent="0.2">
      <c r="A18" s="15">
        <v>60</v>
      </c>
      <c r="B18" s="15">
        <f>5.72*10^-4</f>
        <v>5.7200000000000003E-4</v>
      </c>
      <c r="C18" s="15">
        <f t="shared" si="0"/>
        <v>43.530999999999999</v>
      </c>
      <c r="D18" s="16">
        <f>1.35*10^19</f>
        <v>1.35E+19</v>
      </c>
      <c r="E18" s="17">
        <f>1.33*10^-5</f>
        <v>1.3300000000000001E-5</v>
      </c>
      <c r="G18" s="8">
        <v>1.6000000000000001E-17</v>
      </c>
      <c r="I18">
        <f t="shared" si="1"/>
        <v>0.57200000000000006</v>
      </c>
      <c r="M18">
        <f t="shared" si="2"/>
        <v>60</v>
      </c>
      <c r="N18">
        <f t="shared" si="3"/>
        <v>5.7200000000000003E-4</v>
      </c>
      <c r="O18">
        <f t="shared" si="4"/>
        <v>43.530999999999999</v>
      </c>
      <c r="P18">
        <f t="shared" si="5"/>
        <v>1.35E+19</v>
      </c>
      <c r="Q18">
        <f t="shared" si="6"/>
        <v>5.8530000000000008E-4</v>
      </c>
      <c r="R18">
        <f t="shared" si="7"/>
        <v>43.530999999999999</v>
      </c>
      <c r="S18">
        <f t="shared" si="8"/>
        <v>1.35E+19</v>
      </c>
      <c r="T18">
        <f t="shared" si="9"/>
        <v>5.8530000000000008E-4</v>
      </c>
      <c r="U18">
        <f t="shared" si="10"/>
        <v>44.103000000000002</v>
      </c>
    </row>
    <row r="19" spans="1:21" x14ac:dyDescent="0.2">
      <c r="A19" s="15">
        <v>64</v>
      </c>
      <c r="B19" s="15">
        <f>3.06*10^-4</f>
        <v>3.0600000000000001E-4</v>
      </c>
      <c r="C19" s="15">
        <f t="shared" si="0"/>
        <v>43.530999999999999</v>
      </c>
      <c r="D19" s="17">
        <f>4.24*10^18</f>
        <v>4.24E+18</v>
      </c>
      <c r="E19" s="17">
        <f>1.23*10^-5</f>
        <v>1.2300000000000001E-5</v>
      </c>
      <c r="G19" s="3">
        <v>1.6999999999999999E-17</v>
      </c>
      <c r="I19">
        <f t="shared" si="1"/>
        <v>0.30599999999999999</v>
      </c>
      <c r="M19">
        <f t="shared" si="2"/>
        <v>64</v>
      </c>
      <c r="N19">
        <f t="shared" si="3"/>
        <v>3.0600000000000001E-4</v>
      </c>
      <c r="O19">
        <f t="shared" si="4"/>
        <v>43.530999999999999</v>
      </c>
      <c r="P19">
        <f t="shared" si="5"/>
        <v>4.24E+18</v>
      </c>
      <c r="Q19">
        <f t="shared" si="6"/>
        <v>3.1829999999999998E-4</v>
      </c>
      <c r="R19">
        <f t="shared" si="7"/>
        <v>43.530999999999999</v>
      </c>
      <c r="S19">
        <f t="shared" si="8"/>
        <v>4.24E+18</v>
      </c>
      <c r="T19">
        <f t="shared" si="9"/>
        <v>3.1829999999999998E-4</v>
      </c>
      <c r="U19">
        <f t="shared" si="10"/>
        <v>43.836999999999996</v>
      </c>
    </row>
    <row r="20" spans="1:21" x14ac:dyDescent="0.2">
      <c r="A20" s="15">
        <v>68</v>
      </c>
      <c r="B20" s="15">
        <f>1.51*10^-4</f>
        <v>1.5100000000000001E-4</v>
      </c>
      <c r="C20" s="15">
        <f t="shared" si="0"/>
        <v>43.530999999999999</v>
      </c>
      <c r="D20" s="17">
        <f>2.1*10^18</f>
        <v>2.1E+18</v>
      </c>
      <c r="E20" s="17">
        <f>1.16*10^-5</f>
        <v>1.1600000000000001E-5</v>
      </c>
      <c r="G20" s="8">
        <v>1.8E-17</v>
      </c>
      <c r="I20">
        <f t="shared" si="1"/>
        <v>0.15100000000000002</v>
      </c>
      <c r="M20">
        <f t="shared" si="2"/>
        <v>68</v>
      </c>
      <c r="N20">
        <f t="shared" si="3"/>
        <v>1.5100000000000001E-4</v>
      </c>
      <c r="O20">
        <f t="shared" si="4"/>
        <v>43.530999999999999</v>
      </c>
      <c r="P20">
        <f t="shared" si="5"/>
        <v>2.1E+18</v>
      </c>
      <c r="Q20">
        <f t="shared" si="6"/>
        <v>1.6260000000000002E-4</v>
      </c>
      <c r="R20">
        <f t="shared" si="7"/>
        <v>43.530999999999999</v>
      </c>
      <c r="S20">
        <f t="shared" si="8"/>
        <v>2.1E+18</v>
      </c>
      <c r="T20">
        <f t="shared" si="9"/>
        <v>1.6260000000000002E-4</v>
      </c>
      <c r="U20">
        <f t="shared" si="10"/>
        <v>43.682000000000002</v>
      </c>
    </row>
    <row r="21" spans="1:21" x14ac:dyDescent="0.2">
      <c r="A21" s="15">
        <v>72</v>
      </c>
      <c r="B21" s="15">
        <f>7.22*10^-5</f>
        <v>7.2200000000000007E-5</v>
      </c>
      <c r="C21" s="15">
        <f t="shared" si="0"/>
        <v>43.530999999999999</v>
      </c>
      <c r="D21" s="17">
        <f>9.99*10^17</f>
        <v>9.99E+17</v>
      </c>
      <c r="E21" s="17">
        <f>1.1*10^-5</f>
        <v>1.1000000000000001E-5</v>
      </c>
      <c r="G21" s="8">
        <v>1.9000000000000001E-17</v>
      </c>
      <c r="I21">
        <f t="shared" si="1"/>
        <v>7.22E-2</v>
      </c>
      <c r="M21">
        <f t="shared" si="2"/>
        <v>72</v>
      </c>
      <c r="N21">
        <f t="shared" si="3"/>
        <v>7.2200000000000007E-5</v>
      </c>
      <c r="O21">
        <f t="shared" si="4"/>
        <v>43.530999999999999</v>
      </c>
      <c r="P21">
        <f t="shared" si="5"/>
        <v>9.9900000000000013E+17</v>
      </c>
      <c r="Q21">
        <f t="shared" si="6"/>
        <v>8.3200000000000003E-5</v>
      </c>
      <c r="R21">
        <f t="shared" si="7"/>
        <v>43.530999999999999</v>
      </c>
      <c r="S21">
        <f t="shared" si="8"/>
        <v>9.9900000000000013E+17</v>
      </c>
      <c r="T21">
        <f t="shared" si="9"/>
        <v>8.3200000000000003E-5</v>
      </c>
      <c r="U21">
        <f t="shared" si="10"/>
        <v>43.603200000000001</v>
      </c>
    </row>
    <row r="22" spans="1:21" x14ac:dyDescent="0.2">
      <c r="A22" s="15">
        <v>76</v>
      </c>
      <c r="B22" s="15">
        <f>3.27*10^-5</f>
        <v>3.2700000000000002E-5</v>
      </c>
      <c r="C22" s="15">
        <f t="shared" si="0"/>
        <v>43.530999999999999</v>
      </c>
      <c r="D22" s="17">
        <f>4.53*10^17</f>
        <v>4.53E+17</v>
      </c>
      <c r="E22" s="17">
        <f>1.03*10^-5</f>
        <v>1.0300000000000001E-5</v>
      </c>
      <c r="G22" s="8">
        <v>2.0000000000000001E-17</v>
      </c>
      <c r="I22">
        <f t="shared" si="1"/>
        <v>3.27E-2</v>
      </c>
      <c r="M22">
        <f t="shared" si="2"/>
        <v>76</v>
      </c>
      <c r="N22">
        <f t="shared" si="3"/>
        <v>3.2700000000000002E-5</v>
      </c>
      <c r="O22">
        <f t="shared" si="4"/>
        <v>43.530999999999999</v>
      </c>
      <c r="P22">
        <f t="shared" si="5"/>
        <v>4.5300000000000006E+17</v>
      </c>
      <c r="Q22">
        <f t="shared" si="6"/>
        <v>4.3000000000000002E-5</v>
      </c>
      <c r="R22">
        <f t="shared" si="7"/>
        <v>43.530999999999999</v>
      </c>
      <c r="S22">
        <f t="shared" si="8"/>
        <v>4.5300000000000006E+17</v>
      </c>
      <c r="T22">
        <f t="shared" si="9"/>
        <v>4.3000000000000002E-5</v>
      </c>
      <c r="U22">
        <f t="shared" si="10"/>
        <v>43.563699999999997</v>
      </c>
    </row>
    <row r="23" spans="1:21" x14ac:dyDescent="0.2">
      <c r="A23" s="15">
        <v>80</v>
      </c>
      <c r="B23" s="15">
        <f>1.37*10^-5</f>
        <v>1.3700000000000003E-5</v>
      </c>
      <c r="C23" s="15">
        <f t="shared" si="0"/>
        <v>43.530999999999999</v>
      </c>
      <c r="D23" s="17">
        <f>1.9*10^17</f>
        <v>1.9E+17</v>
      </c>
      <c r="E23" s="17">
        <f>0.94*10^-5</f>
        <v>9.3999999999999998E-6</v>
      </c>
      <c r="G23" s="3">
        <v>2.0999999999999999E-17</v>
      </c>
      <c r="I23">
        <f t="shared" si="1"/>
        <v>1.3700000000000002E-2</v>
      </c>
      <c r="M23">
        <f t="shared" si="2"/>
        <v>80</v>
      </c>
      <c r="N23">
        <f t="shared" si="3"/>
        <v>1.3700000000000003E-5</v>
      </c>
      <c r="O23">
        <f t="shared" si="4"/>
        <v>43.530999999999999</v>
      </c>
      <c r="P23">
        <f t="shared" si="5"/>
        <v>1.9000000000000006E+17</v>
      </c>
      <c r="Q23">
        <f t="shared" si="6"/>
        <v>2.3100000000000002E-5</v>
      </c>
      <c r="R23">
        <f t="shared" si="7"/>
        <v>43.530999999999999</v>
      </c>
      <c r="S23">
        <f t="shared" si="8"/>
        <v>1.9000000000000006E+17</v>
      </c>
      <c r="T23">
        <f t="shared" si="9"/>
        <v>2.3100000000000002E-5</v>
      </c>
      <c r="U23">
        <f t="shared" si="10"/>
        <v>43.544699999999999</v>
      </c>
    </row>
    <row r="24" spans="1:21" x14ac:dyDescent="0.2">
      <c r="A24" s="15">
        <v>84</v>
      </c>
      <c r="B24" s="15">
        <f>5.35*10^-6</f>
        <v>5.3499999999999996E-6</v>
      </c>
      <c r="C24" s="15">
        <f t="shared" si="0"/>
        <v>43.530999999999999</v>
      </c>
      <c r="D24" s="17">
        <f>7.4*10^16</f>
        <v>7.4E+16</v>
      </c>
      <c r="E24" s="17">
        <f>0.89*10^-5</f>
        <v>8.9000000000000012E-6</v>
      </c>
      <c r="G24" s="8">
        <v>2.2E-17</v>
      </c>
      <c r="I24">
        <f t="shared" si="1"/>
        <v>5.3499999999999997E-3</v>
      </c>
      <c r="M24">
        <f t="shared" si="2"/>
        <v>84</v>
      </c>
      <c r="N24">
        <f t="shared" si="3"/>
        <v>5.3499999999999996E-6</v>
      </c>
      <c r="O24">
        <f t="shared" si="4"/>
        <v>43.530999999999999</v>
      </c>
      <c r="P24">
        <f t="shared" si="5"/>
        <v>7.400000000000008E+16</v>
      </c>
      <c r="Q24">
        <f t="shared" si="6"/>
        <v>1.4250000000000001E-5</v>
      </c>
      <c r="R24">
        <f t="shared" si="7"/>
        <v>43.530999999999999</v>
      </c>
      <c r="S24">
        <f t="shared" si="8"/>
        <v>7.400000000000008E+16</v>
      </c>
      <c r="T24">
        <f t="shared" si="9"/>
        <v>1.4250000000000001E-5</v>
      </c>
      <c r="U24">
        <f t="shared" si="10"/>
        <v>43.536349999999999</v>
      </c>
    </row>
    <row r="25" spans="1:21" x14ac:dyDescent="0.2">
      <c r="A25" s="15">
        <v>88</v>
      </c>
      <c r="B25" s="15">
        <f>1.99*10^-6</f>
        <v>1.99E-6</v>
      </c>
      <c r="C25" s="15">
        <f t="shared" si="0"/>
        <v>43.530999999999999</v>
      </c>
      <c r="D25" s="17">
        <f>2.75*10^16</f>
        <v>2.75E+16</v>
      </c>
      <c r="E25" s="17">
        <f>0.86*10^-5</f>
        <v>8.6000000000000007E-6</v>
      </c>
      <c r="G25" s="8">
        <v>2.3000000000000001E-17</v>
      </c>
      <c r="I25">
        <f t="shared" si="1"/>
        <v>1.99E-3</v>
      </c>
      <c r="M25">
        <f t="shared" si="2"/>
        <v>88</v>
      </c>
      <c r="N25">
        <f t="shared" si="3"/>
        <v>1.99E-6</v>
      </c>
      <c r="O25">
        <f t="shared" si="4"/>
        <v>43.530999999999999</v>
      </c>
      <c r="P25">
        <f t="shared" si="5"/>
        <v>2.7500000000000088E+16</v>
      </c>
      <c r="Q25">
        <f t="shared" si="6"/>
        <v>1.059E-5</v>
      </c>
      <c r="R25">
        <f t="shared" si="7"/>
        <v>43.530999999999999</v>
      </c>
      <c r="S25">
        <f t="shared" si="8"/>
        <v>2.7500000000000088E+16</v>
      </c>
      <c r="T25">
        <f t="shared" si="9"/>
        <v>1.059E-5</v>
      </c>
      <c r="U25">
        <f t="shared" si="10"/>
        <v>43.532989999999998</v>
      </c>
    </row>
    <row r="26" spans="1:21" x14ac:dyDescent="0.2">
      <c r="A26" s="15">
        <v>92</v>
      </c>
      <c r="B26" s="15">
        <f>7.16*10^-7</f>
        <v>7.1600000000000001E-7</v>
      </c>
      <c r="C26" s="15">
        <f t="shared" si="0"/>
        <v>43.530999999999999</v>
      </c>
      <c r="D26" s="17">
        <f>9.91*10^15</f>
        <v>9910000000000000</v>
      </c>
      <c r="E26" s="17">
        <f>0.83*10^-5</f>
        <v>8.3000000000000002E-6</v>
      </c>
      <c r="G26" s="8">
        <v>2.3999999999999999E-17</v>
      </c>
      <c r="I26">
        <f t="shared" si="1"/>
        <v>7.1600000000000006E-4</v>
      </c>
      <c r="M26">
        <f t="shared" si="2"/>
        <v>92</v>
      </c>
      <c r="N26">
        <f t="shared" si="3"/>
        <v>7.1600000000000001E-7</v>
      </c>
      <c r="O26">
        <f t="shared" si="4"/>
        <v>43.530999999999999</v>
      </c>
      <c r="P26">
        <f t="shared" si="5"/>
        <v>9910000000000092</v>
      </c>
      <c r="Q26">
        <f t="shared" si="6"/>
        <v>9.0159999999999997E-6</v>
      </c>
      <c r="R26">
        <f t="shared" si="7"/>
        <v>43.530999999999999</v>
      </c>
      <c r="S26">
        <f t="shared" si="8"/>
        <v>9910000000000092</v>
      </c>
      <c r="T26">
        <f t="shared" si="9"/>
        <v>9.0159999999999997E-6</v>
      </c>
      <c r="U26">
        <f t="shared" si="10"/>
        <v>43.531715999999996</v>
      </c>
    </row>
    <row r="27" spans="1:21" x14ac:dyDescent="0.2">
      <c r="A27" s="15">
        <v>96</v>
      </c>
      <c r="B27" s="15">
        <f>2.52*10^-7</f>
        <v>2.5199999999999998E-7</v>
      </c>
      <c r="C27" s="15">
        <f t="shared" si="0"/>
        <v>43.530999999999999</v>
      </c>
      <c r="D27" s="17">
        <f>3.49*10^15</f>
        <v>3490000000000000</v>
      </c>
      <c r="E27" s="17">
        <f>0.81*10^-5</f>
        <v>8.1000000000000004E-6</v>
      </c>
      <c r="G27" s="3">
        <v>2.4999999999999999E-17</v>
      </c>
      <c r="I27">
        <f t="shared" si="1"/>
        <v>2.52E-4</v>
      </c>
      <c r="M27">
        <f t="shared" si="2"/>
        <v>96</v>
      </c>
      <c r="N27">
        <f t="shared" si="3"/>
        <v>2.5199999999999998E-7</v>
      </c>
      <c r="O27">
        <f t="shared" si="4"/>
        <v>43.530999999999999</v>
      </c>
      <c r="P27">
        <f t="shared" si="5"/>
        <v>3490000000000096</v>
      </c>
      <c r="Q27">
        <f t="shared" si="6"/>
        <v>8.3520000000000007E-6</v>
      </c>
      <c r="R27">
        <f t="shared" si="7"/>
        <v>43.530999999999999</v>
      </c>
      <c r="S27">
        <f t="shared" si="8"/>
        <v>3490000000000096</v>
      </c>
      <c r="T27">
        <f t="shared" si="9"/>
        <v>8.3520000000000007E-6</v>
      </c>
      <c r="U27">
        <f t="shared" si="10"/>
        <v>43.531252000000002</v>
      </c>
    </row>
    <row r="28" spans="1:21" x14ac:dyDescent="0.2">
      <c r="A28" s="15">
        <v>100</v>
      </c>
      <c r="B28" s="15">
        <f>8.7*10^0</f>
        <v>8.6999999999999993</v>
      </c>
      <c r="C28" s="15">
        <f t="shared" si="0"/>
        <v>43.530999999999999</v>
      </c>
      <c r="D28" s="17">
        <f>1.2*10^15</f>
        <v>1200000000000000</v>
      </c>
      <c r="E28" s="17">
        <f>0.8*10^-5</f>
        <v>8.0000000000000013E-6</v>
      </c>
      <c r="G28" s="8">
        <v>2.6E-17</v>
      </c>
      <c r="I28">
        <f t="shared" si="1"/>
        <v>8700</v>
      </c>
      <c r="M28">
        <f t="shared" si="2"/>
        <v>100</v>
      </c>
      <c r="N28">
        <f t="shared" si="3"/>
        <v>8.6999999999999993</v>
      </c>
      <c r="O28">
        <f t="shared" si="4"/>
        <v>43.530999999999999</v>
      </c>
      <c r="P28">
        <f t="shared" si="5"/>
        <v>1200000000000100</v>
      </c>
      <c r="Q28">
        <f t="shared" si="6"/>
        <v>8.7000079999999986</v>
      </c>
      <c r="R28">
        <f t="shared" si="7"/>
        <v>43.530999999999999</v>
      </c>
      <c r="S28">
        <f t="shared" si="8"/>
        <v>1200000000000100</v>
      </c>
      <c r="T28">
        <f t="shared" si="9"/>
        <v>8.7000079999999986</v>
      </c>
      <c r="U28">
        <f t="shared" si="10"/>
        <v>8743.5310000000009</v>
      </c>
    </row>
    <row r="29" spans="1:21" x14ac:dyDescent="0.2">
      <c r="G29" s="8"/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0</v>
      </c>
    </row>
    <row r="30" spans="1:21" x14ac:dyDescent="0.2">
      <c r="G30" s="8"/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0</v>
      </c>
    </row>
    <row r="31" spans="1:21" x14ac:dyDescent="0.2">
      <c r="G31" s="3"/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U31">
        <f t="shared" si="10"/>
        <v>0</v>
      </c>
    </row>
    <row r="32" spans="1:21" x14ac:dyDescent="0.2">
      <c r="G32" s="8"/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U32">
        <f t="shared" si="10"/>
        <v>0</v>
      </c>
    </row>
    <row r="33" spans="7:21" x14ac:dyDescent="0.2">
      <c r="G33" s="8"/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0</v>
      </c>
    </row>
    <row r="34" spans="7:21" x14ac:dyDescent="0.2">
      <c r="G34" s="8"/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U34">
        <f t="shared" si="10"/>
        <v>0</v>
      </c>
    </row>
    <row r="35" spans="7:21" x14ac:dyDescent="0.2">
      <c r="G35" s="3"/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</row>
    <row r="36" spans="7:21" x14ac:dyDescent="0.2">
      <c r="G36" s="8"/>
      <c r="M36">
        <f t="shared" ref="M36:M54" si="11">A36</f>
        <v>0</v>
      </c>
      <c r="N36">
        <f t="shared" ref="N36:N54" si="12">B36+K36</f>
        <v>0</v>
      </c>
      <c r="O36">
        <f t="shared" ref="O36:O54" si="13">C36+L36</f>
        <v>0</v>
      </c>
      <c r="P36">
        <f t="shared" ref="P36:P54" si="14">D36+M36</f>
        <v>0</v>
      </c>
      <c r="Q36">
        <f t="shared" ref="Q36:Q54" si="15">E36+N36</f>
        <v>0</v>
      </c>
      <c r="R36">
        <f t="shared" ref="R36:R54" si="16">F36+O36</f>
        <v>0</v>
      </c>
      <c r="S36">
        <f t="shared" ref="S36:S54" si="17">G36+P36</f>
        <v>0</v>
      </c>
      <c r="T36">
        <f t="shared" ref="T36:T54" si="18">H36+Q36</f>
        <v>0</v>
      </c>
      <c r="U36">
        <f t="shared" ref="U36:U54" si="19">I36+R36</f>
        <v>0</v>
      </c>
    </row>
    <row r="37" spans="7:21" x14ac:dyDescent="0.2">
      <c r="G37" s="8"/>
      <c r="M37">
        <f t="shared" si="11"/>
        <v>0</v>
      </c>
      <c r="N37">
        <f t="shared" si="12"/>
        <v>0</v>
      </c>
      <c r="O37">
        <f t="shared" si="13"/>
        <v>0</v>
      </c>
      <c r="P37">
        <f t="shared" si="14"/>
        <v>0</v>
      </c>
      <c r="Q37">
        <f t="shared" si="15"/>
        <v>0</v>
      </c>
      <c r="R37">
        <f t="shared" si="16"/>
        <v>0</v>
      </c>
      <c r="S37">
        <f t="shared" si="17"/>
        <v>0</v>
      </c>
      <c r="T37">
        <f t="shared" si="18"/>
        <v>0</v>
      </c>
      <c r="U37">
        <f t="shared" si="19"/>
        <v>0</v>
      </c>
    </row>
    <row r="38" spans="7:21" x14ac:dyDescent="0.2">
      <c r="G38" s="8"/>
      <c r="M38">
        <f t="shared" si="11"/>
        <v>0</v>
      </c>
      <c r="N38">
        <f t="shared" si="12"/>
        <v>0</v>
      </c>
      <c r="O38">
        <f t="shared" si="13"/>
        <v>0</v>
      </c>
      <c r="P38">
        <f t="shared" si="14"/>
        <v>0</v>
      </c>
      <c r="Q38">
        <f t="shared" si="15"/>
        <v>0</v>
      </c>
      <c r="R38">
        <f t="shared" si="16"/>
        <v>0</v>
      </c>
      <c r="S38">
        <f t="shared" si="17"/>
        <v>0</v>
      </c>
      <c r="T38">
        <f t="shared" si="18"/>
        <v>0</v>
      </c>
      <c r="U38">
        <f t="shared" si="19"/>
        <v>0</v>
      </c>
    </row>
    <row r="39" spans="7:21" x14ac:dyDescent="0.2">
      <c r="G39" s="3"/>
      <c r="M39">
        <f t="shared" si="11"/>
        <v>0</v>
      </c>
      <c r="N39">
        <f t="shared" si="12"/>
        <v>0</v>
      </c>
      <c r="O39">
        <f t="shared" si="13"/>
        <v>0</v>
      </c>
      <c r="P39">
        <f t="shared" si="14"/>
        <v>0</v>
      </c>
      <c r="Q39">
        <f t="shared" si="15"/>
        <v>0</v>
      </c>
      <c r="R39">
        <f t="shared" si="16"/>
        <v>0</v>
      </c>
      <c r="S39">
        <f t="shared" si="17"/>
        <v>0</v>
      </c>
      <c r="T39">
        <f t="shared" si="18"/>
        <v>0</v>
      </c>
      <c r="U39">
        <f t="shared" si="19"/>
        <v>0</v>
      </c>
    </row>
    <row r="40" spans="7:21" x14ac:dyDescent="0.2">
      <c r="G40" s="8"/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0</v>
      </c>
      <c r="Q40">
        <f t="shared" si="15"/>
        <v>0</v>
      </c>
      <c r="R40">
        <f t="shared" si="16"/>
        <v>0</v>
      </c>
      <c r="S40">
        <f t="shared" si="17"/>
        <v>0</v>
      </c>
      <c r="T40">
        <f t="shared" si="18"/>
        <v>0</v>
      </c>
      <c r="U40">
        <f t="shared" si="19"/>
        <v>0</v>
      </c>
    </row>
    <row r="41" spans="7:21" x14ac:dyDescent="0.2">
      <c r="G41" s="8"/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>
        <f t="shared" si="15"/>
        <v>0</v>
      </c>
      <c r="R41">
        <f t="shared" si="16"/>
        <v>0</v>
      </c>
      <c r="S41">
        <f t="shared" si="17"/>
        <v>0</v>
      </c>
      <c r="T41">
        <f t="shared" si="18"/>
        <v>0</v>
      </c>
      <c r="U41">
        <f t="shared" si="19"/>
        <v>0</v>
      </c>
    </row>
    <row r="42" spans="7:21" x14ac:dyDescent="0.2">
      <c r="G42" s="8"/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0</v>
      </c>
      <c r="Q42">
        <f t="shared" si="15"/>
        <v>0</v>
      </c>
      <c r="R42">
        <f t="shared" si="16"/>
        <v>0</v>
      </c>
      <c r="S42">
        <f t="shared" si="17"/>
        <v>0</v>
      </c>
      <c r="T42">
        <f t="shared" si="18"/>
        <v>0</v>
      </c>
      <c r="U42">
        <f t="shared" si="19"/>
        <v>0</v>
      </c>
    </row>
    <row r="43" spans="7:21" x14ac:dyDescent="0.2">
      <c r="G43" s="3"/>
      <c r="M43">
        <f t="shared" si="11"/>
        <v>0</v>
      </c>
      <c r="N43">
        <f t="shared" si="12"/>
        <v>0</v>
      </c>
      <c r="O43">
        <f t="shared" si="13"/>
        <v>0</v>
      </c>
      <c r="P43">
        <f t="shared" si="14"/>
        <v>0</v>
      </c>
      <c r="Q43">
        <f t="shared" si="15"/>
        <v>0</v>
      </c>
      <c r="R43">
        <f t="shared" si="16"/>
        <v>0</v>
      </c>
      <c r="S43">
        <f t="shared" si="17"/>
        <v>0</v>
      </c>
      <c r="T43">
        <f t="shared" si="18"/>
        <v>0</v>
      </c>
      <c r="U43">
        <f t="shared" si="19"/>
        <v>0</v>
      </c>
    </row>
    <row r="44" spans="7:21" x14ac:dyDescent="0.2">
      <c r="G44" s="8"/>
      <c r="M44">
        <f t="shared" si="11"/>
        <v>0</v>
      </c>
      <c r="N44">
        <f t="shared" si="12"/>
        <v>0</v>
      </c>
      <c r="O44">
        <f t="shared" si="13"/>
        <v>0</v>
      </c>
      <c r="P44">
        <f t="shared" si="14"/>
        <v>0</v>
      </c>
      <c r="Q44">
        <f t="shared" si="15"/>
        <v>0</v>
      </c>
      <c r="R44">
        <f t="shared" si="16"/>
        <v>0</v>
      </c>
      <c r="S44">
        <f t="shared" si="17"/>
        <v>0</v>
      </c>
      <c r="T44">
        <f t="shared" si="18"/>
        <v>0</v>
      </c>
      <c r="U44">
        <f t="shared" si="19"/>
        <v>0</v>
      </c>
    </row>
    <row r="45" spans="7:21" x14ac:dyDescent="0.2">
      <c r="G45" s="8"/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0</v>
      </c>
      <c r="S45">
        <f t="shared" si="17"/>
        <v>0</v>
      </c>
      <c r="T45">
        <f t="shared" si="18"/>
        <v>0</v>
      </c>
      <c r="U45">
        <f t="shared" si="19"/>
        <v>0</v>
      </c>
    </row>
    <row r="46" spans="7:21" x14ac:dyDescent="0.2">
      <c r="G46" s="8"/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T46">
        <f t="shared" si="18"/>
        <v>0</v>
      </c>
      <c r="U46">
        <f t="shared" si="19"/>
        <v>0</v>
      </c>
    </row>
    <row r="47" spans="7:21" x14ac:dyDescent="0.2">
      <c r="G47" s="3"/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0</v>
      </c>
      <c r="S47">
        <f t="shared" si="17"/>
        <v>0</v>
      </c>
      <c r="T47">
        <f t="shared" si="18"/>
        <v>0</v>
      </c>
      <c r="U47">
        <f t="shared" si="19"/>
        <v>0</v>
      </c>
    </row>
    <row r="48" spans="7:21" x14ac:dyDescent="0.2">
      <c r="G48" s="8"/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  <c r="S48">
        <f t="shared" si="17"/>
        <v>0</v>
      </c>
      <c r="T48">
        <f t="shared" si="18"/>
        <v>0</v>
      </c>
      <c r="U48">
        <f t="shared" si="19"/>
        <v>0</v>
      </c>
    </row>
    <row r="49" spans="7:21" x14ac:dyDescent="0.2">
      <c r="G49" s="8"/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>
        <f t="shared" si="15"/>
        <v>0</v>
      </c>
      <c r="R49">
        <f t="shared" si="16"/>
        <v>0</v>
      </c>
      <c r="S49">
        <f t="shared" si="17"/>
        <v>0</v>
      </c>
      <c r="T49">
        <f t="shared" si="18"/>
        <v>0</v>
      </c>
      <c r="U49">
        <f t="shared" si="19"/>
        <v>0</v>
      </c>
    </row>
    <row r="50" spans="7:21" x14ac:dyDescent="0.2">
      <c r="G50" s="8"/>
      <c r="M50">
        <f t="shared" si="11"/>
        <v>0</v>
      </c>
      <c r="N50">
        <f t="shared" si="12"/>
        <v>0</v>
      </c>
      <c r="O50">
        <f t="shared" si="13"/>
        <v>0</v>
      </c>
      <c r="P50">
        <f t="shared" si="14"/>
        <v>0</v>
      </c>
      <c r="Q50">
        <f t="shared" si="15"/>
        <v>0</v>
      </c>
      <c r="R50">
        <f t="shared" si="16"/>
        <v>0</v>
      </c>
      <c r="S50">
        <f t="shared" si="17"/>
        <v>0</v>
      </c>
      <c r="T50">
        <f t="shared" si="18"/>
        <v>0</v>
      </c>
      <c r="U50">
        <f t="shared" si="19"/>
        <v>0</v>
      </c>
    </row>
    <row r="51" spans="7:21" x14ac:dyDescent="0.2">
      <c r="G51" s="3"/>
      <c r="M51">
        <f t="shared" si="11"/>
        <v>0</v>
      </c>
      <c r="N51">
        <f t="shared" si="12"/>
        <v>0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  <c r="S51">
        <f t="shared" si="17"/>
        <v>0</v>
      </c>
      <c r="T51">
        <f t="shared" si="18"/>
        <v>0</v>
      </c>
      <c r="U51">
        <f t="shared" si="19"/>
        <v>0</v>
      </c>
    </row>
    <row r="52" spans="7:21" x14ac:dyDescent="0.2">
      <c r="G52" s="8"/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0</v>
      </c>
      <c r="Q52">
        <f t="shared" si="15"/>
        <v>0</v>
      </c>
      <c r="R52">
        <f t="shared" si="16"/>
        <v>0</v>
      </c>
      <c r="S52">
        <f t="shared" si="17"/>
        <v>0</v>
      </c>
      <c r="T52">
        <f t="shared" si="18"/>
        <v>0</v>
      </c>
      <c r="U52">
        <f t="shared" si="19"/>
        <v>0</v>
      </c>
    </row>
    <row r="53" spans="7:21" x14ac:dyDescent="0.2">
      <c r="G53" s="8"/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T53">
        <f t="shared" si="18"/>
        <v>0</v>
      </c>
      <c r="U53">
        <f t="shared" si="19"/>
        <v>0</v>
      </c>
    </row>
    <row r="54" spans="7:21" x14ac:dyDescent="0.2"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T54">
        <f t="shared" si="18"/>
        <v>0</v>
      </c>
      <c r="U54">
        <f t="shared" si="19"/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="80" zoomScaleNormal="80" workbookViewId="0"/>
  </sheetViews>
  <sheetFormatPr defaultRowHeight="14.25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Phi_Less_Than_35</vt:lpstr>
      <vt:lpstr>Phi_BW_35_55</vt:lpstr>
      <vt:lpstr>Phi_BW_50_70</vt:lpstr>
      <vt:lpstr>Phi_BW_70_80</vt:lpstr>
      <vt:lpstr>Phi_85</vt:lpstr>
      <vt:lpstr>Density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Nguyen</dc:creator>
  <dc:description/>
  <cp:lastModifiedBy>Michael Angeles</cp:lastModifiedBy>
  <cp:revision>12</cp:revision>
  <dcterms:created xsi:type="dcterms:W3CDTF">2019-09-23T11:38:29Z</dcterms:created>
  <dcterms:modified xsi:type="dcterms:W3CDTF">2020-04-06T15:45:20Z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050cb1-6430-4e4c-916e-1ba0e5d180a0_Enabled">
    <vt:lpwstr>True</vt:lpwstr>
  </property>
  <property fmtid="{D5CDD505-2E9C-101B-9397-08002B2CF9AE}" pid="3" name="MSIP_Label_cf050cb1-6430-4e4c-916e-1ba0e5d180a0_SiteId">
    <vt:lpwstr>de3bcd64-3272-4c06-bb35-f828f615644c</vt:lpwstr>
  </property>
  <property fmtid="{D5CDD505-2E9C-101B-9397-08002B2CF9AE}" pid="4" name="MSIP_Label_cf050cb1-6430-4e4c-916e-1ba0e5d180a0_Owner">
    <vt:lpwstr>michael.angeles@noetic-inc.net</vt:lpwstr>
  </property>
  <property fmtid="{D5CDD505-2E9C-101B-9397-08002B2CF9AE}" pid="5" name="MSIP_Label_cf050cb1-6430-4e4c-916e-1ba0e5d180a0_SetDate">
    <vt:lpwstr>2020-04-06T15:45:17.9167699Z</vt:lpwstr>
  </property>
  <property fmtid="{D5CDD505-2E9C-101B-9397-08002B2CF9AE}" pid="6" name="MSIP_Label_cf050cb1-6430-4e4c-916e-1ba0e5d180a0_Name">
    <vt:lpwstr>General</vt:lpwstr>
  </property>
  <property fmtid="{D5CDD505-2E9C-101B-9397-08002B2CF9AE}" pid="7" name="MSIP_Label_cf050cb1-6430-4e4c-916e-1ba0e5d180a0_Application">
    <vt:lpwstr>Microsoft Azure Information Protection</vt:lpwstr>
  </property>
  <property fmtid="{D5CDD505-2E9C-101B-9397-08002B2CF9AE}" pid="8" name="MSIP_Label_cf050cb1-6430-4e4c-916e-1ba0e5d180a0_ActionId">
    <vt:lpwstr>2a61291c-2d3b-4901-b122-293640b797c2</vt:lpwstr>
  </property>
  <property fmtid="{D5CDD505-2E9C-101B-9397-08002B2CF9AE}" pid="9" name="MSIP_Label_cf050cb1-6430-4e4c-916e-1ba0e5d180a0_Extended_MSFT_Method">
    <vt:lpwstr>Automatic</vt:lpwstr>
  </property>
  <property fmtid="{D5CDD505-2E9C-101B-9397-08002B2CF9AE}" pid="10" name="Sensitivity">
    <vt:lpwstr>General</vt:lpwstr>
  </property>
</Properties>
</file>