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hi_Less_Than_35" sheetId="1" state="visible" r:id="rId2"/>
    <sheet name="Phi_BW_35_55" sheetId="2" state="visible" r:id="rId3"/>
    <sheet name="Phi_BW_50_70" sheetId="3" state="visible" r:id="rId4"/>
    <sheet name="Phi_BW_70_80" sheetId="4" state="visible" r:id="rId5"/>
    <sheet name="Phi_85" sheetId="5" state="visible" r:id="rId6"/>
    <sheet name="Density" sheetId="6" state="visible" r:id="rId7"/>
    <sheet name="Sheet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<sst xmlns="http://schemas.openxmlformats.org/spreadsheetml/2006/main" count="171" uniqueCount="33">
  <si>
    <t xml:space="preserve">Table 1 ^- Phi &lt;35</t>
  </si>
  <si>
    <t xml:space="preserve">Height, km</t>
  </si>
  <si>
    <t xml:space="preserve">Ls = 20-90</t>
  </si>
  <si>
    <t xml:space="preserve">Ls = 90-130</t>
  </si>
  <si>
    <t xml:space="preserve">Ls = 200-270</t>
  </si>
  <si>
    <t xml:space="preserve">Ls = 270-310</t>
  </si>
  <si>
    <t xml:space="preserve">P, bar</t>
  </si>
  <si>
    <t xml:space="preserve">T, K</t>
  </si>
  <si>
    <t xml:space="preserve">Factor</t>
  </si>
  <si>
    <t xml:space="preserve">Table 3 35° - 55°</t>
  </si>
  <si>
    <t xml:space="preserve">Ls*</t>
  </si>
  <si>
    <t xml:space="preserve">Table 3 - Phi = 50°-70°</t>
  </si>
  <si>
    <t xml:space="preserve">Φ= 70°-80°</t>
  </si>
  <si>
    <t xml:space="preserve">H, km</t>
  </si>
  <si>
    <t xml:space="preserve">Ls= 20°*10^</t>
  </si>
  <si>
    <t xml:space="preserve">°*10^90°</t>
  </si>
  <si>
    <t xml:space="preserve">Ls= 90°*10^</t>
  </si>
  <si>
    <t xml:space="preserve">°*10^130°</t>
  </si>
  <si>
    <t xml:space="preserve">Ls= 200°*10^</t>
  </si>
  <si>
    <t xml:space="preserve">°*10^270°</t>
  </si>
  <si>
    <t xml:space="preserve">Ls= 270°*10^</t>
  </si>
  <si>
    <t xml:space="preserve">°*10^310°</t>
  </si>
  <si>
    <t xml:space="preserve">Φ= 85°</t>
  </si>
  <si>
    <t xml:space="preserve">[km]</t>
  </si>
  <si>
    <t xml:space="preserve">[g/cm3]</t>
  </si>
  <si>
    <t xml:space="preserve">[g/gmole]</t>
  </si>
  <si>
    <t xml:space="preserve">[per cm3]</t>
  </si>
  <si>
    <t xml:space="preserve">[kg/m*sec]</t>
  </si>
  <si>
    <t xml:space="preserve">Altitude</t>
  </si>
  <si>
    <t xml:space="preserve">Density</t>
  </si>
  <si>
    <t xml:space="preserve">Molecular Mass</t>
  </si>
  <si>
    <t xml:space="preserve">Number Density</t>
  </si>
  <si>
    <t xml:space="preserve">Viscosity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</si>
</sst>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#,##0.00"/>
    <numFmt numFmtId="167" formatCode="#,##0.000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Times New Roman"/>
      <family val="0"/>
      <charset val="1"/>
    </font>
    <font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9"/>
  <sheetViews>
    <sheetView showFormulas="false" showGridLines="true" showRowColHeaders="true" showZeros="true" rightToLeft="false" tabSelected="false" showOutlineSymbols="true" defaultGridColor="true" view="normal" topLeftCell="K1" colorId="64" zoomScale="80" zoomScaleNormal="80" zoomScalePageLayoutView="100" workbookViewId="0">
      <selection pane="topLeft" activeCell="K4" activeCellId="0" sqref="K4"/>
    </sheetView>
  </sheetViews>
  <sheetFormatPr defaultRowHeight="13.5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1" width="13.27"/>
    <col collapsed="false" customWidth="true" hidden="false" outlineLevel="0" max="3" min="3" style="1" width="9.95"/>
    <col collapsed="false" customWidth="true" hidden="false" outlineLevel="0" max="203" min="4" style="1" width="10.61"/>
    <col collapsed="false" customWidth="true" hidden="false" outlineLevel="0" max="257" min="204" style="1" width="8.98"/>
    <col collapsed="false" customWidth="true" hidden="false" outlineLevel="0" max="1025" min="258" style="0" width="8.98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M1" s="2" t="s">
        <v>0</v>
      </c>
      <c r="N1" s="2"/>
      <c r="O1" s="2"/>
      <c r="P1" s="2"/>
      <c r="Q1" s="2"/>
      <c r="R1" s="2"/>
      <c r="S1" s="2"/>
      <c r="T1" s="2"/>
      <c r="U1" s="2"/>
    </row>
    <row r="2" customFormat="false" ht="13.8" hidden="false" customHeight="false" outlineLevel="0" collapsed="false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5</v>
      </c>
      <c r="U2" s="2"/>
    </row>
    <row r="3" customFormat="false" ht="13.8" hidden="false" customHeight="false" outlineLevel="0" collapsed="false">
      <c r="A3" s="2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K3" s="1" t="s">
        <v>8</v>
      </c>
      <c r="M3" s="2"/>
      <c r="N3" s="3" t="s">
        <v>6</v>
      </c>
      <c r="O3" s="3" t="s">
        <v>7</v>
      </c>
      <c r="P3" s="3" t="s">
        <v>6</v>
      </c>
      <c r="Q3" s="3" t="s">
        <v>7</v>
      </c>
      <c r="R3" s="3" t="s">
        <v>6</v>
      </c>
      <c r="S3" s="3" t="s">
        <v>7</v>
      </c>
      <c r="T3" s="3" t="s">
        <v>6</v>
      </c>
      <c r="U3" s="3" t="s">
        <v>7</v>
      </c>
    </row>
    <row r="4" customFormat="false" ht="14.9" hidden="false" customHeight="false" outlineLevel="0" collapsed="false">
      <c r="A4" s="4" t="n">
        <v>100</v>
      </c>
      <c r="B4" s="5" t="n">
        <v>3.069E-005</v>
      </c>
      <c r="C4" s="5" t="n">
        <v>182.7</v>
      </c>
      <c r="D4" s="5" t="n">
        <v>2.904E-005</v>
      </c>
      <c r="E4" s="5" t="n">
        <v>173.8</v>
      </c>
      <c r="F4" s="5" t="n">
        <v>2.861E-005</v>
      </c>
      <c r="G4" s="5" t="n">
        <v>172.6</v>
      </c>
      <c r="H4" s="5" t="n">
        <v>2.551E-005</v>
      </c>
      <c r="I4" s="1" t="n">
        <v>167.8</v>
      </c>
      <c r="K4" s="1" t="n">
        <v>1E-010</v>
      </c>
      <c r="M4" s="4" t="n">
        <v>100</v>
      </c>
      <c r="N4" s="1" t="n">
        <f aca="false">B4+$K4</f>
        <v>3.06901E-005</v>
      </c>
      <c r="O4" s="1" t="n">
        <f aca="false">C4+$K4</f>
        <v>182.7000000001</v>
      </c>
      <c r="P4" s="1" t="n">
        <f aca="false">D4+$K4</f>
        <v>2.90401E-005</v>
      </c>
      <c r="Q4" s="1" t="n">
        <f aca="false">E4+$K4</f>
        <v>173.8000000001</v>
      </c>
      <c r="R4" s="1" t="n">
        <f aca="false">F4+$K4</f>
        <v>2.86101E-005</v>
      </c>
      <c r="S4" s="1" t="n">
        <f aca="false">G4+$K4</f>
        <v>172.6000000001</v>
      </c>
      <c r="T4" s="1" t="n">
        <f aca="false">H4+$K4</f>
        <v>2.55101E-005</v>
      </c>
      <c r="U4" s="1" t="n">
        <f aca="false">I4+$K4</f>
        <v>167.8000000001</v>
      </c>
    </row>
    <row r="5" customFormat="false" ht="14.9" hidden="false" customHeight="false" outlineLevel="0" collapsed="false">
      <c r="A5" s="6" t="n">
        <v>99</v>
      </c>
      <c r="B5" s="5" t="n">
        <v>3.929E-005</v>
      </c>
      <c r="C5" s="5" t="n">
        <v>181.2</v>
      </c>
      <c r="D5" s="5" t="n">
        <v>3.765E-005</v>
      </c>
      <c r="E5" s="5" t="n">
        <v>172.5</v>
      </c>
      <c r="F5" s="5" t="n">
        <v>3.717E-005</v>
      </c>
      <c r="G5" s="5" t="n">
        <v>171</v>
      </c>
      <c r="H5" s="5" t="n">
        <v>3.344E-005</v>
      </c>
      <c r="I5" s="1" t="n">
        <v>164.7</v>
      </c>
      <c r="K5" s="7" t="n">
        <v>2E-010</v>
      </c>
      <c r="M5" s="6" t="n">
        <v>99</v>
      </c>
      <c r="N5" s="1" t="n">
        <f aca="false">B5+$K5</f>
        <v>3.92902E-005</v>
      </c>
      <c r="O5" s="1" t="n">
        <f aca="false">C5+$K5</f>
        <v>181.2000000002</v>
      </c>
      <c r="P5" s="1" t="n">
        <f aca="false">D5+$K5</f>
        <v>3.76502E-005</v>
      </c>
      <c r="Q5" s="1" t="n">
        <f aca="false">E5+$K5</f>
        <v>172.5000000002</v>
      </c>
      <c r="R5" s="1" t="n">
        <f aca="false">F5+$K5</f>
        <v>3.71702E-005</v>
      </c>
      <c r="S5" s="1" t="n">
        <f aca="false">G5+$K5</f>
        <v>171.0000000002</v>
      </c>
      <c r="T5" s="1" t="n">
        <f aca="false">H5+$K5</f>
        <v>3.34402E-005</v>
      </c>
      <c r="U5" s="1" t="n">
        <f aca="false">I5+$K5</f>
        <v>164.7000000002</v>
      </c>
    </row>
    <row r="6" customFormat="false" ht="14.9" hidden="false" customHeight="false" outlineLevel="0" collapsed="false">
      <c r="A6" s="6" t="n">
        <v>98</v>
      </c>
      <c r="B6" s="5" t="n">
        <v>5.041E-005</v>
      </c>
      <c r="C6" s="5" t="n">
        <v>179.8</v>
      </c>
      <c r="D6" s="5" t="n">
        <v>4.89E-005</v>
      </c>
      <c r="E6" s="5" t="n">
        <v>171.5</v>
      </c>
      <c r="F6" s="5" t="n">
        <v>4.84E-005</v>
      </c>
      <c r="G6" s="5" t="n">
        <v>169.6</v>
      </c>
      <c r="H6" s="5" t="n">
        <v>4.404E-005</v>
      </c>
      <c r="I6" s="1" t="n">
        <v>162.2</v>
      </c>
      <c r="K6" s="7" t="n">
        <v>3E-010</v>
      </c>
      <c r="M6" s="6" t="n">
        <v>98</v>
      </c>
      <c r="N6" s="1" t="n">
        <f aca="false">B6+$K6</f>
        <v>5.04103E-005</v>
      </c>
      <c r="O6" s="1" t="n">
        <f aca="false">C6+$K6</f>
        <v>179.8000000003</v>
      </c>
      <c r="P6" s="1" t="n">
        <f aca="false">D6+$K6</f>
        <v>4.89003E-005</v>
      </c>
      <c r="Q6" s="1" t="n">
        <f aca="false">E6+$K6</f>
        <v>171.5000000003</v>
      </c>
      <c r="R6" s="1" t="n">
        <f aca="false">F6+$K6</f>
        <v>4.84003E-005</v>
      </c>
      <c r="S6" s="1" t="n">
        <f aca="false">G6+$K6</f>
        <v>169.6000000003</v>
      </c>
      <c r="T6" s="1" t="n">
        <f aca="false">H6+$K6</f>
        <v>4.40403E-005</v>
      </c>
      <c r="U6" s="1" t="n">
        <f aca="false">I6+$K6</f>
        <v>162.2000000003</v>
      </c>
    </row>
    <row r="7" customFormat="false" ht="14.9" hidden="false" customHeight="false" outlineLevel="0" collapsed="false">
      <c r="A7" s="6" t="n">
        <v>97</v>
      </c>
      <c r="B7" s="5" t="n">
        <v>6.48E-005</v>
      </c>
      <c r="C7" s="5" t="n">
        <v>178.3</v>
      </c>
      <c r="D7" s="5" t="n">
        <v>6.361E-005</v>
      </c>
      <c r="E7" s="5" t="n">
        <v>170.6</v>
      </c>
      <c r="F7" s="5" t="n">
        <v>6.317E-005</v>
      </c>
      <c r="G7" s="5" t="n">
        <v>168.3</v>
      </c>
      <c r="H7" s="5" t="n">
        <v>5.824E-005</v>
      </c>
      <c r="I7" s="1" t="n">
        <v>159.9</v>
      </c>
      <c r="K7" s="1" t="n">
        <v>4E-010</v>
      </c>
      <c r="M7" s="6" t="n">
        <v>97</v>
      </c>
      <c r="N7" s="1" t="n">
        <f aca="false">B7+$K7</f>
        <v>6.48004E-005</v>
      </c>
      <c r="O7" s="1" t="n">
        <f aca="false">C7+$K7</f>
        <v>178.3000000004</v>
      </c>
      <c r="P7" s="1" t="n">
        <f aca="false">D7+$K7</f>
        <v>6.36104E-005</v>
      </c>
      <c r="Q7" s="1" t="n">
        <f aca="false">E7+$K7</f>
        <v>170.6000000004</v>
      </c>
      <c r="R7" s="1" t="n">
        <f aca="false">F7+$K7</f>
        <v>6.31704E-005</v>
      </c>
      <c r="S7" s="1" t="n">
        <f aca="false">G7+$K7</f>
        <v>168.3000000004</v>
      </c>
      <c r="T7" s="1" t="n">
        <f aca="false">H7+$K7</f>
        <v>5.82404E-005</v>
      </c>
      <c r="U7" s="1" t="n">
        <f aca="false">I7+$K7</f>
        <v>159.9000000004</v>
      </c>
    </row>
    <row r="8" customFormat="false" ht="14.9" hidden="false" customHeight="false" outlineLevel="0" collapsed="false">
      <c r="A8" s="6" t="n">
        <v>96</v>
      </c>
      <c r="B8" s="5" t="n">
        <v>8.351E-005</v>
      </c>
      <c r="C8" s="5" t="n">
        <v>176.7</v>
      </c>
      <c r="D8" s="5" t="n">
        <v>8.287E-005</v>
      </c>
      <c r="E8" s="5" t="n">
        <v>169.7</v>
      </c>
      <c r="F8" s="5" t="n">
        <v>8.261E-005</v>
      </c>
      <c r="G8" s="5" t="n">
        <v>167.1</v>
      </c>
      <c r="H8" s="5" t="n">
        <v>7.732E-005</v>
      </c>
      <c r="I8" s="1" t="n">
        <v>157.9</v>
      </c>
      <c r="K8" s="7" t="n">
        <v>5E-010</v>
      </c>
      <c r="M8" s="6" t="n">
        <v>96</v>
      </c>
      <c r="N8" s="1" t="n">
        <f aca="false">B8+$K8</f>
        <v>8.35105E-005</v>
      </c>
      <c r="O8" s="1" t="n">
        <f aca="false">C8+$K8</f>
        <v>176.7000000005</v>
      </c>
      <c r="P8" s="1" t="n">
        <f aca="false">D8+$K8</f>
        <v>8.28705E-005</v>
      </c>
      <c r="Q8" s="1" t="n">
        <f aca="false">E8+$K8</f>
        <v>169.7000000005</v>
      </c>
      <c r="R8" s="1" t="n">
        <f aca="false">F8+$K8</f>
        <v>8.26105E-005</v>
      </c>
      <c r="S8" s="1" t="n">
        <f aca="false">G8+$K8</f>
        <v>167.1000000005</v>
      </c>
      <c r="T8" s="1" t="n">
        <f aca="false">H8+$K8</f>
        <v>7.73205E-005</v>
      </c>
      <c r="U8" s="1" t="n">
        <f aca="false">I8+$K8</f>
        <v>157.9000000005</v>
      </c>
    </row>
    <row r="9" customFormat="false" ht="14.9" hidden="false" customHeight="false" outlineLevel="0" collapsed="false">
      <c r="A9" s="6" t="n">
        <v>95</v>
      </c>
      <c r="B9" s="5" t="n">
        <v>0.0001079</v>
      </c>
      <c r="C9" s="5" t="n">
        <v>175.5</v>
      </c>
      <c r="D9" s="5" t="n">
        <v>0.0001081</v>
      </c>
      <c r="E9" s="5" t="n">
        <v>169.4</v>
      </c>
      <c r="F9" s="5" t="n">
        <v>0.0001082</v>
      </c>
      <c r="G9" s="5" t="n">
        <v>166.4</v>
      </c>
      <c r="H9" s="5" t="n">
        <v>0.000103</v>
      </c>
      <c r="I9" s="1" t="n">
        <v>156.6</v>
      </c>
      <c r="K9" s="7" t="n">
        <v>6E-010</v>
      </c>
      <c r="M9" s="6" t="n">
        <v>95</v>
      </c>
      <c r="N9" s="1" t="n">
        <f aca="false">B9+$K9</f>
        <v>0.0001079006</v>
      </c>
      <c r="O9" s="1" t="n">
        <f aca="false">C9+$K9</f>
        <v>175.5000000006</v>
      </c>
      <c r="P9" s="1" t="n">
        <f aca="false">D9+$K9</f>
        <v>0.0001081006</v>
      </c>
      <c r="Q9" s="1" t="n">
        <f aca="false">E9+$K9</f>
        <v>169.4000000006</v>
      </c>
      <c r="R9" s="1" t="n">
        <f aca="false">F9+$K9</f>
        <v>0.0001082006</v>
      </c>
      <c r="S9" s="1" t="n">
        <f aca="false">G9+$K9</f>
        <v>166.4000000006</v>
      </c>
      <c r="T9" s="1" t="n">
        <f aca="false">H9+$K9</f>
        <v>0.0001030006</v>
      </c>
      <c r="U9" s="1" t="n">
        <f aca="false">I9+$K9</f>
        <v>156.6000000006</v>
      </c>
    </row>
    <row r="10" customFormat="false" ht="14.9" hidden="false" customHeight="false" outlineLevel="0" collapsed="false">
      <c r="A10" s="6" t="n">
        <v>94</v>
      </c>
      <c r="B10" s="5" t="n">
        <v>0.0001394</v>
      </c>
      <c r="C10" s="5" t="n">
        <v>175.4</v>
      </c>
      <c r="D10" s="5" t="n">
        <v>0.0001408</v>
      </c>
      <c r="E10" s="5" t="n">
        <v>170.4</v>
      </c>
      <c r="F10" s="5" t="n">
        <v>0.0001417</v>
      </c>
      <c r="G10" s="5" t="n">
        <v>167.1</v>
      </c>
      <c r="H10" s="5" t="n">
        <v>0.0001371</v>
      </c>
      <c r="I10" s="1" t="n">
        <v>158.2</v>
      </c>
      <c r="K10" s="1" t="n">
        <v>7E-010</v>
      </c>
      <c r="M10" s="6" t="n">
        <v>94</v>
      </c>
      <c r="N10" s="1" t="n">
        <f aca="false">B10+$K10</f>
        <v>0.0001394007</v>
      </c>
      <c r="O10" s="1" t="n">
        <f aca="false">C10+$K10</f>
        <v>175.4000000007</v>
      </c>
      <c r="P10" s="1" t="n">
        <f aca="false">D10+$K10</f>
        <v>0.0001408007</v>
      </c>
      <c r="Q10" s="1" t="n">
        <f aca="false">E10+$K10</f>
        <v>170.4000000007</v>
      </c>
      <c r="R10" s="1" t="n">
        <f aca="false">F10+$K10</f>
        <v>0.0001417007</v>
      </c>
      <c r="S10" s="1" t="n">
        <f aca="false">G10+$K10</f>
        <v>167.1000000007</v>
      </c>
      <c r="T10" s="1" t="n">
        <f aca="false">H10+$K10</f>
        <v>0.0001371007</v>
      </c>
      <c r="U10" s="1" t="n">
        <f aca="false">I10+$K10</f>
        <v>158.2000000007</v>
      </c>
    </row>
    <row r="11" customFormat="false" ht="14.9" hidden="false" customHeight="false" outlineLevel="0" collapsed="false">
      <c r="A11" s="6" t="n">
        <v>93</v>
      </c>
      <c r="B11" s="5" t="n">
        <v>0.0001802</v>
      </c>
      <c r="C11" s="5" t="n">
        <v>175.4</v>
      </c>
      <c r="D11" s="5" t="n">
        <v>0.0001833</v>
      </c>
      <c r="E11" s="5" t="n">
        <v>171.3</v>
      </c>
      <c r="F11" s="5" t="n">
        <v>0.0001854</v>
      </c>
      <c r="G11" s="5" t="n">
        <v>167.9</v>
      </c>
      <c r="H11" s="5" t="n">
        <v>0.0001818</v>
      </c>
      <c r="I11" s="1" t="n">
        <v>160.1</v>
      </c>
      <c r="K11" s="7" t="n">
        <v>8E-010</v>
      </c>
      <c r="M11" s="6" t="n">
        <v>93</v>
      </c>
      <c r="N11" s="1" t="n">
        <f aca="false">B11+$K11</f>
        <v>0.0001802008</v>
      </c>
      <c r="O11" s="1" t="n">
        <f aca="false">C11+$K11</f>
        <v>175.4000000008</v>
      </c>
      <c r="P11" s="1" t="n">
        <f aca="false">D11+$K11</f>
        <v>0.0001833008</v>
      </c>
      <c r="Q11" s="1" t="n">
        <f aca="false">E11+$K11</f>
        <v>171.3000000008</v>
      </c>
      <c r="R11" s="1" t="n">
        <f aca="false">F11+$K11</f>
        <v>0.0001854008</v>
      </c>
      <c r="S11" s="1" t="n">
        <f aca="false">G11+$K11</f>
        <v>167.9000000008</v>
      </c>
      <c r="T11" s="1" t="n">
        <f aca="false">H11+$K11</f>
        <v>0.0001818008</v>
      </c>
      <c r="U11" s="1" t="n">
        <f aca="false">I11+$K11</f>
        <v>160.1000000008</v>
      </c>
    </row>
    <row r="12" customFormat="false" ht="14.9" hidden="false" customHeight="false" outlineLevel="0" collapsed="false">
      <c r="A12" s="6" t="n">
        <v>92</v>
      </c>
      <c r="B12" s="5" t="n">
        <v>0.0002329</v>
      </c>
      <c r="C12" s="5" t="n">
        <v>175.5</v>
      </c>
      <c r="D12" s="5" t="n">
        <v>0.0002382</v>
      </c>
      <c r="E12" s="5" t="n">
        <v>172.2</v>
      </c>
      <c r="F12" s="5" t="n">
        <v>0.0002423</v>
      </c>
      <c r="G12" s="5" t="n">
        <v>168.7</v>
      </c>
      <c r="H12" s="5" t="n">
        <v>0.0002404</v>
      </c>
      <c r="I12" s="1" t="n">
        <v>162.1</v>
      </c>
      <c r="K12" s="7" t="n">
        <v>9E-010</v>
      </c>
      <c r="M12" s="6" t="n">
        <v>92</v>
      </c>
      <c r="N12" s="1" t="n">
        <f aca="false">B12+$K12</f>
        <v>0.0002329009</v>
      </c>
      <c r="O12" s="1" t="n">
        <f aca="false">C12+$K12</f>
        <v>175.5000000009</v>
      </c>
      <c r="P12" s="1" t="n">
        <f aca="false">D12+$K12</f>
        <v>0.0002382009</v>
      </c>
      <c r="Q12" s="1" t="n">
        <f aca="false">E12+$K12</f>
        <v>172.2000000009</v>
      </c>
      <c r="R12" s="1" t="n">
        <f aca="false">F12+$K12</f>
        <v>0.0002423009</v>
      </c>
      <c r="S12" s="1" t="n">
        <f aca="false">G12+$K12</f>
        <v>168.7000000009</v>
      </c>
      <c r="T12" s="1" t="n">
        <f aca="false">H12+$K12</f>
        <v>0.0002404009</v>
      </c>
      <c r="U12" s="1" t="n">
        <f aca="false">I12+$K12</f>
        <v>162.1000000009</v>
      </c>
    </row>
    <row r="13" customFormat="false" ht="14.9" hidden="false" customHeight="false" outlineLevel="0" collapsed="false">
      <c r="A13" s="6" t="n">
        <v>91</v>
      </c>
      <c r="B13" s="5" t="n">
        <v>0.0003011</v>
      </c>
      <c r="C13" s="5" t="n">
        <v>175.3</v>
      </c>
      <c r="D13" s="5" t="n">
        <v>0.0003091</v>
      </c>
      <c r="E13" s="5" t="n">
        <v>173.2</v>
      </c>
      <c r="F13" s="5" t="n">
        <v>0.0003162</v>
      </c>
      <c r="G13" s="5" t="n">
        <v>169.5</v>
      </c>
      <c r="H13" s="5" t="n">
        <v>0.0003165</v>
      </c>
      <c r="I13" s="1" t="n">
        <v>164.8</v>
      </c>
      <c r="K13" s="1" t="n">
        <v>1E-009</v>
      </c>
      <c r="M13" s="6" t="n">
        <v>91</v>
      </c>
      <c r="N13" s="1" t="n">
        <f aca="false">B13+$K13</f>
        <v>0.000301101</v>
      </c>
      <c r="O13" s="1" t="n">
        <f aca="false">C13+$K13</f>
        <v>175.300000001</v>
      </c>
      <c r="P13" s="1" t="n">
        <f aca="false">D13+$K13</f>
        <v>0.000309101</v>
      </c>
      <c r="Q13" s="1" t="n">
        <f aca="false">E13+$K13</f>
        <v>173.200000001</v>
      </c>
      <c r="R13" s="1" t="n">
        <f aca="false">F13+$K13</f>
        <v>0.000316201</v>
      </c>
      <c r="S13" s="1" t="n">
        <f aca="false">G13+$K13</f>
        <v>169.500000001</v>
      </c>
      <c r="T13" s="1" t="n">
        <f aca="false">H13+$K13</f>
        <v>0.000316501</v>
      </c>
      <c r="U13" s="1" t="n">
        <f aca="false">I13+$K13</f>
        <v>164.800000001</v>
      </c>
    </row>
    <row r="14" customFormat="false" ht="14.9" hidden="false" customHeight="false" outlineLevel="0" collapsed="false">
      <c r="A14" s="6" t="n">
        <v>90</v>
      </c>
      <c r="B14" s="5" t="n">
        <v>0.0003894</v>
      </c>
      <c r="C14" s="5" t="n">
        <v>175.1</v>
      </c>
      <c r="D14" s="5" t="n">
        <v>0.0004005</v>
      </c>
      <c r="E14" s="5" t="n">
        <v>174.3</v>
      </c>
      <c r="F14" s="5" t="n">
        <v>0.0004121</v>
      </c>
      <c r="G14" s="5" t="n">
        <v>170.7</v>
      </c>
      <c r="H14" s="5" t="n">
        <v>0.0004148</v>
      </c>
      <c r="I14" s="1" t="n">
        <v>168.3</v>
      </c>
      <c r="K14" s="7" t="n">
        <v>1.1E-009</v>
      </c>
      <c r="M14" s="6" t="n">
        <v>90</v>
      </c>
      <c r="N14" s="1" t="n">
        <f aca="false">B14+$K14</f>
        <v>0.0003894011</v>
      </c>
      <c r="O14" s="1" t="n">
        <f aca="false">C14+$K14</f>
        <v>175.1000000011</v>
      </c>
      <c r="P14" s="1" t="n">
        <f aca="false">D14+$K14</f>
        <v>0.0004005011</v>
      </c>
      <c r="Q14" s="1" t="n">
        <f aca="false">E14+$K14</f>
        <v>174.3000000011</v>
      </c>
      <c r="R14" s="1" t="n">
        <f aca="false">F14+$K14</f>
        <v>0.0004121011</v>
      </c>
      <c r="S14" s="1" t="n">
        <f aca="false">G14+$K14</f>
        <v>170.7000000011</v>
      </c>
      <c r="T14" s="1" t="n">
        <f aca="false">H14+$K14</f>
        <v>0.0004148011</v>
      </c>
      <c r="U14" s="1" t="n">
        <f aca="false">I14+$K14</f>
        <v>168.3000000011</v>
      </c>
    </row>
    <row r="15" customFormat="false" ht="14.9" hidden="false" customHeight="false" outlineLevel="0" collapsed="false">
      <c r="A15" s="6" t="n">
        <v>89</v>
      </c>
      <c r="B15" s="5" t="n">
        <v>0.0005038</v>
      </c>
      <c r="C15" s="5" t="n">
        <v>175</v>
      </c>
      <c r="D15" s="5" t="n">
        <v>0.0005181</v>
      </c>
      <c r="E15" s="5" t="n">
        <v>175.8</v>
      </c>
      <c r="F15" s="5" t="n">
        <v>0.000536</v>
      </c>
      <c r="G15" s="5" t="n">
        <v>172.1</v>
      </c>
      <c r="H15" s="5" t="n">
        <v>0.00054</v>
      </c>
      <c r="I15" s="1" t="n">
        <v>172.7</v>
      </c>
      <c r="K15" s="7" t="n">
        <v>1.2E-009</v>
      </c>
      <c r="M15" s="6" t="n">
        <v>89</v>
      </c>
      <c r="N15" s="1" t="n">
        <f aca="false">B15+$K15</f>
        <v>0.0005038012</v>
      </c>
      <c r="O15" s="1" t="n">
        <f aca="false">C15+$K15</f>
        <v>175.0000000012</v>
      </c>
      <c r="P15" s="1" t="n">
        <f aca="false">D15+$K15</f>
        <v>0.0005181012</v>
      </c>
      <c r="Q15" s="1" t="n">
        <f aca="false">E15+$K15</f>
        <v>175.8000000012</v>
      </c>
      <c r="R15" s="1" t="n">
        <f aca="false">F15+$K15</f>
        <v>0.0005360012</v>
      </c>
      <c r="S15" s="1" t="n">
        <f aca="false">G15+$K15</f>
        <v>172.1000000012</v>
      </c>
      <c r="T15" s="1" t="n">
        <f aca="false">H15+$K15</f>
        <v>0.0005400012</v>
      </c>
      <c r="U15" s="1" t="n">
        <f aca="false">I15+$K15</f>
        <v>172.7000000012</v>
      </c>
    </row>
    <row r="16" customFormat="false" ht="14.9" hidden="false" customHeight="false" outlineLevel="0" collapsed="false">
      <c r="A16" s="6" t="n">
        <v>88</v>
      </c>
      <c r="B16" s="5" t="n">
        <v>0.0006521</v>
      </c>
      <c r="C16" s="5" t="n">
        <v>174.6</v>
      </c>
      <c r="D16" s="5" t="n">
        <v>0.0006686</v>
      </c>
      <c r="E16" s="5" t="n">
        <v>177.5</v>
      </c>
      <c r="F16" s="5" t="n">
        <v>0.0006955</v>
      </c>
      <c r="G16" s="5" t="n">
        <v>173.8</v>
      </c>
      <c r="H16" s="5" t="n">
        <v>0.000698</v>
      </c>
      <c r="I16" s="1" t="n">
        <v>177.9</v>
      </c>
      <c r="K16" s="1" t="n">
        <v>1.3E-009</v>
      </c>
      <c r="M16" s="6" t="n">
        <v>88</v>
      </c>
      <c r="N16" s="1" t="n">
        <f aca="false">B16+$K16</f>
        <v>0.0006521013</v>
      </c>
      <c r="O16" s="1" t="n">
        <f aca="false">C16+$K16</f>
        <v>174.6000000013</v>
      </c>
      <c r="P16" s="1" t="n">
        <f aca="false">D16+$K16</f>
        <v>0.0006686013</v>
      </c>
      <c r="Q16" s="1" t="n">
        <f aca="false">E16+$K16</f>
        <v>177.5000000013</v>
      </c>
      <c r="R16" s="1" t="n">
        <f aca="false">F16+$K16</f>
        <v>0.0006955013</v>
      </c>
      <c r="S16" s="1" t="n">
        <f aca="false">G16+$K16</f>
        <v>173.8000000013</v>
      </c>
      <c r="T16" s="1" t="n">
        <f aca="false">H16+$K16</f>
        <v>0.0006980013</v>
      </c>
      <c r="U16" s="1" t="n">
        <f aca="false">I16+$K16</f>
        <v>177.9000000013</v>
      </c>
    </row>
    <row r="17" customFormat="false" ht="14.9" hidden="false" customHeight="false" outlineLevel="0" collapsed="false">
      <c r="A17" s="6" t="n">
        <v>87</v>
      </c>
      <c r="B17" s="5" t="n">
        <v>0.0008439</v>
      </c>
      <c r="C17" s="5" t="n">
        <v>175.1</v>
      </c>
      <c r="D17" s="5" t="n">
        <v>0.0008603</v>
      </c>
      <c r="E17" s="5" t="n">
        <v>180</v>
      </c>
      <c r="F17" s="5" t="n">
        <v>0.0008997</v>
      </c>
      <c r="G17" s="5" t="n">
        <v>176.3</v>
      </c>
      <c r="H17" s="5" t="n">
        <v>0.0008951</v>
      </c>
      <c r="I17" s="1" t="n">
        <v>183.8</v>
      </c>
      <c r="K17" s="7" t="n">
        <v>1.4E-009</v>
      </c>
      <c r="M17" s="6" t="n">
        <v>87</v>
      </c>
      <c r="N17" s="1" t="n">
        <f aca="false">B17+$K17</f>
        <v>0.0008439014</v>
      </c>
      <c r="O17" s="1" t="n">
        <f aca="false">C17+$K17</f>
        <v>175.1000000014</v>
      </c>
      <c r="P17" s="1" t="n">
        <f aca="false">D17+$K17</f>
        <v>0.0008603014</v>
      </c>
      <c r="Q17" s="1" t="n">
        <f aca="false">E17+$K17</f>
        <v>180.0000000014</v>
      </c>
      <c r="R17" s="1" t="n">
        <f aca="false">F17+$K17</f>
        <v>0.0008997014</v>
      </c>
      <c r="S17" s="1" t="n">
        <f aca="false">G17+$K17</f>
        <v>176.3000000014</v>
      </c>
      <c r="T17" s="1" t="n">
        <f aca="false">H17+$K17</f>
        <v>0.0008951014</v>
      </c>
      <c r="U17" s="1" t="n">
        <f aca="false">I17+$K17</f>
        <v>183.8000000014</v>
      </c>
    </row>
    <row r="18" customFormat="false" ht="14.9" hidden="false" customHeight="false" outlineLevel="0" collapsed="false">
      <c r="A18" s="6" t="n">
        <v>86</v>
      </c>
      <c r="B18" s="5" t="n">
        <v>0.001091</v>
      </c>
      <c r="C18" s="5" t="n">
        <v>176.1</v>
      </c>
      <c r="D18" s="5" t="n">
        <v>0.001103</v>
      </c>
      <c r="E18" s="5" t="n">
        <v>182.8</v>
      </c>
      <c r="F18" s="5" t="n">
        <v>0.001159</v>
      </c>
      <c r="G18" s="5" t="n">
        <v>179.3</v>
      </c>
      <c r="H18" s="5" t="n">
        <v>0.001139</v>
      </c>
      <c r="I18" s="1" t="n">
        <v>189.4</v>
      </c>
      <c r="K18" s="7" t="n">
        <v>1.5E-009</v>
      </c>
      <c r="M18" s="6" t="n">
        <v>86</v>
      </c>
      <c r="N18" s="1" t="n">
        <f aca="false">B18+$K18</f>
        <v>0.0010910015</v>
      </c>
      <c r="O18" s="1" t="n">
        <f aca="false">C18+$K18</f>
        <v>176.1000000015</v>
      </c>
      <c r="P18" s="1" t="n">
        <f aca="false">D18+$K18</f>
        <v>0.0011030015</v>
      </c>
      <c r="Q18" s="1" t="n">
        <f aca="false">E18+$K18</f>
        <v>182.8000000015</v>
      </c>
      <c r="R18" s="1" t="n">
        <f aca="false">F18+$K18</f>
        <v>0.0011590015</v>
      </c>
      <c r="S18" s="1" t="n">
        <f aca="false">G18+$K18</f>
        <v>179.3000000015</v>
      </c>
      <c r="T18" s="1" t="n">
        <f aca="false">H18+$K18</f>
        <v>0.0011390015</v>
      </c>
      <c r="U18" s="1" t="n">
        <f aca="false">I18+$K18</f>
        <v>189.4000000015</v>
      </c>
    </row>
    <row r="19" customFormat="false" ht="14.9" hidden="false" customHeight="false" outlineLevel="0" collapsed="false">
      <c r="A19" s="6" t="n">
        <v>85</v>
      </c>
      <c r="B19" s="5" t="n">
        <v>0.001408</v>
      </c>
      <c r="C19" s="5" t="n">
        <v>177.8</v>
      </c>
      <c r="D19" s="5" t="n">
        <v>0.001408</v>
      </c>
      <c r="E19" s="5" t="n">
        <v>186.1</v>
      </c>
      <c r="F19" s="5" t="n">
        <v>0.001487</v>
      </c>
      <c r="G19" s="5" t="n">
        <v>182.5</v>
      </c>
      <c r="H19" s="5" t="n">
        <v>0.00144</v>
      </c>
      <c r="I19" s="1" t="n">
        <v>194.6</v>
      </c>
      <c r="K19" s="1" t="n">
        <v>1.6E-009</v>
      </c>
      <c r="M19" s="6" t="n">
        <v>85</v>
      </c>
      <c r="N19" s="1" t="n">
        <f aca="false">B19+$K19</f>
        <v>0.0014080016</v>
      </c>
      <c r="O19" s="1" t="n">
        <f aca="false">C19+$K19</f>
        <v>177.8000000016</v>
      </c>
      <c r="P19" s="1" t="n">
        <f aca="false">D19+$K19</f>
        <v>0.0014080016</v>
      </c>
      <c r="Q19" s="1" t="n">
        <f aca="false">E19+$K19</f>
        <v>186.1000000016</v>
      </c>
      <c r="R19" s="1" t="n">
        <f aca="false">F19+$K19</f>
        <v>0.0014870016</v>
      </c>
      <c r="S19" s="1" t="n">
        <f aca="false">G19+$K19</f>
        <v>182.5000000016</v>
      </c>
      <c r="T19" s="1" t="n">
        <f aca="false">H19+$K19</f>
        <v>0.0014400016</v>
      </c>
      <c r="U19" s="1" t="n">
        <f aca="false">I19+$K19</f>
        <v>194.6000000016</v>
      </c>
    </row>
    <row r="20" customFormat="false" ht="14.9" hidden="false" customHeight="false" outlineLevel="0" collapsed="false">
      <c r="A20" s="6" t="n">
        <v>84</v>
      </c>
      <c r="B20" s="5" t="n">
        <v>0.001811</v>
      </c>
      <c r="C20" s="5" t="n">
        <v>180.8</v>
      </c>
      <c r="D20" s="5" t="n">
        <v>0.00179</v>
      </c>
      <c r="E20" s="5" t="n">
        <v>189.9</v>
      </c>
      <c r="F20" s="5" t="n">
        <v>0.001898</v>
      </c>
      <c r="G20" s="5" t="n">
        <v>186.9</v>
      </c>
      <c r="H20" s="5" t="n">
        <v>0.00181</v>
      </c>
      <c r="I20" s="1" t="n">
        <v>199.2</v>
      </c>
      <c r="K20" s="7" t="n">
        <v>1.7E-009</v>
      </c>
      <c r="M20" s="6" t="n">
        <v>84</v>
      </c>
      <c r="N20" s="1" t="n">
        <f aca="false">B20+$K20</f>
        <v>0.0018110017</v>
      </c>
      <c r="O20" s="1" t="n">
        <f aca="false">C20+$K20</f>
        <v>180.8000000017</v>
      </c>
      <c r="P20" s="1" t="n">
        <f aca="false">D20+$K20</f>
        <v>0.0017900017</v>
      </c>
      <c r="Q20" s="1" t="n">
        <f aca="false">E20+$K20</f>
        <v>189.9000000017</v>
      </c>
      <c r="R20" s="1" t="n">
        <f aca="false">F20+$K20</f>
        <v>0.0018980017</v>
      </c>
      <c r="S20" s="1" t="n">
        <f aca="false">G20+$K20</f>
        <v>186.9000000017</v>
      </c>
      <c r="T20" s="1" t="n">
        <f aca="false">H20+$K20</f>
        <v>0.0018100017</v>
      </c>
      <c r="U20" s="1" t="n">
        <f aca="false">I20+$K20</f>
        <v>199.2000000017</v>
      </c>
    </row>
    <row r="21" customFormat="false" ht="14.9" hidden="false" customHeight="false" outlineLevel="0" collapsed="false">
      <c r="A21" s="6" t="n">
        <v>83</v>
      </c>
      <c r="B21" s="5" t="n">
        <v>0.002316</v>
      </c>
      <c r="C21" s="5" t="n">
        <v>185.7</v>
      </c>
      <c r="D21" s="5" t="n">
        <v>0.002262</v>
      </c>
      <c r="E21" s="5" t="n">
        <v>194.7</v>
      </c>
      <c r="F21" s="5" t="n">
        <v>0.002408</v>
      </c>
      <c r="G21" s="5" t="n">
        <v>192.1</v>
      </c>
      <c r="H21" s="5" t="n">
        <v>0.002263</v>
      </c>
      <c r="I21" s="1" t="n">
        <v>203.8</v>
      </c>
      <c r="K21" s="7" t="n">
        <v>1.8E-009</v>
      </c>
      <c r="M21" s="6" t="n">
        <v>83</v>
      </c>
      <c r="N21" s="1" t="n">
        <f aca="false">B21+$K21</f>
        <v>0.0023160018</v>
      </c>
      <c r="O21" s="1" t="n">
        <f aca="false">C21+$K21</f>
        <v>185.7000000018</v>
      </c>
      <c r="P21" s="1" t="n">
        <f aca="false">D21+$K21</f>
        <v>0.0022620018</v>
      </c>
      <c r="Q21" s="1" t="n">
        <f aca="false">E21+$K21</f>
        <v>194.7000000018</v>
      </c>
      <c r="R21" s="1" t="n">
        <f aca="false">F21+$K21</f>
        <v>0.0024080018</v>
      </c>
      <c r="S21" s="1" t="n">
        <f aca="false">G21+$K21</f>
        <v>192.1000000018</v>
      </c>
      <c r="T21" s="1" t="n">
        <f aca="false">H21+$K21</f>
        <v>0.0022630018</v>
      </c>
      <c r="U21" s="1" t="n">
        <f aca="false">I21+$K21</f>
        <v>203.8000000018</v>
      </c>
    </row>
    <row r="22" customFormat="false" ht="14.9" hidden="false" customHeight="false" outlineLevel="0" collapsed="false">
      <c r="A22" s="6" t="n">
        <v>82</v>
      </c>
      <c r="B22" s="5" t="n">
        <v>0.002942</v>
      </c>
      <c r="C22" s="5" t="n">
        <v>191.1</v>
      </c>
      <c r="D22" s="5" t="n">
        <v>0.002844</v>
      </c>
      <c r="E22" s="5" t="n">
        <v>199</v>
      </c>
      <c r="F22" s="5" t="n">
        <v>0.003035</v>
      </c>
      <c r="G22" s="5" t="n">
        <v>197.1</v>
      </c>
      <c r="H22" s="5" t="n">
        <v>0.002819</v>
      </c>
      <c r="I22" s="1" t="n">
        <v>206.9</v>
      </c>
      <c r="K22" s="1" t="n">
        <v>1.9E-009</v>
      </c>
      <c r="M22" s="6" t="n">
        <v>82</v>
      </c>
      <c r="N22" s="1" t="n">
        <f aca="false">B22+$K22</f>
        <v>0.0029420019</v>
      </c>
      <c r="O22" s="1" t="n">
        <f aca="false">C22+$K22</f>
        <v>191.1000000019</v>
      </c>
      <c r="P22" s="1" t="n">
        <f aca="false">D22+$K22</f>
        <v>0.0028440019</v>
      </c>
      <c r="Q22" s="1" t="n">
        <f aca="false">E22+$K22</f>
        <v>199.0000000019</v>
      </c>
      <c r="R22" s="1" t="n">
        <f aca="false">F22+$K22</f>
        <v>0.0030350019</v>
      </c>
      <c r="S22" s="1" t="n">
        <f aca="false">G22+$K22</f>
        <v>197.1000000019</v>
      </c>
      <c r="T22" s="1" t="n">
        <f aca="false">H22+$K22</f>
        <v>0.0028190019</v>
      </c>
      <c r="U22" s="1" t="n">
        <f aca="false">I22+$K22</f>
        <v>206.9000000019</v>
      </c>
    </row>
    <row r="23" customFormat="false" ht="14.9" hidden="false" customHeight="false" outlineLevel="0" collapsed="false">
      <c r="A23" s="6" t="n">
        <v>81</v>
      </c>
      <c r="B23" s="5" t="n">
        <v>0.003712</v>
      </c>
      <c r="C23" s="5" t="n">
        <v>196.5</v>
      </c>
      <c r="D23" s="5" t="n">
        <v>0.00356</v>
      </c>
      <c r="E23" s="5" t="n">
        <v>203</v>
      </c>
      <c r="F23" s="5" t="n">
        <v>0.003805</v>
      </c>
      <c r="G23" s="5" t="n">
        <v>201.8</v>
      </c>
      <c r="H23" s="5" t="n">
        <v>0.003501</v>
      </c>
      <c r="I23" s="1" t="n">
        <v>209.4</v>
      </c>
      <c r="K23" s="7" t="n">
        <v>2E-009</v>
      </c>
      <c r="M23" s="6" t="n">
        <v>81</v>
      </c>
      <c r="N23" s="1" t="n">
        <f aca="false">B23+$K23</f>
        <v>0.003712002</v>
      </c>
      <c r="O23" s="1" t="n">
        <f aca="false">C23+$K23</f>
        <v>196.500000002</v>
      </c>
      <c r="P23" s="1" t="n">
        <f aca="false">D23+$K23</f>
        <v>0.003560002</v>
      </c>
      <c r="Q23" s="1" t="n">
        <f aca="false">E23+$K23</f>
        <v>203.000000002</v>
      </c>
      <c r="R23" s="1" t="n">
        <f aca="false">F23+$K23</f>
        <v>0.003805002</v>
      </c>
      <c r="S23" s="1" t="n">
        <f aca="false">G23+$K23</f>
        <v>201.800000002</v>
      </c>
      <c r="T23" s="1" t="n">
        <f aca="false">H23+$K23</f>
        <v>0.003501002</v>
      </c>
      <c r="U23" s="1" t="n">
        <f aca="false">I23+$K23</f>
        <v>209.400000002</v>
      </c>
    </row>
    <row r="24" customFormat="false" ht="14.9" hidden="false" customHeight="false" outlineLevel="0" collapsed="false">
      <c r="A24" s="6" t="n">
        <v>80</v>
      </c>
      <c r="B24" s="5" t="n">
        <v>0.004655</v>
      </c>
      <c r="C24" s="5" t="n">
        <v>201.5</v>
      </c>
      <c r="D24" s="5" t="n">
        <v>0.004437</v>
      </c>
      <c r="E24" s="5" t="n">
        <v>206.4</v>
      </c>
      <c r="F24" s="5" t="n">
        <v>0.004746</v>
      </c>
      <c r="G24" s="5" t="n">
        <v>206.1</v>
      </c>
      <c r="H24" s="5" t="n">
        <v>0.004339</v>
      </c>
      <c r="I24" s="1" t="n">
        <v>211.4</v>
      </c>
      <c r="K24" s="7" t="n">
        <v>2.1E-009</v>
      </c>
      <c r="M24" s="6" t="n">
        <v>80</v>
      </c>
      <c r="N24" s="1" t="n">
        <f aca="false">B24+$K24</f>
        <v>0.0046550021</v>
      </c>
      <c r="O24" s="1" t="n">
        <f aca="false">C24+$K24</f>
        <v>201.5000000021</v>
      </c>
      <c r="P24" s="1" t="n">
        <f aca="false">D24+$K24</f>
        <v>0.0044370021</v>
      </c>
      <c r="Q24" s="1" t="n">
        <f aca="false">E24+$K24</f>
        <v>206.4000000021</v>
      </c>
      <c r="R24" s="1" t="n">
        <f aca="false">F24+$K24</f>
        <v>0.0047460021</v>
      </c>
      <c r="S24" s="1" t="n">
        <f aca="false">G24+$K24</f>
        <v>206.1000000021</v>
      </c>
      <c r="T24" s="1" t="n">
        <f aca="false">H24+$K24</f>
        <v>0.0043390021</v>
      </c>
      <c r="U24" s="1" t="n">
        <f aca="false">I24+$K24</f>
        <v>211.4000000021</v>
      </c>
    </row>
    <row r="25" customFormat="false" ht="14.9" hidden="false" customHeight="false" outlineLevel="0" collapsed="false">
      <c r="A25" s="6" t="n">
        <v>79</v>
      </c>
      <c r="B25" s="5" t="n">
        <v>0.005809</v>
      </c>
      <c r="C25" s="5" t="n">
        <v>206.1</v>
      </c>
      <c r="D25" s="5" t="n">
        <v>0.005514</v>
      </c>
      <c r="E25" s="5" t="n">
        <v>209.1</v>
      </c>
      <c r="F25" s="5" t="n">
        <v>0.005895</v>
      </c>
      <c r="G25" s="5" t="n">
        <v>210</v>
      </c>
      <c r="H25" s="5" t="n">
        <v>0.005369</v>
      </c>
      <c r="I25" s="1" t="n">
        <v>212.9</v>
      </c>
      <c r="K25" s="1" t="n">
        <v>2.2E-009</v>
      </c>
      <c r="M25" s="6" t="n">
        <v>79</v>
      </c>
      <c r="N25" s="1" t="n">
        <f aca="false">B25+$K25</f>
        <v>0.0058090022</v>
      </c>
      <c r="O25" s="1" t="n">
        <f aca="false">C25+$K25</f>
        <v>206.1000000022</v>
      </c>
      <c r="P25" s="1" t="n">
        <f aca="false">D25+$K25</f>
        <v>0.0055140022</v>
      </c>
      <c r="Q25" s="1" t="n">
        <f aca="false">E25+$K25</f>
        <v>209.1000000022</v>
      </c>
      <c r="R25" s="1" t="n">
        <f aca="false">F25+$K25</f>
        <v>0.0058950022</v>
      </c>
      <c r="S25" s="1" t="n">
        <f aca="false">G25+$K25</f>
        <v>210.0000000022</v>
      </c>
      <c r="T25" s="1" t="n">
        <f aca="false">H25+$K25</f>
        <v>0.0053690022</v>
      </c>
      <c r="U25" s="1" t="n">
        <f aca="false">I25+$K25</f>
        <v>212.9000000022</v>
      </c>
    </row>
    <row r="26" customFormat="false" ht="14.9" hidden="false" customHeight="false" outlineLevel="0" collapsed="false">
      <c r="A26" s="6" t="n">
        <v>78</v>
      </c>
      <c r="B26" s="5" t="n">
        <v>0.007214</v>
      </c>
      <c r="C26" s="5" t="n">
        <v>210.3</v>
      </c>
      <c r="D26" s="5" t="n">
        <v>0.006835</v>
      </c>
      <c r="E26" s="5" t="n">
        <v>211.5</v>
      </c>
      <c r="F26" s="5" t="n">
        <v>0.007297</v>
      </c>
      <c r="G26" s="5" t="n">
        <v>213.4</v>
      </c>
      <c r="H26" s="5" t="n">
        <v>0.006635</v>
      </c>
      <c r="I26" s="1" t="n">
        <v>214.3</v>
      </c>
      <c r="K26" s="7" t="n">
        <v>2.3E-009</v>
      </c>
      <c r="M26" s="6" t="n">
        <v>78</v>
      </c>
      <c r="N26" s="1" t="n">
        <f aca="false">B26+$K26</f>
        <v>0.0072140023</v>
      </c>
      <c r="O26" s="1" t="n">
        <f aca="false">C26+$K26</f>
        <v>210.3000000023</v>
      </c>
      <c r="P26" s="1" t="n">
        <f aca="false">D26+$K26</f>
        <v>0.0068350023</v>
      </c>
      <c r="Q26" s="1" t="n">
        <f aca="false">E26+$K26</f>
        <v>211.5000000023</v>
      </c>
      <c r="R26" s="1" t="n">
        <f aca="false">F26+$K26</f>
        <v>0.0072970023</v>
      </c>
      <c r="S26" s="1" t="n">
        <f aca="false">G26+$K26</f>
        <v>213.4000000023</v>
      </c>
      <c r="T26" s="1" t="n">
        <f aca="false">H26+$K26</f>
        <v>0.0066350023</v>
      </c>
      <c r="U26" s="1" t="n">
        <f aca="false">I26+$K26</f>
        <v>214.3000000023</v>
      </c>
    </row>
    <row r="27" customFormat="false" ht="14.9" hidden="false" customHeight="false" outlineLevel="0" collapsed="false">
      <c r="A27" s="6" t="n">
        <v>77</v>
      </c>
      <c r="B27" s="5" t="n">
        <v>0.008927</v>
      </c>
      <c r="C27" s="5" t="n">
        <v>213.7</v>
      </c>
      <c r="D27" s="5" t="n">
        <v>0.008456</v>
      </c>
      <c r="E27" s="5" t="n">
        <v>213.3</v>
      </c>
      <c r="F27" s="5" t="n">
        <v>0.009005</v>
      </c>
      <c r="G27" s="5" t="n">
        <v>216</v>
      </c>
      <c r="H27" s="5" t="n">
        <v>0.008189</v>
      </c>
      <c r="I27" s="1" t="n">
        <v>215.5</v>
      </c>
      <c r="K27" s="7" t="n">
        <v>2.4E-009</v>
      </c>
      <c r="M27" s="6" t="n">
        <v>77</v>
      </c>
      <c r="N27" s="1" t="n">
        <f aca="false">B27+$K27</f>
        <v>0.0089270024</v>
      </c>
      <c r="O27" s="1" t="n">
        <f aca="false">C27+$K27</f>
        <v>213.7000000024</v>
      </c>
      <c r="P27" s="1" t="n">
        <f aca="false">D27+$K27</f>
        <v>0.0084560024</v>
      </c>
      <c r="Q27" s="1" t="n">
        <f aca="false">E27+$K27</f>
        <v>213.3000000024</v>
      </c>
      <c r="R27" s="1" t="n">
        <f aca="false">F27+$K27</f>
        <v>0.0090050024</v>
      </c>
      <c r="S27" s="1" t="n">
        <f aca="false">G27+$K27</f>
        <v>216.0000000024</v>
      </c>
      <c r="T27" s="1" t="n">
        <f aca="false">H27+$K27</f>
        <v>0.0081890024</v>
      </c>
      <c r="U27" s="1" t="n">
        <f aca="false">I27+$K27</f>
        <v>215.5000000024</v>
      </c>
    </row>
    <row r="28" customFormat="false" ht="14.9" hidden="false" customHeight="false" outlineLevel="0" collapsed="false">
      <c r="A28" s="6" t="n">
        <v>76</v>
      </c>
      <c r="B28" s="5" t="n">
        <v>0.01101</v>
      </c>
      <c r="C28" s="5" t="n">
        <v>217</v>
      </c>
      <c r="D28" s="5" t="n">
        <v>0.01045</v>
      </c>
      <c r="E28" s="5" t="n">
        <v>215</v>
      </c>
      <c r="F28" s="5" t="n">
        <v>0.01109</v>
      </c>
      <c r="G28" s="5" t="n">
        <v>218.5</v>
      </c>
      <c r="H28" s="5" t="n">
        <v>0.0101</v>
      </c>
      <c r="I28" s="1" t="n">
        <v>216.8</v>
      </c>
      <c r="K28" s="1" t="n">
        <v>2.5E-009</v>
      </c>
      <c r="M28" s="6" t="n">
        <v>76</v>
      </c>
      <c r="N28" s="1" t="n">
        <f aca="false">B28+$K28</f>
        <v>0.0110100025</v>
      </c>
      <c r="O28" s="1" t="n">
        <f aca="false">C28+$K28</f>
        <v>217.0000000025</v>
      </c>
      <c r="P28" s="1" t="n">
        <f aca="false">D28+$K28</f>
        <v>0.0104500025</v>
      </c>
      <c r="Q28" s="1" t="n">
        <f aca="false">E28+$K28</f>
        <v>215.0000000025</v>
      </c>
      <c r="R28" s="1" t="n">
        <f aca="false">F28+$K28</f>
        <v>0.0110900025</v>
      </c>
      <c r="S28" s="1" t="n">
        <f aca="false">G28+$K28</f>
        <v>218.5000000025</v>
      </c>
      <c r="T28" s="1" t="n">
        <f aca="false">H28+$K28</f>
        <v>0.0101000025</v>
      </c>
      <c r="U28" s="1" t="n">
        <f aca="false">I28+$K28</f>
        <v>216.8000000025</v>
      </c>
    </row>
    <row r="29" customFormat="false" ht="14.9" hidden="false" customHeight="false" outlineLevel="0" collapsed="false">
      <c r="A29" s="6" t="n">
        <v>75</v>
      </c>
      <c r="B29" s="5" t="n">
        <v>0.01354</v>
      </c>
      <c r="C29" s="5" t="n">
        <v>220.3</v>
      </c>
      <c r="D29" s="5" t="n">
        <v>0.01288</v>
      </c>
      <c r="E29" s="5" t="n">
        <v>217.1</v>
      </c>
      <c r="F29" s="5" t="n">
        <v>0.01362</v>
      </c>
      <c r="G29" s="5" t="n">
        <v>221</v>
      </c>
      <c r="H29" s="5" t="n">
        <v>0.01243</v>
      </c>
      <c r="I29" s="1" t="n">
        <v>218.7</v>
      </c>
      <c r="K29" s="7" t="n">
        <v>2.6E-009</v>
      </c>
      <c r="M29" s="6" t="n">
        <v>75</v>
      </c>
      <c r="N29" s="1" t="n">
        <f aca="false">B29+$K29</f>
        <v>0.0135400026</v>
      </c>
      <c r="O29" s="1" t="n">
        <f aca="false">C29+$K29</f>
        <v>220.3000000026</v>
      </c>
      <c r="P29" s="1" t="n">
        <f aca="false">D29+$K29</f>
        <v>0.0128800026</v>
      </c>
      <c r="Q29" s="1" t="n">
        <f aca="false">E29+$K29</f>
        <v>217.1000000026</v>
      </c>
      <c r="R29" s="1" t="n">
        <f aca="false">F29+$K29</f>
        <v>0.0136200026</v>
      </c>
      <c r="S29" s="1" t="n">
        <f aca="false">G29+$K29</f>
        <v>221.0000000026</v>
      </c>
      <c r="T29" s="1" t="n">
        <f aca="false">H29+$K29</f>
        <v>0.0124300026</v>
      </c>
      <c r="U29" s="1" t="n">
        <f aca="false">I29+$K29</f>
        <v>218.7000000026</v>
      </c>
    </row>
    <row r="30" customFormat="false" ht="14.9" hidden="false" customHeight="false" outlineLevel="0" collapsed="false">
      <c r="A30" s="6" t="n">
        <v>74</v>
      </c>
      <c r="B30" s="5" t="n">
        <v>0.0166</v>
      </c>
      <c r="C30" s="5" t="n">
        <v>223.4</v>
      </c>
      <c r="D30" s="5" t="n">
        <v>0.01585</v>
      </c>
      <c r="E30" s="5" t="n">
        <v>219.3</v>
      </c>
      <c r="F30" s="5" t="n">
        <v>0.0167</v>
      </c>
      <c r="G30" s="5" t="n">
        <v>223.5</v>
      </c>
      <c r="H30" s="5" t="n">
        <v>0.01527</v>
      </c>
      <c r="I30" s="1" t="n">
        <v>221.1</v>
      </c>
      <c r="K30" s="7" t="n">
        <v>2.7E-009</v>
      </c>
      <c r="M30" s="6" t="n">
        <v>74</v>
      </c>
      <c r="N30" s="1" t="n">
        <f aca="false">B30+$K30</f>
        <v>0.0166000027</v>
      </c>
      <c r="O30" s="1" t="n">
        <f aca="false">C30+$K30</f>
        <v>223.4000000027</v>
      </c>
      <c r="P30" s="1" t="n">
        <f aca="false">D30+$K30</f>
        <v>0.0158500027</v>
      </c>
      <c r="Q30" s="1" t="n">
        <f aca="false">E30+$K30</f>
        <v>219.3000000027</v>
      </c>
      <c r="R30" s="1" t="n">
        <f aca="false">F30+$K30</f>
        <v>0.0167000027</v>
      </c>
      <c r="S30" s="1" t="n">
        <f aca="false">G30+$K30</f>
        <v>223.5000000027</v>
      </c>
      <c r="T30" s="1" t="n">
        <f aca="false">H30+$K30</f>
        <v>0.0152700027</v>
      </c>
      <c r="U30" s="1" t="n">
        <f aca="false">I30+$K30</f>
        <v>221.1000000027</v>
      </c>
    </row>
    <row r="31" customFormat="false" ht="14.9" hidden="false" customHeight="false" outlineLevel="0" collapsed="false">
      <c r="A31" s="6" t="n">
        <v>73</v>
      </c>
      <c r="B31" s="5" t="n">
        <v>0.02031</v>
      </c>
      <c r="C31" s="5" t="n">
        <v>225.7</v>
      </c>
      <c r="D31" s="5" t="n">
        <v>0.01946</v>
      </c>
      <c r="E31" s="5" t="n">
        <v>221.2</v>
      </c>
      <c r="F31" s="5" t="n">
        <v>0.02043</v>
      </c>
      <c r="G31" s="5" t="n">
        <v>225.3</v>
      </c>
      <c r="H31" s="5" t="n">
        <v>0.01871</v>
      </c>
      <c r="I31" s="1" t="n">
        <v>223.2</v>
      </c>
      <c r="K31" s="1" t="n">
        <v>2.8E-009</v>
      </c>
      <c r="M31" s="6" t="n">
        <v>73</v>
      </c>
      <c r="N31" s="1" t="n">
        <f aca="false">B31+$K31</f>
        <v>0.0203100028</v>
      </c>
      <c r="O31" s="1" t="n">
        <f aca="false">C31+$K31</f>
        <v>225.7000000028</v>
      </c>
      <c r="P31" s="1" t="n">
        <f aca="false">D31+$K31</f>
        <v>0.0194600028</v>
      </c>
      <c r="Q31" s="1" t="n">
        <f aca="false">E31+$K31</f>
        <v>221.2000000028</v>
      </c>
      <c r="R31" s="1" t="n">
        <f aca="false">F31+$K31</f>
        <v>0.0204300028</v>
      </c>
      <c r="S31" s="1" t="n">
        <f aca="false">G31+$K31</f>
        <v>225.3000000028</v>
      </c>
      <c r="T31" s="1" t="n">
        <f aca="false">H31+$K31</f>
        <v>0.0187100028</v>
      </c>
      <c r="U31" s="1" t="n">
        <f aca="false">I31+$K31</f>
        <v>223.2000000028</v>
      </c>
    </row>
    <row r="32" customFormat="false" ht="14.9" hidden="false" customHeight="false" outlineLevel="0" collapsed="false">
      <c r="A32" s="6" t="n">
        <v>72</v>
      </c>
      <c r="B32" s="5" t="n">
        <v>0.0248</v>
      </c>
      <c r="C32" s="5" t="n">
        <v>227.5</v>
      </c>
      <c r="D32" s="5" t="n">
        <v>0.02386</v>
      </c>
      <c r="E32" s="5" t="n">
        <v>222.9</v>
      </c>
      <c r="F32" s="5" t="n">
        <v>0.02496</v>
      </c>
      <c r="G32" s="5" t="n">
        <v>227</v>
      </c>
      <c r="H32" s="5" t="n">
        <v>0.0229</v>
      </c>
      <c r="I32" s="1" t="n">
        <v>225.1</v>
      </c>
      <c r="K32" s="7" t="n">
        <v>2.9E-009</v>
      </c>
      <c r="M32" s="6" t="n">
        <v>72</v>
      </c>
      <c r="N32" s="1" t="n">
        <f aca="false">B32+$K32</f>
        <v>0.0248000029</v>
      </c>
      <c r="O32" s="1" t="n">
        <f aca="false">C32+$K32</f>
        <v>227.5000000029</v>
      </c>
      <c r="P32" s="1" t="n">
        <f aca="false">D32+$K32</f>
        <v>0.0238600029</v>
      </c>
      <c r="Q32" s="1" t="n">
        <f aca="false">E32+$K32</f>
        <v>222.9000000029</v>
      </c>
      <c r="R32" s="1" t="n">
        <f aca="false">F32+$K32</f>
        <v>0.0249600029</v>
      </c>
      <c r="S32" s="1" t="n">
        <f aca="false">G32+$K32</f>
        <v>227.0000000029</v>
      </c>
      <c r="T32" s="1" t="n">
        <f aca="false">H32+$K32</f>
        <v>0.0229000029</v>
      </c>
      <c r="U32" s="1" t="n">
        <f aca="false">I32+$K32</f>
        <v>225.1000000029</v>
      </c>
    </row>
    <row r="33" customFormat="false" ht="14.9" hidden="false" customHeight="false" outlineLevel="0" collapsed="false">
      <c r="A33" s="6" t="n">
        <v>71</v>
      </c>
      <c r="B33" s="5" t="n">
        <v>0.03024</v>
      </c>
      <c r="C33" s="5" t="n">
        <v>229.1</v>
      </c>
      <c r="D33" s="5" t="n">
        <v>0.02922</v>
      </c>
      <c r="E33" s="5" t="n">
        <v>224.5</v>
      </c>
      <c r="F33" s="5" t="n">
        <v>0.03045</v>
      </c>
      <c r="G33" s="5" t="n">
        <v>228.6</v>
      </c>
      <c r="H33" s="5" t="n">
        <v>0.02799</v>
      </c>
      <c r="I33" s="1" t="n">
        <v>226.9</v>
      </c>
      <c r="K33" s="7" t="n">
        <v>3E-009</v>
      </c>
      <c r="M33" s="6" t="n">
        <v>71</v>
      </c>
      <c r="N33" s="1" t="n">
        <f aca="false">B33+$K33</f>
        <v>0.030240003</v>
      </c>
      <c r="O33" s="1" t="n">
        <f aca="false">C33+$K33</f>
        <v>229.100000003</v>
      </c>
      <c r="P33" s="1" t="n">
        <f aca="false">D33+$K33</f>
        <v>0.029220003</v>
      </c>
      <c r="Q33" s="1" t="n">
        <f aca="false">E33+$K33</f>
        <v>224.500000003</v>
      </c>
      <c r="R33" s="1" t="n">
        <f aca="false">F33+$K33</f>
        <v>0.030450003</v>
      </c>
      <c r="S33" s="1" t="n">
        <f aca="false">G33+$K33</f>
        <v>228.600000003</v>
      </c>
      <c r="T33" s="1" t="n">
        <f aca="false">H33+$K33</f>
        <v>0.027990003</v>
      </c>
      <c r="U33" s="1" t="n">
        <f aca="false">I33+$K33</f>
        <v>226.900000003</v>
      </c>
    </row>
    <row r="34" customFormat="false" ht="14.9" hidden="false" customHeight="false" outlineLevel="0" collapsed="false">
      <c r="A34" s="6" t="n">
        <v>70</v>
      </c>
      <c r="B34" s="5" t="n">
        <v>0.03683</v>
      </c>
      <c r="C34" s="5" t="n">
        <v>230.7</v>
      </c>
      <c r="D34" s="5" t="n">
        <v>0.03573</v>
      </c>
      <c r="E34" s="5" t="n">
        <v>226.2</v>
      </c>
      <c r="F34" s="5" t="n">
        <v>0.03709</v>
      </c>
      <c r="G34" s="5" t="n">
        <v>230.5</v>
      </c>
      <c r="H34" s="5" t="n">
        <v>0.03415</v>
      </c>
      <c r="I34" s="1" t="n">
        <v>228.6</v>
      </c>
      <c r="K34" s="1" t="n">
        <v>3.1E-009</v>
      </c>
      <c r="M34" s="6" t="n">
        <v>70</v>
      </c>
      <c r="N34" s="1" t="n">
        <f aca="false">B34+$K34</f>
        <v>0.0368300031</v>
      </c>
      <c r="O34" s="1" t="n">
        <f aca="false">C34+$K34</f>
        <v>230.7000000031</v>
      </c>
      <c r="P34" s="1" t="n">
        <f aca="false">D34+$K34</f>
        <v>0.0357300031</v>
      </c>
      <c r="Q34" s="1" t="n">
        <f aca="false">E34+$K34</f>
        <v>226.2000000031</v>
      </c>
      <c r="R34" s="1" t="n">
        <f aca="false">F34+$K34</f>
        <v>0.0370900031</v>
      </c>
      <c r="S34" s="1" t="n">
        <f aca="false">G34+$K34</f>
        <v>230.5000000031</v>
      </c>
      <c r="T34" s="1" t="n">
        <f aca="false">H34+$K34</f>
        <v>0.0341500031</v>
      </c>
      <c r="U34" s="1" t="n">
        <f aca="false">I34+$K34</f>
        <v>228.6000000031</v>
      </c>
    </row>
    <row r="35" customFormat="false" ht="14.9" hidden="false" customHeight="false" outlineLevel="0" collapsed="false">
      <c r="A35" s="6" t="n">
        <v>69</v>
      </c>
      <c r="B35" s="5" t="n">
        <v>0.04479</v>
      </c>
      <c r="C35" s="5" t="n">
        <v>232.6</v>
      </c>
      <c r="D35" s="5" t="n">
        <v>0.04362</v>
      </c>
      <c r="E35" s="5" t="n">
        <v>228.1</v>
      </c>
      <c r="F35" s="5" t="n">
        <v>0.04511</v>
      </c>
      <c r="G35" s="5" t="n">
        <v>232.7</v>
      </c>
      <c r="H35" s="5" t="n">
        <v>0.0416</v>
      </c>
      <c r="I35" s="1" t="n">
        <v>230.5</v>
      </c>
      <c r="K35" s="7" t="n">
        <v>3.2E-009</v>
      </c>
      <c r="M35" s="6" t="n">
        <v>69</v>
      </c>
      <c r="N35" s="1" t="n">
        <f aca="false">B35+$K35</f>
        <v>0.0447900032</v>
      </c>
      <c r="O35" s="1" t="n">
        <f aca="false">C35+$K35</f>
        <v>232.6000000032</v>
      </c>
      <c r="P35" s="1" t="n">
        <f aca="false">D35+$K35</f>
        <v>0.0436200032</v>
      </c>
      <c r="Q35" s="1" t="n">
        <f aca="false">E35+$K35</f>
        <v>228.1000000032</v>
      </c>
      <c r="R35" s="1" t="n">
        <f aca="false">F35+$K35</f>
        <v>0.0451100032</v>
      </c>
      <c r="S35" s="1" t="n">
        <f aca="false">G35+$K35</f>
        <v>232.7000000032</v>
      </c>
      <c r="T35" s="1" t="n">
        <f aca="false">H35+$K35</f>
        <v>0.0416000032</v>
      </c>
      <c r="U35" s="1" t="n">
        <f aca="false">I35+$K35</f>
        <v>230.5000000032</v>
      </c>
    </row>
    <row r="36" customFormat="false" ht="14.9" hidden="false" customHeight="false" outlineLevel="0" collapsed="false">
      <c r="A36" s="6" t="n">
        <v>68</v>
      </c>
      <c r="B36" s="5" t="n">
        <v>0.05438</v>
      </c>
      <c r="C36" s="5" t="n">
        <v>234.8</v>
      </c>
      <c r="D36" s="5" t="n">
        <v>0.05316</v>
      </c>
      <c r="E36" s="5" t="n">
        <v>230.2</v>
      </c>
      <c r="F36" s="5" t="n">
        <v>0.05475</v>
      </c>
      <c r="G36" s="5" t="n">
        <v>235.1</v>
      </c>
      <c r="H36" s="5" t="n">
        <v>0.0506</v>
      </c>
      <c r="I36" s="1" t="n">
        <v>232.5</v>
      </c>
      <c r="K36" s="7" t="n">
        <v>3.3E-009</v>
      </c>
      <c r="M36" s="6" t="n">
        <v>68</v>
      </c>
      <c r="N36" s="1" t="n">
        <f aca="false">B36+$K36</f>
        <v>0.0543800033</v>
      </c>
      <c r="O36" s="1" t="n">
        <f aca="false">C36+$K36</f>
        <v>234.8000000033</v>
      </c>
      <c r="P36" s="1" t="n">
        <f aca="false">D36+$K36</f>
        <v>0.0531600033</v>
      </c>
      <c r="Q36" s="1" t="n">
        <f aca="false">E36+$K36</f>
        <v>230.2000000033</v>
      </c>
      <c r="R36" s="1" t="n">
        <f aca="false">F36+$K36</f>
        <v>0.0547500033</v>
      </c>
      <c r="S36" s="1" t="n">
        <f aca="false">G36+$K36</f>
        <v>235.1000000033</v>
      </c>
      <c r="T36" s="1" t="n">
        <f aca="false">H36+$K36</f>
        <v>0.0506000033</v>
      </c>
      <c r="U36" s="1" t="n">
        <f aca="false">I36+$K36</f>
        <v>232.5000000033</v>
      </c>
    </row>
    <row r="37" customFormat="false" ht="14.9" hidden="false" customHeight="false" outlineLevel="0" collapsed="false">
      <c r="A37" s="6" t="n">
        <v>67</v>
      </c>
      <c r="B37" s="5" t="n">
        <v>0.0659</v>
      </c>
      <c r="C37" s="5" t="n">
        <v>237.5</v>
      </c>
      <c r="D37" s="5" t="n">
        <v>0.06467</v>
      </c>
      <c r="E37" s="5" t="n">
        <v>232.8</v>
      </c>
      <c r="F37" s="5" t="n">
        <v>0.06632</v>
      </c>
      <c r="G37" s="5" t="n">
        <v>237.9</v>
      </c>
      <c r="H37" s="5" t="n">
        <v>0.06145</v>
      </c>
      <c r="I37" s="1" t="n">
        <v>234.5</v>
      </c>
      <c r="K37" s="1" t="n">
        <v>3.4E-009</v>
      </c>
      <c r="M37" s="6" t="n">
        <v>67</v>
      </c>
      <c r="N37" s="1" t="n">
        <f aca="false">B37+$K37</f>
        <v>0.0659000034</v>
      </c>
      <c r="O37" s="1" t="n">
        <f aca="false">C37+$K37</f>
        <v>237.5000000034</v>
      </c>
      <c r="P37" s="1" t="n">
        <f aca="false">D37+$K37</f>
        <v>0.0646700034</v>
      </c>
      <c r="Q37" s="1" t="n">
        <f aca="false">E37+$K37</f>
        <v>232.8000000034</v>
      </c>
      <c r="R37" s="1" t="n">
        <f aca="false">F37+$K37</f>
        <v>0.0663200034</v>
      </c>
      <c r="S37" s="1" t="n">
        <f aca="false">G37+$K37</f>
        <v>237.9000000034</v>
      </c>
      <c r="T37" s="1" t="n">
        <f aca="false">H37+$K37</f>
        <v>0.0614500034</v>
      </c>
      <c r="U37" s="1" t="n">
        <f aca="false">I37+$K37</f>
        <v>234.5000000034</v>
      </c>
    </row>
    <row r="38" customFormat="false" ht="14.9" hidden="false" customHeight="false" outlineLevel="0" collapsed="false">
      <c r="A38" s="6" t="n">
        <v>66</v>
      </c>
      <c r="B38" s="5" t="n">
        <v>0.07967</v>
      </c>
      <c r="C38" s="5" t="n">
        <v>240.4</v>
      </c>
      <c r="D38" s="5" t="n">
        <v>0.07848</v>
      </c>
      <c r="E38" s="5" t="n">
        <v>235.6</v>
      </c>
      <c r="F38" s="5" t="n">
        <v>0.08016</v>
      </c>
      <c r="G38" s="5" t="n">
        <v>240.7</v>
      </c>
      <c r="H38" s="5" t="n">
        <v>0.0745</v>
      </c>
      <c r="I38" s="1" t="n">
        <v>236.8</v>
      </c>
      <c r="K38" s="7" t="n">
        <v>3.5E-009</v>
      </c>
      <c r="M38" s="6" t="n">
        <v>66</v>
      </c>
      <c r="N38" s="1" t="n">
        <f aca="false">B38+$K38</f>
        <v>0.0796700035</v>
      </c>
      <c r="O38" s="1" t="n">
        <f aca="false">C38+$K38</f>
        <v>240.4000000035</v>
      </c>
      <c r="P38" s="1" t="n">
        <f aca="false">D38+$K38</f>
        <v>0.0784800035</v>
      </c>
      <c r="Q38" s="1" t="n">
        <f aca="false">E38+$K38</f>
        <v>235.6000000035</v>
      </c>
      <c r="R38" s="1" t="n">
        <f aca="false">F38+$K38</f>
        <v>0.0801600035</v>
      </c>
      <c r="S38" s="1" t="n">
        <f aca="false">G38+$K38</f>
        <v>240.7000000035</v>
      </c>
      <c r="T38" s="1" t="n">
        <f aca="false">H38+$K38</f>
        <v>0.0745000035</v>
      </c>
      <c r="U38" s="1" t="n">
        <f aca="false">I38+$K38</f>
        <v>236.8000000035</v>
      </c>
    </row>
    <row r="39" customFormat="false" ht="14.9" hidden="false" customHeight="false" outlineLevel="0" collapsed="false">
      <c r="A39" s="6" t="n">
        <v>65</v>
      </c>
      <c r="B39" s="5" t="n">
        <v>0.09609</v>
      </c>
      <c r="C39" s="5" t="n">
        <v>243.6</v>
      </c>
      <c r="D39" s="5" t="n">
        <v>0.09503</v>
      </c>
      <c r="E39" s="5" t="n">
        <v>238.8</v>
      </c>
      <c r="F39" s="5" t="n">
        <v>0.09668</v>
      </c>
      <c r="G39" s="5" t="n">
        <v>243.6</v>
      </c>
      <c r="H39" s="5" t="n">
        <v>0.09015</v>
      </c>
      <c r="I39" s="1" t="n">
        <v>239.1</v>
      </c>
      <c r="K39" s="7" t="n">
        <v>3.6E-009</v>
      </c>
      <c r="M39" s="6" t="n">
        <v>65</v>
      </c>
      <c r="N39" s="1" t="n">
        <f aca="false">B39+$K39</f>
        <v>0.0960900036</v>
      </c>
      <c r="O39" s="1" t="n">
        <f aca="false">C39+$K39</f>
        <v>243.6000000036</v>
      </c>
      <c r="P39" s="1" t="n">
        <f aca="false">D39+$K39</f>
        <v>0.0950300036</v>
      </c>
      <c r="Q39" s="1" t="n">
        <f aca="false">E39+$K39</f>
        <v>238.8000000036</v>
      </c>
      <c r="R39" s="1" t="n">
        <f aca="false">F39+$K39</f>
        <v>0.0966800036</v>
      </c>
      <c r="S39" s="1" t="n">
        <f aca="false">G39+$K39</f>
        <v>243.6000000036</v>
      </c>
      <c r="T39" s="1" t="n">
        <f aca="false">H39+$K39</f>
        <v>0.0901500036</v>
      </c>
      <c r="U39" s="1" t="n">
        <f aca="false">I39+$K39</f>
        <v>239.1000000036</v>
      </c>
    </row>
    <row r="40" customFormat="false" ht="13.8" hidden="false" customHeight="false" outlineLevel="0" collapsed="false">
      <c r="A40" s="6" t="n">
        <v>64</v>
      </c>
      <c r="B40" s="1" t="n">
        <v>0.1156</v>
      </c>
      <c r="C40" s="1" t="n">
        <v>246.9</v>
      </c>
      <c r="D40" s="1" t="n">
        <v>0.1148</v>
      </c>
      <c r="E40" s="1" t="n">
        <v>242.3</v>
      </c>
      <c r="F40" s="1" t="n">
        <v>0.1163</v>
      </c>
      <c r="G40" s="1" t="n">
        <v>246.5</v>
      </c>
      <c r="H40" s="1" t="n">
        <v>0.1089</v>
      </c>
      <c r="I40" s="1" t="n">
        <v>241.5</v>
      </c>
      <c r="K40" s="1" t="n">
        <v>3.7E-009</v>
      </c>
      <c r="M40" s="6" t="n">
        <v>64</v>
      </c>
      <c r="N40" s="1" t="n">
        <f aca="false">B40+$K40</f>
        <v>0.1156000037</v>
      </c>
      <c r="O40" s="1" t="n">
        <f aca="false">C40+$K40</f>
        <v>246.9000000037</v>
      </c>
      <c r="P40" s="1" t="n">
        <f aca="false">D40+$K40</f>
        <v>0.1148000037</v>
      </c>
      <c r="Q40" s="1" t="n">
        <f aca="false">E40+$K40</f>
        <v>242.3000000037</v>
      </c>
      <c r="R40" s="1" t="n">
        <f aca="false">F40+$K40</f>
        <v>0.1163000037</v>
      </c>
      <c r="S40" s="1" t="n">
        <f aca="false">G40+$K40</f>
        <v>246.5000000037</v>
      </c>
      <c r="T40" s="1" t="n">
        <f aca="false">H40+$K40</f>
        <v>0.1089000037</v>
      </c>
      <c r="U40" s="1" t="n">
        <f aca="false">I40+$K40</f>
        <v>241.5000000037</v>
      </c>
    </row>
    <row r="41" customFormat="false" ht="13.8" hidden="false" customHeight="false" outlineLevel="0" collapsed="false">
      <c r="A41" s="6" t="n">
        <v>63</v>
      </c>
      <c r="B41" s="1" t="n">
        <v>0.1387</v>
      </c>
      <c r="C41" s="1" t="n">
        <v>250.8</v>
      </c>
      <c r="D41" s="1" t="n">
        <v>0.1382</v>
      </c>
      <c r="E41" s="1" t="n">
        <v>246.4</v>
      </c>
      <c r="F41" s="1" t="n">
        <v>0.1397</v>
      </c>
      <c r="G41" s="1" t="n">
        <v>250</v>
      </c>
      <c r="H41" s="1" t="n">
        <v>0.1313</v>
      </c>
      <c r="I41" s="1" t="n">
        <v>244.2</v>
      </c>
      <c r="K41" s="7" t="n">
        <v>3.8E-009</v>
      </c>
      <c r="M41" s="6" t="n">
        <v>63</v>
      </c>
      <c r="N41" s="1" t="n">
        <f aca="false">B41+$K41</f>
        <v>0.1387000038</v>
      </c>
      <c r="O41" s="1" t="n">
        <f aca="false">C41+$K41</f>
        <v>250.8000000038</v>
      </c>
      <c r="P41" s="1" t="n">
        <f aca="false">D41+$K41</f>
        <v>0.1382000038</v>
      </c>
      <c r="Q41" s="1" t="n">
        <f aca="false">E41+$K41</f>
        <v>246.4000000038</v>
      </c>
      <c r="R41" s="1" t="n">
        <f aca="false">F41+$K41</f>
        <v>0.1397000038</v>
      </c>
      <c r="S41" s="1" t="n">
        <f aca="false">G41+$K41</f>
        <v>250.0000000038</v>
      </c>
      <c r="T41" s="1" t="n">
        <f aca="false">H41+$K41</f>
        <v>0.1313000038</v>
      </c>
      <c r="U41" s="1" t="n">
        <f aca="false">I41+$K41</f>
        <v>244.2000000038</v>
      </c>
    </row>
    <row r="42" customFormat="false" ht="13.8" hidden="false" customHeight="false" outlineLevel="0" collapsed="false">
      <c r="A42" s="6" t="n">
        <v>62</v>
      </c>
      <c r="B42" s="1" t="n">
        <v>0.166</v>
      </c>
      <c r="C42" s="1" t="n">
        <v>254.7</v>
      </c>
      <c r="D42" s="1" t="n">
        <v>0.1658</v>
      </c>
      <c r="E42" s="1" t="n">
        <v>250.8</v>
      </c>
      <c r="F42" s="1" t="n">
        <v>0.1673</v>
      </c>
      <c r="G42" s="1" t="n">
        <v>253.8</v>
      </c>
      <c r="H42" s="1" t="n">
        <v>0.1579</v>
      </c>
      <c r="I42" s="1" t="n">
        <v>247.2</v>
      </c>
      <c r="K42" s="7" t="n">
        <v>3.9E-009</v>
      </c>
      <c r="M42" s="6" t="n">
        <v>62</v>
      </c>
      <c r="N42" s="1" t="n">
        <f aca="false">B42+$K42</f>
        <v>0.1660000039</v>
      </c>
      <c r="O42" s="1" t="n">
        <f aca="false">C42+$K42</f>
        <v>254.7000000039</v>
      </c>
      <c r="P42" s="1" t="n">
        <f aca="false">D42+$K42</f>
        <v>0.1658000039</v>
      </c>
      <c r="Q42" s="1" t="n">
        <f aca="false">E42+$K42</f>
        <v>250.8000000039</v>
      </c>
      <c r="R42" s="1" t="n">
        <f aca="false">F42+$K42</f>
        <v>0.1673000039</v>
      </c>
      <c r="S42" s="1" t="n">
        <f aca="false">G42+$K42</f>
        <v>253.8000000039</v>
      </c>
      <c r="T42" s="1" t="n">
        <f aca="false">H42+$K42</f>
        <v>0.1579000039</v>
      </c>
      <c r="U42" s="1" t="n">
        <f aca="false">I42+$K42</f>
        <v>247.2000000039</v>
      </c>
    </row>
    <row r="43" customFormat="false" ht="13.8" hidden="false" customHeight="false" outlineLevel="0" collapsed="false">
      <c r="A43" s="6" t="n">
        <v>61</v>
      </c>
      <c r="B43" s="1" t="n">
        <v>0.1981</v>
      </c>
      <c r="C43" s="1" t="n">
        <v>259.3</v>
      </c>
      <c r="D43" s="1" t="n">
        <v>0.1983</v>
      </c>
      <c r="E43" s="1" t="n">
        <v>256.2</v>
      </c>
      <c r="F43" s="1" t="n">
        <v>0.1996</v>
      </c>
      <c r="G43" s="1" t="n">
        <v>259.2</v>
      </c>
      <c r="H43" s="1" t="n">
        <v>0.1895</v>
      </c>
      <c r="I43" s="1" t="n">
        <v>250.9</v>
      </c>
      <c r="K43" s="1" t="n">
        <v>4E-009</v>
      </c>
      <c r="M43" s="6" t="n">
        <v>61</v>
      </c>
      <c r="N43" s="1" t="n">
        <f aca="false">B43+$K43</f>
        <v>0.198100004</v>
      </c>
      <c r="O43" s="1" t="n">
        <f aca="false">C43+$K43</f>
        <v>259.300000004</v>
      </c>
      <c r="P43" s="1" t="n">
        <f aca="false">D43+$K43</f>
        <v>0.198300004</v>
      </c>
      <c r="Q43" s="1" t="n">
        <f aca="false">E43+$K43</f>
        <v>256.200000004</v>
      </c>
      <c r="R43" s="1" t="n">
        <f aca="false">F43+$K43</f>
        <v>0.199600004</v>
      </c>
      <c r="S43" s="1" t="n">
        <f aca="false">G43+$K43</f>
        <v>259.200000004</v>
      </c>
      <c r="T43" s="1" t="n">
        <f aca="false">H43+$K43</f>
        <v>0.189500004</v>
      </c>
      <c r="U43" s="1" t="n">
        <f aca="false">I43+$K43</f>
        <v>250.900000004</v>
      </c>
    </row>
    <row r="44" customFormat="false" ht="13.8" hidden="false" customHeight="false" outlineLevel="0" collapsed="false">
      <c r="A44" s="6" t="n">
        <v>60</v>
      </c>
      <c r="B44" s="1" t="n">
        <v>0.2357</v>
      </c>
      <c r="C44" s="1" t="n">
        <v>263.7</v>
      </c>
      <c r="D44" s="1" t="n">
        <v>0.2363</v>
      </c>
      <c r="E44" s="1" t="n">
        <v>262</v>
      </c>
      <c r="F44" s="1" t="n">
        <v>0.2374</v>
      </c>
      <c r="G44" s="1" t="n">
        <v>264.7</v>
      </c>
      <c r="H44" s="1" t="n">
        <v>0.2268</v>
      </c>
      <c r="I44" s="1" t="n">
        <v>254.6</v>
      </c>
      <c r="K44" s="7" t="n">
        <v>4.1E-009</v>
      </c>
      <c r="M44" s="6" t="n">
        <v>60</v>
      </c>
      <c r="N44" s="1" t="n">
        <f aca="false">B44+$K44</f>
        <v>0.2357000041</v>
      </c>
      <c r="O44" s="1" t="n">
        <f aca="false">C44+$K44</f>
        <v>263.7000000041</v>
      </c>
      <c r="P44" s="1" t="n">
        <f aca="false">D44+$K44</f>
        <v>0.2363000041</v>
      </c>
      <c r="Q44" s="1" t="n">
        <f aca="false">E44+$K44</f>
        <v>262.0000000041</v>
      </c>
      <c r="R44" s="1" t="n">
        <f aca="false">F44+$K44</f>
        <v>0.2374000041</v>
      </c>
      <c r="S44" s="1" t="n">
        <f aca="false">G44+$K44</f>
        <v>264.7000000041</v>
      </c>
      <c r="T44" s="1" t="n">
        <f aca="false">H44+$K44</f>
        <v>0.2268000041</v>
      </c>
      <c r="U44" s="1" t="n">
        <f aca="false">I44+$K44</f>
        <v>254.6000000041</v>
      </c>
    </row>
    <row r="45" customFormat="false" ht="13.8" hidden="false" customHeight="false" outlineLevel="0" collapsed="false">
      <c r="A45" s="6" t="n">
        <v>59</v>
      </c>
      <c r="B45" s="1" t="n">
        <v>0.2793</v>
      </c>
      <c r="C45" s="1" t="n">
        <v>270.1</v>
      </c>
      <c r="D45" s="1" t="n">
        <v>0.2803</v>
      </c>
      <c r="E45" s="1" t="n">
        <v>269.5</v>
      </c>
      <c r="F45" s="1" t="n">
        <v>0.2811</v>
      </c>
      <c r="G45" s="1" t="n">
        <v>271.8</v>
      </c>
      <c r="H45" s="1" t="n">
        <v>0.2706</v>
      </c>
      <c r="I45" s="1" t="n">
        <v>260</v>
      </c>
      <c r="K45" s="7" t="n">
        <v>4.2E-009</v>
      </c>
      <c r="M45" s="6" t="n">
        <v>59</v>
      </c>
      <c r="N45" s="1" t="n">
        <f aca="false">B45+$K45</f>
        <v>0.2793000042</v>
      </c>
      <c r="O45" s="1" t="n">
        <f aca="false">C45+$K45</f>
        <v>270.1000000042</v>
      </c>
      <c r="P45" s="1" t="n">
        <f aca="false">D45+$K45</f>
        <v>0.2803000042</v>
      </c>
      <c r="Q45" s="1" t="n">
        <f aca="false">E45+$K45</f>
        <v>269.5000000042</v>
      </c>
      <c r="R45" s="1" t="n">
        <f aca="false">F45+$K45</f>
        <v>0.2811000042</v>
      </c>
      <c r="S45" s="1" t="n">
        <f aca="false">G45+$K45</f>
        <v>271.8000000042</v>
      </c>
      <c r="T45" s="1" t="n">
        <f aca="false">H45+$K45</f>
        <v>0.2706000042</v>
      </c>
      <c r="U45" s="1" t="n">
        <f aca="false">I45+$K45</f>
        <v>260.0000000042</v>
      </c>
    </row>
    <row r="46" customFormat="false" ht="13.8" hidden="false" customHeight="false" outlineLevel="0" collapsed="false">
      <c r="A46" s="6" t="n">
        <v>58</v>
      </c>
      <c r="B46" s="1" t="n">
        <v>0.3298</v>
      </c>
      <c r="C46" s="1" t="n">
        <v>277.2</v>
      </c>
      <c r="D46" s="1" t="n">
        <v>0.3308</v>
      </c>
      <c r="E46" s="1" t="n">
        <v>278</v>
      </c>
      <c r="F46" s="1" t="n">
        <v>0.3314</v>
      </c>
      <c r="G46" s="1" t="n">
        <v>279.7</v>
      </c>
      <c r="H46" s="1" t="n">
        <v>0.3215</v>
      </c>
      <c r="I46" s="1" t="n">
        <v>267</v>
      </c>
      <c r="K46" s="1" t="n">
        <v>4.3E-009</v>
      </c>
      <c r="M46" s="6" t="n">
        <v>58</v>
      </c>
      <c r="N46" s="1" t="n">
        <f aca="false">B46+$K46</f>
        <v>0.3298000043</v>
      </c>
      <c r="O46" s="1" t="n">
        <f aca="false">C46+$K46</f>
        <v>277.2000000043</v>
      </c>
      <c r="P46" s="1" t="n">
        <f aca="false">D46+$K46</f>
        <v>0.3308000043</v>
      </c>
      <c r="Q46" s="1" t="n">
        <f aca="false">E46+$K46</f>
        <v>278.0000000043</v>
      </c>
      <c r="R46" s="1" t="n">
        <f aca="false">F46+$K46</f>
        <v>0.3314000043</v>
      </c>
      <c r="S46" s="1" t="n">
        <f aca="false">G46+$K46</f>
        <v>279.7000000043</v>
      </c>
      <c r="T46" s="1" t="n">
        <f aca="false">H46+$K46</f>
        <v>0.3215000043</v>
      </c>
      <c r="U46" s="1" t="n">
        <f aca="false">I46+$K46</f>
        <v>267.0000000043</v>
      </c>
    </row>
    <row r="47" customFormat="false" ht="13.8" hidden="false" customHeight="false" outlineLevel="0" collapsed="false">
      <c r="A47" s="6" t="n">
        <v>57</v>
      </c>
      <c r="B47" s="1" t="n">
        <v>0.3874</v>
      </c>
      <c r="C47" s="1" t="n">
        <v>285.8</v>
      </c>
      <c r="D47" s="1" t="n">
        <v>0.3883</v>
      </c>
      <c r="E47" s="1" t="n">
        <v>287.3</v>
      </c>
      <c r="F47" s="1" t="n">
        <v>0.3888</v>
      </c>
      <c r="G47" s="1" t="n">
        <v>288.2</v>
      </c>
      <c r="H47" s="1" t="n">
        <v>0.38</v>
      </c>
      <c r="I47" s="1" t="n">
        <v>275.7</v>
      </c>
      <c r="K47" s="7" t="n">
        <v>4.4E-009</v>
      </c>
      <c r="M47" s="6" t="n">
        <v>57</v>
      </c>
      <c r="N47" s="1" t="n">
        <f aca="false">B47+$K47</f>
        <v>0.3874000044</v>
      </c>
      <c r="O47" s="1" t="n">
        <f aca="false">C47+$K47</f>
        <v>285.8000000044</v>
      </c>
      <c r="P47" s="1" t="n">
        <f aca="false">D47+$K47</f>
        <v>0.3883000044</v>
      </c>
      <c r="Q47" s="1" t="n">
        <f aca="false">E47+$K47</f>
        <v>287.3000000044</v>
      </c>
      <c r="R47" s="1" t="n">
        <f aca="false">F47+$K47</f>
        <v>0.3888000044</v>
      </c>
      <c r="S47" s="1" t="n">
        <f aca="false">G47+$K47</f>
        <v>288.2000000044</v>
      </c>
      <c r="T47" s="1" t="n">
        <f aca="false">H47+$K47</f>
        <v>0.3800000044</v>
      </c>
      <c r="U47" s="1" t="n">
        <f aca="false">I47+$K47</f>
        <v>275.7000000044</v>
      </c>
    </row>
    <row r="48" customFormat="false" ht="13.8" hidden="false" customHeight="false" outlineLevel="0" collapsed="false">
      <c r="A48" s="6" t="n">
        <v>56</v>
      </c>
      <c r="B48" s="1" t="n">
        <v>0.453</v>
      </c>
      <c r="C48" s="1" t="n">
        <v>294.6</v>
      </c>
      <c r="D48" s="1" t="n">
        <v>0.4537</v>
      </c>
      <c r="E48" s="1" t="n">
        <v>295.9</v>
      </c>
      <c r="F48" s="1" t="n">
        <v>0.4541</v>
      </c>
      <c r="G48" s="1" t="n">
        <v>296.7</v>
      </c>
      <c r="H48" s="1" t="n">
        <v>0.4466</v>
      </c>
      <c r="I48" s="1" t="n">
        <v>285.6</v>
      </c>
      <c r="K48" s="7" t="n">
        <v>4.5E-009</v>
      </c>
      <c r="M48" s="6" t="n">
        <v>56</v>
      </c>
      <c r="N48" s="1" t="n">
        <f aca="false">B48+$K48</f>
        <v>0.4530000045</v>
      </c>
      <c r="O48" s="1" t="n">
        <f aca="false">C48+$K48</f>
        <v>294.6000000045</v>
      </c>
      <c r="P48" s="1" t="n">
        <f aca="false">D48+$K48</f>
        <v>0.4537000045</v>
      </c>
      <c r="Q48" s="1" t="n">
        <f aca="false">E48+$K48</f>
        <v>295.9000000045</v>
      </c>
      <c r="R48" s="1" t="n">
        <f aca="false">F48+$K48</f>
        <v>0.4541000045</v>
      </c>
      <c r="S48" s="1" t="n">
        <f aca="false">G48+$K48</f>
        <v>296.7000000045</v>
      </c>
      <c r="T48" s="1" t="n">
        <f aca="false">H48+$K48</f>
        <v>0.4466000045</v>
      </c>
      <c r="U48" s="1" t="n">
        <f aca="false">I48+$K48</f>
        <v>285.6000000045</v>
      </c>
    </row>
    <row r="49" customFormat="false" ht="13.8" hidden="false" customHeight="false" outlineLevel="0" collapsed="false">
      <c r="A49" s="6" t="n">
        <v>55</v>
      </c>
      <c r="B49" s="1" t="n">
        <v>0.5272</v>
      </c>
      <c r="C49" s="1" t="n">
        <v>303.4</v>
      </c>
      <c r="D49" s="1" t="n">
        <v>0.5277</v>
      </c>
      <c r="E49" s="1" t="n">
        <v>304.5</v>
      </c>
      <c r="F49" s="1" t="n">
        <v>0.528</v>
      </c>
      <c r="G49" s="1" t="n">
        <v>305.2</v>
      </c>
      <c r="H49" s="1" t="n">
        <v>0.5221</v>
      </c>
      <c r="I49" s="1" t="n">
        <v>295.6</v>
      </c>
      <c r="K49" s="1" t="n">
        <v>4.6E-009</v>
      </c>
      <c r="M49" s="6" t="n">
        <v>55</v>
      </c>
      <c r="N49" s="1" t="n">
        <f aca="false">B49+$K49</f>
        <v>0.5272000046</v>
      </c>
      <c r="O49" s="1" t="n">
        <f aca="false">C49+$K49</f>
        <v>303.4000000046</v>
      </c>
      <c r="P49" s="1" t="n">
        <f aca="false">D49+$K49</f>
        <v>0.5277000046</v>
      </c>
      <c r="Q49" s="1" t="n">
        <f aca="false">E49+$K49</f>
        <v>304.5000000046</v>
      </c>
      <c r="R49" s="1" t="n">
        <f aca="false">F49+$K49</f>
        <v>0.5280000046</v>
      </c>
      <c r="S49" s="1" t="n">
        <f aca="false">G49+$K49</f>
        <v>305.2000000046</v>
      </c>
      <c r="T49" s="1" t="n">
        <f aca="false">H49+$K49</f>
        <v>0.5221000046</v>
      </c>
      <c r="U49" s="1" t="n">
        <f aca="false">I49+$K49</f>
        <v>295.6000000046</v>
      </c>
    </row>
    <row r="50" customFormat="false" ht="13.8" hidden="false" customHeight="false" outlineLevel="0" collapsed="false">
      <c r="A50" s="6" t="n">
        <v>54</v>
      </c>
      <c r="B50" s="1" t="n">
        <v>0.611</v>
      </c>
      <c r="C50" s="1" t="n">
        <v>312.1</v>
      </c>
      <c r="D50" s="1" t="n">
        <v>0.6113</v>
      </c>
      <c r="E50" s="1" t="n">
        <v>313</v>
      </c>
      <c r="F50" s="1" t="n">
        <v>0.6113</v>
      </c>
      <c r="G50" s="1" t="n">
        <v>313.6</v>
      </c>
      <c r="H50" s="1" t="n">
        <v>0.6071</v>
      </c>
      <c r="I50" s="1" t="n">
        <v>305.6</v>
      </c>
      <c r="K50" s="7" t="n">
        <v>4.7E-009</v>
      </c>
      <c r="M50" s="6" t="n">
        <v>54</v>
      </c>
      <c r="N50" s="1" t="n">
        <f aca="false">B50+$K50</f>
        <v>0.6110000047</v>
      </c>
      <c r="O50" s="1" t="n">
        <f aca="false">C50+$K50</f>
        <v>312.1000000047</v>
      </c>
      <c r="P50" s="1" t="n">
        <f aca="false">D50+$K50</f>
        <v>0.6113000047</v>
      </c>
      <c r="Q50" s="1" t="n">
        <f aca="false">E50+$K50</f>
        <v>313.0000000047</v>
      </c>
      <c r="R50" s="1" t="n">
        <f aca="false">F50+$K50</f>
        <v>0.6113000047</v>
      </c>
      <c r="S50" s="1" t="n">
        <f aca="false">G50+$K50</f>
        <v>313.6000000047</v>
      </c>
      <c r="T50" s="1" t="n">
        <f aca="false">H50+$K50</f>
        <v>0.6071000047</v>
      </c>
      <c r="U50" s="1" t="n">
        <f aca="false">I50+$K50</f>
        <v>305.6000000047</v>
      </c>
    </row>
    <row r="51" customFormat="false" ht="13.8" hidden="false" customHeight="false" outlineLevel="0" collapsed="false">
      <c r="A51" s="6" t="n">
        <v>53</v>
      </c>
      <c r="B51" s="1" t="n">
        <v>0.7052</v>
      </c>
      <c r="C51" s="1" t="n">
        <v>320.8</v>
      </c>
      <c r="D51" s="1" t="n">
        <v>0.7054</v>
      </c>
      <c r="E51" s="1" t="n">
        <v>321.5</v>
      </c>
      <c r="F51" s="1" t="n">
        <v>0.7054</v>
      </c>
      <c r="G51" s="1" t="n">
        <v>321.9</v>
      </c>
      <c r="H51" s="1" t="n">
        <v>0.7026</v>
      </c>
      <c r="I51" s="1" t="n">
        <v>315.6</v>
      </c>
      <c r="K51" s="7" t="n">
        <v>4.8E-009</v>
      </c>
      <c r="M51" s="6" t="n">
        <v>53</v>
      </c>
      <c r="N51" s="1" t="n">
        <f aca="false">B51+$K51</f>
        <v>0.7052000048</v>
      </c>
      <c r="O51" s="1" t="n">
        <f aca="false">C51+$K51</f>
        <v>320.8000000048</v>
      </c>
      <c r="P51" s="1" t="n">
        <f aca="false">D51+$K51</f>
        <v>0.7054000048</v>
      </c>
      <c r="Q51" s="1" t="n">
        <f aca="false">E51+$K51</f>
        <v>321.5000000048</v>
      </c>
      <c r="R51" s="1" t="n">
        <f aca="false">F51+$K51</f>
        <v>0.7054000048</v>
      </c>
      <c r="S51" s="1" t="n">
        <f aca="false">G51+$K51</f>
        <v>321.9000000048</v>
      </c>
      <c r="T51" s="1" t="n">
        <f aca="false">H51+$K51</f>
        <v>0.7026000048</v>
      </c>
      <c r="U51" s="1" t="n">
        <f aca="false">I51+$K51</f>
        <v>315.6000000048</v>
      </c>
    </row>
    <row r="52" customFormat="false" ht="13.8" hidden="false" customHeight="false" outlineLevel="0" collapsed="false">
      <c r="A52" s="6" t="n">
        <v>52</v>
      </c>
      <c r="B52" s="1" t="n">
        <v>0.811</v>
      </c>
      <c r="C52" s="1" t="n">
        <v>329.4</v>
      </c>
      <c r="D52" s="1" t="n">
        <v>0.811</v>
      </c>
      <c r="E52" s="1" t="n">
        <v>329.9</v>
      </c>
      <c r="F52" s="1" t="n">
        <v>0.8109</v>
      </c>
      <c r="G52" s="1" t="n">
        <v>330.2</v>
      </c>
      <c r="H52" s="1" t="n">
        <v>0.8095</v>
      </c>
      <c r="I52" s="1" t="n">
        <v>325.6</v>
      </c>
      <c r="K52" s="1" t="n">
        <v>4.9E-009</v>
      </c>
      <c r="M52" s="6" t="n">
        <v>52</v>
      </c>
      <c r="N52" s="1" t="n">
        <f aca="false">B52+$K52</f>
        <v>0.8110000049</v>
      </c>
      <c r="O52" s="1" t="n">
        <f aca="false">C52+$K52</f>
        <v>329.4000000049</v>
      </c>
      <c r="P52" s="1" t="n">
        <f aca="false">D52+$K52</f>
        <v>0.8110000049</v>
      </c>
      <c r="Q52" s="1" t="n">
        <f aca="false">E52+$K52</f>
        <v>329.9000000049</v>
      </c>
      <c r="R52" s="1" t="n">
        <f aca="false">F52+$K52</f>
        <v>0.8109000049</v>
      </c>
      <c r="S52" s="1" t="n">
        <f aca="false">G52+$K52</f>
        <v>330.2000000049</v>
      </c>
      <c r="T52" s="1" t="n">
        <f aca="false">H52+$K52</f>
        <v>0.8095000049</v>
      </c>
      <c r="U52" s="1" t="n">
        <f aca="false">I52+$K52</f>
        <v>325.6000000049</v>
      </c>
    </row>
    <row r="53" customFormat="false" ht="13.8" hidden="false" customHeight="false" outlineLevel="0" collapsed="false">
      <c r="A53" s="6" t="n">
        <v>51</v>
      </c>
      <c r="B53" s="1" t="n">
        <v>0.9293</v>
      </c>
      <c r="C53" s="1" t="n">
        <v>338</v>
      </c>
      <c r="D53" s="1" t="n">
        <v>0.9292</v>
      </c>
      <c r="E53" s="1" t="n">
        <v>338.2</v>
      </c>
      <c r="F53" s="1" t="n">
        <v>0.929</v>
      </c>
      <c r="G53" s="1" t="n">
        <v>338.4</v>
      </c>
      <c r="H53" s="1" t="n">
        <v>0.9286</v>
      </c>
      <c r="I53" s="1" t="n">
        <v>335.7</v>
      </c>
      <c r="K53" s="7" t="n">
        <v>5E-009</v>
      </c>
      <c r="M53" s="6" t="n">
        <v>51</v>
      </c>
      <c r="N53" s="1" t="n">
        <f aca="false">B53+$K53</f>
        <v>0.929300005</v>
      </c>
      <c r="O53" s="1" t="n">
        <f aca="false">C53+$K53</f>
        <v>338.000000005</v>
      </c>
      <c r="P53" s="1" t="n">
        <f aca="false">D53+$K53</f>
        <v>0.929200005</v>
      </c>
      <c r="Q53" s="1" t="n">
        <f aca="false">E53+$K53</f>
        <v>338.200000005</v>
      </c>
      <c r="R53" s="1" t="n">
        <f aca="false">F53+$K53</f>
        <v>0.929000005</v>
      </c>
      <c r="S53" s="1" t="n">
        <f aca="false">G53+$K53</f>
        <v>338.400000005</v>
      </c>
      <c r="T53" s="1" t="n">
        <f aca="false">H53+$K53</f>
        <v>0.928600005</v>
      </c>
      <c r="U53" s="1" t="n">
        <f aca="false">I53+$K53</f>
        <v>335.700000005</v>
      </c>
    </row>
    <row r="54" customFormat="false" ht="13.8" hidden="false" customHeight="false" outlineLevel="0" collapsed="false">
      <c r="A54" s="6" t="n">
        <v>50</v>
      </c>
      <c r="B54" s="1" t="n">
        <v>1.061</v>
      </c>
      <c r="C54" s="1" t="n">
        <v>347.4</v>
      </c>
      <c r="D54" s="1" t="n">
        <v>1.06</v>
      </c>
      <c r="E54" s="1" t="n">
        <v>347.4</v>
      </c>
      <c r="F54" s="1" t="n">
        <v>1.06</v>
      </c>
      <c r="G54" s="1" t="n">
        <v>347.4</v>
      </c>
      <c r="H54" s="1" t="n">
        <v>1.06</v>
      </c>
      <c r="I54" s="1" t="n">
        <v>346.8</v>
      </c>
      <c r="K54" s="7" t="n">
        <v>5.1E-009</v>
      </c>
      <c r="M54" s="6" t="n">
        <v>50</v>
      </c>
      <c r="N54" s="1" t="n">
        <f aca="false">B54+$K54</f>
        <v>1.0610000051</v>
      </c>
      <c r="O54" s="1" t="n">
        <f aca="false">C54+$K54</f>
        <v>347.4000000051</v>
      </c>
      <c r="P54" s="1" t="n">
        <f aca="false">D54+$K54</f>
        <v>1.0600000051</v>
      </c>
      <c r="Q54" s="1" t="n">
        <f aca="false">E54+$K54</f>
        <v>347.4000000051</v>
      </c>
      <c r="R54" s="1" t="n">
        <f aca="false">F54+$K54</f>
        <v>1.0600000051</v>
      </c>
      <c r="S54" s="1" t="n">
        <f aca="false">G54+$K54</f>
        <v>347.4000000051</v>
      </c>
      <c r="T54" s="1" t="n">
        <f aca="false">H54+$K54</f>
        <v>1.0600000051</v>
      </c>
      <c r="U54" s="1" t="n">
        <f aca="false">I54+$K54</f>
        <v>346.8000000051</v>
      </c>
    </row>
    <row r="55" customFormat="false" ht="13.9" hidden="false" customHeight="false" outlineLevel="0" collapsed="false">
      <c r="A55" s="8"/>
    </row>
    <row r="56" customFormat="false" ht="13.9" hidden="false" customHeight="false" outlineLevel="0" collapsed="false">
      <c r="A56" s="8"/>
    </row>
    <row r="57" customFormat="false" ht="13.8" hidden="false" customHeight="false" outlineLevel="0" collapsed="false"/>
    <row r="59" s="9" customFormat="true" ht="13.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85" customFormat="false" ht="13.9" hidden="false" customHeight="false" outlineLevel="0" collapsed="false">
      <c r="J85" s="8"/>
      <c r="K85" s="8"/>
    </row>
    <row r="86" customFormat="false" ht="13.9" hidden="false" customHeight="false" outlineLevel="0" collapsed="false">
      <c r="J86" s="9"/>
      <c r="K86" s="9"/>
      <c r="L86" s="8"/>
      <c r="M86" s="8"/>
      <c r="N86" s="8"/>
      <c r="O86" s="8"/>
      <c r="P86" s="8"/>
      <c r="Q86" s="8"/>
      <c r="R86" s="8"/>
      <c r="S86" s="8"/>
    </row>
    <row r="87" customFormat="false" ht="13.9" hidden="false" customHeight="false" outlineLevel="0" collapsed="false">
      <c r="J87" s="9"/>
      <c r="K87" s="9"/>
      <c r="L87" s="9"/>
      <c r="M87" s="9"/>
      <c r="N87" s="9"/>
      <c r="O87" s="9"/>
      <c r="P87" s="9"/>
      <c r="Q87" s="9"/>
      <c r="R87" s="9"/>
      <c r="S87" s="9"/>
      <c r="T87" s="8"/>
      <c r="U87" s="8"/>
      <c r="V87" s="8"/>
      <c r="W87" s="8"/>
      <c r="X87" s="8"/>
      <c r="Y87" s="8"/>
      <c r="Z87" s="8"/>
      <c r="AA87" s="8"/>
    </row>
    <row r="88" customFormat="false" ht="13.9" hidden="false" customHeight="false" outlineLevel="0" collapsed="false"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8"/>
      <c r="AC88" s="8"/>
      <c r="AD88" s="8"/>
      <c r="AE88" s="8"/>
      <c r="AF88" s="8"/>
      <c r="AG88" s="8"/>
      <c r="AH88" s="8"/>
      <c r="AI88" s="8"/>
    </row>
    <row r="89" customFormat="false" ht="13.9" hidden="false" customHeight="false" outlineLevel="0" collapsed="false"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8"/>
      <c r="AK89" s="8"/>
      <c r="AL89" s="8"/>
      <c r="AM89" s="8"/>
      <c r="AN89" s="8"/>
      <c r="AO89" s="8"/>
      <c r="AP89" s="8"/>
      <c r="AQ89" s="8"/>
    </row>
    <row r="90" customFormat="false" ht="13.9" hidden="false" customHeight="false" outlineLevel="0" collapsed="false"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8"/>
      <c r="AS90" s="8"/>
      <c r="AT90" s="8"/>
      <c r="AU90" s="8"/>
      <c r="AV90" s="8"/>
      <c r="AW90" s="8"/>
      <c r="AX90" s="8"/>
      <c r="AY90" s="8"/>
    </row>
    <row r="91" customFormat="false" ht="13.9" hidden="false" customHeight="false" outlineLevel="0" collapsed="false"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8"/>
      <c r="BA91" s="8"/>
      <c r="BB91" s="8"/>
      <c r="BC91" s="8"/>
      <c r="BD91" s="8"/>
      <c r="BE91" s="8"/>
      <c r="BF91" s="8"/>
      <c r="BG91" s="8"/>
    </row>
    <row r="92" customFormat="false" ht="13.9" hidden="false" customHeight="false" outlineLevel="0" collapsed="false"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8"/>
      <c r="BI92" s="8"/>
      <c r="BJ92" s="8"/>
      <c r="BK92" s="8"/>
      <c r="BL92" s="8"/>
      <c r="BM92" s="8"/>
      <c r="BN92" s="8"/>
      <c r="BO92" s="8"/>
    </row>
    <row r="93" customFormat="false" ht="13.9" hidden="false" customHeight="false" outlineLevel="0" collapsed="false"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8"/>
      <c r="BQ93" s="8"/>
      <c r="BR93" s="8"/>
      <c r="BS93" s="8"/>
      <c r="BT93" s="8"/>
      <c r="BU93" s="8"/>
      <c r="BV93" s="8"/>
      <c r="BW93" s="8"/>
    </row>
    <row r="94" customFormat="false" ht="13.9" hidden="false" customHeight="false" outlineLevel="0" collapsed="false"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8"/>
      <c r="BZ94" s="8"/>
      <c r="CA94" s="8"/>
      <c r="CB94" s="8"/>
      <c r="CC94" s="8"/>
      <c r="CD94" s="8"/>
      <c r="CE94" s="8"/>
    </row>
    <row r="95" customFormat="false" ht="13.9" hidden="false" customHeight="false" outlineLevel="0" collapsed="false"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8"/>
      <c r="CG95" s="8"/>
      <c r="CH95" s="8"/>
      <c r="CI95" s="8"/>
      <c r="CJ95" s="8"/>
      <c r="CK95" s="8"/>
      <c r="CL95" s="8"/>
      <c r="CM95" s="8"/>
    </row>
    <row r="96" customFormat="false" ht="13.9" hidden="false" customHeight="false" outlineLevel="0" collapsed="false"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8"/>
      <c r="CO96" s="8"/>
      <c r="CP96" s="8"/>
      <c r="CQ96" s="8"/>
      <c r="CR96" s="8"/>
      <c r="CS96" s="8"/>
      <c r="CT96" s="8"/>
      <c r="CU96" s="8"/>
    </row>
    <row r="97" customFormat="false" ht="13.9" hidden="false" customHeight="false" outlineLevel="0" collapsed="false"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8"/>
      <c r="CW97" s="8"/>
      <c r="CX97" s="8"/>
      <c r="CY97" s="8"/>
      <c r="CZ97" s="8"/>
      <c r="DA97" s="8"/>
      <c r="DB97" s="8"/>
      <c r="DC97" s="8"/>
    </row>
    <row r="98" customFormat="false" ht="13.9" hidden="false" customHeight="false" outlineLevel="0" collapsed="false"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8"/>
      <c r="DE98" s="8"/>
      <c r="DF98" s="8"/>
      <c r="DG98" s="8"/>
      <c r="DH98" s="8"/>
      <c r="DI98" s="8"/>
      <c r="DJ98" s="8"/>
      <c r="DK98" s="8"/>
    </row>
    <row r="99" customFormat="false" ht="13.9" hidden="false" customHeight="false" outlineLevel="0" collapsed="false"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8"/>
      <c r="DM99" s="8"/>
      <c r="DN99" s="8"/>
      <c r="DO99" s="8"/>
      <c r="DP99" s="8"/>
      <c r="DQ99" s="8"/>
      <c r="DR99" s="8"/>
      <c r="DS99" s="8"/>
    </row>
    <row r="100" customFormat="false" ht="13.9" hidden="false" customHeight="false" outlineLevel="0" collapsed="false"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8"/>
      <c r="DU100" s="8"/>
      <c r="DV100" s="8"/>
      <c r="DW100" s="8"/>
      <c r="DX100" s="8"/>
      <c r="DY100" s="8"/>
      <c r="DZ100" s="8"/>
      <c r="EA100" s="8"/>
    </row>
    <row r="101" customFormat="false" ht="13.9" hidden="false" customHeight="false" outlineLevel="0" collapsed="false"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8"/>
      <c r="EC101" s="8"/>
      <c r="ED101" s="8"/>
      <c r="EE101" s="8"/>
      <c r="EF101" s="8"/>
      <c r="EG101" s="8"/>
      <c r="EH101" s="8"/>
      <c r="EI101" s="8"/>
    </row>
    <row r="102" s="9" customFormat="true" ht="13.9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EJ102" s="8"/>
      <c r="EK102" s="8"/>
      <c r="EL102" s="8"/>
      <c r="EM102" s="8"/>
      <c r="EN102" s="8"/>
      <c r="EO102" s="8"/>
      <c r="EP102" s="8"/>
      <c r="EQ102" s="8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="9" customFormat="true" ht="13.9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ER103" s="8"/>
      <c r="ES103" s="8"/>
      <c r="ET103" s="8"/>
      <c r="EU103" s="8"/>
      <c r="EV103" s="8"/>
      <c r="EW103" s="8"/>
      <c r="EX103" s="8"/>
      <c r="EY103" s="8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="8" customFormat="true" ht="13.9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="8" customFormat="true" ht="13.9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="8" customFormat="true" ht="13.9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="8" customFormat="true" ht="13.9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="8" customFormat="true" ht="13.9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="8" customFormat="true" ht="13.9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L1" colorId="64" zoomScale="80" zoomScaleNormal="80" zoomScalePageLayoutView="100" workbookViewId="0">
      <selection pane="topLeft" activeCell="R16" activeCellId="0" sqref="R16"/>
    </sheetView>
  </sheetViews>
  <sheetFormatPr defaultRowHeight="13.5" zeroHeight="false" outlineLevelRow="0" outlineLevelCol="0"/>
  <cols>
    <col collapsed="false" customWidth="true" hidden="false" outlineLevel="0" max="9" min="1" style="1" width="10.61"/>
    <col collapsed="false" customWidth="true" hidden="false" outlineLevel="0" max="257" min="10" style="1" width="8.98"/>
    <col collapsed="false" customWidth="true" hidden="false" outlineLevel="0" max="1025" min="258" style="0" width="8.98"/>
  </cols>
  <sheetData>
    <row r="1" customFormat="false" ht="13.8" hidden="false" customHeight="false" outlineLevel="0" collapsed="false">
      <c r="A1" s="2" t="s">
        <v>9</v>
      </c>
      <c r="B1" s="2"/>
      <c r="C1" s="2"/>
      <c r="D1" s="2"/>
      <c r="E1" s="2"/>
      <c r="F1" s="2"/>
      <c r="G1" s="2"/>
      <c r="H1" s="2"/>
      <c r="I1" s="2"/>
      <c r="M1" s="2" t="s">
        <v>9</v>
      </c>
      <c r="N1" s="2"/>
      <c r="O1" s="2"/>
      <c r="P1" s="2"/>
      <c r="Q1" s="2"/>
      <c r="R1" s="2"/>
      <c r="S1" s="2"/>
      <c r="T1" s="2"/>
      <c r="U1" s="2"/>
    </row>
    <row r="2" customFormat="false" ht="13.8" hidden="false" customHeight="false" outlineLevel="0" collapsed="false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10</v>
      </c>
      <c r="I2" s="2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10</v>
      </c>
      <c r="U2" s="2"/>
    </row>
    <row r="3" customFormat="false" ht="13.8" hidden="false" customHeight="false" outlineLevel="0" collapsed="false">
      <c r="A3" s="2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K3" s="10" t="s">
        <v>8</v>
      </c>
      <c r="M3" s="2"/>
      <c r="N3" s="3" t="s">
        <v>6</v>
      </c>
      <c r="O3" s="3" t="s">
        <v>7</v>
      </c>
      <c r="P3" s="3" t="s">
        <v>6</v>
      </c>
      <c r="Q3" s="3" t="s">
        <v>7</v>
      </c>
      <c r="R3" s="3" t="s">
        <v>6</v>
      </c>
      <c r="S3" s="3" t="s">
        <v>7</v>
      </c>
      <c r="T3" s="3" t="s">
        <v>6</v>
      </c>
      <c r="U3" s="3" t="s">
        <v>7</v>
      </c>
    </row>
    <row r="4" customFormat="false" ht="13.8" hidden="false" customHeight="false" outlineLevel="0" collapsed="false">
      <c r="A4" s="4" t="n">
        <v>100</v>
      </c>
      <c r="B4" s="1" t="n">
        <f aca="false">0.2653*10^-4</f>
        <v>2.653E-005</v>
      </c>
      <c r="C4" s="1" t="n">
        <v>180.9</v>
      </c>
      <c r="D4" s="1" t="n">
        <f aca="false">0.2543*10^-4</f>
        <v>2.543E-005</v>
      </c>
      <c r="E4" s="1" t="n">
        <v>173</v>
      </c>
      <c r="F4" s="1" t="n">
        <f aca="false">0.2638*10^-4</f>
        <v>2.638E-005</v>
      </c>
      <c r="G4" s="1" t="n">
        <v>174.4</v>
      </c>
      <c r="H4" s="1" t="n">
        <f aca="false">0.2438*10^-4</f>
        <v>2.438E-005</v>
      </c>
      <c r="I4" s="1" t="n">
        <v>172.3</v>
      </c>
      <c r="K4" s="1" t="n">
        <v>1E-010</v>
      </c>
      <c r="M4" s="11" t="n">
        <f aca="false">A4</f>
        <v>100</v>
      </c>
      <c r="N4" s="11" t="n">
        <f aca="false">B4+$K4</f>
        <v>2.65301E-005</v>
      </c>
      <c r="O4" s="11" t="n">
        <f aca="false">C4+$K4</f>
        <v>180.9000000001</v>
      </c>
      <c r="P4" s="11" t="n">
        <f aca="false">D4+$K4</f>
        <v>2.54301E-005</v>
      </c>
      <c r="Q4" s="11" t="n">
        <f aca="false">E4+$K4</f>
        <v>173.0000000001</v>
      </c>
      <c r="R4" s="11" t="n">
        <f aca="false">F4+$K4</f>
        <v>2.63801E-005</v>
      </c>
      <c r="S4" s="11" t="n">
        <f aca="false">G4+$K4</f>
        <v>174.4000000001</v>
      </c>
      <c r="T4" s="11" t="n">
        <f aca="false">H4+$K4</f>
        <v>2.43801E-005</v>
      </c>
      <c r="U4" s="11" t="n">
        <f aca="false">I4+$K4</f>
        <v>172.3000000001</v>
      </c>
    </row>
    <row r="5" customFormat="false" ht="13.8" hidden="false" customHeight="false" outlineLevel="0" collapsed="false">
      <c r="A5" s="6" t="n">
        <v>99</v>
      </c>
      <c r="B5" s="1" t="n">
        <f aca="false">0.3405*10^-4</f>
        <v>3.405E-005</v>
      </c>
      <c r="C5" s="1" t="n">
        <v>179.6</v>
      </c>
      <c r="D5" s="1" t="n">
        <f aca="false">0.3299*10^-4</f>
        <v>3.299E-005</v>
      </c>
      <c r="E5" s="1" t="n">
        <v>172.3</v>
      </c>
      <c r="F5" s="1" t="n">
        <f aca="false">0.3415*10^-4</f>
        <v>3.415E-005</v>
      </c>
      <c r="G5" s="1" t="n">
        <v>173.6</v>
      </c>
      <c r="H5" s="1" t="n">
        <f aca="false">0.3169*10^-4</f>
        <v>3.169E-005</v>
      </c>
      <c r="I5" s="1" t="n">
        <v>170.7</v>
      </c>
      <c r="K5" s="7" t="n">
        <v>2E-010</v>
      </c>
      <c r="M5" s="11" t="n">
        <f aca="false">A5</f>
        <v>99</v>
      </c>
      <c r="N5" s="11" t="n">
        <f aca="false">B5+$K5</f>
        <v>3.40502E-005</v>
      </c>
      <c r="O5" s="11" t="n">
        <f aca="false">C5+$K5</f>
        <v>179.6000000002</v>
      </c>
      <c r="P5" s="11" t="n">
        <f aca="false">D5+$K5</f>
        <v>3.29902E-005</v>
      </c>
      <c r="Q5" s="11" t="n">
        <f aca="false">E5+$K5</f>
        <v>172.3000000002</v>
      </c>
      <c r="R5" s="11" t="n">
        <f aca="false">F5+$K5</f>
        <v>3.41502E-005</v>
      </c>
      <c r="S5" s="11" t="n">
        <f aca="false">G5+$K5</f>
        <v>173.6000000002</v>
      </c>
      <c r="T5" s="11" t="n">
        <f aca="false">H5+$K5</f>
        <v>3.16902E-005</v>
      </c>
      <c r="U5" s="11" t="n">
        <f aca="false">I5+$K5</f>
        <v>170.7000000002</v>
      </c>
    </row>
    <row r="6" customFormat="false" ht="13.8" hidden="false" customHeight="false" outlineLevel="0" collapsed="false">
      <c r="A6" s="6" t="n">
        <v>98</v>
      </c>
      <c r="B6" s="1" t="n">
        <f aca="false">0.4378*10^-4</f>
        <v>4.378E-005</v>
      </c>
      <c r="C6" s="1" t="n">
        <v>178.4</v>
      </c>
      <c r="D6" s="1" t="n">
        <f aca="false">0.4285*10^-4</f>
        <v>4.285E-005</v>
      </c>
      <c r="E6" s="1" t="n">
        <v>171.7</v>
      </c>
      <c r="F6" s="1" t="n">
        <f aca="false">0.4427*10^-4</f>
        <v>4.427E-005</v>
      </c>
      <c r="G6" s="1" t="n">
        <v>172.7</v>
      </c>
      <c r="H6" s="1" t="n">
        <f aca="false">0.413*10^-4</f>
        <v>4.13E-005</v>
      </c>
      <c r="I6" s="1" t="n">
        <v>169</v>
      </c>
      <c r="K6" s="7" t="n">
        <v>3E-010</v>
      </c>
      <c r="M6" s="11" t="n">
        <f aca="false">A6</f>
        <v>98</v>
      </c>
      <c r="N6" s="11" t="n">
        <f aca="false">B6+$K6</f>
        <v>4.37803E-005</v>
      </c>
      <c r="O6" s="11" t="n">
        <f aca="false">C6+$K6</f>
        <v>178.4000000003</v>
      </c>
      <c r="P6" s="11" t="n">
        <f aca="false">D6+$K6</f>
        <v>4.28503E-005</v>
      </c>
      <c r="Q6" s="11" t="n">
        <f aca="false">E6+$K6</f>
        <v>171.7000000003</v>
      </c>
      <c r="R6" s="11" t="n">
        <f aca="false">F6+$K6</f>
        <v>4.42703E-005</v>
      </c>
      <c r="S6" s="11" t="n">
        <f aca="false">G6+$K6</f>
        <v>172.7000000003</v>
      </c>
      <c r="T6" s="11" t="n">
        <f aca="false">H6+$K6</f>
        <v>4.13003E-005</v>
      </c>
      <c r="U6" s="11" t="n">
        <f aca="false">I6+$K6</f>
        <v>169.0000000003</v>
      </c>
    </row>
    <row r="7" customFormat="false" ht="13.8" hidden="false" customHeight="false" outlineLevel="0" collapsed="false">
      <c r="A7" s="6" t="n">
        <v>97</v>
      </c>
      <c r="B7" s="1" t="n">
        <f aca="false">0.5637*10^-4</f>
        <v>5.637E-005</v>
      </c>
      <c r="C7" s="1" t="n">
        <v>177.3</v>
      </c>
      <c r="D7" s="1" t="n">
        <f aca="false">0.557*10^-4</f>
        <v>5.57E-005</v>
      </c>
      <c r="E7" s="1" t="n">
        <v>171.2</v>
      </c>
      <c r="F7" s="1" t="n">
        <f aca="false">0.5748*10^-4</f>
        <v>5.748E-005</v>
      </c>
      <c r="G7" s="1" t="n">
        <v>171.9</v>
      </c>
      <c r="H7" s="1" t="n">
        <f aca="false">0.5396*10^-4</f>
        <v>5.396E-005</v>
      </c>
      <c r="I7" s="1" t="n">
        <v>167.6</v>
      </c>
      <c r="K7" s="1" t="n">
        <v>4E-010</v>
      </c>
      <c r="M7" s="11" t="n">
        <f aca="false">A7</f>
        <v>97</v>
      </c>
      <c r="N7" s="11" t="n">
        <f aca="false">B7+$K7</f>
        <v>5.63704E-005</v>
      </c>
      <c r="O7" s="11" t="n">
        <f aca="false">C7+$K7</f>
        <v>177.3000000004</v>
      </c>
      <c r="P7" s="11" t="n">
        <f aca="false">D7+$K7</f>
        <v>5.57004E-005</v>
      </c>
      <c r="Q7" s="11" t="n">
        <f aca="false">E7+$K7</f>
        <v>171.2000000004</v>
      </c>
      <c r="R7" s="11" t="n">
        <f aca="false">F7+$K7</f>
        <v>5.74804E-005</v>
      </c>
      <c r="S7" s="11" t="n">
        <f aca="false">G7+$K7</f>
        <v>171.9000000004</v>
      </c>
      <c r="T7" s="11" t="n">
        <f aca="false">H7+$K7</f>
        <v>5.39604E-005</v>
      </c>
      <c r="U7" s="11" t="n">
        <f aca="false">I7+$K7</f>
        <v>167.6000000004</v>
      </c>
    </row>
    <row r="8" customFormat="false" ht="13.8" hidden="false" customHeight="false" outlineLevel="0" collapsed="false">
      <c r="A8" s="6" t="n">
        <v>96</v>
      </c>
      <c r="B8" s="1" t="n">
        <f aca="false">0.7273*10^-4</f>
        <v>7.273E-005</v>
      </c>
      <c r="C8" s="1" t="n">
        <v>176</v>
      </c>
      <c r="D8" s="1" t="n">
        <f aca="false">0.7246*10^-4</f>
        <v>7.246E-005</v>
      </c>
      <c r="E8" s="1" t="n">
        <v>170.7</v>
      </c>
      <c r="F8" s="1" t="n">
        <f aca="false">0.7472*10^-4</f>
        <v>7.472E-005</v>
      </c>
      <c r="G8" s="1" t="n">
        <v>171.1</v>
      </c>
      <c r="H8" s="1" t="n">
        <f aca="false">0.7065*10^-4</f>
        <v>7.065E-005</v>
      </c>
      <c r="I8" s="1" t="n">
        <v>166.2</v>
      </c>
      <c r="K8" s="7" t="n">
        <v>5E-010</v>
      </c>
      <c r="M8" s="11" t="n">
        <f aca="false">A8</f>
        <v>96</v>
      </c>
      <c r="N8" s="11" t="n">
        <f aca="false">B8+$K8</f>
        <v>7.27305E-005</v>
      </c>
      <c r="O8" s="11" t="n">
        <f aca="false">C8+$K8</f>
        <v>176.0000000005</v>
      </c>
      <c r="P8" s="11" t="n">
        <f aca="false">D8+$K8</f>
        <v>7.24605E-005</v>
      </c>
      <c r="Q8" s="11" t="n">
        <f aca="false">E8+$K8</f>
        <v>170.7000000005</v>
      </c>
      <c r="R8" s="11" t="n">
        <f aca="false">F8+$K8</f>
        <v>7.47205E-005</v>
      </c>
      <c r="S8" s="11" t="n">
        <f aca="false">G8+$K8</f>
        <v>171.1000000005</v>
      </c>
      <c r="T8" s="11" t="n">
        <f aca="false">H8+$K8</f>
        <v>7.06505E-005</v>
      </c>
      <c r="U8" s="11" t="n">
        <f aca="false">I8+$K8</f>
        <v>166.2000000005</v>
      </c>
    </row>
    <row r="9" customFormat="false" ht="13.8" hidden="false" customHeight="false" outlineLevel="0" collapsed="false">
      <c r="A9" s="6" t="n">
        <v>95</v>
      </c>
      <c r="B9" s="1" t="n">
        <f aca="false">0.9401*10^-4</f>
        <v>9.401E-005</v>
      </c>
      <c r="C9" s="1" t="n">
        <v>174.8</v>
      </c>
      <c r="D9" s="1" t="n">
        <f aca="false">0.9434*10^-4</f>
        <v>9.434E-005</v>
      </c>
      <c r="E9" s="1" t="n">
        <v>170.3</v>
      </c>
      <c r="F9" s="1" t="n">
        <f aca="false">0.9725*10^-4</f>
        <v>9.725E-005</v>
      </c>
      <c r="G9" s="1" t="n">
        <v>170.5</v>
      </c>
      <c r="H9" s="1" t="n">
        <f aca="false">0.9273*10^-4</f>
        <v>9.273E-005</v>
      </c>
      <c r="I9" s="1" t="n">
        <v>165</v>
      </c>
      <c r="K9" s="7" t="n">
        <v>6E-010</v>
      </c>
      <c r="M9" s="11" t="n">
        <f aca="false">A9</f>
        <v>95</v>
      </c>
      <c r="N9" s="11" t="n">
        <f aca="false">B9+$K9</f>
        <v>9.40106E-005</v>
      </c>
      <c r="O9" s="11" t="n">
        <f aca="false">C9+$K9</f>
        <v>174.8000000006</v>
      </c>
      <c r="P9" s="11" t="n">
        <f aca="false">D9+$K9</f>
        <v>9.43406E-005</v>
      </c>
      <c r="Q9" s="11" t="n">
        <f aca="false">E9+$K9</f>
        <v>170.3000000006</v>
      </c>
      <c r="R9" s="11" t="n">
        <f aca="false">F9+$K9</f>
        <v>9.72506E-005</v>
      </c>
      <c r="S9" s="11" t="n">
        <f aca="false">G9+$K9</f>
        <v>170.5000000006</v>
      </c>
      <c r="T9" s="11" t="n">
        <f aca="false">H9+$K9</f>
        <v>9.27306E-005</v>
      </c>
      <c r="U9" s="11" t="n">
        <f aca="false">I9+$K9</f>
        <v>165.0000000006</v>
      </c>
    </row>
    <row r="10" customFormat="false" ht="13.8" hidden="false" customHeight="false" outlineLevel="0" collapsed="false">
      <c r="A10" s="6" t="n">
        <v>94</v>
      </c>
      <c r="B10" s="1" t="n">
        <f aca="false">0.1216*10^-3</f>
        <v>0.0001216</v>
      </c>
      <c r="C10" s="1" t="n">
        <v>174.6</v>
      </c>
      <c r="D10" s="1" t="n">
        <f aca="false">0.1228*10^-3</f>
        <v>0.0001228</v>
      </c>
      <c r="E10" s="1" t="n">
        <v>170.8</v>
      </c>
      <c r="F10" s="1" t="n">
        <f aca="false">0.1266*10^-3</f>
        <v>0.0001266</v>
      </c>
      <c r="G10" s="1" t="n">
        <v>170.8</v>
      </c>
      <c r="H10" s="1" t="n">
        <f aca="false">0.1218*10^-3</f>
        <v>0.0001218</v>
      </c>
      <c r="I10" s="1" t="n">
        <v>165.1</v>
      </c>
      <c r="K10" s="1" t="n">
        <v>7E-010</v>
      </c>
      <c r="M10" s="11" t="n">
        <f aca="false">A10</f>
        <v>94</v>
      </c>
      <c r="N10" s="11" t="n">
        <f aca="false">B10+$K10</f>
        <v>0.0001216007</v>
      </c>
      <c r="O10" s="11" t="n">
        <f aca="false">C10+$K10</f>
        <v>174.6000000007</v>
      </c>
      <c r="P10" s="11" t="n">
        <f aca="false">D10+$K10</f>
        <v>0.0001228007</v>
      </c>
      <c r="Q10" s="11" t="n">
        <f aca="false">E10+$K10</f>
        <v>170.8000000007</v>
      </c>
      <c r="R10" s="11" t="n">
        <f aca="false">F10+$K10</f>
        <v>0.0001266007</v>
      </c>
      <c r="S10" s="11" t="n">
        <f aca="false">G10+$K10</f>
        <v>170.8000000007</v>
      </c>
      <c r="T10" s="11" t="n">
        <f aca="false">H10+$K10</f>
        <v>0.0001218007</v>
      </c>
      <c r="U10" s="11" t="n">
        <f aca="false">I10+$K10</f>
        <v>165.1000000007</v>
      </c>
    </row>
    <row r="11" customFormat="false" ht="13.8" hidden="false" customHeight="false" outlineLevel="0" collapsed="false">
      <c r="A11" s="6" t="n">
        <v>93</v>
      </c>
      <c r="B11" s="1" t="n">
        <f aca="false">0.1574*10^-3</f>
        <v>0.0001574</v>
      </c>
      <c r="C11" s="1" t="n">
        <v>174.8</v>
      </c>
      <c r="D11" s="1" t="n">
        <f aca="false">0.1597*10^-3</f>
        <v>0.0001597</v>
      </c>
      <c r="E11" s="1" t="n">
        <v>171.6</v>
      </c>
      <c r="F11" s="1" t="n">
        <f aca="false">0.1647*10^-3</f>
        <v>0.0001647</v>
      </c>
      <c r="G11" s="1" t="n">
        <v>171.4</v>
      </c>
      <c r="H11" s="1" t="n">
        <f aca="false">0.1599*10^-3</f>
        <v>0.0001599</v>
      </c>
      <c r="I11" s="1" t="n">
        <v>165.7</v>
      </c>
      <c r="K11" s="7" t="n">
        <v>8E-010</v>
      </c>
      <c r="M11" s="11" t="n">
        <f aca="false">A11</f>
        <v>93</v>
      </c>
      <c r="N11" s="11" t="n">
        <f aca="false">B11+$K11</f>
        <v>0.0001574008</v>
      </c>
      <c r="O11" s="11" t="n">
        <f aca="false">C11+$K11</f>
        <v>174.8000000008</v>
      </c>
      <c r="P11" s="11" t="n">
        <f aca="false">D11+$K11</f>
        <v>0.0001597008</v>
      </c>
      <c r="Q11" s="11" t="n">
        <f aca="false">E11+$K11</f>
        <v>171.6000000008</v>
      </c>
      <c r="R11" s="11" t="n">
        <f aca="false">F11+$K11</f>
        <v>0.0001647008</v>
      </c>
      <c r="S11" s="11" t="n">
        <f aca="false">G11+$K11</f>
        <v>171.4000000008</v>
      </c>
      <c r="T11" s="11" t="n">
        <f aca="false">H11+$K11</f>
        <v>0.0001599008</v>
      </c>
      <c r="U11" s="11" t="n">
        <f aca="false">I11+$K11</f>
        <v>165.7000000008</v>
      </c>
    </row>
    <row r="12" customFormat="false" ht="13.8" hidden="false" customHeight="false" outlineLevel="0" collapsed="false">
      <c r="A12" s="6" t="n">
        <v>92</v>
      </c>
      <c r="B12" s="1" t="n">
        <f aca="false">0.2036*10^-3</f>
        <v>0.0002036</v>
      </c>
      <c r="C12" s="1" t="n">
        <v>175</v>
      </c>
      <c r="D12" s="1" t="n">
        <f aca="false">0.2075*10^-3</f>
        <v>0.0002075</v>
      </c>
      <c r="E12" s="1" t="n">
        <v>172.3</v>
      </c>
      <c r="F12" s="1" t="n">
        <f aca="false">0.2141*10^-3</f>
        <v>0.0002141</v>
      </c>
      <c r="G12" s="1" t="n">
        <v>171.8</v>
      </c>
      <c r="H12" s="1" t="n">
        <f aca="false">0.2097*10^-3</f>
        <v>0.0002097</v>
      </c>
      <c r="I12" s="1" t="n">
        <v>166.3</v>
      </c>
      <c r="K12" s="7" t="n">
        <v>9E-010</v>
      </c>
      <c r="M12" s="11" t="n">
        <f aca="false">A12</f>
        <v>92</v>
      </c>
      <c r="N12" s="11" t="n">
        <f aca="false">B12+$K12</f>
        <v>0.0002036009</v>
      </c>
      <c r="O12" s="11" t="n">
        <f aca="false">C12+$K12</f>
        <v>175.0000000009</v>
      </c>
      <c r="P12" s="11" t="n">
        <f aca="false">D12+$K12</f>
        <v>0.0002075009</v>
      </c>
      <c r="Q12" s="11" t="n">
        <f aca="false">E12+$K12</f>
        <v>172.3000000009</v>
      </c>
      <c r="R12" s="11" t="n">
        <f aca="false">F12+$K12</f>
        <v>0.0002141009</v>
      </c>
      <c r="S12" s="11" t="n">
        <f aca="false">G12+$K12</f>
        <v>171.8000000009</v>
      </c>
      <c r="T12" s="11" t="n">
        <f aca="false">H12+$K12</f>
        <v>0.0002097009</v>
      </c>
      <c r="U12" s="11" t="n">
        <f aca="false">I12+$K12</f>
        <v>166.3000000009</v>
      </c>
    </row>
    <row r="13" customFormat="false" ht="13.8" hidden="false" customHeight="false" outlineLevel="0" collapsed="false">
      <c r="A13" s="6" t="n">
        <v>91</v>
      </c>
      <c r="B13" s="1" t="n">
        <f aca="false">0.2633*10^-3</f>
        <v>0.0002633</v>
      </c>
      <c r="C13" s="1" t="n">
        <v>175.2</v>
      </c>
      <c r="D13" s="1" t="n">
        <f aca="false">0.2694*10^-3</f>
        <v>0.0002694</v>
      </c>
      <c r="E13" s="1" t="n">
        <v>173</v>
      </c>
      <c r="F13" s="1" t="n">
        <f aca="false">0.2781*10^-3</f>
        <v>0.0002781</v>
      </c>
      <c r="G13" s="1" t="n">
        <v>172.3</v>
      </c>
      <c r="H13" s="1" t="n">
        <f aca="false">0.2748*10^-3</f>
        <v>0.0002748</v>
      </c>
      <c r="I13" s="1" t="n">
        <v>166.9</v>
      </c>
      <c r="K13" s="1" t="n">
        <v>1E-009</v>
      </c>
      <c r="M13" s="11" t="n">
        <f aca="false">A13</f>
        <v>91</v>
      </c>
      <c r="N13" s="11" t="n">
        <f aca="false">B13+$K13</f>
        <v>0.000263301</v>
      </c>
      <c r="O13" s="11" t="n">
        <f aca="false">C13+$K13</f>
        <v>175.200000001</v>
      </c>
      <c r="P13" s="11" t="n">
        <f aca="false">D13+$K13</f>
        <v>0.000269401</v>
      </c>
      <c r="Q13" s="11" t="n">
        <f aca="false">E13+$K13</f>
        <v>173.000000001</v>
      </c>
      <c r="R13" s="11" t="n">
        <f aca="false">F13+$K13</f>
        <v>0.000278101</v>
      </c>
      <c r="S13" s="11" t="n">
        <f aca="false">G13+$K13</f>
        <v>172.300000001</v>
      </c>
      <c r="T13" s="11" t="n">
        <f aca="false">H13+$K13</f>
        <v>0.000274801</v>
      </c>
      <c r="U13" s="11" t="n">
        <f aca="false">I13+$K13</f>
        <v>166.900000001</v>
      </c>
    </row>
    <row r="14" customFormat="false" ht="13.8" hidden="false" customHeight="false" outlineLevel="0" collapsed="false">
      <c r="A14" s="6" t="n">
        <v>90</v>
      </c>
      <c r="B14" s="1" t="n">
        <f aca="false">0.3405*10^-3</f>
        <v>0.0003405</v>
      </c>
      <c r="C14" s="1" t="n">
        <v>175.3</v>
      </c>
      <c r="D14" s="1" t="n">
        <f aca="false">0.3493*10^-3</f>
        <v>0.0003493</v>
      </c>
      <c r="E14" s="1" t="n">
        <v>173.8</v>
      </c>
      <c r="F14" s="1" t="n">
        <f aca="false">0.3611*10^-3</f>
        <v>0.0003611</v>
      </c>
      <c r="G14" s="1" t="n">
        <v>172.7</v>
      </c>
      <c r="H14" s="1" t="n">
        <f aca="false">0.3597*10^-3</f>
        <v>0.0003597</v>
      </c>
      <c r="I14" s="1" t="n">
        <v>167.7</v>
      </c>
      <c r="K14" s="7" t="n">
        <v>1.1E-009</v>
      </c>
      <c r="M14" s="11" t="n">
        <f aca="false">A14</f>
        <v>90</v>
      </c>
      <c r="N14" s="11" t="n">
        <f aca="false">B14+$K14</f>
        <v>0.0003405011</v>
      </c>
      <c r="O14" s="11" t="n">
        <f aca="false">C14+$K14</f>
        <v>175.3000000011</v>
      </c>
      <c r="P14" s="11" t="n">
        <f aca="false">D14+$K14</f>
        <v>0.0003493011</v>
      </c>
      <c r="Q14" s="11" t="n">
        <f aca="false">E14+$K14</f>
        <v>173.8000000011</v>
      </c>
      <c r="R14" s="11" t="n">
        <f aca="false">F14+$K14</f>
        <v>0.0003611011</v>
      </c>
      <c r="S14" s="11" t="n">
        <f aca="false">G14+$K14</f>
        <v>172.7000000011</v>
      </c>
      <c r="T14" s="11" t="n">
        <f aca="false">H14+$K14</f>
        <v>0.0003597011</v>
      </c>
      <c r="U14" s="11" t="n">
        <f aca="false">I14+$K14</f>
        <v>167.7000000011</v>
      </c>
    </row>
    <row r="15" customFormat="false" ht="13.8" hidden="false" customHeight="false" outlineLevel="0" collapsed="false">
      <c r="A15" s="6" t="n">
        <v>89</v>
      </c>
      <c r="B15" s="1" t="n">
        <f aca="false">0.4401*10^-3</f>
        <v>0.0004401</v>
      </c>
      <c r="C15" s="1" t="n">
        <v>176.1</v>
      </c>
      <c r="D15" s="1" t="n">
        <f aca="false">0.4522*10^-3</f>
        <v>0.0004522</v>
      </c>
      <c r="E15" s="1" t="n">
        <v>175.4</v>
      </c>
      <c r="F15" s="1" t="n">
        <f aca="false">0.4683*10^-3</f>
        <v>0.0004683</v>
      </c>
      <c r="G15" s="1" t="n">
        <v>174.1</v>
      </c>
      <c r="H15" s="1" t="n">
        <f aca="false">0.4697*10^-3</f>
        <v>0.0004697</v>
      </c>
      <c r="I15" s="1" t="n">
        <v>169.8</v>
      </c>
      <c r="K15" s="7" t="n">
        <v>1.2E-009</v>
      </c>
      <c r="M15" s="11" t="n">
        <f aca="false">A15</f>
        <v>89</v>
      </c>
      <c r="N15" s="11" t="n">
        <f aca="false">B15+$K15</f>
        <v>0.0004401012</v>
      </c>
      <c r="O15" s="11" t="n">
        <f aca="false">C15+$K15</f>
        <v>176.1000000012</v>
      </c>
      <c r="P15" s="11" t="n">
        <f aca="false">D15+$K15</f>
        <v>0.0004522012</v>
      </c>
      <c r="Q15" s="11" t="n">
        <f aca="false">E15+$K15</f>
        <v>175.4000000012</v>
      </c>
      <c r="R15" s="11" t="n">
        <f aca="false">F15+$K15</f>
        <v>0.0004683012</v>
      </c>
      <c r="S15" s="11" t="n">
        <f aca="false">G15+$K15</f>
        <v>174.1000000012</v>
      </c>
      <c r="T15" s="11" t="n">
        <f aca="false">H15+$K15</f>
        <v>0.0004697012</v>
      </c>
      <c r="U15" s="11" t="n">
        <f aca="false">I15+$K15</f>
        <v>169.8000000012</v>
      </c>
    </row>
    <row r="16" customFormat="false" ht="13.8" hidden="false" customHeight="false" outlineLevel="0" collapsed="false">
      <c r="A16" s="6" t="n">
        <v>88</v>
      </c>
      <c r="B16" s="1" t="n">
        <f aca="false">0.5678*10^-3</f>
        <v>0.0005678</v>
      </c>
      <c r="C16" s="1" t="n">
        <v>177.5</v>
      </c>
      <c r="D16" s="1" t="n">
        <f aca="false">0.5835*10^-3</f>
        <v>0.0005835</v>
      </c>
      <c r="E16" s="1" t="n">
        <v>177.7</v>
      </c>
      <c r="F16" s="1" t="n">
        <f aca="false">0.6059*10^-3</f>
        <v>0.0006059</v>
      </c>
      <c r="G16" s="1" t="n">
        <v>175.8</v>
      </c>
      <c r="H16" s="1" t="n">
        <f aca="false">0.611*10^-3</f>
        <v>0.000611</v>
      </c>
      <c r="I16" s="1" t="n">
        <v>172.7</v>
      </c>
      <c r="K16" s="1" t="n">
        <v>1.3E-009</v>
      </c>
      <c r="M16" s="11" t="n">
        <f aca="false">A16</f>
        <v>88</v>
      </c>
      <c r="N16" s="11" t="n">
        <f aca="false">B16+$K16</f>
        <v>0.0005678013</v>
      </c>
      <c r="O16" s="11" t="n">
        <f aca="false">C16+$K16</f>
        <v>177.5000000013</v>
      </c>
      <c r="P16" s="11" t="n">
        <f aca="false">D16+$K16</f>
        <v>0.0005835013</v>
      </c>
      <c r="Q16" s="11" t="n">
        <f aca="false">E16+$K16</f>
        <v>177.7000000013</v>
      </c>
      <c r="R16" s="11" t="n">
        <f aca="false">F16+$K16</f>
        <v>0.0006059013</v>
      </c>
      <c r="S16" s="11" t="n">
        <f aca="false">G16+$K16</f>
        <v>175.8000000013</v>
      </c>
      <c r="T16" s="11" t="n">
        <f aca="false">H16+$K16</f>
        <v>0.0006110013</v>
      </c>
      <c r="U16" s="11" t="n">
        <f aca="false">I16+$K16</f>
        <v>172.7000000013</v>
      </c>
    </row>
    <row r="17" customFormat="false" ht="13.8" hidden="false" customHeight="false" outlineLevel="0" collapsed="false">
      <c r="A17" s="6" t="n">
        <v>87</v>
      </c>
      <c r="B17" s="1" t="n">
        <f aca="false">0.7311*10^-3</f>
        <v>0.0007311</v>
      </c>
      <c r="C17" s="1" t="n">
        <v>179.2</v>
      </c>
      <c r="D17" s="1" t="n">
        <f aca="false">0.7505*10^-3</f>
        <v>0.0007505</v>
      </c>
      <c r="E17" s="1" t="n">
        <v>180.3</v>
      </c>
      <c r="F17" s="1" t="n">
        <f aca="false">0.7817*10^-3</f>
        <v>0.0007817</v>
      </c>
      <c r="G17" s="1" t="n">
        <v>177.9</v>
      </c>
      <c r="H17" s="1" t="n">
        <f aca="false">0.791*10^-3</f>
        <v>0.000791</v>
      </c>
      <c r="I17" s="1" t="n">
        <v>176.3</v>
      </c>
      <c r="K17" s="7" t="n">
        <v>1.4E-009</v>
      </c>
      <c r="M17" s="11" t="n">
        <f aca="false">A17</f>
        <v>87</v>
      </c>
      <c r="N17" s="11" t="n">
        <f aca="false">B17+$K17</f>
        <v>0.0007311014</v>
      </c>
      <c r="O17" s="11" t="n">
        <f aca="false">C17+$K17</f>
        <v>179.2000000014</v>
      </c>
      <c r="P17" s="11" t="n">
        <f aca="false">D17+$K17</f>
        <v>0.0007505014</v>
      </c>
      <c r="Q17" s="11" t="n">
        <f aca="false">E17+$K17</f>
        <v>180.3000000014</v>
      </c>
      <c r="R17" s="11" t="n">
        <f aca="false">F17+$K17</f>
        <v>0.0007817014</v>
      </c>
      <c r="S17" s="11" t="n">
        <f aca="false">G17+$K17</f>
        <v>177.9000000014</v>
      </c>
      <c r="T17" s="11" t="n">
        <f aca="false">H17+$K17</f>
        <v>0.0007910014</v>
      </c>
      <c r="U17" s="11" t="n">
        <f aca="false">I17+$K17</f>
        <v>176.3000000014</v>
      </c>
    </row>
    <row r="18" customFormat="false" ht="13.8" hidden="false" customHeight="false" outlineLevel="0" collapsed="false">
      <c r="A18" s="6" t="n">
        <v>86</v>
      </c>
      <c r="B18" s="1" t="n">
        <f aca="false">0.9387*10^-3</f>
        <v>0.0009387</v>
      </c>
      <c r="C18" s="1" t="n">
        <v>181.3</v>
      </c>
      <c r="D18" s="1" t="n">
        <f aca="false">0.9616*10^-3</f>
        <v>0.0009616</v>
      </c>
      <c r="E18" s="1" t="n">
        <v>183.3</v>
      </c>
      <c r="F18" s="1" t="n">
        <f aca="false">0.1006*10^-2</f>
        <v>0.001006</v>
      </c>
      <c r="G18" s="1" t="n">
        <v>180</v>
      </c>
      <c r="H18" s="1" t="n">
        <f aca="false">0.1018*10^-2</f>
        <v>0.001018</v>
      </c>
      <c r="I18" s="1" t="n">
        <v>180.4</v>
      </c>
      <c r="K18" s="7" t="n">
        <v>1.5E-009</v>
      </c>
      <c r="M18" s="11" t="n">
        <f aca="false">A18</f>
        <v>86</v>
      </c>
      <c r="N18" s="11" t="n">
        <f aca="false">B18+$K18</f>
        <v>0.0009387015</v>
      </c>
      <c r="O18" s="11" t="n">
        <f aca="false">C18+$K18</f>
        <v>181.3000000015</v>
      </c>
      <c r="P18" s="11" t="n">
        <f aca="false">D18+$K18</f>
        <v>0.0009616015</v>
      </c>
      <c r="Q18" s="11" t="n">
        <f aca="false">E18+$K18</f>
        <v>183.3000000015</v>
      </c>
      <c r="R18" s="11" t="n">
        <f aca="false">F18+$K18</f>
        <v>0.0010060015</v>
      </c>
      <c r="S18" s="11" t="n">
        <f aca="false">G18+$K18</f>
        <v>180.0000000015</v>
      </c>
      <c r="T18" s="11" t="n">
        <f aca="false">H18+$K18</f>
        <v>0.0010180015</v>
      </c>
      <c r="U18" s="11" t="n">
        <f aca="false">I18+$K18</f>
        <v>180.4000000015</v>
      </c>
    </row>
    <row r="19" customFormat="false" ht="13.8" hidden="false" customHeight="false" outlineLevel="0" collapsed="false">
      <c r="A19" s="6" t="n">
        <v>85</v>
      </c>
      <c r="B19" s="1" t="n">
        <f aca="false">0.1202*10^-2</f>
        <v>0.001202</v>
      </c>
      <c r="C19" s="1" t="n">
        <v>183.9</v>
      </c>
      <c r="D19" s="1" t="n">
        <f aca="false">0.1227*10^-2</f>
        <v>0.001227</v>
      </c>
      <c r="E19" s="1" t="n">
        <v>186.7</v>
      </c>
      <c r="F19" s="1" t="n">
        <f aca="false">0.1289*10^-2</f>
        <v>0.001289</v>
      </c>
      <c r="G19" s="1" t="n">
        <v>182.8</v>
      </c>
      <c r="H19" s="1" t="n">
        <f aca="false">0.1302*10^-2</f>
        <v>0.001302</v>
      </c>
      <c r="I19" s="1" t="n">
        <v>185.3</v>
      </c>
      <c r="K19" s="1" t="n">
        <v>1.6E-009</v>
      </c>
      <c r="M19" s="11" t="n">
        <f aca="false">A19</f>
        <v>85</v>
      </c>
      <c r="N19" s="11" t="n">
        <f aca="false">B19+$K19</f>
        <v>0.0012020016</v>
      </c>
      <c r="O19" s="11" t="n">
        <f aca="false">C19+$K19</f>
        <v>183.9000000016</v>
      </c>
      <c r="P19" s="11" t="n">
        <f aca="false">D19+$K19</f>
        <v>0.0012270016</v>
      </c>
      <c r="Q19" s="11" t="n">
        <f aca="false">E19+$K19</f>
        <v>186.7000000016</v>
      </c>
      <c r="R19" s="11" t="n">
        <f aca="false">F19+$K19</f>
        <v>0.0012890016</v>
      </c>
      <c r="S19" s="11" t="n">
        <f aca="false">G19+$K19</f>
        <v>182.8000000016</v>
      </c>
      <c r="T19" s="11" t="n">
        <f aca="false">H19+$K19</f>
        <v>0.0013020016</v>
      </c>
      <c r="U19" s="11" t="n">
        <f aca="false">I19+$K19</f>
        <v>185.3000000016</v>
      </c>
    </row>
    <row r="20" customFormat="false" ht="13.8" hidden="false" customHeight="false" outlineLevel="0" collapsed="false">
      <c r="A20" s="6" t="n">
        <v>84</v>
      </c>
      <c r="B20" s="1" t="n">
        <f aca="false">0.1532*10^-2</f>
        <v>0.001532</v>
      </c>
      <c r="C20" s="1" t="n">
        <v>187</v>
      </c>
      <c r="D20" s="1" t="n">
        <f aca="false">0.1558*10^-2</f>
        <v>0.001558</v>
      </c>
      <c r="E20" s="1" t="n">
        <v>190.4</v>
      </c>
      <c r="F20" s="1" t="n">
        <f aca="false">0.1646*10^-2</f>
        <v>0.001646</v>
      </c>
      <c r="G20" s="1" t="n">
        <v>185.8</v>
      </c>
      <c r="H20" s="1" t="n">
        <f aca="false">0.1655*10^-2</f>
        <v>0.001655</v>
      </c>
      <c r="I20" s="1" t="n">
        <v>190.5</v>
      </c>
      <c r="K20" s="7" t="n">
        <v>1.7E-009</v>
      </c>
      <c r="M20" s="11" t="n">
        <f aca="false">A20</f>
        <v>84</v>
      </c>
      <c r="N20" s="11" t="n">
        <f aca="false">B20+$K20</f>
        <v>0.0015320017</v>
      </c>
      <c r="O20" s="11" t="n">
        <f aca="false">C20+$K20</f>
        <v>187.0000000017</v>
      </c>
      <c r="P20" s="11" t="n">
        <f aca="false">D20+$K20</f>
        <v>0.0015580017</v>
      </c>
      <c r="Q20" s="11" t="n">
        <f aca="false">E20+$K20</f>
        <v>190.4000000017</v>
      </c>
      <c r="R20" s="11" t="n">
        <f aca="false">F20+$K20</f>
        <v>0.0016460017</v>
      </c>
      <c r="S20" s="11" t="n">
        <f aca="false">G20+$K20</f>
        <v>185.8000000017</v>
      </c>
      <c r="T20" s="11" t="n">
        <f aca="false">H20+$K20</f>
        <v>0.0016550017</v>
      </c>
      <c r="U20" s="11" t="n">
        <f aca="false">I20+$K20</f>
        <v>190.5000000017</v>
      </c>
    </row>
    <row r="21" customFormat="false" ht="13.8" hidden="false" customHeight="false" outlineLevel="0" collapsed="false">
      <c r="A21" s="6" t="n">
        <v>83</v>
      </c>
      <c r="B21" s="1" t="n">
        <f aca="false">0.1946*10^-2</f>
        <v>0.001946</v>
      </c>
      <c r="C21" s="1" t="n">
        <v>190.5</v>
      </c>
      <c r="D21" s="1" t="n">
        <f aca="false">0.1969*10^-2</f>
        <v>0.001969</v>
      </c>
      <c r="E21" s="1" t="n">
        <v>194.3</v>
      </c>
      <c r="F21" s="1" t="n">
        <f aca="false">0.2094*10^-2</f>
        <v>0.002094</v>
      </c>
      <c r="G21" s="1" t="n">
        <v>189.3</v>
      </c>
      <c r="H21" s="1" t="n">
        <f aca="false">0.2089*10^-2</f>
        <v>0.002089</v>
      </c>
      <c r="I21" s="1" t="n">
        <v>196</v>
      </c>
      <c r="K21" s="7" t="n">
        <v>1.8E-009</v>
      </c>
      <c r="M21" s="11" t="n">
        <f aca="false">A21</f>
        <v>83</v>
      </c>
      <c r="N21" s="11" t="n">
        <f aca="false">B21+$K21</f>
        <v>0.0019460018</v>
      </c>
      <c r="O21" s="11" t="n">
        <f aca="false">C21+$K21</f>
        <v>190.5000000018</v>
      </c>
      <c r="P21" s="11" t="n">
        <f aca="false">D21+$K21</f>
        <v>0.0019690018</v>
      </c>
      <c r="Q21" s="11" t="n">
        <f aca="false">E21+$K21</f>
        <v>194.3000000018</v>
      </c>
      <c r="R21" s="11" t="n">
        <f aca="false">F21+$K21</f>
        <v>0.0020940018</v>
      </c>
      <c r="S21" s="11" t="n">
        <f aca="false">G21+$K21</f>
        <v>189.3000000018</v>
      </c>
      <c r="T21" s="11" t="n">
        <f aca="false">H21+$K21</f>
        <v>0.0020890018</v>
      </c>
      <c r="U21" s="11" t="n">
        <f aca="false">I21+$K21</f>
        <v>196.0000000018</v>
      </c>
    </row>
    <row r="22" customFormat="false" ht="13.8" hidden="false" customHeight="false" outlineLevel="0" collapsed="false">
      <c r="A22" s="6" t="n">
        <v>82</v>
      </c>
      <c r="B22" s="1" t="n">
        <f aca="false">0.246*10^-2</f>
        <v>0.00246</v>
      </c>
      <c r="C22" s="1" t="n">
        <v>194.4</v>
      </c>
      <c r="D22" s="1" t="n">
        <f aca="false">0.2478*10^-2</f>
        <v>0.002478</v>
      </c>
      <c r="E22" s="1" t="n">
        <v>198.1</v>
      </c>
      <c r="F22" s="1" t="n">
        <f aca="false">0.2651*10^-2</f>
        <v>0.002651</v>
      </c>
      <c r="G22" s="1" t="n">
        <v>193</v>
      </c>
      <c r="H22" s="1" t="n">
        <f aca="false">0.2622*10^-2</f>
        <v>0.002622</v>
      </c>
      <c r="I22" s="1" t="n">
        <v>200.9</v>
      </c>
      <c r="K22" s="1" t="n">
        <v>1.9E-009</v>
      </c>
      <c r="M22" s="11" t="n">
        <f aca="false">A22</f>
        <v>82</v>
      </c>
      <c r="N22" s="11" t="n">
        <f aca="false">B22+$K22</f>
        <v>0.0024600019</v>
      </c>
      <c r="O22" s="11" t="n">
        <f aca="false">C22+$K22</f>
        <v>194.4000000019</v>
      </c>
      <c r="P22" s="11" t="n">
        <f aca="false">D22+$K22</f>
        <v>0.0024780019</v>
      </c>
      <c r="Q22" s="11" t="n">
        <f aca="false">E22+$K22</f>
        <v>198.1000000019</v>
      </c>
      <c r="R22" s="11" t="n">
        <f aca="false">F22+$K22</f>
        <v>0.0026510019</v>
      </c>
      <c r="S22" s="11" t="n">
        <f aca="false">G22+$K22</f>
        <v>193.0000000019</v>
      </c>
      <c r="T22" s="11" t="n">
        <f aca="false">H22+$K22</f>
        <v>0.0026220019</v>
      </c>
      <c r="U22" s="11" t="n">
        <f aca="false">I22+$K22</f>
        <v>200.9000000019</v>
      </c>
    </row>
    <row r="23" customFormat="false" ht="13.8" hidden="false" customHeight="false" outlineLevel="0" collapsed="false">
      <c r="A23" s="6" t="n">
        <v>81</v>
      </c>
      <c r="B23" s="1" t="n">
        <f aca="false">0.3095*10^-2</f>
        <v>0.003095</v>
      </c>
      <c r="C23" s="1" t="n">
        <v>198.4</v>
      </c>
      <c r="D23" s="1" t="n">
        <f aca="false">0.3106*10^-2</f>
        <v>0.003106</v>
      </c>
      <c r="E23" s="1" t="n">
        <v>201.5</v>
      </c>
      <c r="F23" s="1" t="n">
        <f aca="false">0.3341*10^-2</f>
        <v>0.003341</v>
      </c>
      <c r="G23" s="1" t="n">
        <v>197</v>
      </c>
      <c r="H23" s="1" t="n">
        <f aca="false">0.3274*10^-2</f>
        <v>0.003274</v>
      </c>
      <c r="I23" s="1" t="n">
        <v>205</v>
      </c>
      <c r="K23" s="7" t="n">
        <v>2E-009</v>
      </c>
      <c r="M23" s="11" t="n">
        <f aca="false">A23</f>
        <v>81</v>
      </c>
      <c r="N23" s="11" t="n">
        <f aca="false">B23+$K23</f>
        <v>0.003095002</v>
      </c>
      <c r="O23" s="11" t="n">
        <f aca="false">C23+$K23</f>
        <v>198.400000002</v>
      </c>
      <c r="P23" s="11" t="n">
        <f aca="false">D23+$K23</f>
        <v>0.003106002</v>
      </c>
      <c r="Q23" s="11" t="n">
        <f aca="false">E23+$K23</f>
        <v>201.500000002</v>
      </c>
      <c r="R23" s="11" t="n">
        <f aca="false">F23+$K23</f>
        <v>0.003341002</v>
      </c>
      <c r="S23" s="11" t="n">
        <f aca="false">G23+$K23</f>
        <v>197.000000002</v>
      </c>
      <c r="T23" s="11" t="n">
        <f aca="false">H23+$K23</f>
        <v>0.003274002</v>
      </c>
      <c r="U23" s="11" t="n">
        <f aca="false">I23+$K23</f>
        <v>205.000000002</v>
      </c>
    </row>
    <row r="24" customFormat="false" ht="13.8" hidden="false" customHeight="false" outlineLevel="0" collapsed="false">
      <c r="A24" s="6" t="n">
        <v>80</v>
      </c>
      <c r="B24" s="1" t="n">
        <f aca="false">0.3876*10^-2</f>
        <v>0.003876</v>
      </c>
      <c r="C24" s="1" t="n">
        <v>202.3</v>
      </c>
      <c r="D24" s="1" t="n">
        <f aca="false">0.3879*10^-2</f>
        <v>0.003879</v>
      </c>
      <c r="E24" s="1" t="n">
        <v>204.7</v>
      </c>
      <c r="F24" s="1" t="n">
        <f aca="false">0.419*10^-2</f>
        <v>0.00419</v>
      </c>
      <c r="G24" s="1" t="n">
        <v>201.2</v>
      </c>
      <c r="H24" s="1" t="n">
        <f aca="false">0.4072*10^-2</f>
        <v>0.004072</v>
      </c>
      <c r="I24" s="1" t="n">
        <v>208.5</v>
      </c>
      <c r="K24" s="7" t="n">
        <v>2.1E-009</v>
      </c>
      <c r="M24" s="11" t="n">
        <f aca="false">A24</f>
        <v>80</v>
      </c>
      <c r="N24" s="11" t="n">
        <f aca="false">B24+$K24</f>
        <v>0.0038760021</v>
      </c>
      <c r="O24" s="11" t="n">
        <f aca="false">C24+$K24</f>
        <v>202.3000000021</v>
      </c>
      <c r="P24" s="11" t="n">
        <f aca="false">D24+$K24</f>
        <v>0.0038790021</v>
      </c>
      <c r="Q24" s="11" t="n">
        <f aca="false">E24+$K24</f>
        <v>204.7000000021</v>
      </c>
      <c r="R24" s="11" t="n">
        <f aca="false">F24+$K24</f>
        <v>0.0041900021</v>
      </c>
      <c r="S24" s="11" t="n">
        <f aca="false">G24+$K24</f>
        <v>201.2000000021</v>
      </c>
      <c r="T24" s="11" t="n">
        <f aca="false">H24+$K24</f>
        <v>0.0040720021</v>
      </c>
      <c r="U24" s="11" t="n">
        <f aca="false">I24+$K24</f>
        <v>208.5000000021</v>
      </c>
    </row>
    <row r="25" customFormat="false" ht="13.8" hidden="false" customHeight="false" outlineLevel="0" collapsed="false">
      <c r="A25" s="6" t="n">
        <v>79</v>
      </c>
      <c r="B25" s="1" t="n">
        <f aca="false">0.4835*10^-2</f>
        <v>0.004835</v>
      </c>
      <c r="C25" s="1" t="n">
        <v>206.2</v>
      </c>
      <c r="D25" s="1" t="n">
        <f aca="false">0.4828*10^-2</f>
        <v>0.004828</v>
      </c>
      <c r="E25" s="1" t="n">
        <v>207.8</v>
      </c>
      <c r="F25" s="1" t="n">
        <f aca="false">0.523*10^-2</f>
        <v>0.00523</v>
      </c>
      <c r="G25" s="1" t="n">
        <v>205.8</v>
      </c>
      <c r="H25" s="1" t="n">
        <f aca="false">0.5048*10^-2</f>
        <v>0.005048</v>
      </c>
      <c r="I25" s="1" t="n">
        <v>211.7</v>
      </c>
      <c r="K25" s="1" t="n">
        <v>2.2E-009</v>
      </c>
      <c r="M25" s="11" t="n">
        <f aca="false">A25</f>
        <v>79</v>
      </c>
      <c r="N25" s="11" t="n">
        <f aca="false">B25+$K25</f>
        <v>0.0048350022</v>
      </c>
      <c r="O25" s="11" t="n">
        <f aca="false">C25+$K25</f>
        <v>206.2000000022</v>
      </c>
      <c r="P25" s="11" t="n">
        <f aca="false">D25+$K25</f>
        <v>0.0048280022</v>
      </c>
      <c r="Q25" s="11" t="n">
        <f aca="false">E25+$K25</f>
        <v>207.8000000022</v>
      </c>
      <c r="R25" s="11" t="n">
        <f aca="false">F25+$K25</f>
        <v>0.0052300022</v>
      </c>
      <c r="S25" s="11" t="n">
        <f aca="false">G25+$K25</f>
        <v>205.8000000022</v>
      </c>
      <c r="T25" s="11" t="n">
        <f aca="false">H25+$K25</f>
        <v>0.0050480022</v>
      </c>
      <c r="U25" s="11" t="n">
        <f aca="false">I25+$K25</f>
        <v>211.7000000022</v>
      </c>
    </row>
    <row r="26" customFormat="false" ht="13.8" hidden="false" customHeight="false" outlineLevel="0" collapsed="false">
      <c r="A26" s="6" t="n">
        <v>78</v>
      </c>
      <c r="B26" s="1" t="n">
        <f aca="false">0.6006*10^-2</f>
        <v>0.006006</v>
      </c>
      <c r="C26" s="1" t="n">
        <v>210</v>
      </c>
      <c r="D26" s="1" t="n">
        <f aca="false">0.599*10^-2</f>
        <v>0.00599</v>
      </c>
      <c r="E26" s="1" t="n">
        <v>211</v>
      </c>
      <c r="F26" s="1" t="n">
        <f aca="false">0.6497*10^-2</f>
        <v>0.006497</v>
      </c>
      <c r="G26" s="1" t="n">
        <v>210.5</v>
      </c>
      <c r="H26" s="1" t="n">
        <f aca="false">0.624*10^-2</f>
        <v>0.00624</v>
      </c>
      <c r="I26" s="1" t="n">
        <v>214.5</v>
      </c>
      <c r="K26" s="7" t="n">
        <v>2.3E-009</v>
      </c>
      <c r="M26" s="11" t="n">
        <f aca="false">A26</f>
        <v>78</v>
      </c>
      <c r="N26" s="11" t="n">
        <f aca="false">B26+$K26</f>
        <v>0.0060060023</v>
      </c>
      <c r="O26" s="11" t="n">
        <f aca="false">C26+$K26</f>
        <v>210.0000000023</v>
      </c>
      <c r="P26" s="11" t="n">
        <f aca="false">D26+$K26</f>
        <v>0.0059900023</v>
      </c>
      <c r="Q26" s="11" t="n">
        <f aca="false">E26+$K26</f>
        <v>211.0000000023</v>
      </c>
      <c r="R26" s="11" t="n">
        <f aca="false">F26+$K26</f>
        <v>0.0064970023</v>
      </c>
      <c r="S26" s="11" t="n">
        <f aca="false">G26+$K26</f>
        <v>210.5000000023</v>
      </c>
      <c r="T26" s="11" t="n">
        <f aca="false">H26+$K26</f>
        <v>0.0062400023</v>
      </c>
      <c r="U26" s="11" t="n">
        <f aca="false">I26+$K26</f>
        <v>214.5000000023</v>
      </c>
    </row>
    <row r="27" customFormat="false" ht="13.8" hidden="false" customHeight="false" outlineLevel="0" collapsed="false">
      <c r="A27" s="6" t="n">
        <v>77</v>
      </c>
      <c r="B27" s="1" t="n">
        <f aca="false">0.7435*10^-2</f>
        <v>0.007435</v>
      </c>
      <c r="C27" s="1" t="n">
        <v>213.3</v>
      </c>
      <c r="D27" s="1" t="n">
        <f aca="false">0.7409*10^-2</f>
        <v>0.007409</v>
      </c>
      <c r="E27" s="1" t="n">
        <v>213.9</v>
      </c>
      <c r="F27" s="1" t="n">
        <f aca="false">0.8035*10^-2</f>
        <v>0.008035</v>
      </c>
      <c r="G27" s="1" t="n">
        <v>214.4</v>
      </c>
      <c r="H27" s="1" t="n">
        <f aca="false">0.7695*10^-2</f>
        <v>0.007695</v>
      </c>
      <c r="I27" s="1" t="n">
        <v>216.7</v>
      </c>
      <c r="K27" s="7" t="n">
        <v>2.4E-009</v>
      </c>
      <c r="M27" s="11" t="n">
        <f aca="false">A27</f>
        <v>77</v>
      </c>
      <c r="N27" s="11" t="n">
        <f aca="false">B27+$K27</f>
        <v>0.0074350024</v>
      </c>
      <c r="O27" s="11" t="n">
        <f aca="false">C27+$K27</f>
        <v>213.3000000024</v>
      </c>
      <c r="P27" s="11" t="n">
        <f aca="false">D27+$K27</f>
        <v>0.0074090024</v>
      </c>
      <c r="Q27" s="11" t="n">
        <f aca="false">E27+$K27</f>
        <v>213.9000000024</v>
      </c>
      <c r="R27" s="11" t="n">
        <f aca="false">F27+$K27</f>
        <v>0.0080350024</v>
      </c>
      <c r="S27" s="11" t="n">
        <f aca="false">G27+$K27</f>
        <v>214.4000000024</v>
      </c>
      <c r="T27" s="11" t="n">
        <f aca="false">H27+$K27</f>
        <v>0.0076950024</v>
      </c>
      <c r="U27" s="11" t="n">
        <f aca="false">I27+$K27</f>
        <v>216.7000000024</v>
      </c>
    </row>
    <row r="28" customFormat="false" ht="13.8" hidden="false" customHeight="false" outlineLevel="0" collapsed="false">
      <c r="A28" s="6" t="n">
        <v>76</v>
      </c>
      <c r="B28" s="1" t="n">
        <f aca="false">0.9178*10^-2</f>
        <v>0.009178</v>
      </c>
      <c r="C28" s="1" t="n">
        <v>216.1</v>
      </c>
      <c r="D28" s="1" t="n">
        <f aca="false">0.9141*10^-2</f>
        <v>0.009141</v>
      </c>
      <c r="E28" s="1" t="n">
        <v>216.4</v>
      </c>
      <c r="F28" s="1" t="n">
        <f aca="false">0.9903*10^-2</f>
        <v>0.009903</v>
      </c>
      <c r="G28" s="1" t="n">
        <v>218</v>
      </c>
      <c r="H28" s="1" t="n">
        <f aca="false">0.9473*10^-2</f>
        <v>0.009473</v>
      </c>
      <c r="I28" s="1" t="n">
        <v>218.4</v>
      </c>
      <c r="K28" s="1" t="n">
        <v>2.5E-009</v>
      </c>
      <c r="M28" s="11" t="n">
        <f aca="false">A28</f>
        <v>76</v>
      </c>
      <c r="N28" s="11" t="n">
        <f aca="false">B28+$K28</f>
        <v>0.0091780025</v>
      </c>
      <c r="O28" s="11" t="n">
        <f aca="false">C28+$K28</f>
        <v>216.1000000025</v>
      </c>
      <c r="P28" s="11" t="n">
        <f aca="false">D28+$K28</f>
        <v>0.0091410025</v>
      </c>
      <c r="Q28" s="11" t="n">
        <f aca="false">E28+$K28</f>
        <v>216.4000000025</v>
      </c>
      <c r="R28" s="11" t="n">
        <f aca="false">F28+$K28</f>
        <v>0.0099030025</v>
      </c>
      <c r="S28" s="11" t="n">
        <f aca="false">G28+$K28</f>
        <v>218.0000000025</v>
      </c>
      <c r="T28" s="11" t="n">
        <f aca="false">H28+$K28</f>
        <v>0.0094730025</v>
      </c>
      <c r="U28" s="11" t="n">
        <f aca="false">I28+$K28</f>
        <v>218.4000000025</v>
      </c>
    </row>
    <row r="29" customFormat="false" ht="13.8" hidden="false" customHeight="false" outlineLevel="0" collapsed="false">
      <c r="A29" s="6" t="n">
        <v>75</v>
      </c>
      <c r="B29" s="1" t="n">
        <f aca="false">0.113*10^-1</f>
        <v>0.0113</v>
      </c>
      <c r="C29" s="1" t="n">
        <v>218.8</v>
      </c>
      <c r="D29" s="1" t="n">
        <f aca="false">0.1125*10^-1</f>
        <v>0.01125</v>
      </c>
      <c r="E29" s="1" t="n">
        <v>218.8</v>
      </c>
      <c r="F29" s="1" t="n">
        <f aca="false">0.1217*10^-1</f>
        <v>0.01217</v>
      </c>
      <c r="G29" s="1" t="n">
        <v>221.1</v>
      </c>
      <c r="H29" s="1" t="n">
        <f aca="false">0.1164*10^-1</f>
        <v>0.01164</v>
      </c>
      <c r="I29" s="1" t="n">
        <v>220.1</v>
      </c>
      <c r="K29" s="7" t="n">
        <v>2.6E-009</v>
      </c>
      <c r="M29" s="11" t="n">
        <f aca="false">A29</f>
        <v>75</v>
      </c>
      <c r="N29" s="11" t="n">
        <f aca="false">B29+$K29</f>
        <v>0.0113000026</v>
      </c>
      <c r="O29" s="11" t="n">
        <f aca="false">C29+$K29</f>
        <v>218.8000000026</v>
      </c>
      <c r="P29" s="11" t="n">
        <f aca="false">D29+$K29</f>
        <v>0.0112500026</v>
      </c>
      <c r="Q29" s="11" t="n">
        <f aca="false">E29+$K29</f>
        <v>218.8000000026</v>
      </c>
      <c r="R29" s="11" t="n">
        <f aca="false">F29+$K29</f>
        <v>0.0121700026</v>
      </c>
      <c r="S29" s="11" t="n">
        <f aca="false">G29+$K29</f>
        <v>221.1000000026</v>
      </c>
      <c r="T29" s="11" t="n">
        <f aca="false">H29+$K29</f>
        <v>0.0116400026</v>
      </c>
      <c r="U29" s="11" t="n">
        <f aca="false">I29+$K29</f>
        <v>220.1000000026</v>
      </c>
    </row>
    <row r="30" customFormat="false" ht="13.8" hidden="false" customHeight="false" outlineLevel="0" collapsed="false">
      <c r="A30" s="6" t="n">
        <v>74</v>
      </c>
      <c r="B30" s="1" t="n">
        <f aca="false">0.1388*10^-1</f>
        <v>0.01388</v>
      </c>
      <c r="C30" s="1" t="n">
        <v>221.4</v>
      </c>
      <c r="D30" s="1" t="n">
        <f aca="false">0.1382*10^-1</f>
        <v>0.01382</v>
      </c>
      <c r="E30" s="1" t="n">
        <v>220.9</v>
      </c>
      <c r="F30" s="1" t="n">
        <f aca="false">0.1491*10^-1</f>
        <v>0.01491</v>
      </c>
      <c r="G30" s="1" t="n">
        <v>224.1</v>
      </c>
      <c r="H30" s="1" t="n">
        <f aca="false">0.1429*10^-1</f>
        <v>0.01429</v>
      </c>
      <c r="I30" s="1" t="n">
        <v>221.7</v>
      </c>
      <c r="K30" s="7" t="n">
        <v>2.7E-009</v>
      </c>
      <c r="M30" s="11" t="n">
        <f aca="false">A30</f>
        <v>74</v>
      </c>
      <c r="N30" s="11" t="n">
        <f aca="false">B30+$K30</f>
        <v>0.0138800027</v>
      </c>
      <c r="O30" s="11" t="n">
        <f aca="false">C30+$K30</f>
        <v>221.4000000027</v>
      </c>
      <c r="P30" s="11" t="n">
        <f aca="false">D30+$K30</f>
        <v>0.0138200027</v>
      </c>
      <c r="Q30" s="11" t="n">
        <f aca="false">E30+$K30</f>
        <v>220.9000000027</v>
      </c>
      <c r="R30" s="11" t="n">
        <f aca="false">F30+$K30</f>
        <v>0.0149100027</v>
      </c>
      <c r="S30" s="11" t="n">
        <f aca="false">G30+$K30</f>
        <v>224.1000000027</v>
      </c>
      <c r="T30" s="11" t="n">
        <f aca="false">H30+$K30</f>
        <v>0.0142900027</v>
      </c>
      <c r="U30" s="11" t="n">
        <f aca="false">I30+$K30</f>
        <v>221.7000000027</v>
      </c>
    </row>
    <row r="31" customFormat="false" ht="13.8" hidden="false" customHeight="false" outlineLevel="0" collapsed="false">
      <c r="A31" s="6" t="n">
        <v>73</v>
      </c>
      <c r="B31" s="1" t="n">
        <f aca="false">0.17*10^-1</f>
        <v>0.017</v>
      </c>
      <c r="C31" s="1" t="n">
        <v>223.9</v>
      </c>
      <c r="D31" s="1" t="n">
        <f aca="false">0.1695*10^-1</f>
        <v>0.01695</v>
      </c>
      <c r="E31" s="1" t="n">
        <v>222.6</v>
      </c>
      <c r="F31" s="1" t="n">
        <f aca="false">0.1822*10^-1</f>
        <v>0.01822</v>
      </c>
      <c r="G31" s="1" t="n">
        <v>226.5</v>
      </c>
      <c r="H31" s="1" t="n">
        <f aca="false">0.1752*10^-1</f>
        <v>0.01752</v>
      </c>
      <c r="I31" s="1" t="n">
        <v>223</v>
      </c>
      <c r="K31" s="1" t="n">
        <v>2.8E-009</v>
      </c>
      <c r="M31" s="11" t="n">
        <f aca="false">A31</f>
        <v>73</v>
      </c>
      <c r="N31" s="11" t="n">
        <f aca="false">B31+$K31</f>
        <v>0.0170000028</v>
      </c>
      <c r="O31" s="11" t="n">
        <f aca="false">C31+$K31</f>
        <v>223.9000000028</v>
      </c>
      <c r="P31" s="11" t="n">
        <f aca="false">D31+$K31</f>
        <v>0.0169500028</v>
      </c>
      <c r="Q31" s="11" t="n">
        <f aca="false">E31+$K31</f>
        <v>222.6000000028</v>
      </c>
      <c r="R31" s="11" t="n">
        <f aca="false">F31+$K31</f>
        <v>0.0182200028</v>
      </c>
      <c r="S31" s="11" t="n">
        <f aca="false">G31+$K31</f>
        <v>226.5000000028</v>
      </c>
      <c r="T31" s="11" t="n">
        <f aca="false">H31+$K31</f>
        <v>0.0175200028</v>
      </c>
      <c r="U31" s="11" t="n">
        <f aca="false">I31+$K31</f>
        <v>223.0000000028</v>
      </c>
    </row>
    <row r="32" customFormat="false" ht="13.8" hidden="false" customHeight="false" outlineLevel="0" collapsed="false">
      <c r="A32" s="6" t="n">
        <v>72</v>
      </c>
      <c r="B32" s="1" t="n">
        <f aca="false">0.2079*10^-1</f>
        <v>0.02079</v>
      </c>
      <c r="C32" s="1" t="n">
        <v>225.9</v>
      </c>
      <c r="D32" s="1" t="n">
        <f aca="false">0.2077*10^-1</f>
        <v>0.02077</v>
      </c>
      <c r="E32" s="1" t="n">
        <v>223.8</v>
      </c>
      <c r="F32" s="1" t="n">
        <f aca="false">0.2224*10^-1</f>
        <v>0.02224</v>
      </c>
      <c r="G32" s="1" t="n">
        <v>228.3</v>
      </c>
      <c r="H32" s="1" t="n">
        <f aca="false">0.2145*10^-1</f>
        <v>0.02145</v>
      </c>
      <c r="I32" s="1" t="n">
        <v>224.3</v>
      </c>
      <c r="K32" s="7" t="n">
        <v>2.9E-009</v>
      </c>
      <c r="M32" s="11" t="n">
        <f aca="false">A32</f>
        <v>72</v>
      </c>
      <c r="N32" s="11" t="n">
        <f aca="false">B32+$K32</f>
        <v>0.0207900029</v>
      </c>
      <c r="O32" s="11" t="n">
        <f aca="false">C32+$K32</f>
        <v>225.9000000029</v>
      </c>
      <c r="P32" s="11" t="n">
        <f aca="false">D32+$K32</f>
        <v>0.0207700029</v>
      </c>
      <c r="Q32" s="11" t="n">
        <f aca="false">E32+$K32</f>
        <v>223.8000000029</v>
      </c>
      <c r="R32" s="11" t="n">
        <f aca="false">F32+$K32</f>
        <v>0.0222400029</v>
      </c>
      <c r="S32" s="11" t="n">
        <f aca="false">G32+$K32</f>
        <v>228.3000000029</v>
      </c>
      <c r="T32" s="11" t="n">
        <f aca="false">H32+$K32</f>
        <v>0.0214500029</v>
      </c>
      <c r="U32" s="11" t="n">
        <f aca="false">I32+$K32</f>
        <v>224.3000000029</v>
      </c>
    </row>
    <row r="33" customFormat="false" ht="13.8" hidden="false" customHeight="false" outlineLevel="0" collapsed="false">
      <c r="A33" s="6" t="n">
        <v>71</v>
      </c>
      <c r="B33" s="1" t="n">
        <f aca="false">0.2539*10^-1</f>
        <v>0.02539</v>
      </c>
      <c r="C33" s="1" t="n">
        <v>227.6</v>
      </c>
      <c r="D33" s="1" t="n">
        <f aca="false">0.2542*10^-1</f>
        <v>0.02542</v>
      </c>
      <c r="E33" s="1" t="n">
        <v>224.8</v>
      </c>
      <c r="F33" s="1" t="n">
        <f aca="false">0.271*10^-1</f>
        <v>0.0271</v>
      </c>
      <c r="G33" s="1" t="n">
        <v>229.9</v>
      </c>
      <c r="H33" s="1" t="n">
        <f aca="false">0.2624*10^-1</f>
        <v>0.02624</v>
      </c>
      <c r="I33" s="1" t="n">
        <v>225.7</v>
      </c>
      <c r="K33" s="7" t="n">
        <v>3E-009</v>
      </c>
      <c r="M33" s="11" t="n">
        <f aca="false">A33</f>
        <v>71</v>
      </c>
      <c r="N33" s="11" t="n">
        <f aca="false">B33+$K33</f>
        <v>0.025390003</v>
      </c>
      <c r="O33" s="11" t="n">
        <f aca="false">C33+$K33</f>
        <v>227.600000003</v>
      </c>
      <c r="P33" s="11" t="n">
        <f aca="false">D33+$K33</f>
        <v>0.025420003</v>
      </c>
      <c r="Q33" s="11" t="n">
        <f aca="false">E33+$K33</f>
        <v>224.800000003</v>
      </c>
      <c r="R33" s="11" t="n">
        <f aca="false">F33+$K33</f>
        <v>0.027100003</v>
      </c>
      <c r="S33" s="11" t="n">
        <f aca="false">G33+$K33</f>
        <v>229.900000003</v>
      </c>
      <c r="T33" s="11" t="n">
        <f aca="false">H33+$K33</f>
        <v>0.026240003</v>
      </c>
      <c r="U33" s="11" t="n">
        <f aca="false">I33+$K33</f>
        <v>225.700000003</v>
      </c>
    </row>
    <row r="34" customFormat="false" ht="13.8" hidden="false" customHeight="false" outlineLevel="0" collapsed="false">
      <c r="A34" s="6" t="n">
        <v>70</v>
      </c>
      <c r="B34" s="1" t="n">
        <f aca="false">0.3097*10^-1</f>
        <v>0.03097</v>
      </c>
      <c r="C34" s="1" t="n">
        <v>228.9</v>
      </c>
      <c r="D34" s="1" t="n">
        <f aca="false">0.3109*10^-1</f>
        <v>0.03109</v>
      </c>
      <c r="E34" s="1" t="n">
        <v>225.5</v>
      </c>
      <c r="F34" s="1" t="n">
        <f aca="false">0.3298*10^-1</f>
        <v>0.03298</v>
      </c>
      <c r="G34" s="1" t="n">
        <v>231.2</v>
      </c>
      <c r="H34" s="1" t="n">
        <f aca="false">0.3205*10^-1</f>
        <v>0.03205</v>
      </c>
      <c r="I34" s="1" t="n">
        <v>227.1</v>
      </c>
      <c r="K34" s="1" t="n">
        <v>3.1E-009</v>
      </c>
      <c r="M34" s="11" t="n">
        <f aca="false">A34</f>
        <v>70</v>
      </c>
      <c r="N34" s="11" t="n">
        <f aca="false">B34+$K34</f>
        <v>0.0309700031</v>
      </c>
      <c r="O34" s="11" t="n">
        <f aca="false">C34+$K34</f>
        <v>228.9000000031</v>
      </c>
      <c r="P34" s="11" t="n">
        <f aca="false">D34+$K34</f>
        <v>0.0310900031</v>
      </c>
      <c r="Q34" s="11" t="n">
        <f aca="false">E34+$K34</f>
        <v>225.5000000031</v>
      </c>
      <c r="R34" s="11" t="n">
        <f aca="false">F34+$K34</f>
        <v>0.0329800031</v>
      </c>
      <c r="S34" s="11" t="n">
        <f aca="false">G34+$K34</f>
        <v>231.2000000031</v>
      </c>
      <c r="T34" s="11" t="n">
        <f aca="false">H34+$K34</f>
        <v>0.0320500031</v>
      </c>
      <c r="U34" s="11" t="n">
        <f aca="false">I34+$K34</f>
        <v>227.1000000031</v>
      </c>
    </row>
    <row r="35" customFormat="false" ht="13.8" hidden="false" customHeight="false" outlineLevel="0" collapsed="false">
      <c r="A35" s="6" t="n">
        <v>69</v>
      </c>
      <c r="B35" s="1" t="n">
        <f aca="false">0.3774*10^-1</f>
        <v>0.03774</v>
      </c>
      <c r="C35" s="1" t="n">
        <v>229.8</v>
      </c>
      <c r="D35" s="1" t="n">
        <f aca="false">0.3801*10^-1</f>
        <v>0.03801</v>
      </c>
      <c r="E35" s="1" t="n">
        <v>226</v>
      </c>
      <c r="F35" s="1" t="n">
        <f aca="false">0.4011*10^-1</f>
        <v>0.04011</v>
      </c>
      <c r="G35" s="1" t="n">
        <v>232.4</v>
      </c>
      <c r="H35" s="1" t="n">
        <f aca="false">0.3911*10^-1</f>
        <v>0.03911</v>
      </c>
      <c r="I35" s="1" t="n">
        <v>228.5</v>
      </c>
      <c r="K35" s="7" t="n">
        <v>3.2E-009</v>
      </c>
      <c r="M35" s="11" t="n">
        <f aca="false">A35</f>
        <v>69</v>
      </c>
      <c r="N35" s="11" t="n">
        <f aca="false">B35+$K35</f>
        <v>0.0377400032</v>
      </c>
      <c r="O35" s="11" t="n">
        <f aca="false">C35+$K35</f>
        <v>229.8000000032</v>
      </c>
      <c r="P35" s="11" t="n">
        <f aca="false">D35+$K35</f>
        <v>0.0380100032</v>
      </c>
      <c r="Q35" s="11" t="n">
        <f aca="false">E35+$K35</f>
        <v>226.0000000032</v>
      </c>
      <c r="R35" s="11" t="n">
        <f aca="false">F35+$K35</f>
        <v>0.0401100032</v>
      </c>
      <c r="S35" s="11" t="n">
        <f aca="false">G35+$K35</f>
        <v>232.4000000032</v>
      </c>
      <c r="T35" s="11" t="n">
        <f aca="false">H35+$K35</f>
        <v>0.0391100032</v>
      </c>
      <c r="U35" s="11" t="n">
        <f aca="false">I35+$K35</f>
        <v>228.5000000032</v>
      </c>
    </row>
    <row r="36" customFormat="false" ht="13.8" hidden="false" customHeight="false" outlineLevel="0" collapsed="false">
      <c r="A36" s="6" t="n">
        <v>68</v>
      </c>
      <c r="B36" s="1" t="n">
        <f aca="false">0.4596*10^-1</f>
        <v>0.04596</v>
      </c>
      <c r="C36" s="1" t="n">
        <v>230.5</v>
      </c>
      <c r="D36" s="1" t="n">
        <f aca="false">0.4644*10^-1</f>
        <v>0.04644</v>
      </c>
      <c r="E36" s="1" t="n">
        <v>226.6</v>
      </c>
      <c r="F36" s="1" t="n">
        <f aca="false">0.4874*10^-1</f>
        <v>0.04874</v>
      </c>
      <c r="G36" s="1" t="n">
        <v>233.4</v>
      </c>
      <c r="H36" s="1" t="n">
        <f aca="false">0.4767*10^-1</f>
        <v>0.04767</v>
      </c>
      <c r="I36" s="1" t="n">
        <v>230</v>
      </c>
      <c r="K36" s="7" t="n">
        <v>3.3E-009</v>
      </c>
      <c r="M36" s="11" t="n">
        <f aca="false">A36</f>
        <v>68</v>
      </c>
      <c r="N36" s="11" t="n">
        <f aca="false">B36+$K36</f>
        <v>0.0459600033</v>
      </c>
      <c r="O36" s="11" t="n">
        <f aca="false">C36+$K36</f>
        <v>230.5000000033</v>
      </c>
      <c r="P36" s="11" t="n">
        <f aca="false">D36+$K36</f>
        <v>0.0464400033</v>
      </c>
      <c r="Q36" s="11" t="n">
        <f aca="false">E36+$K36</f>
        <v>226.6000000033</v>
      </c>
      <c r="R36" s="11" t="n">
        <f aca="false">F36+$K36</f>
        <v>0.0487400033</v>
      </c>
      <c r="S36" s="11" t="n">
        <f aca="false">G36+$K36</f>
        <v>233.4000000033</v>
      </c>
      <c r="T36" s="11" t="n">
        <f aca="false">H36+$K36</f>
        <v>0.0476700033</v>
      </c>
      <c r="U36" s="11" t="n">
        <f aca="false">I36+$K36</f>
        <v>230.0000000033</v>
      </c>
    </row>
    <row r="37" customFormat="false" ht="13.8" hidden="false" customHeight="false" outlineLevel="0" collapsed="false">
      <c r="A37" s="6" t="n">
        <v>67</v>
      </c>
      <c r="B37" s="1" t="n">
        <f aca="false">0.5595*10^-1</f>
        <v>0.05595</v>
      </c>
      <c r="C37" s="1" t="n">
        <v>231</v>
      </c>
      <c r="D37" s="1" t="n">
        <f aca="false">0.5673*10^-1</f>
        <v>0.05673</v>
      </c>
      <c r="E37" s="1" t="n">
        <v>227.3</v>
      </c>
      <c r="F37" s="1" t="n">
        <f aca="false">0.5916*10^-1</f>
        <v>0.05916</v>
      </c>
      <c r="G37" s="1" t="n">
        <v>234.6</v>
      </c>
      <c r="H37" s="1" t="n">
        <f aca="false">0.5802*10^-1</f>
        <v>0.05802</v>
      </c>
      <c r="I37" s="1" t="n">
        <v>231.5</v>
      </c>
      <c r="K37" s="1" t="n">
        <v>3.4E-009</v>
      </c>
      <c r="M37" s="11" t="n">
        <f aca="false">A37</f>
        <v>67</v>
      </c>
      <c r="N37" s="11" t="n">
        <f aca="false">B37+$K37</f>
        <v>0.0559500034</v>
      </c>
      <c r="O37" s="11" t="n">
        <f aca="false">C37+$K37</f>
        <v>231.0000000034</v>
      </c>
      <c r="P37" s="11" t="n">
        <f aca="false">D37+$K37</f>
        <v>0.0567300034</v>
      </c>
      <c r="Q37" s="11" t="n">
        <f aca="false">E37+$K37</f>
        <v>227.3000000034</v>
      </c>
      <c r="R37" s="11" t="n">
        <f aca="false">F37+$K37</f>
        <v>0.0591600034</v>
      </c>
      <c r="S37" s="11" t="n">
        <f aca="false">G37+$K37</f>
        <v>234.6000000034</v>
      </c>
      <c r="T37" s="11" t="n">
        <f aca="false">H37+$K37</f>
        <v>0.0580200034</v>
      </c>
      <c r="U37" s="11" t="n">
        <f aca="false">I37+$K37</f>
        <v>231.5000000034</v>
      </c>
    </row>
    <row r="38" customFormat="false" ht="13.8" hidden="false" customHeight="false" outlineLevel="0" collapsed="false">
      <c r="A38" s="6" t="n">
        <v>66</v>
      </c>
      <c r="B38" s="1" t="n">
        <f aca="false">0.6809*10^-1</f>
        <v>0.06809</v>
      </c>
      <c r="C38" s="1" t="n">
        <v>231.6</v>
      </c>
      <c r="D38" s="1" t="n">
        <f aca="false">0.6925*10^-1</f>
        <v>0.06925</v>
      </c>
      <c r="E38" s="1" t="n">
        <v>228</v>
      </c>
      <c r="F38" s="1" t="n">
        <f aca="false">0.7175*10^-1</f>
        <v>0.07175</v>
      </c>
      <c r="G38" s="1" t="n">
        <v>236</v>
      </c>
      <c r="H38" s="1" t="n">
        <f aca="false">0.7055*10^-1</f>
        <v>0.07055</v>
      </c>
      <c r="I38" s="1" t="n">
        <v>232.9</v>
      </c>
      <c r="K38" s="7" t="n">
        <v>3.5E-009</v>
      </c>
      <c r="M38" s="11" t="n">
        <f aca="false">A38</f>
        <v>66</v>
      </c>
      <c r="N38" s="11" t="n">
        <f aca="false">B38+$K38</f>
        <v>0.0680900035</v>
      </c>
      <c r="O38" s="11" t="n">
        <f aca="false">C38+$K38</f>
        <v>231.6000000035</v>
      </c>
      <c r="P38" s="11" t="n">
        <f aca="false">D38+$K38</f>
        <v>0.0692500035</v>
      </c>
      <c r="Q38" s="11" t="n">
        <f aca="false">E38+$K38</f>
        <v>228.0000000035</v>
      </c>
      <c r="R38" s="11" t="n">
        <f aca="false">F38+$K38</f>
        <v>0.0717500035</v>
      </c>
      <c r="S38" s="11" t="n">
        <f aca="false">G38+$K38</f>
        <v>236.0000000035</v>
      </c>
      <c r="T38" s="11" t="n">
        <f aca="false">H38+$K38</f>
        <v>0.0705500035</v>
      </c>
      <c r="U38" s="11" t="n">
        <f aca="false">I38+$K38</f>
        <v>232.9000000035</v>
      </c>
    </row>
    <row r="39" customFormat="false" ht="13.8" hidden="false" customHeight="false" outlineLevel="0" collapsed="false">
      <c r="A39" s="6" t="n">
        <v>65</v>
      </c>
      <c r="B39" s="1" t="n">
        <f aca="false">0.8281*10^-1</f>
        <v>0.08281</v>
      </c>
      <c r="C39" s="1" t="n">
        <v>232.5</v>
      </c>
      <c r="D39" s="1" t="n">
        <f aca="false">0.8446*10^-1</f>
        <v>0.08446</v>
      </c>
      <c r="E39" s="1" t="n">
        <v>229.2</v>
      </c>
      <c r="F39" s="1" t="n">
        <f aca="false">0.8691*10^-1</f>
        <v>0.08691</v>
      </c>
      <c r="G39" s="1" t="n">
        <v>237.6</v>
      </c>
      <c r="H39" s="1" t="n">
        <f aca="false">0.8567*10^-1</f>
        <v>0.08567</v>
      </c>
      <c r="I39" s="1" t="n">
        <v>234.6</v>
      </c>
      <c r="K39" s="7" t="n">
        <v>3.6E-009</v>
      </c>
      <c r="M39" s="11" t="n">
        <f aca="false">A39</f>
        <v>65</v>
      </c>
      <c r="N39" s="11" t="n">
        <f aca="false">B39+$K39</f>
        <v>0.0828100036</v>
      </c>
      <c r="O39" s="11" t="n">
        <f aca="false">C39+$K39</f>
        <v>232.5000000036</v>
      </c>
      <c r="P39" s="11" t="n">
        <f aca="false">D39+$K39</f>
        <v>0.0844600036</v>
      </c>
      <c r="Q39" s="11" t="n">
        <f aca="false">E39+$K39</f>
        <v>229.2000000036</v>
      </c>
      <c r="R39" s="11" t="n">
        <f aca="false">F39+$K39</f>
        <v>0.0869100036</v>
      </c>
      <c r="S39" s="11" t="n">
        <f aca="false">G39+$K39</f>
        <v>237.6000000036</v>
      </c>
      <c r="T39" s="11" t="n">
        <f aca="false">H39+$K39</f>
        <v>0.0856700036</v>
      </c>
      <c r="U39" s="11" t="n">
        <f aca="false">I39+$K39</f>
        <v>234.6000000036</v>
      </c>
    </row>
    <row r="40" customFormat="false" ht="13.8" hidden="false" customHeight="false" outlineLevel="0" collapsed="false">
      <c r="A40" s="6" t="n">
        <v>64</v>
      </c>
      <c r="B40" s="1" t="n">
        <f aca="false">0.1006</f>
        <v>0.1006</v>
      </c>
      <c r="C40" s="1" t="n">
        <v>233.7</v>
      </c>
      <c r="D40" s="1" t="n">
        <f aca="false">0.1029</f>
        <v>0.1029</v>
      </c>
      <c r="E40" s="1" t="n">
        <v>231.1</v>
      </c>
      <c r="F40" s="1" t="n">
        <f aca="false">0.1051</f>
        <v>0.1051</v>
      </c>
      <c r="G40" s="1" t="n">
        <v>239.5</v>
      </c>
      <c r="H40" s="1" t="n">
        <f aca="false">0.1039</f>
        <v>0.1039</v>
      </c>
      <c r="I40" s="1" t="n">
        <v>236.5</v>
      </c>
      <c r="K40" s="1" t="n">
        <v>3.7E-009</v>
      </c>
      <c r="M40" s="11" t="n">
        <f aca="false">A40</f>
        <v>64</v>
      </c>
      <c r="N40" s="11" t="n">
        <f aca="false">B40+$K40</f>
        <v>0.1006000037</v>
      </c>
      <c r="O40" s="11" t="n">
        <f aca="false">C40+$K40</f>
        <v>233.7000000037</v>
      </c>
      <c r="P40" s="11" t="n">
        <f aca="false">D40+$K40</f>
        <v>0.1029000037</v>
      </c>
      <c r="Q40" s="11" t="n">
        <f aca="false">E40+$K40</f>
        <v>231.1000000037</v>
      </c>
      <c r="R40" s="11" t="n">
        <f aca="false">F40+$K40</f>
        <v>0.1051000037</v>
      </c>
      <c r="S40" s="11" t="n">
        <f aca="false">G40+$K40</f>
        <v>239.5000000037</v>
      </c>
      <c r="T40" s="11" t="n">
        <f aca="false">H40+$K40</f>
        <v>0.1039000037</v>
      </c>
      <c r="U40" s="11" t="n">
        <f aca="false">I40+$K40</f>
        <v>236.5000000037</v>
      </c>
    </row>
    <row r="41" customFormat="false" ht="13.8" hidden="false" customHeight="false" outlineLevel="0" collapsed="false">
      <c r="A41" s="6" t="n">
        <v>63</v>
      </c>
      <c r="B41" s="1" t="n">
        <f aca="false">0.1221</f>
        <v>0.1221</v>
      </c>
      <c r="C41" s="1" t="n">
        <v>235.5</v>
      </c>
      <c r="D41" s="1" t="n">
        <f aca="false">0.1251</f>
        <v>0.1251</v>
      </c>
      <c r="E41" s="1" t="n">
        <v>233.7</v>
      </c>
      <c r="F41" s="1" t="n">
        <f aca="false">0.127</f>
        <v>0.127</v>
      </c>
      <c r="G41" s="1" t="n">
        <v>241.9</v>
      </c>
      <c r="H41" s="1" t="n">
        <f aca="false">0.1257</f>
        <v>0.1257</v>
      </c>
      <c r="I41" s="1" t="n">
        <v>238.8</v>
      </c>
      <c r="K41" s="7" t="n">
        <v>3.8E-009</v>
      </c>
      <c r="M41" s="11" t="n">
        <f aca="false">A41</f>
        <v>63</v>
      </c>
      <c r="N41" s="11" t="n">
        <f aca="false">B41+$K41</f>
        <v>0.1221000038</v>
      </c>
      <c r="O41" s="11" t="n">
        <f aca="false">C41+$K41</f>
        <v>235.5000000038</v>
      </c>
      <c r="P41" s="11" t="n">
        <f aca="false">D41+$K41</f>
        <v>0.1251000038</v>
      </c>
      <c r="Q41" s="11" t="n">
        <f aca="false">E41+$K41</f>
        <v>233.7000000038</v>
      </c>
      <c r="R41" s="11" t="n">
        <f aca="false">F41+$K41</f>
        <v>0.1270000038</v>
      </c>
      <c r="S41" s="11" t="n">
        <f aca="false">G41+$K41</f>
        <v>241.9000000038</v>
      </c>
      <c r="T41" s="11" t="n">
        <f aca="false">H41+$K41</f>
        <v>0.1257000038</v>
      </c>
      <c r="U41" s="11" t="n">
        <f aca="false">I41+$K41</f>
        <v>238.8000000038</v>
      </c>
    </row>
    <row r="42" customFormat="false" ht="13.8" hidden="false" customHeight="false" outlineLevel="0" collapsed="false">
      <c r="A42" s="6" t="n">
        <v>62</v>
      </c>
      <c r="B42" s="1" t="n">
        <f aca="false">0.1479</f>
        <v>0.1479</v>
      </c>
      <c r="C42" s="1" t="n">
        <v>237.9</v>
      </c>
      <c r="D42" s="1" t="n">
        <f aca="false">0.1517</f>
        <v>0.1517</v>
      </c>
      <c r="E42" s="1" t="n">
        <v>237.2</v>
      </c>
      <c r="F42" s="1" t="n">
        <f aca="false">0.153</f>
        <v>0.153</v>
      </c>
      <c r="G42" s="1" t="n">
        <v>244.4</v>
      </c>
      <c r="H42" s="1" t="n">
        <f aca="false">0.1519</f>
        <v>0.1519</v>
      </c>
      <c r="I42" s="1" t="n">
        <v>241.4</v>
      </c>
      <c r="K42" s="7" t="n">
        <v>3.9E-009</v>
      </c>
      <c r="M42" s="11" t="n">
        <f aca="false">A42</f>
        <v>62</v>
      </c>
      <c r="N42" s="11" t="n">
        <f aca="false">B42+$K42</f>
        <v>0.1479000039</v>
      </c>
      <c r="O42" s="11" t="n">
        <f aca="false">C42+$K42</f>
        <v>237.9000000039</v>
      </c>
      <c r="P42" s="11" t="n">
        <f aca="false">D42+$K42</f>
        <v>0.1517000039</v>
      </c>
      <c r="Q42" s="11" t="n">
        <f aca="false">E42+$K42</f>
        <v>237.2000000039</v>
      </c>
      <c r="R42" s="11" t="n">
        <f aca="false">F42+$K42</f>
        <v>0.1530000039</v>
      </c>
      <c r="S42" s="11" t="n">
        <f aca="false">G42+$K42</f>
        <v>244.4000000039</v>
      </c>
      <c r="T42" s="11" t="n">
        <f aca="false">H42+$K42</f>
        <v>0.1519000039</v>
      </c>
      <c r="U42" s="11" t="n">
        <f aca="false">I42+$K42</f>
        <v>241.4000000039</v>
      </c>
    </row>
    <row r="43" customFormat="false" ht="13.8" hidden="false" customHeight="false" outlineLevel="0" collapsed="false">
      <c r="A43" s="6" t="n">
        <v>61</v>
      </c>
      <c r="B43" s="1" t="n">
        <f aca="false">0.1789</f>
        <v>0.1789</v>
      </c>
      <c r="C43" s="1" t="n">
        <v>241</v>
      </c>
      <c r="D43" s="1" t="n">
        <f aca="false">0.1833</f>
        <v>0.1833</v>
      </c>
      <c r="E43" s="1" t="n">
        <v>241.9</v>
      </c>
      <c r="F43" s="1" t="n">
        <f aca="false">0.1841</f>
        <v>0.1841</v>
      </c>
      <c r="G43" s="1" t="n">
        <v>247.4</v>
      </c>
      <c r="H43" s="1" t="n">
        <f aca="false">0.1831</f>
        <v>0.1831</v>
      </c>
      <c r="I43" s="1" t="n">
        <v>244.7</v>
      </c>
      <c r="K43" s="1" t="n">
        <v>4E-009</v>
      </c>
      <c r="M43" s="11" t="n">
        <f aca="false">A43</f>
        <v>61</v>
      </c>
      <c r="N43" s="11" t="n">
        <f aca="false">B43+$K43</f>
        <v>0.178900004</v>
      </c>
      <c r="O43" s="11" t="n">
        <f aca="false">C43+$K43</f>
        <v>241.000000004</v>
      </c>
      <c r="P43" s="11" t="n">
        <f aca="false">D43+$K43</f>
        <v>0.183300004</v>
      </c>
      <c r="Q43" s="11" t="n">
        <f aca="false">E43+$K43</f>
        <v>241.900000004</v>
      </c>
      <c r="R43" s="11" t="n">
        <f aca="false">F43+$K43</f>
        <v>0.184100004</v>
      </c>
      <c r="S43" s="11" t="n">
        <f aca="false">G43+$K43</f>
        <v>247.400000004</v>
      </c>
      <c r="T43" s="11" t="n">
        <f aca="false">H43+$K43</f>
        <v>0.183100004</v>
      </c>
      <c r="U43" s="11" t="n">
        <f aca="false">I43+$K43</f>
        <v>244.700000004</v>
      </c>
    </row>
    <row r="44" customFormat="false" ht="13.8" hidden="false" customHeight="false" outlineLevel="0" collapsed="false">
      <c r="A44" s="6" t="n">
        <v>60</v>
      </c>
      <c r="B44" s="1" t="n">
        <f aca="false">0.2157</f>
        <v>0.2157</v>
      </c>
      <c r="C44" s="1" t="n">
        <v>244.5</v>
      </c>
      <c r="D44" s="1" t="n">
        <f aca="false">0.2207</f>
        <v>0.2207</v>
      </c>
      <c r="E44" s="1" t="n">
        <v>247.1</v>
      </c>
      <c r="F44" s="1" t="n">
        <f aca="false">0.2209</f>
        <v>0.2209</v>
      </c>
      <c r="G44" s="1" t="n">
        <v>250.4</v>
      </c>
      <c r="H44" s="1" t="n">
        <f aca="false">0.2202</f>
        <v>0.2202</v>
      </c>
      <c r="I44" s="1" t="n">
        <v>248.3</v>
      </c>
      <c r="K44" s="7" t="n">
        <v>4.1E-009</v>
      </c>
      <c r="M44" s="11" t="n">
        <f aca="false">A44</f>
        <v>60</v>
      </c>
      <c r="N44" s="11" t="n">
        <f aca="false">B44+$K44</f>
        <v>0.2157000041</v>
      </c>
      <c r="O44" s="11" t="n">
        <f aca="false">C44+$K44</f>
        <v>244.5000000041</v>
      </c>
      <c r="P44" s="11" t="n">
        <f aca="false">D44+$K44</f>
        <v>0.2207000041</v>
      </c>
      <c r="Q44" s="11" t="n">
        <f aca="false">E44+$K44</f>
        <v>247.1000000041</v>
      </c>
      <c r="R44" s="11" t="n">
        <f aca="false">F44+$K44</f>
        <v>0.2209000041</v>
      </c>
      <c r="S44" s="11" t="n">
        <f aca="false">G44+$K44</f>
        <v>250.4000000041</v>
      </c>
      <c r="T44" s="11" t="n">
        <f aca="false">H44+$K44</f>
        <v>0.2202000041</v>
      </c>
      <c r="U44" s="11" t="n">
        <f aca="false">I44+$K44</f>
        <v>248.3000000041</v>
      </c>
    </row>
    <row r="45" customFormat="false" ht="13.8" hidden="false" customHeight="false" outlineLevel="0" collapsed="false">
      <c r="A45" s="6" t="n">
        <v>59</v>
      </c>
      <c r="B45" s="1" t="n">
        <f aca="false">0.2592</f>
        <v>0.2592</v>
      </c>
      <c r="C45" s="1" t="n">
        <v>249.2</v>
      </c>
      <c r="D45" s="1" t="n">
        <f aca="false">0.2646</f>
        <v>0.2646</v>
      </c>
      <c r="E45" s="1" t="n">
        <v>254.1</v>
      </c>
      <c r="F45" s="1" t="n">
        <f aca="false">0.2644</f>
        <v>0.2644</v>
      </c>
      <c r="G45" s="1" t="n">
        <v>255.3</v>
      </c>
      <c r="H45" s="1" t="n">
        <f aca="false">0.2639</f>
        <v>0.2639</v>
      </c>
      <c r="I45" s="1" t="n">
        <v>253.8</v>
      </c>
      <c r="K45" s="7" t="n">
        <v>4.2E-009</v>
      </c>
      <c r="M45" s="11" t="n">
        <f aca="false">A45</f>
        <v>59</v>
      </c>
      <c r="N45" s="11" t="n">
        <f aca="false">B45+$K45</f>
        <v>0.2592000042</v>
      </c>
      <c r="O45" s="11" t="n">
        <f aca="false">C45+$K45</f>
        <v>249.2000000042</v>
      </c>
      <c r="P45" s="11" t="n">
        <f aca="false">D45+$K45</f>
        <v>0.2646000042</v>
      </c>
      <c r="Q45" s="11" t="n">
        <f aca="false">E45+$K45</f>
        <v>254.1000000042</v>
      </c>
      <c r="R45" s="11" t="n">
        <f aca="false">F45+$K45</f>
        <v>0.2644000042</v>
      </c>
      <c r="S45" s="11" t="n">
        <f aca="false">G45+$K45</f>
        <v>255.3000000042</v>
      </c>
      <c r="T45" s="11" t="n">
        <f aca="false">H45+$K45</f>
        <v>0.2639000042</v>
      </c>
      <c r="U45" s="11" t="n">
        <f aca="false">I45+$K45</f>
        <v>253.8000000042</v>
      </c>
    </row>
    <row r="46" customFormat="false" ht="13.8" hidden="false" customHeight="false" outlineLevel="0" collapsed="false">
      <c r="A46" s="6" t="n">
        <v>58</v>
      </c>
      <c r="B46" s="1" t="n">
        <f aca="false">0.3104</f>
        <v>0.3104</v>
      </c>
      <c r="C46" s="1" t="n">
        <v>255.5</v>
      </c>
      <c r="D46" s="1" t="n">
        <f aca="false">0.3154</f>
        <v>0.3154</v>
      </c>
      <c r="E46" s="1" t="n">
        <v>261.9</v>
      </c>
      <c r="F46" s="1" t="n">
        <f aca="false">0.3153</f>
        <v>0.3153</v>
      </c>
      <c r="G46" s="1" t="n">
        <v>261.4</v>
      </c>
      <c r="H46" s="1" t="n">
        <f aca="false">0.3148</f>
        <v>0.3148</v>
      </c>
      <c r="I46" s="1" t="n">
        <v>260.5</v>
      </c>
      <c r="K46" s="1" t="n">
        <v>4.3E-009</v>
      </c>
      <c r="M46" s="11" t="n">
        <f aca="false">A46</f>
        <v>58</v>
      </c>
      <c r="N46" s="11" t="n">
        <f aca="false">B46+$K46</f>
        <v>0.3104000043</v>
      </c>
      <c r="O46" s="11" t="n">
        <f aca="false">C46+$K46</f>
        <v>255.5000000043</v>
      </c>
      <c r="P46" s="11" t="n">
        <f aca="false">D46+$K46</f>
        <v>0.3154000043</v>
      </c>
      <c r="Q46" s="11" t="n">
        <f aca="false">E46+$K46</f>
        <v>261.9000000043</v>
      </c>
      <c r="R46" s="11" t="n">
        <f aca="false">F46+$K46</f>
        <v>0.3153000043</v>
      </c>
      <c r="S46" s="11" t="n">
        <f aca="false">G46+$K46</f>
        <v>261.4000000043</v>
      </c>
      <c r="T46" s="11" t="n">
        <f aca="false">H46+$K46</f>
        <v>0.3148000043</v>
      </c>
      <c r="U46" s="11" t="n">
        <f aca="false">I46+$K46</f>
        <v>260.5000000043</v>
      </c>
    </row>
    <row r="47" customFormat="false" ht="13.8" hidden="false" customHeight="false" outlineLevel="0" collapsed="false">
      <c r="A47" s="6" t="n">
        <v>57</v>
      </c>
      <c r="B47" s="1" t="n">
        <f aca="false">0.3695</f>
        <v>0.3695</v>
      </c>
      <c r="C47" s="1" t="n">
        <v>265</v>
      </c>
      <c r="D47" s="1" t="n">
        <f aca="false">0.3739</f>
        <v>0.3739</v>
      </c>
      <c r="E47" s="1" t="n">
        <v>271.6</v>
      </c>
      <c r="F47" s="1" t="n">
        <f aca="false">0.3738</f>
        <v>0.3738</v>
      </c>
      <c r="G47" s="1" t="n">
        <v>270.8</v>
      </c>
      <c r="H47" s="1" t="n">
        <f aca="false">0.3735</f>
        <v>0.3735</v>
      </c>
      <c r="I47" s="1" t="n">
        <v>270.1</v>
      </c>
      <c r="K47" s="7" t="n">
        <v>4.4E-009</v>
      </c>
      <c r="M47" s="11" t="n">
        <f aca="false">A47</f>
        <v>57</v>
      </c>
      <c r="N47" s="11" t="n">
        <f aca="false">B47+$K47</f>
        <v>0.3695000044</v>
      </c>
      <c r="O47" s="11" t="n">
        <f aca="false">C47+$K47</f>
        <v>265.0000000044</v>
      </c>
      <c r="P47" s="11" t="n">
        <f aca="false">D47+$K47</f>
        <v>0.3739000044</v>
      </c>
      <c r="Q47" s="11" t="n">
        <f aca="false">E47+$K47</f>
        <v>271.6000000044</v>
      </c>
      <c r="R47" s="11" t="n">
        <f aca="false">F47+$K47</f>
        <v>0.3738000044</v>
      </c>
      <c r="S47" s="11" t="n">
        <f aca="false">G47+$K47</f>
        <v>270.8000000044</v>
      </c>
      <c r="T47" s="11" t="n">
        <f aca="false">H47+$K47</f>
        <v>0.3735000044</v>
      </c>
      <c r="U47" s="11" t="n">
        <f aca="false">I47+$K47</f>
        <v>270.1000000044</v>
      </c>
    </row>
    <row r="48" customFormat="false" ht="13.8" hidden="false" customHeight="false" outlineLevel="0" collapsed="false">
      <c r="A48" s="6" t="n">
        <v>56</v>
      </c>
      <c r="B48" s="1" t="n">
        <f aca="false">0.437</f>
        <v>0.437</v>
      </c>
      <c r="C48" s="1" t="n">
        <v>275.7</v>
      </c>
      <c r="D48" s="1" t="n">
        <f aca="false">0.4405</f>
        <v>0.4405</v>
      </c>
      <c r="E48" s="1" t="n">
        <v>281.6</v>
      </c>
      <c r="F48" s="1" t="n">
        <f aca="false">0.4406</f>
        <v>0.4406</v>
      </c>
      <c r="G48" s="1" t="n">
        <v>281.2</v>
      </c>
      <c r="H48" s="1" t="n">
        <f aca="false">0.4404</f>
        <v>0.4404</v>
      </c>
      <c r="I48" s="1" t="n">
        <v>280.5</v>
      </c>
      <c r="K48" s="7" t="n">
        <v>4.5E-009</v>
      </c>
      <c r="M48" s="11" t="n">
        <f aca="false">A48</f>
        <v>56</v>
      </c>
      <c r="N48" s="11" t="n">
        <f aca="false">B48+$K48</f>
        <v>0.4370000045</v>
      </c>
      <c r="O48" s="11" t="n">
        <f aca="false">C48+$K48</f>
        <v>275.7000000045</v>
      </c>
      <c r="P48" s="11" t="n">
        <f aca="false">D48+$K48</f>
        <v>0.4405000045</v>
      </c>
      <c r="Q48" s="11" t="n">
        <f aca="false">E48+$K48</f>
        <v>281.6000000045</v>
      </c>
      <c r="R48" s="11" t="n">
        <f aca="false">F48+$K48</f>
        <v>0.4406000045</v>
      </c>
      <c r="S48" s="11" t="n">
        <f aca="false">G48+$K48</f>
        <v>281.2000000045</v>
      </c>
      <c r="T48" s="11" t="n">
        <f aca="false">H48+$K48</f>
        <v>0.4404000045</v>
      </c>
      <c r="U48" s="11" t="n">
        <f aca="false">I48+$K48</f>
        <v>280.5000000045</v>
      </c>
    </row>
    <row r="49" customFormat="false" ht="13.8" hidden="false" customHeight="false" outlineLevel="0" collapsed="false">
      <c r="A49" s="6" t="n">
        <v>55</v>
      </c>
      <c r="B49" s="1" t="n">
        <f aca="false">0.5133</f>
        <v>0.5133</v>
      </c>
      <c r="C49" s="1" t="n">
        <v>286.8</v>
      </c>
      <c r="D49" s="1" t="n">
        <f aca="false">0.5159</f>
        <v>0.5159</v>
      </c>
      <c r="E49" s="1" t="n">
        <v>291.9</v>
      </c>
      <c r="F49" s="1" t="n">
        <f aca="false">0.5162</f>
        <v>0.5162</v>
      </c>
      <c r="G49" s="1" t="n">
        <v>291.5</v>
      </c>
      <c r="H49" s="1" t="n">
        <f aca="false">0.5161</f>
        <v>0.5161</v>
      </c>
      <c r="I49" s="1" t="n">
        <v>291</v>
      </c>
      <c r="K49" s="1" t="n">
        <v>4.6E-009</v>
      </c>
      <c r="M49" s="11" t="n">
        <f aca="false">A49</f>
        <v>55</v>
      </c>
      <c r="N49" s="11" t="n">
        <f aca="false">B49+$K49</f>
        <v>0.5133000046</v>
      </c>
      <c r="O49" s="11" t="n">
        <f aca="false">C49+$K49</f>
        <v>286.8000000046</v>
      </c>
      <c r="P49" s="11" t="n">
        <f aca="false">D49+$K49</f>
        <v>0.5159000046</v>
      </c>
      <c r="Q49" s="11" t="n">
        <f aca="false">E49+$K49</f>
        <v>291.9000000046</v>
      </c>
      <c r="R49" s="11" t="n">
        <f aca="false">F49+$K49</f>
        <v>0.5162000046</v>
      </c>
      <c r="S49" s="11" t="n">
        <f aca="false">G49+$K49</f>
        <v>291.5000000046</v>
      </c>
      <c r="T49" s="11" t="n">
        <f aca="false">H49+$K49</f>
        <v>0.5161000046</v>
      </c>
      <c r="U49" s="11" t="n">
        <f aca="false">I49+$K49</f>
        <v>291.0000000046</v>
      </c>
    </row>
    <row r="50" customFormat="false" ht="13.8" hidden="false" customHeight="false" outlineLevel="0" collapsed="false">
      <c r="A50" s="6" t="n">
        <v>54</v>
      </c>
      <c r="B50" s="1" t="n">
        <f aca="false">0.5995</f>
        <v>0.5995</v>
      </c>
      <c r="C50" s="1" t="n">
        <v>298</v>
      </c>
      <c r="D50" s="1" t="n">
        <f aca="false">0.601</f>
        <v>0.601</v>
      </c>
      <c r="E50" s="1" t="n">
        <v>302.2</v>
      </c>
      <c r="F50" s="1" t="n">
        <f aca="false">0.6014</f>
        <v>0.6014</v>
      </c>
      <c r="G50" s="1" t="n">
        <v>301.9</v>
      </c>
      <c r="H50" s="1" t="n">
        <f aca="false">0.6015</f>
        <v>0.6015</v>
      </c>
      <c r="I50" s="1" t="n">
        <v>301.5</v>
      </c>
      <c r="K50" s="7" t="n">
        <v>4.7E-009</v>
      </c>
      <c r="M50" s="11" t="n">
        <f aca="false">A50</f>
        <v>54</v>
      </c>
      <c r="N50" s="11" t="n">
        <f aca="false">B50+$K50</f>
        <v>0.5995000047</v>
      </c>
      <c r="O50" s="11" t="n">
        <f aca="false">C50+$K50</f>
        <v>298.0000000047</v>
      </c>
      <c r="P50" s="11" t="n">
        <f aca="false">D50+$K50</f>
        <v>0.6010000047</v>
      </c>
      <c r="Q50" s="11" t="n">
        <f aca="false">E50+$K50</f>
        <v>302.2000000047</v>
      </c>
      <c r="R50" s="11" t="n">
        <f aca="false">F50+$K50</f>
        <v>0.6014000047</v>
      </c>
      <c r="S50" s="11" t="n">
        <f aca="false">G50+$K50</f>
        <v>301.9000000047</v>
      </c>
      <c r="T50" s="11" t="n">
        <f aca="false">H50+$K50</f>
        <v>0.6015000047</v>
      </c>
      <c r="U50" s="11" t="n">
        <f aca="false">I50+$K50</f>
        <v>301.5000000047</v>
      </c>
    </row>
    <row r="51" customFormat="false" ht="13.8" hidden="false" customHeight="false" outlineLevel="0" collapsed="false">
      <c r="A51" s="6" t="n">
        <v>53</v>
      </c>
      <c r="B51" s="1" t="n">
        <f aca="false">0.696</f>
        <v>0.696</v>
      </c>
      <c r="C51" s="1" t="n">
        <v>309.3</v>
      </c>
      <c r="D51" s="1" t="n">
        <f aca="false">0.6966</f>
        <v>0.6966</v>
      </c>
      <c r="E51" s="1" t="n">
        <v>312.6</v>
      </c>
      <c r="F51" s="1" t="n">
        <f aca="false">0.6972</f>
        <v>0.6972</v>
      </c>
      <c r="G51" s="1" t="n">
        <v>312.4</v>
      </c>
      <c r="H51" s="1" t="n">
        <f aca="false">0.6974</f>
        <v>0.6974</v>
      </c>
      <c r="I51" s="1" t="n">
        <v>312</v>
      </c>
      <c r="K51" s="7" t="n">
        <v>4.8E-009</v>
      </c>
      <c r="M51" s="11" t="n">
        <f aca="false">A51</f>
        <v>53</v>
      </c>
      <c r="N51" s="11" t="n">
        <f aca="false">B51+$K51</f>
        <v>0.6960000048</v>
      </c>
      <c r="O51" s="11" t="n">
        <f aca="false">C51+$K51</f>
        <v>309.3000000048</v>
      </c>
      <c r="P51" s="11" t="n">
        <f aca="false">D51+$K51</f>
        <v>0.6966000048</v>
      </c>
      <c r="Q51" s="11" t="n">
        <f aca="false">E51+$K51</f>
        <v>312.6000000048</v>
      </c>
      <c r="R51" s="11" t="n">
        <f aca="false">F51+$K51</f>
        <v>0.6972000048</v>
      </c>
      <c r="S51" s="11" t="n">
        <f aca="false">G51+$K51</f>
        <v>312.4000000048</v>
      </c>
      <c r="T51" s="11" t="n">
        <f aca="false">H51+$K51</f>
        <v>0.6974000048</v>
      </c>
      <c r="U51" s="11" t="n">
        <f aca="false">I51+$K51</f>
        <v>312.0000000048</v>
      </c>
    </row>
    <row r="52" customFormat="false" ht="13.8" hidden="false" customHeight="false" outlineLevel="0" collapsed="false">
      <c r="A52" s="6" t="n">
        <v>52</v>
      </c>
      <c r="B52" s="1" t="n">
        <f aca="false">0.8038</f>
        <v>0.8038</v>
      </c>
      <c r="C52" s="1" t="n">
        <v>320.6</v>
      </c>
      <c r="D52" s="1" t="n">
        <f aca="false">0.8035</f>
        <v>0.8035</v>
      </c>
      <c r="E52" s="1" t="n">
        <v>323</v>
      </c>
      <c r="F52" s="1" t="n">
        <f aca="false">0.8043</f>
        <v>0.8043</v>
      </c>
      <c r="G52" s="1" t="n">
        <v>322.8</v>
      </c>
      <c r="H52" s="1" t="n">
        <f aca="false">0.8046</f>
        <v>0.8046</v>
      </c>
      <c r="I52" s="1" t="n">
        <v>322.6</v>
      </c>
      <c r="K52" s="1" t="n">
        <v>4.9E-009</v>
      </c>
      <c r="M52" s="11" t="n">
        <f aca="false">A52</f>
        <v>52</v>
      </c>
      <c r="N52" s="11" t="n">
        <f aca="false">B52+$K52</f>
        <v>0.8038000049</v>
      </c>
      <c r="O52" s="11" t="n">
        <f aca="false">C52+$K52</f>
        <v>320.6000000049</v>
      </c>
      <c r="P52" s="11" t="n">
        <f aca="false">D52+$K52</f>
        <v>0.8035000049</v>
      </c>
      <c r="Q52" s="11" t="n">
        <f aca="false">E52+$K52</f>
        <v>323.0000000049</v>
      </c>
      <c r="R52" s="11" t="n">
        <f aca="false">F52+$K52</f>
        <v>0.8043000049</v>
      </c>
      <c r="S52" s="11" t="n">
        <f aca="false">G52+$K52</f>
        <v>322.8000000049</v>
      </c>
      <c r="T52" s="11" t="n">
        <f aca="false">H52+$K52</f>
        <v>0.8046000049</v>
      </c>
      <c r="U52" s="11" t="n">
        <f aca="false">I52+$K52</f>
        <v>322.6000000049</v>
      </c>
    </row>
    <row r="53" customFormat="false" ht="13.8" hidden="false" customHeight="false" outlineLevel="0" collapsed="false">
      <c r="A53" s="6" t="n">
        <v>51</v>
      </c>
      <c r="B53" s="1" t="n">
        <f aca="false">0.9238</f>
        <v>0.9238</v>
      </c>
      <c r="C53" s="1" t="n">
        <v>332.1</v>
      </c>
      <c r="D53" s="1" t="n">
        <f aca="false">0.9227</f>
        <v>0.9227</v>
      </c>
      <c r="E53" s="1" t="n">
        <v>333.5</v>
      </c>
      <c r="F53" s="1" t="n">
        <f aca="false">0.9236</f>
        <v>0.9236</v>
      </c>
      <c r="G53" s="1" t="n">
        <v>333.3</v>
      </c>
      <c r="H53" s="1" t="n">
        <f aca="false">0.9241</f>
        <v>0.9241</v>
      </c>
      <c r="I53" s="1" t="n">
        <v>333.2</v>
      </c>
      <c r="K53" s="7" t="n">
        <v>5E-009</v>
      </c>
      <c r="M53" s="11" t="n">
        <f aca="false">A53</f>
        <v>51</v>
      </c>
      <c r="N53" s="11" t="n">
        <f aca="false">B53+$K53</f>
        <v>0.923800005</v>
      </c>
      <c r="O53" s="11" t="n">
        <f aca="false">C53+$K53</f>
        <v>332.100000005</v>
      </c>
      <c r="P53" s="11" t="n">
        <f aca="false">D53+$K53</f>
        <v>0.922700005</v>
      </c>
      <c r="Q53" s="11" t="n">
        <f aca="false">E53+$K53</f>
        <v>333.500000005</v>
      </c>
      <c r="R53" s="11" t="n">
        <f aca="false">F53+$K53</f>
        <v>0.923600005</v>
      </c>
      <c r="S53" s="11" t="n">
        <f aca="false">G53+$K53</f>
        <v>333.300000005</v>
      </c>
      <c r="T53" s="11" t="n">
        <f aca="false">H53+$K53</f>
        <v>0.924100005</v>
      </c>
      <c r="U53" s="11" t="n">
        <f aca="false">I53+$K53</f>
        <v>333.200000005</v>
      </c>
    </row>
    <row r="54" customFormat="false" ht="13.8" hidden="false" customHeight="false" outlineLevel="0" collapsed="false">
      <c r="A54" s="6" t="n">
        <v>50</v>
      </c>
      <c r="B54" s="1" t="n">
        <f aca="false">1.056</f>
        <v>1.056</v>
      </c>
      <c r="C54" s="1" t="n">
        <v>344.7</v>
      </c>
      <c r="D54" s="1" t="n">
        <f aca="false">1.054</f>
        <v>1.054</v>
      </c>
      <c r="E54" s="1" t="n">
        <v>344.9</v>
      </c>
      <c r="F54" s="1" t="n">
        <f aca="false">1.055</f>
        <v>1.055</v>
      </c>
      <c r="G54" s="1" t="n">
        <v>344.8</v>
      </c>
      <c r="H54" s="1" t="n">
        <f aca="false">1.056</f>
        <v>1.056</v>
      </c>
      <c r="I54" s="1" t="n">
        <v>344.9</v>
      </c>
      <c r="K54" s="7" t="n">
        <v>5.1E-009</v>
      </c>
      <c r="M54" s="11" t="n">
        <f aca="false">A54</f>
        <v>50</v>
      </c>
      <c r="N54" s="11" t="n">
        <f aca="false">B54+$K54</f>
        <v>1.0560000051</v>
      </c>
      <c r="O54" s="11" t="n">
        <f aca="false">C54+$K54</f>
        <v>344.7000000051</v>
      </c>
      <c r="P54" s="11" t="n">
        <f aca="false">D54+$K54</f>
        <v>1.0540000051</v>
      </c>
      <c r="Q54" s="11" t="n">
        <f aca="false">E54+$K54</f>
        <v>344.9000000051</v>
      </c>
      <c r="R54" s="11" t="n">
        <f aca="false">F54+$K54</f>
        <v>1.0550000051</v>
      </c>
      <c r="S54" s="11" t="n">
        <f aca="false">G54+$K54</f>
        <v>344.8000000051</v>
      </c>
      <c r="T54" s="11" t="n">
        <f aca="false">H54+$K54</f>
        <v>1.0560000051</v>
      </c>
      <c r="U54" s="11" t="n">
        <f aca="false">I54+$K54</f>
        <v>344.9000000051</v>
      </c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5"/>
  <sheetViews>
    <sheetView showFormulas="false" showGridLines="true" showRowColHeaders="true" showZeros="true" rightToLeft="false" tabSelected="true" showOutlineSymbols="true" defaultGridColor="true" view="normal" topLeftCell="I1" colorId="64" zoomScale="80" zoomScaleNormal="80" zoomScalePageLayoutView="100" workbookViewId="0">
      <selection pane="topLeft" activeCell="N4" activeCellId="0" sqref="N4"/>
    </sheetView>
  </sheetViews>
  <sheetFormatPr defaultRowHeight="13.5" zeroHeight="false" outlineLevelRow="0" outlineLevelCol="0"/>
  <cols>
    <col collapsed="false" customWidth="true" hidden="false" outlineLevel="0" max="9" min="1" style="1" width="10.61"/>
    <col collapsed="false" customWidth="true" hidden="false" outlineLevel="0" max="257" min="10" style="1" width="8.98"/>
    <col collapsed="false" customWidth="true" hidden="false" outlineLevel="0" max="1025" min="258" style="0" width="8.98"/>
  </cols>
  <sheetData>
    <row r="1" customFormat="false" ht="13.8" hidden="false" customHeight="false" outlineLevel="0" collapsed="false">
      <c r="A1" s="2" t="s">
        <v>11</v>
      </c>
      <c r="B1" s="2"/>
      <c r="C1" s="2"/>
      <c r="D1" s="2"/>
      <c r="E1" s="2"/>
      <c r="F1" s="2"/>
      <c r="G1" s="2"/>
      <c r="H1" s="2"/>
      <c r="I1" s="2"/>
      <c r="M1" s="2" t="s">
        <v>11</v>
      </c>
      <c r="N1" s="2"/>
      <c r="O1" s="2"/>
      <c r="P1" s="2"/>
      <c r="Q1" s="2"/>
      <c r="R1" s="2"/>
      <c r="S1" s="2"/>
      <c r="T1" s="2"/>
      <c r="U1" s="2"/>
    </row>
    <row r="2" customFormat="false" ht="13.8" hidden="false" customHeight="false" outlineLevel="0" collapsed="false">
      <c r="A2" s="2" t="s">
        <v>1</v>
      </c>
      <c r="B2" s="2" t="s">
        <v>2</v>
      </c>
      <c r="C2" s="2"/>
      <c r="D2" s="2" t="s">
        <v>3</v>
      </c>
      <c r="E2" s="2"/>
      <c r="F2" s="2" t="s">
        <v>4</v>
      </c>
      <c r="G2" s="2"/>
      <c r="H2" s="2" t="s">
        <v>5</v>
      </c>
      <c r="I2" s="2"/>
      <c r="K2" s="0"/>
      <c r="M2" s="2" t="s">
        <v>1</v>
      </c>
      <c r="N2" s="2" t="s">
        <v>2</v>
      </c>
      <c r="O2" s="2"/>
      <c r="P2" s="2" t="s">
        <v>3</v>
      </c>
      <c r="Q2" s="2"/>
      <c r="R2" s="2" t="s">
        <v>4</v>
      </c>
      <c r="S2" s="2"/>
      <c r="T2" s="2" t="s">
        <v>5</v>
      </c>
      <c r="U2" s="2"/>
    </row>
    <row r="3" customFormat="false" ht="13.8" hidden="false" customHeight="false" outlineLevel="0" collapsed="false">
      <c r="A3" s="2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M3" s="2"/>
      <c r="N3" s="3" t="s">
        <v>6</v>
      </c>
      <c r="O3" s="3" t="s">
        <v>7</v>
      </c>
      <c r="P3" s="3" t="s">
        <v>6</v>
      </c>
      <c r="Q3" s="3" t="s">
        <v>7</v>
      </c>
      <c r="R3" s="3" t="s">
        <v>6</v>
      </c>
      <c r="S3" s="3" t="s">
        <v>7</v>
      </c>
      <c r="T3" s="3" t="s">
        <v>6</v>
      </c>
      <c r="U3" s="3" t="s">
        <v>7</v>
      </c>
    </row>
    <row r="4" customFormat="false" ht="13.8" hidden="false" customHeight="false" outlineLevel="0" collapsed="false">
      <c r="A4" s="4" t="n">
        <v>100</v>
      </c>
      <c r="B4" s="11" t="n">
        <f aca="false">0.2134*10^-4</f>
        <v>2.134E-005</v>
      </c>
      <c r="C4" s="11" t="n">
        <v>177.8</v>
      </c>
      <c r="D4" s="11" t="n">
        <f aca="false">0.2185*10^-4</f>
        <v>2.185E-005</v>
      </c>
      <c r="E4" s="11" t="n">
        <v>169.7</v>
      </c>
      <c r="F4" s="11" t="n">
        <f aca="false">0.2366*10^-4</f>
        <v>2.366E-005</v>
      </c>
      <c r="G4" s="11" t="n">
        <v>171.6</v>
      </c>
      <c r="H4" s="11" t="n">
        <f aca="false">0.2335*10^-4</f>
        <v>2.335E-005</v>
      </c>
      <c r="I4" s="11" t="n">
        <v>172</v>
      </c>
      <c r="J4" s="0"/>
      <c r="M4" s="11" t="n">
        <f aca="false">A4</f>
        <v>100</v>
      </c>
      <c r="N4" s="12" t="n">
        <f aca="false">B4+$K5</f>
        <v>2.13401E-005</v>
      </c>
      <c r="O4" s="11" t="n">
        <f aca="false">C4+$K5</f>
        <v>177.8000000001</v>
      </c>
      <c r="P4" s="11" t="n">
        <f aca="false">D4+$K5</f>
        <v>2.18501E-005</v>
      </c>
      <c r="Q4" s="11" t="n">
        <f aca="false">E4+$K5</f>
        <v>169.7000000001</v>
      </c>
      <c r="R4" s="11" t="n">
        <f aca="false">F4+$K5</f>
        <v>2.36601E-005</v>
      </c>
      <c r="S4" s="11" t="n">
        <f aca="false">G4+$K5</f>
        <v>171.6000000001</v>
      </c>
      <c r="T4" s="11" t="n">
        <f aca="false">H4+$K5</f>
        <v>2.33501E-005</v>
      </c>
      <c r="U4" s="11" t="n">
        <f aca="false">I4+$K5</f>
        <v>172.0000000001</v>
      </c>
    </row>
    <row r="5" customFormat="false" ht="13.8" hidden="false" customHeight="false" outlineLevel="0" collapsed="false">
      <c r="A5" s="6" t="n">
        <v>99</v>
      </c>
      <c r="B5" s="11" t="n">
        <f aca="false">0.275*10^-4</f>
        <v>2.75E-005</v>
      </c>
      <c r="C5" s="11" t="n">
        <v>176.7</v>
      </c>
      <c r="D5" s="11" t="n">
        <f aca="false">0.2848*10^-4</f>
        <v>2.848E-005</v>
      </c>
      <c r="E5" s="11" t="n">
        <v>169.3</v>
      </c>
      <c r="F5" s="11" t="n">
        <f aca="false">0.3075*10^-4</f>
        <v>3.075E-005</v>
      </c>
      <c r="G5" s="11" t="n">
        <v>171.1</v>
      </c>
      <c r="H5" s="11" t="n">
        <f aca="false">0.3035*10^-4</f>
        <v>3.035E-005</v>
      </c>
      <c r="I5" s="11" t="n">
        <v>171.2</v>
      </c>
      <c r="J5" s="0"/>
      <c r="K5" s="1" t="n">
        <v>1E-010</v>
      </c>
      <c r="M5" s="11" t="n">
        <f aca="false">A5</f>
        <v>99</v>
      </c>
      <c r="N5" s="11" t="n">
        <f aca="false">B5+$K6</f>
        <v>2.75002E-005</v>
      </c>
      <c r="O5" s="11" t="n">
        <f aca="false">C5+$K6</f>
        <v>176.7000000002</v>
      </c>
      <c r="P5" s="11" t="n">
        <f aca="false">D5+$K6</f>
        <v>2.84802E-005</v>
      </c>
      <c r="Q5" s="11" t="n">
        <f aca="false">E5+$K6</f>
        <v>169.3000000002</v>
      </c>
      <c r="R5" s="11" t="n">
        <f aca="false">F5+$K6</f>
        <v>3.07502E-005</v>
      </c>
      <c r="S5" s="11" t="n">
        <f aca="false">G5+$K6</f>
        <v>171.1000000002</v>
      </c>
      <c r="T5" s="11" t="n">
        <f aca="false">H5+$K6</f>
        <v>3.03502E-005</v>
      </c>
      <c r="U5" s="11" t="n">
        <f aca="false">I5+$K6</f>
        <v>171.2000000002</v>
      </c>
    </row>
    <row r="6" customFormat="false" ht="13.8" hidden="false" customHeight="false" outlineLevel="0" collapsed="false">
      <c r="A6" s="6" t="n">
        <v>98</v>
      </c>
      <c r="B6" s="11" t="n">
        <f aca="false">0.3549*10^-4</f>
        <v>3.549E-005</v>
      </c>
      <c r="C6" s="11" t="n">
        <v>175.9</v>
      </c>
      <c r="D6" s="11" t="n">
        <f aca="false">0.3714*10^-4</f>
        <v>3.714E-005</v>
      </c>
      <c r="E6" s="11" t="n">
        <v>169.3</v>
      </c>
      <c r="F6" s="11" t="n">
        <f aca="false">0.3999*10^-4</f>
        <v>3.999E-005</v>
      </c>
      <c r="G6" s="11" t="n">
        <v>170.9</v>
      </c>
      <c r="H6" s="11" t="n">
        <f aca="false">0.3948*10^-4</f>
        <v>3.948E-005</v>
      </c>
      <c r="I6" s="11" t="n">
        <v>170.6</v>
      </c>
      <c r="J6" s="0"/>
      <c r="K6" s="7" t="n">
        <v>2E-010</v>
      </c>
      <c r="M6" s="11" t="n">
        <f aca="false">A6</f>
        <v>98</v>
      </c>
      <c r="N6" s="11" t="n">
        <f aca="false">B6+$K7</f>
        <v>3.54903E-005</v>
      </c>
      <c r="O6" s="11" t="n">
        <f aca="false">C6+$K7</f>
        <v>175.9000000003</v>
      </c>
      <c r="P6" s="11" t="n">
        <f aca="false">D6+$K7</f>
        <v>3.71403E-005</v>
      </c>
      <c r="Q6" s="11" t="n">
        <f aca="false">E6+$K7</f>
        <v>169.3000000003</v>
      </c>
      <c r="R6" s="11" t="n">
        <f aca="false">F6+$K7</f>
        <v>3.99903E-005</v>
      </c>
      <c r="S6" s="11" t="n">
        <f aca="false">G6+$K7</f>
        <v>170.9000000003</v>
      </c>
      <c r="T6" s="11" t="n">
        <f aca="false">H6+$K7</f>
        <v>3.94803E-005</v>
      </c>
      <c r="U6" s="11" t="n">
        <f aca="false">I6+$K7</f>
        <v>170.6000000003</v>
      </c>
    </row>
    <row r="7" customFormat="false" ht="13.8" hidden="false" customHeight="false" outlineLevel="0" collapsed="false">
      <c r="A7" s="6" t="n">
        <v>97</v>
      </c>
      <c r="B7" s="11" t="n">
        <f aca="false">0.4585*10^-4</f>
        <v>4.585E-005</v>
      </c>
      <c r="C7" s="11" t="n">
        <v>175.3</v>
      </c>
      <c r="D7" s="11" t="n">
        <f aca="false">0.4843*10^-4</f>
        <v>4.843E-005</v>
      </c>
      <c r="E7" s="11" t="n">
        <v>169.5</v>
      </c>
      <c r="F7" s="11" t="n">
        <f aca="false">0.5204*10^-4</f>
        <v>5.204E-005</v>
      </c>
      <c r="G7" s="11" t="n">
        <v>170.7</v>
      </c>
      <c r="H7" s="11" t="n">
        <f aca="false">0.5141*10^-4</f>
        <v>5.141E-005</v>
      </c>
      <c r="I7" s="11" t="n">
        <v>170.1</v>
      </c>
      <c r="J7" s="0"/>
      <c r="K7" s="7" t="n">
        <v>3E-010</v>
      </c>
      <c r="M7" s="11" t="n">
        <f aca="false">A7</f>
        <v>97</v>
      </c>
      <c r="N7" s="11" t="n">
        <f aca="false">B7+$K8</f>
        <v>4.58504E-005</v>
      </c>
      <c r="O7" s="11" t="n">
        <f aca="false">C7+$K8</f>
        <v>175.3000000004</v>
      </c>
      <c r="P7" s="11" t="n">
        <f aca="false">D7+$K8</f>
        <v>4.84304E-005</v>
      </c>
      <c r="Q7" s="11" t="n">
        <f aca="false">E7+$K8</f>
        <v>169.5000000004</v>
      </c>
      <c r="R7" s="11" t="n">
        <f aca="false">F7+$K8</f>
        <v>5.20404E-005</v>
      </c>
      <c r="S7" s="11" t="n">
        <f aca="false">G7+$K8</f>
        <v>170.7000000004</v>
      </c>
      <c r="T7" s="11" t="n">
        <f aca="false">H7+$K8</f>
        <v>5.14104E-005</v>
      </c>
      <c r="U7" s="11" t="n">
        <f aca="false">I7+$K8</f>
        <v>170.1000000004</v>
      </c>
    </row>
    <row r="8" customFormat="false" ht="13.8" hidden="false" customHeight="false" outlineLevel="0" collapsed="false">
      <c r="A8" s="6" t="n">
        <v>96</v>
      </c>
      <c r="B8" s="11" t="n">
        <f aca="false">0.593*10^-4</f>
        <v>5.93E-005</v>
      </c>
      <c r="C8" s="11" t="n">
        <v>174.6</v>
      </c>
      <c r="D8" s="11" t="n">
        <f aca="false">0.6314*10^-4</f>
        <v>6.314E-005</v>
      </c>
      <c r="E8" s="11" t="n">
        <v>169.7</v>
      </c>
      <c r="F8" s="11" t="n">
        <f aca="false">0.6772*10^-4</f>
        <v>6.772E-005</v>
      </c>
      <c r="G8" s="11" t="n">
        <v>170.6</v>
      </c>
      <c r="H8" s="11" t="n">
        <f aca="false">0.67*10^-4</f>
        <v>6.7E-005</v>
      </c>
      <c r="I8" s="11" t="n">
        <v>169.5</v>
      </c>
      <c r="J8" s="0"/>
      <c r="K8" s="1" t="n">
        <v>4E-010</v>
      </c>
      <c r="M8" s="11" t="n">
        <f aca="false">A8</f>
        <v>96</v>
      </c>
      <c r="N8" s="11" t="n">
        <f aca="false">B8+$K9</f>
        <v>5.93005E-005</v>
      </c>
      <c r="O8" s="11" t="n">
        <f aca="false">C8+$K9</f>
        <v>174.6000000005</v>
      </c>
      <c r="P8" s="11" t="n">
        <f aca="false">D8+$K9</f>
        <v>6.31405E-005</v>
      </c>
      <c r="Q8" s="11" t="n">
        <f aca="false">E8+$K9</f>
        <v>169.7000000005</v>
      </c>
      <c r="R8" s="11" t="n">
        <f aca="false">F8+$K9</f>
        <v>6.77205E-005</v>
      </c>
      <c r="S8" s="11" t="n">
        <f aca="false">G8+$K9</f>
        <v>170.6000000005</v>
      </c>
      <c r="T8" s="11" t="n">
        <f aca="false">H8+$K9</f>
        <v>6.70005E-005</v>
      </c>
      <c r="U8" s="11" t="n">
        <f aca="false">I8+$K9</f>
        <v>169.5000000005</v>
      </c>
    </row>
    <row r="9" customFormat="false" ht="13.8" hidden="false" customHeight="false" outlineLevel="0" collapsed="false">
      <c r="A9" s="6" t="n">
        <v>95</v>
      </c>
      <c r="B9" s="11" t="n">
        <f aca="false">0.7678*10^-4</f>
        <v>7.678E-005</v>
      </c>
      <c r="C9" s="11" t="n">
        <v>173.8</v>
      </c>
      <c r="D9" s="11" t="n">
        <f aca="false">0.8228*10^-4</f>
        <v>8.228E-005</v>
      </c>
      <c r="E9" s="11" t="n">
        <v>170</v>
      </c>
      <c r="F9" s="11" t="n">
        <f aca="false">0.8816*10^-4</f>
        <v>8.816E-005</v>
      </c>
      <c r="G9" s="11" t="n">
        <v>170.6</v>
      </c>
      <c r="H9" s="11" t="n">
        <f aca="false">0.874*10^-4</f>
        <v>8.74E-005</v>
      </c>
      <c r="I9" s="11" t="n">
        <v>169</v>
      </c>
      <c r="J9" s="0"/>
      <c r="K9" s="7" t="n">
        <v>5E-010</v>
      </c>
      <c r="M9" s="11" t="n">
        <f aca="false">A9</f>
        <v>95</v>
      </c>
      <c r="N9" s="11" t="n">
        <f aca="false">B9+$K10</f>
        <v>7.67806E-005</v>
      </c>
      <c r="O9" s="11" t="n">
        <f aca="false">C9+$K10</f>
        <v>173.8000000006</v>
      </c>
      <c r="P9" s="11" t="n">
        <f aca="false">D9+$K10</f>
        <v>8.22806E-005</v>
      </c>
      <c r="Q9" s="11" t="n">
        <f aca="false">E9+$K10</f>
        <v>170.0000000006</v>
      </c>
      <c r="R9" s="11" t="n">
        <f aca="false">F9+$K10</f>
        <v>8.81606E-005</v>
      </c>
      <c r="S9" s="11" t="n">
        <f aca="false">G9+$K10</f>
        <v>170.6000000006</v>
      </c>
      <c r="T9" s="11" t="n">
        <f aca="false">H9+$K10</f>
        <v>8.74006E-005</v>
      </c>
      <c r="U9" s="11" t="n">
        <f aca="false">I9+$K10</f>
        <v>169.0000000006</v>
      </c>
    </row>
    <row r="10" customFormat="false" ht="13.8" hidden="false" customHeight="false" outlineLevel="0" collapsed="false">
      <c r="A10" s="6" t="n">
        <v>94</v>
      </c>
      <c r="B10" s="11" t="n">
        <f aca="false">0.9951*10^-4</f>
        <v>9.951E-005</v>
      </c>
      <c r="C10" s="11" t="n">
        <v>173.3</v>
      </c>
      <c r="D10" s="11" t="n">
        <f aca="false">0.1072*10^-3</f>
        <v>0.0001072</v>
      </c>
      <c r="E10" s="11" t="n">
        <v>170.6</v>
      </c>
      <c r="F10" s="11" t="n">
        <f aca="false">0.1147*10^-3</f>
        <v>0.0001147</v>
      </c>
      <c r="G10" s="11" t="n">
        <v>171</v>
      </c>
      <c r="H10" s="11" t="n">
        <f aca="false">0.1141*10^-3</f>
        <v>0.0001141</v>
      </c>
      <c r="I10" s="11" t="n">
        <v>169.1</v>
      </c>
      <c r="J10" s="0"/>
      <c r="K10" s="7" t="n">
        <v>6E-010</v>
      </c>
      <c r="M10" s="11" t="n">
        <f aca="false">A10</f>
        <v>94</v>
      </c>
      <c r="N10" s="11" t="n">
        <f aca="false">B10+$K11</f>
        <v>9.95107E-005</v>
      </c>
      <c r="O10" s="11" t="n">
        <f aca="false">C10+$K11</f>
        <v>173.3000000007</v>
      </c>
      <c r="P10" s="11" t="n">
        <f aca="false">D10+$K11</f>
        <v>0.0001072007</v>
      </c>
      <c r="Q10" s="11" t="n">
        <f aca="false">E10+$K11</f>
        <v>170.6000000007</v>
      </c>
      <c r="R10" s="11" t="n">
        <f aca="false">F10+$K11</f>
        <v>0.0001147007</v>
      </c>
      <c r="S10" s="11" t="n">
        <f aca="false">G10+$K11</f>
        <v>171.0000000007</v>
      </c>
      <c r="T10" s="11" t="n">
        <f aca="false">H10+$K11</f>
        <v>0.0001141007</v>
      </c>
      <c r="U10" s="11" t="n">
        <f aca="false">I10+$K11</f>
        <v>169.1000000007</v>
      </c>
    </row>
    <row r="11" customFormat="false" ht="13.8" hidden="false" customHeight="false" outlineLevel="0" collapsed="false">
      <c r="A11" s="6" t="n">
        <v>93</v>
      </c>
      <c r="B11" s="11" t="n">
        <f aca="false">0.129*10^-3</f>
        <v>0.000129</v>
      </c>
      <c r="C11" s="11" t="n">
        <v>173.5</v>
      </c>
      <c r="D11" s="11" t="n">
        <f aca="false">0.1394*10^-3</f>
        <v>0.0001394</v>
      </c>
      <c r="E11" s="11" t="n">
        <v>171.5</v>
      </c>
      <c r="F11" s="11" t="n">
        <f aca="false">0.1492*10^-3</f>
        <v>0.0001492</v>
      </c>
      <c r="G11" s="11" t="n">
        <v>171.8</v>
      </c>
      <c r="H11" s="11" t="n">
        <f aca="false">0.1488*10^-3</f>
        <v>0.0001488</v>
      </c>
      <c r="I11" s="11" t="n">
        <v>169.6</v>
      </c>
      <c r="J11" s="0"/>
      <c r="K11" s="1" t="n">
        <v>7E-010</v>
      </c>
      <c r="M11" s="11" t="n">
        <f aca="false">A11</f>
        <v>93</v>
      </c>
      <c r="N11" s="11" t="n">
        <f aca="false">B11+$K12</f>
        <v>0.0001290008</v>
      </c>
      <c r="O11" s="11" t="n">
        <f aca="false">C11+$K12</f>
        <v>173.5000000008</v>
      </c>
      <c r="P11" s="11" t="n">
        <f aca="false">D11+$K12</f>
        <v>0.0001394008</v>
      </c>
      <c r="Q11" s="11" t="n">
        <f aca="false">E11+$K12</f>
        <v>171.5000000008</v>
      </c>
      <c r="R11" s="11" t="n">
        <f aca="false">F11+$K12</f>
        <v>0.0001492008</v>
      </c>
      <c r="S11" s="11" t="n">
        <f aca="false">G11+$K12</f>
        <v>171.8000000008</v>
      </c>
      <c r="T11" s="11" t="n">
        <f aca="false">H11+$K12</f>
        <v>0.0001488008</v>
      </c>
      <c r="U11" s="11" t="n">
        <f aca="false">I11+$K12</f>
        <v>169.6000000008</v>
      </c>
    </row>
    <row r="12" customFormat="false" ht="13.8" hidden="false" customHeight="false" outlineLevel="0" collapsed="false">
      <c r="A12" s="6" t="n">
        <v>92</v>
      </c>
      <c r="B12" s="11" t="n">
        <f aca="false">0.1672*10^-3</f>
        <v>0.0001672</v>
      </c>
      <c r="C12" s="11" t="n">
        <v>173.8</v>
      </c>
      <c r="D12" s="11" t="n">
        <f aca="false">0.1811*10^-3</f>
        <v>0.0001811</v>
      </c>
      <c r="E12" s="11" t="n">
        <v>172.5</v>
      </c>
      <c r="F12" s="11" t="n">
        <f aca="false">0.1937*10^-3</f>
        <v>0.0001937</v>
      </c>
      <c r="G12" s="11" t="n">
        <v>172.7</v>
      </c>
      <c r="H12" s="11" t="n">
        <f aca="false">0.194*10^-3</f>
        <v>0.000194</v>
      </c>
      <c r="I12" s="11" t="n">
        <v>170.1</v>
      </c>
      <c r="J12" s="0"/>
      <c r="K12" s="7" t="n">
        <v>8E-010</v>
      </c>
      <c r="M12" s="11" t="n">
        <f aca="false">A12</f>
        <v>92</v>
      </c>
      <c r="N12" s="11" t="n">
        <f aca="false">B12+$K13</f>
        <v>0.0001672009</v>
      </c>
      <c r="O12" s="11" t="n">
        <f aca="false">C12+$K13</f>
        <v>173.8000000009</v>
      </c>
      <c r="P12" s="11" t="n">
        <f aca="false">D12+$K13</f>
        <v>0.0001811009</v>
      </c>
      <c r="Q12" s="11" t="n">
        <f aca="false">E12+$K13</f>
        <v>172.5000000009</v>
      </c>
      <c r="R12" s="11" t="n">
        <f aca="false">F12+$K13</f>
        <v>0.0001937009</v>
      </c>
      <c r="S12" s="11" t="n">
        <f aca="false">G12+$K13</f>
        <v>172.7000000009</v>
      </c>
      <c r="T12" s="11" t="n">
        <f aca="false">H12+$K13</f>
        <v>0.0001940009</v>
      </c>
      <c r="U12" s="11" t="n">
        <f aca="false">I12+$K13</f>
        <v>170.1000000009</v>
      </c>
    </row>
    <row r="13" customFormat="false" ht="13.8" hidden="false" customHeight="false" outlineLevel="0" collapsed="false">
      <c r="A13" s="6" t="n">
        <v>91</v>
      </c>
      <c r="B13" s="11" t="n">
        <f aca="false">0.2166*10^-3</f>
        <v>0.0002166</v>
      </c>
      <c r="C13" s="11" t="n">
        <v>174.3</v>
      </c>
      <c r="D13" s="11" t="n">
        <f aca="false">0.2349*10^-3</f>
        <v>0.0002349</v>
      </c>
      <c r="E13" s="11" t="n">
        <v>173.5</v>
      </c>
      <c r="F13" s="11" t="n">
        <f aca="false">0.2513*10^-3</f>
        <v>0.0002513</v>
      </c>
      <c r="G13" s="11" t="n">
        <v>173.5</v>
      </c>
      <c r="H13" s="11" t="n">
        <f aca="false">0.2526*10^-3</f>
        <v>0.0002526</v>
      </c>
      <c r="I13" s="11" t="n">
        <v>170.7</v>
      </c>
      <c r="J13" s="0"/>
      <c r="K13" s="7" t="n">
        <v>9E-010</v>
      </c>
      <c r="M13" s="11" t="n">
        <f aca="false">A13</f>
        <v>91</v>
      </c>
      <c r="N13" s="11" t="n">
        <f aca="false">B13+$K14</f>
        <v>0.000216601</v>
      </c>
      <c r="O13" s="11" t="n">
        <f aca="false">C13+$K14</f>
        <v>174.300000001</v>
      </c>
      <c r="P13" s="11" t="n">
        <f aca="false">D13+$K14</f>
        <v>0.000234901</v>
      </c>
      <c r="Q13" s="11" t="n">
        <f aca="false">E13+$K14</f>
        <v>173.500000001</v>
      </c>
      <c r="R13" s="11" t="n">
        <f aca="false">F13+$K14</f>
        <v>0.000251301</v>
      </c>
      <c r="S13" s="11" t="n">
        <f aca="false">G13+$K14</f>
        <v>173.500000001</v>
      </c>
      <c r="T13" s="11" t="n">
        <f aca="false">H13+$K14</f>
        <v>0.000252601</v>
      </c>
      <c r="U13" s="11" t="n">
        <f aca="false">I13+$K14</f>
        <v>170.700000001</v>
      </c>
    </row>
    <row r="14" customFormat="false" ht="13.8" hidden="false" customHeight="false" outlineLevel="0" collapsed="false">
      <c r="A14" s="6" t="n">
        <v>90</v>
      </c>
      <c r="B14" s="11" t="n">
        <f aca="false">0.2804*10^-3</f>
        <v>0.0002804</v>
      </c>
      <c r="C14" s="11" t="n">
        <v>174.7</v>
      </c>
      <c r="D14" s="11" t="n">
        <f aca="false">0.3043*10^-3</f>
        <v>0.0003043</v>
      </c>
      <c r="E14" s="11" t="n">
        <v>174.6</v>
      </c>
      <c r="F14" s="11" t="n">
        <f aca="false">0.3256*10^-3</f>
        <v>0.0003256</v>
      </c>
      <c r="G14" s="11" t="n">
        <v>174.2</v>
      </c>
      <c r="H14" s="11" t="n">
        <f aca="false">0.3287*10^-3</f>
        <v>0.0003287</v>
      </c>
      <c r="I14" s="11" t="n">
        <v>171.4</v>
      </c>
      <c r="J14" s="0"/>
      <c r="K14" s="1" t="n">
        <v>1E-009</v>
      </c>
      <c r="M14" s="11" t="n">
        <f aca="false">A14</f>
        <v>90</v>
      </c>
      <c r="N14" s="11" t="n">
        <f aca="false">B14+$K15</f>
        <v>0.0002804011</v>
      </c>
      <c r="O14" s="11" t="n">
        <f aca="false">C14+$K15</f>
        <v>174.7000000011</v>
      </c>
      <c r="P14" s="11" t="n">
        <f aca="false">D14+$K15</f>
        <v>0.0003043011</v>
      </c>
      <c r="Q14" s="11" t="n">
        <f aca="false">E14+$K15</f>
        <v>174.6000000011</v>
      </c>
      <c r="R14" s="11" t="n">
        <f aca="false">F14+$K15</f>
        <v>0.0003256011</v>
      </c>
      <c r="S14" s="11" t="n">
        <f aca="false">G14+$K15</f>
        <v>174.2000000011</v>
      </c>
      <c r="T14" s="11" t="n">
        <f aca="false">H14+$K15</f>
        <v>0.0003287011</v>
      </c>
      <c r="U14" s="11" t="n">
        <f aca="false">I14+$K15</f>
        <v>171.4000000011</v>
      </c>
    </row>
    <row r="15" customFormat="false" ht="13.8" hidden="false" customHeight="false" outlineLevel="0" collapsed="false">
      <c r="A15" s="6" t="n">
        <v>89</v>
      </c>
      <c r="B15" s="11" t="n">
        <f aca="false">0.3628*10^-3</f>
        <v>0.0003628</v>
      </c>
      <c r="C15" s="11" t="n">
        <v>175.1</v>
      </c>
      <c r="D15" s="11" t="n">
        <f aca="false">0.3934*10^-3</f>
        <v>0.0003934</v>
      </c>
      <c r="E15" s="11" t="n">
        <v>176.2</v>
      </c>
      <c r="F15" s="11" t="n">
        <f aca="false">0.4213*10^-3</f>
        <v>0.0004213</v>
      </c>
      <c r="G15" s="11" t="n">
        <v>175.6</v>
      </c>
      <c r="H15" s="11" t="n">
        <f aca="false">0.4272*10^-3</f>
        <v>0.0004272</v>
      </c>
      <c r="I15" s="11" t="n">
        <v>172.8</v>
      </c>
      <c r="J15" s="0"/>
      <c r="K15" s="7" t="n">
        <v>1.1E-009</v>
      </c>
      <c r="M15" s="11" t="n">
        <f aca="false">A15</f>
        <v>89</v>
      </c>
      <c r="N15" s="11" t="n">
        <f aca="false">B15+$K16</f>
        <v>0.0003628012</v>
      </c>
      <c r="O15" s="11" t="n">
        <f aca="false">C15+$K16</f>
        <v>175.1000000012</v>
      </c>
      <c r="P15" s="11" t="n">
        <f aca="false">D15+$K16</f>
        <v>0.0003934012</v>
      </c>
      <c r="Q15" s="11" t="n">
        <f aca="false">E15+$K16</f>
        <v>176.2000000012</v>
      </c>
      <c r="R15" s="11" t="n">
        <f aca="false">F15+$K16</f>
        <v>0.0004213012</v>
      </c>
      <c r="S15" s="11" t="n">
        <f aca="false">G15+$K16</f>
        <v>175.6000000012</v>
      </c>
      <c r="T15" s="11" t="n">
        <f aca="false">H15+$K16</f>
        <v>0.0004272012</v>
      </c>
      <c r="U15" s="11" t="n">
        <f aca="false">I15+$K16</f>
        <v>172.8000000012</v>
      </c>
    </row>
    <row r="16" customFormat="false" ht="13.8" hidden="false" customHeight="false" outlineLevel="0" collapsed="false">
      <c r="A16" s="6" t="n">
        <v>88</v>
      </c>
      <c r="B16" s="11" t="n">
        <f aca="false">0.4687*10^-3</f>
        <v>0.0004687</v>
      </c>
      <c r="C16" s="11" t="n">
        <v>176.9</v>
      </c>
      <c r="D16" s="11" t="n">
        <f aca="false">0.5072*10^-3</f>
        <v>0.0005072</v>
      </c>
      <c r="E16" s="11" t="n">
        <v>178.5</v>
      </c>
      <c r="F16" s="11" t="n">
        <f aca="false">0.5436*10^-3</f>
        <v>0.0005436</v>
      </c>
      <c r="G16" s="11" t="n">
        <v>177.9</v>
      </c>
      <c r="H16" s="11" t="n">
        <f aca="false">0.5535*10^-3</f>
        <v>0.0005535</v>
      </c>
      <c r="I16" s="11" t="n">
        <v>175</v>
      </c>
      <c r="J16" s="0"/>
      <c r="K16" s="7" t="n">
        <v>1.2E-009</v>
      </c>
      <c r="M16" s="11" t="n">
        <f aca="false">A16</f>
        <v>88</v>
      </c>
      <c r="N16" s="11" t="n">
        <f aca="false">B16+$K17</f>
        <v>0.0004687013</v>
      </c>
      <c r="O16" s="11" t="n">
        <f aca="false">C16+$K17</f>
        <v>176.9000000013</v>
      </c>
      <c r="P16" s="11" t="n">
        <f aca="false">D16+$K17</f>
        <v>0.0005072013</v>
      </c>
      <c r="Q16" s="11" t="n">
        <f aca="false">E16+$K17</f>
        <v>178.5000000013</v>
      </c>
      <c r="R16" s="11" t="n">
        <f aca="false">F16+$K17</f>
        <v>0.0005436013</v>
      </c>
      <c r="S16" s="11" t="n">
        <f aca="false">G16+$K17</f>
        <v>177.9000000013</v>
      </c>
      <c r="T16" s="11" t="n">
        <f aca="false">H16+$K17</f>
        <v>0.0005535013</v>
      </c>
      <c r="U16" s="11" t="n">
        <f aca="false">I16+$K17</f>
        <v>175.0000000013</v>
      </c>
    </row>
    <row r="17" customFormat="false" ht="13.8" hidden="false" customHeight="false" outlineLevel="0" collapsed="false">
      <c r="A17" s="6" t="n">
        <v>87</v>
      </c>
      <c r="B17" s="11" t="n">
        <f aca="false">0.6037*10^-3</f>
        <v>0.0006037</v>
      </c>
      <c r="C17" s="11" t="n">
        <v>179.1</v>
      </c>
      <c r="D17" s="11" t="n">
        <f aca="false">0.6515*10^-3</f>
        <v>0.0006515</v>
      </c>
      <c r="E17" s="11" t="n">
        <v>181.3</v>
      </c>
      <c r="F17" s="11" t="n">
        <f aca="false">0.699*10^-3</f>
        <v>0.000699</v>
      </c>
      <c r="G17" s="11" t="n">
        <v>180.4</v>
      </c>
      <c r="H17" s="11" t="n">
        <f aca="false">0.7145*10^-3</f>
        <v>0.0007145</v>
      </c>
      <c r="I17" s="11" t="n">
        <v>177.7</v>
      </c>
      <c r="J17" s="0"/>
      <c r="K17" s="1" t="n">
        <v>1.3E-009</v>
      </c>
      <c r="M17" s="11" t="n">
        <f aca="false">A17</f>
        <v>87</v>
      </c>
      <c r="N17" s="11" t="n">
        <f aca="false">B17+$K18</f>
        <v>0.0006037014</v>
      </c>
      <c r="O17" s="11" t="n">
        <f aca="false">C17+$K18</f>
        <v>179.1000000014</v>
      </c>
      <c r="P17" s="11" t="n">
        <f aca="false">D17+$K18</f>
        <v>0.0006515014</v>
      </c>
      <c r="Q17" s="11" t="n">
        <f aca="false">E17+$K18</f>
        <v>181.3000000014</v>
      </c>
      <c r="R17" s="11" t="n">
        <f aca="false">F17+$K18</f>
        <v>0.0006990014</v>
      </c>
      <c r="S17" s="11" t="n">
        <f aca="false">G17+$K18</f>
        <v>180.4000000014</v>
      </c>
      <c r="T17" s="11" t="n">
        <f aca="false">H17+$K18</f>
        <v>0.0007145014</v>
      </c>
      <c r="U17" s="11" t="n">
        <f aca="false">I17+$K18</f>
        <v>177.7000000014</v>
      </c>
    </row>
    <row r="18" customFormat="false" ht="13.8" hidden="false" customHeight="false" outlineLevel="0" collapsed="false">
      <c r="A18" s="6" t="n">
        <v>86</v>
      </c>
      <c r="B18" s="11" t="n">
        <f aca="false">0.775*10^-3</f>
        <v>0.000775</v>
      </c>
      <c r="C18" s="11" t="n">
        <v>181.9</v>
      </c>
      <c r="D18" s="11" t="n">
        <f aca="false">0.8336*10^-3</f>
        <v>0.0008336</v>
      </c>
      <c r="E18" s="11" t="n">
        <v>184.4</v>
      </c>
      <c r="F18" s="11" t="n">
        <f aca="false">0.8956*10^-3</f>
        <v>0.0008956</v>
      </c>
      <c r="G18" s="11" t="n">
        <v>183.2</v>
      </c>
      <c r="H18" s="11" t="n">
        <f aca="false">0.9186*10^-3</f>
        <v>0.0009186</v>
      </c>
      <c r="I18" s="11" t="n">
        <v>180.9</v>
      </c>
      <c r="J18" s="0"/>
      <c r="K18" s="7" t="n">
        <v>1.4E-009</v>
      </c>
      <c r="M18" s="11" t="n">
        <f aca="false">A18</f>
        <v>86</v>
      </c>
      <c r="N18" s="11" t="n">
        <f aca="false">B18+$K19</f>
        <v>0.0007750015</v>
      </c>
      <c r="O18" s="11" t="n">
        <f aca="false">C18+$K19</f>
        <v>181.9000000015</v>
      </c>
      <c r="P18" s="11" t="n">
        <f aca="false">D18+$K19</f>
        <v>0.0008336015</v>
      </c>
      <c r="Q18" s="11" t="n">
        <f aca="false">E18+$K19</f>
        <v>184.4000000015</v>
      </c>
      <c r="R18" s="11" t="n">
        <f aca="false">F18+$K19</f>
        <v>0.0008956015</v>
      </c>
      <c r="S18" s="11" t="n">
        <f aca="false">G18+$K19</f>
        <v>183.2000000015</v>
      </c>
      <c r="T18" s="11" t="n">
        <f aca="false">H18+$K19</f>
        <v>0.0009186015</v>
      </c>
      <c r="U18" s="11" t="n">
        <f aca="false">I18+$K19</f>
        <v>180.9000000015</v>
      </c>
    </row>
    <row r="19" customFormat="false" ht="13.8" hidden="false" customHeight="false" outlineLevel="0" collapsed="false">
      <c r="A19" s="6" t="n">
        <v>85</v>
      </c>
      <c r="B19" s="11" t="n">
        <f aca="false">0.9908*10^-3</f>
        <v>0.0009908</v>
      </c>
      <c r="C19" s="11" t="n">
        <v>184.9</v>
      </c>
      <c r="D19" s="11" t="n">
        <f aca="false">0.1062*10^-2</f>
        <v>0.001062</v>
      </c>
      <c r="E19" s="11" t="n">
        <v>188</v>
      </c>
      <c r="F19" s="11" t="n">
        <f aca="false">0.1143*10^-2</f>
        <v>0.001143</v>
      </c>
      <c r="G19" s="11" t="n">
        <v>186.5</v>
      </c>
      <c r="H19" s="11" t="n">
        <f aca="false">0.1175*10^-2</f>
        <v>0.001175</v>
      </c>
      <c r="I19" s="11" t="n">
        <v>184.7</v>
      </c>
      <c r="J19" s="0"/>
      <c r="K19" s="7" t="n">
        <v>1.5E-009</v>
      </c>
      <c r="M19" s="11" t="n">
        <f aca="false">A19</f>
        <v>85</v>
      </c>
      <c r="N19" s="11" t="n">
        <f aca="false">B19+$K20</f>
        <v>0.0009908016</v>
      </c>
      <c r="O19" s="11" t="n">
        <f aca="false">C19+$K20</f>
        <v>184.9000000016</v>
      </c>
      <c r="P19" s="11" t="n">
        <f aca="false">D19+$K20</f>
        <v>0.0010620016</v>
      </c>
      <c r="Q19" s="11" t="n">
        <f aca="false">E19+$K20</f>
        <v>188.0000000016</v>
      </c>
      <c r="R19" s="11" t="n">
        <f aca="false">F19+$K20</f>
        <v>0.0011430016</v>
      </c>
      <c r="S19" s="11" t="n">
        <f aca="false">G19+$K20</f>
        <v>186.5000000016</v>
      </c>
      <c r="T19" s="11" t="n">
        <f aca="false">H19+$K20</f>
        <v>0.0011750016</v>
      </c>
      <c r="U19" s="11" t="n">
        <f aca="false">I19+$K20</f>
        <v>184.7000000016</v>
      </c>
    </row>
    <row r="20" customFormat="false" ht="13.8" hidden="false" customHeight="false" outlineLevel="0" collapsed="false">
      <c r="A20" s="6" t="n">
        <v>84</v>
      </c>
      <c r="B20" s="11" t="n">
        <f aca="false">0.1261*10^-2</f>
        <v>0.001261</v>
      </c>
      <c r="C20" s="11" t="n">
        <v>189.1</v>
      </c>
      <c r="D20" s="11" t="n">
        <f aca="false">0.1346*10^-2</f>
        <v>0.001346</v>
      </c>
      <c r="E20" s="11" t="n">
        <v>192.1</v>
      </c>
      <c r="F20" s="11" t="n">
        <f aca="false">0.1452*10^-2</f>
        <v>0.001452</v>
      </c>
      <c r="G20" s="11" t="n">
        <v>190.5</v>
      </c>
      <c r="H20" s="11" t="n">
        <f aca="false">0.1496*10^-2</f>
        <v>0.001496</v>
      </c>
      <c r="I20" s="11" t="n">
        <v>189</v>
      </c>
      <c r="J20" s="0"/>
      <c r="K20" s="1" t="n">
        <v>1.6E-009</v>
      </c>
      <c r="M20" s="11" t="n">
        <f aca="false">A20</f>
        <v>84</v>
      </c>
      <c r="N20" s="11" t="n">
        <f aca="false">B20+$K21</f>
        <v>0.0012610017</v>
      </c>
      <c r="O20" s="11" t="n">
        <f aca="false">C20+$K21</f>
        <v>189.1000000017</v>
      </c>
      <c r="P20" s="11" t="n">
        <f aca="false">D20+$K21</f>
        <v>0.0013460017</v>
      </c>
      <c r="Q20" s="11" t="n">
        <f aca="false">E20+$K21</f>
        <v>192.1000000017</v>
      </c>
      <c r="R20" s="11" t="n">
        <f aca="false">F20+$K21</f>
        <v>0.0014520017</v>
      </c>
      <c r="S20" s="11" t="n">
        <f aca="false">G20+$K21</f>
        <v>190.5000000017</v>
      </c>
      <c r="T20" s="11" t="n">
        <f aca="false">H20+$K21</f>
        <v>0.0014960017</v>
      </c>
      <c r="U20" s="11" t="n">
        <f aca="false">I20+$K21</f>
        <v>189.0000000017</v>
      </c>
    </row>
    <row r="21" customFormat="false" ht="13.8" hidden="false" customHeight="false" outlineLevel="0" collapsed="false">
      <c r="A21" s="6" t="n">
        <v>83</v>
      </c>
      <c r="B21" s="11" t="n">
        <f aca="false">0.1596*10^-2</f>
        <v>0.001596</v>
      </c>
      <c r="C21" s="11" t="n">
        <v>193.6</v>
      </c>
      <c r="D21" s="11" t="n">
        <f aca="false">0.1697*10^-2</f>
        <v>0.001697</v>
      </c>
      <c r="E21" s="11" t="n">
        <v>196.4</v>
      </c>
      <c r="F21" s="11" t="n">
        <f aca="false">0.1835*10^-2</f>
        <v>0.001835</v>
      </c>
      <c r="G21" s="11" t="n">
        <v>194.4</v>
      </c>
      <c r="H21" s="11" t="n">
        <f aca="false">0.1893*10^-2</f>
        <v>0.001893</v>
      </c>
      <c r="I21" s="11" t="n">
        <v>193.7</v>
      </c>
      <c r="J21" s="0"/>
      <c r="K21" s="7" t="n">
        <v>1.7E-009</v>
      </c>
      <c r="M21" s="11" t="n">
        <f aca="false">A21</f>
        <v>83</v>
      </c>
      <c r="N21" s="11" t="n">
        <f aca="false">B21+$K22</f>
        <v>0.0015960018</v>
      </c>
      <c r="O21" s="11" t="n">
        <f aca="false">C21+$K22</f>
        <v>193.6000000018</v>
      </c>
      <c r="P21" s="11" t="n">
        <f aca="false">D21+$K22</f>
        <v>0.0016970018</v>
      </c>
      <c r="Q21" s="11" t="n">
        <f aca="false">E21+$K22</f>
        <v>196.4000000018</v>
      </c>
      <c r="R21" s="11" t="n">
        <f aca="false">F21+$K22</f>
        <v>0.0018350018</v>
      </c>
      <c r="S21" s="11" t="n">
        <f aca="false">G21+$K22</f>
        <v>194.4000000018</v>
      </c>
      <c r="T21" s="11" t="n">
        <f aca="false">H21+$K22</f>
        <v>0.0018930018</v>
      </c>
      <c r="U21" s="11" t="n">
        <f aca="false">I21+$K22</f>
        <v>193.7000000018</v>
      </c>
    </row>
    <row r="22" customFormat="false" ht="13.8" hidden="false" customHeight="false" outlineLevel="0" collapsed="false">
      <c r="A22" s="6" t="n">
        <v>82</v>
      </c>
      <c r="B22" s="11" t="n">
        <f aca="false">0.2008*10^-2</f>
        <v>0.002008</v>
      </c>
      <c r="C22" s="11" t="n">
        <v>198.4</v>
      </c>
      <c r="D22" s="11" t="n">
        <f aca="false">0.213*10^-2</f>
        <v>0.00213</v>
      </c>
      <c r="E22" s="11" t="n">
        <v>200.5</v>
      </c>
      <c r="F22" s="11" t="n">
        <f aca="false">0.2309*10^-2</f>
        <v>0.002309</v>
      </c>
      <c r="G22" s="11" t="n">
        <v>198.2</v>
      </c>
      <c r="H22" s="11" t="n">
        <f aca="false">0.2383*10^-2</f>
        <v>0.002383</v>
      </c>
      <c r="I22" s="11" t="n">
        <v>198.2</v>
      </c>
      <c r="J22" s="0"/>
      <c r="K22" s="7" t="n">
        <v>1.8E-009</v>
      </c>
      <c r="M22" s="11" t="n">
        <f aca="false">A22</f>
        <v>82</v>
      </c>
      <c r="N22" s="11" t="n">
        <f aca="false">B22+$K23</f>
        <v>0.0020080019</v>
      </c>
      <c r="O22" s="11" t="n">
        <f aca="false">C22+$K23</f>
        <v>198.4000000019</v>
      </c>
      <c r="P22" s="11" t="n">
        <f aca="false">D22+$K23</f>
        <v>0.0021300019</v>
      </c>
      <c r="Q22" s="11" t="n">
        <f aca="false">E22+$K23</f>
        <v>200.5000000019</v>
      </c>
      <c r="R22" s="11" t="n">
        <f aca="false">F22+$K23</f>
        <v>0.0023090019</v>
      </c>
      <c r="S22" s="11" t="n">
        <f aca="false">G22+$K23</f>
        <v>198.2000000019</v>
      </c>
      <c r="T22" s="11" t="n">
        <f aca="false">H22+$K23</f>
        <v>0.0023830019</v>
      </c>
      <c r="U22" s="11" t="n">
        <f aca="false">I22+$K23</f>
        <v>198.2000000019</v>
      </c>
    </row>
    <row r="23" customFormat="false" ht="13.8" hidden="false" customHeight="false" outlineLevel="0" collapsed="false">
      <c r="A23" s="6" t="n">
        <v>81</v>
      </c>
      <c r="B23" s="11" t="n">
        <f aca="false">0.2514*10^-2</f>
        <v>0.002514</v>
      </c>
      <c r="C23" s="11" t="n">
        <v>203.1</v>
      </c>
      <c r="D23" s="11" t="n">
        <f aca="false">0.2662*10^-2</f>
        <v>0.002662</v>
      </c>
      <c r="E23" s="11" t="n">
        <v>203.9</v>
      </c>
      <c r="F23" s="11" t="n">
        <f aca="false">0.2893*10^-2</f>
        <v>0.002893</v>
      </c>
      <c r="G23" s="11" t="n">
        <v>201.7</v>
      </c>
      <c r="H23" s="11" t="n">
        <f aca="false">0.2984*10^-2</f>
        <v>0.002984</v>
      </c>
      <c r="I23" s="11" t="n">
        <v>202.5</v>
      </c>
      <c r="J23" s="0"/>
      <c r="K23" s="1" t="n">
        <v>1.9E-009</v>
      </c>
      <c r="M23" s="11" t="n">
        <f aca="false">A23</f>
        <v>81</v>
      </c>
      <c r="N23" s="11" t="n">
        <f aca="false">B23+$K24</f>
        <v>0.002514002</v>
      </c>
      <c r="O23" s="11" t="n">
        <f aca="false">C23+$K24</f>
        <v>203.100000002</v>
      </c>
      <c r="P23" s="11" t="n">
        <f aca="false">D23+$K24</f>
        <v>0.002662002</v>
      </c>
      <c r="Q23" s="11" t="n">
        <f aca="false">E23+$K24</f>
        <v>203.900000002</v>
      </c>
      <c r="R23" s="11" t="n">
        <f aca="false">F23+$K24</f>
        <v>0.002893002</v>
      </c>
      <c r="S23" s="11" t="n">
        <f aca="false">G23+$K24</f>
        <v>201.700000002</v>
      </c>
      <c r="T23" s="11" t="n">
        <f aca="false">H23+$K24</f>
        <v>0.002984002</v>
      </c>
      <c r="U23" s="11" t="n">
        <f aca="false">I23+$K24</f>
        <v>202.500000002</v>
      </c>
    </row>
    <row r="24" customFormat="false" ht="13.8" hidden="false" customHeight="false" outlineLevel="0" collapsed="false">
      <c r="A24" s="6" t="n">
        <v>80</v>
      </c>
      <c r="B24" s="11" t="n">
        <f aca="false">0.3131*10^-2</f>
        <v>0.003131</v>
      </c>
      <c r="C24" s="11" t="n">
        <v>207.6</v>
      </c>
      <c r="D24" s="11" t="n">
        <f aca="false">0.3316*10^-2</f>
        <v>0.003316</v>
      </c>
      <c r="E24" s="11" t="n">
        <v>207</v>
      </c>
      <c r="F24" s="11" t="n">
        <f aca="false">0.3611*10^-2</f>
        <v>0.003611</v>
      </c>
      <c r="G24" s="11" t="n">
        <v>205.2</v>
      </c>
      <c r="H24" s="11" t="n">
        <f aca="false">0.3721*10^-2</f>
        <v>0.003721</v>
      </c>
      <c r="I24" s="11" t="n">
        <v>206.4</v>
      </c>
      <c r="J24" s="0"/>
      <c r="K24" s="7" t="n">
        <v>2E-009</v>
      </c>
      <c r="M24" s="11" t="n">
        <f aca="false">A24</f>
        <v>80</v>
      </c>
      <c r="N24" s="11" t="n">
        <f aca="false">B24+$K25</f>
        <v>0.0031310021</v>
      </c>
      <c r="O24" s="11" t="n">
        <f aca="false">C24+$K25</f>
        <v>207.6000000021</v>
      </c>
      <c r="P24" s="11" t="n">
        <f aca="false">D24+$K25</f>
        <v>0.0033160021</v>
      </c>
      <c r="Q24" s="11" t="n">
        <f aca="false">E24+$K25</f>
        <v>207.0000000021</v>
      </c>
      <c r="R24" s="11" t="n">
        <f aca="false">F24+$K25</f>
        <v>0.0036110021</v>
      </c>
      <c r="S24" s="11" t="n">
        <f aca="false">G24+$K25</f>
        <v>205.2000000021</v>
      </c>
      <c r="T24" s="11" t="n">
        <f aca="false">H24+$K25</f>
        <v>0.0037210021</v>
      </c>
      <c r="U24" s="11" t="n">
        <f aca="false">I24+$K25</f>
        <v>206.4000000021</v>
      </c>
    </row>
    <row r="25" customFormat="false" ht="13.8" hidden="false" customHeight="false" outlineLevel="0" collapsed="false">
      <c r="A25" s="6" t="n">
        <v>79</v>
      </c>
      <c r="B25" s="11" t="n">
        <f aca="false">0.3882*10^-2</f>
        <v>0.003882</v>
      </c>
      <c r="C25" s="11" t="n">
        <v>211.7</v>
      </c>
      <c r="D25" s="11" t="n">
        <f aca="false">0.4118*10^-2</f>
        <v>0.004118</v>
      </c>
      <c r="E25" s="11" t="n">
        <v>210</v>
      </c>
      <c r="F25" s="11" t="n">
        <f aca="false">0.4492*10^-2</f>
        <v>0.004492</v>
      </c>
      <c r="G25" s="11" t="n">
        <v>208.6</v>
      </c>
      <c r="H25" s="11" t="n">
        <f aca="false">0.4621*10^-2</f>
        <v>0.004621</v>
      </c>
      <c r="I25" s="11" t="n">
        <v>210</v>
      </c>
      <c r="J25" s="0"/>
      <c r="K25" s="7" t="n">
        <v>2.1E-009</v>
      </c>
      <c r="M25" s="11" t="n">
        <f aca="false">A25</f>
        <v>79</v>
      </c>
      <c r="N25" s="11" t="n">
        <f aca="false">B25+$K26</f>
        <v>0.0038820022</v>
      </c>
      <c r="O25" s="11" t="n">
        <f aca="false">C25+$K26</f>
        <v>211.7000000022</v>
      </c>
      <c r="P25" s="11" t="n">
        <f aca="false">D25+$K26</f>
        <v>0.0041180022</v>
      </c>
      <c r="Q25" s="11" t="n">
        <f aca="false">E25+$K26</f>
        <v>210.0000000022</v>
      </c>
      <c r="R25" s="11" t="n">
        <f aca="false">F25+$K26</f>
        <v>0.0044920022</v>
      </c>
      <c r="S25" s="11" t="n">
        <f aca="false">G25+$K26</f>
        <v>208.6000000022</v>
      </c>
      <c r="T25" s="11" t="n">
        <f aca="false">H25+$K26</f>
        <v>0.0046210022</v>
      </c>
      <c r="U25" s="11" t="n">
        <f aca="false">I25+$K26</f>
        <v>210.0000000022</v>
      </c>
    </row>
    <row r="26" customFormat="false" ht="13.8" hidden="false" customHeight="false" outlineLevel="0" collapsed="false">
      <c r="A26" s="6" t="n">
        <v>78</v>
      </c>
      <c r="B26" s="11" t="n">
        <f aca="false">0.4797*10^-2</f>
        <v>0.004797</v>
      </c>
      <c r="C26" s="11" t="n">
        <v>215.3</v>
      </c>
      <c r="D26" s="11" t="n">
        <f aca="false">0.51*10^-2</f>
        <v>0.0051</v>
      </c>
      <c r="E26" s="11" t="n">
        <v>212.6</v>
      </c>
      <c r="F26" s="11" t="n">
        <f aca="false">0.5567*10^-2</f>
        <v>0.005567</v>
      </c>
      <c r="G26" s="11" t="n">
        <v>212.2</v>
      </c>
      <c r="H26" s="11" t="n">
        <f aca="false">0.572*10^-2</f>
        <v>0.00572</v>
      </c>
      <c r="I26" s="11" t="n">
        <v>213.4</v>
      </c>
      <c r="J26" s="0"/>
      <c r="K26" s="1" t="n">
        <v>2.2E-009</v>
      </c>
      <c r="M26" s="11" t="n">
        <f aca="false">A26</f>
        <v>78</v>
      </c>
      <c r="N26" s="11" t="n">
        <f aca="false">B26+$K27</f>
        <v>0.0047970023</v>
      </c>
      <c r="O26" s="11" t="n">
        <f aca="false">C26+$K27</f>
        <v>215.3000000023</v>
      </c>
      <c r="P26" s="11" t="n">
        <f aca="false">D26+$K27</f>
        <v>0.0051000023</v>
      </c>
      <c r="Q26" s="11" t="n">
        <f aca="false">E26+$K27</f>
        <v>212.6000000023</v>
      </c>
      <c r="R26" s="11" t="n">
        <f aca="false">F26+$K27</f>
        <v>0.0055670023</v>
      </c>
      <c r="S26" s="11" t="n">
        <f aca="false">G26+$K27</f>
        <v>212.2000000023</v>
      </c>
      <c r="T26" s="11" t="n">
        <f aca="false">H26+$K27</f>
        <v>0.0057200023</v>
      </c>
      <c r="U26" s="11" t="n">
        <f aca="false">I26+$K27</f>
        <v>213.4000000023</v>
      </c>
    </row>
    <row r="27" customFormat="false" ht="13.8" hidden="false" customHeight="false" outlineLevel="0" collapsed="false">
      <c r="A27" s="6" t="n">
        <v>77</v>
      </c>
      <c r="B27" s="11" t="n">
        <f aca="false">0.5907*10^-2</f>
        <v>0.005907</v>
      </c>
      <c r="C27" s="11" t="n">
        <v>218.7</v>
      </c>
      <c r="D27" s="11" t="n">
        <f aca="false">0.6299*10^-2</f>
        <v>0.006299</v>
      </c>
      <c r="E27" s="11" t="n">
        <v>215.3</v>
      </c>
      <c r="F27" s="11" t="n">
        <f aca="false">0.6875*10^-2</f>
        <v>0.006875</v>
      </c>
      <c r="G27" s="11" t="n">
        <v>215.8</v>
      </c>
      <c r="H27" s="11" t="n">
        <f aca="false">0.7057*10^-2</f>
        <v>0.007057</v>
      </c>
      <c r="I27" s="11" t="n">
        <v>216.6</v>
      </c>
      <c r="J27" s="0"/>
      <c r="K27" s="7" t="n">
        <v>2.3E-009</v>
      </c>
      <c r="M27" s="11" t="n">
        <f aca="false">A27</f>
        <v>77</v>
      </c>
      <c r="N27" s="11" t="n">
        <f aca="false">B27+$K28</f>
        <v>0.0059070024</v>
      </c>
      <c r="O27" s="11" t="n">
        <f aca="false">C27+$K28</f>
        <v>218.7000000024</v>
      </c>
      <c r="P27" s="11" t="n">
        <f aca="false">D27+$K28</f>
        <v>0.0062990024</v>
      </c>
      <c r="Q27" s="11" t="n">
        <f aca="false">E27+$K28</f>
        <v>215.3000000024</v>
      </c>
      <c r="R27" s="11" t="n">
        <f aca="false">F27+$K28</f>
        <v>0.0068750024</v>
      </c>
      <c r="S27" s="11" t="n">
        <f aca="false">G27+$K28</f>
        <v>215.8000000024</v>
      </c>
      <c r="T27" s="11" t="n">
        <f aca="false">H27+$K28</f>
        <v>0.0070570024</v>
      </c>
      <c r="U27" s="11" t="n">
        <f aca="false">I27+$K28</f>
        <v>216.6000000024</v>
      </c>
    </row>
    <row r="28" customFormat="false" ht="13.8" hidden="false" customHeight="false" outlineLevel="0" collapsed="false">
      <c r="A28" s="6" t="n">
        <v>76</v>
      </c>
      <c r="B28" s="11" t="n">
        <f aca="false">0.7253*10^-2</f>
        <v>0.007253</v>
      </c>
      <c r="C28" s="11" t="n">
        <v>221.4</v>
      </c>
      <c r="D28" s="11" t="n">
        <f aca="false">0.776*10^-2</f>
        <v>0.00776</v>
      </c>
      <c r="E28" s="11" t="n">
        <v>218.2</v>
      </c>
      <c r="F28" s="11" t="n">
        <f aca="false">0.8463*10^-2</f>
        <v>0.008463</v>
      </c>
      <c r="G28" s="11" t="n">
        <v>219.3</v>
      </c>
      <c r="H28" s="11" t="n">
        <f aca="false">0.8683*10^-2</f>
        <v>0.008683</v>
      </c>
      <c r="I28" s="11" t="n">
        <v>219.4</v>
      </c>
      <c r="J28" s="0"/>
      <c r="K28" s="7" t="n">
        <v>2.4E-009</v>
      </c>
      <c r="M28" s="11" t="n">
        <f aca="false">A28</f>
        <v>76</v>
      </c>
      <c r="N28" s="11" t="n">
        <f aca="false">B28+$K29</f>
        <v>0.0072530025</v>
      </c>
      <c r="O28" s="11" t="n">
        <f aca="false">C28+$K29</f>
        <v>221.4000000025</v>
      </c>
      <c r="P28" s="11" t="n">
        <f aca="false">D28+$K29</f>
        <v>0.0077600025</v>
      </c>
      <c r="Q28" s="11" t="n">
        <f aca="false">E28+$K29</f>
        <v>218.2000000025</v>
      </c>
      <c r="R28" s="11" t="n">
        <f aca="false">F28+$K29</f>
        <v>0.0084630025</v>
      </c>
      <c r="S28" s="11" t="n">
        <f aca="false">G28+$K29</f>
        <v>219.3000000025</v>
      </c>
      <c r="T28" s="11" t="n">
        <f aca="false">H28+$K29</f>
        <v>0.0086830025</v>
      </c>
      <c r="U28" s="11" t="n">
        <f aca="false">I28+$K29</f>
        <v>219.4000000025</v>
      </c>
    </row>
    <row r="29" customFormat="false" ht="13.8" hidden="false" customHeight="false" outlineLevel="0" collapsed="false">
      <c r="A29" s="6" t="n">
        <v>75</v>
      </c>
      <c r="B29" s="11" t="n">
        <f aca="false">0.8887*10^-2</f>
        <v>0.008887</v>
      </c>
      <c r="C29" s="11" t="n">
        <v>223.8</v>
      </c>
      <c r="D29" s="11" t="n">
        <f aca="false">0.9535*10^-2</f>
        <v>0.009535</v>
      </c>
      <c r="E29" s="11" t="n">
        <v>221</v>
      </c>
      <c r="F29" s="11" t="n">
        <f aca="false">0.1038*10^-2</f>
        <v>0.001038</v>
      </c>
      <c r="G29" s="11" t="n">
        <v>222.6</v>
      </c>
      <c r="H29" s="11" t="n">
        <f aca="false">0.1066*10^-2</f>
        <v>0.001066</v>
      </c>
      <c r="I29" s="11" t="n">
        <v>222</v>
      </c>
      <c r="J29" s="0"/>
      <c r="K29" s="1" t="n">
        <v>2.5E-009</v>
      </c>
      <c r="M29" s="11" t="n">
        <f aca="false">A29</f>
        <v>75</v>
      </c>
      <c r="N29" s="11" t="n">
        <f aca="false">B29+$K30</f>
        <v>0.0088870026</v>
      </c>
      <c r="O29" s="11" t="n">
        <f aca="false">C29+$K30</f>
        <v>223.8000000026</v>
      </c>
      <c r="P29" s="11" t="n">
        <f aca="false">D29+$K30</f>
        <v>0.0095350026</v>
      </c>
      <c r="Q29" s="11" t="n">
        <f aca="false">E29+$K30</f>
        <v>221.0000000026</v>
      </c>
      <c r="R29" s="11" t="n">
        <f aca="false">F29+$K30</f>
        <v>0.0010380026</v>
      </c>
      <c r="S29" s="11" t="n">
        <f aca="false">G29+$K30</f>
        <v>222.6000000026</v>
      </c>
      <c r="T29" s="11" t="n">
        <f aca="false">H29+$K30</f>
        <v>0.0010660026</v>
      </c>
      <c r="U29" s="11" t="n">
        <f aca="false">I29+$K30</f>
        <v>222.0000000026</v>
      </c>
    </row>
    <row r="30" customFormat="false" ht="13.8" hidden="false" customHeight="false" outlineLevel="0" collapsed="false">
      <c r="A30" s="6" t="n">
        <v>74</v>
      </c>
      <c r="B30" s="11" t="n">
        <f aca="false">0.1087*10^-2</f>
        <v>0.001087</v>
      </c>
      <c r="C30" s="11" t="n">
        <v>225.9</v>
      </c>
      <c r="D30" s="11" t="n">
        <f aca="false">0.1169*10^-1</f>
        <v>0.01169</v>
      </c>
      <c r="E30" s="11" t="n">
        <v>223.6</v>
      </c>
      <c r="F30" s="11" t="n">
        <f aca="false">0.1271*10^-1</f>
        <v>0.01271</v>
      </c>
      <c r="G30" s="11" t="n">
        <v>225.4</v>
      </c>
      <c r="H30" s="11" t="n">
        <f aca="false">0.1305*10^-1</f>
        <v>0.01305</v>
      </c>
      <c r="I30" s="11" t="n">
        <v>224.3</v>
      </c>
      <c r="J30" s="0"/>
      <c r="K30" s="7" t="n">
        <v>2.6E-009</v>
      </c>
      <c r="M30" s="11" t="n">
        <f aca="false">A30</f>
        <v>74</v>
      </c>
      <c r="N30" s="11" t="n">
        <f aca="false">B30+$K31</f>
        <v>0.0010870027</v>
      </c>
      <c r="O30" s="11" t="n">
        <f aca="false">C30+$K31</f>
        <v>225.9000000027</v>
      </c>
      <c r="P30" s="11" t="n">
        <f aca="false">D30+$K31</f>
        <v>0.0116900027</v>
      </c>
      <c r="Q30" s="11" t="n">
        <f aca="false">E30+$K31</f>
        <v>223.6000000027</v>
      </c>
      <c r="R30" s="11" t="n">
        <f aca="false">F30+$K31</f>
        <v>0.0127100027</v>
      </c>
      <c r="S30" s="11" t="n">
        <f aca="false">G30+$K31</f>
        <v>225.4000000027</v>
      </c>
      <c r="T30" s="11" t="n">
        <f aca="false">H30+$K31</f>
        <v>0.0130500027</v>
      </c>
      <c r="U30" s="11" t="n">
        <f aca="false">I30+$K31</f>
        <v>224.3000000027</v>
      </c>
    </row>
    <row r="31" customFormat="false" ht="13.8" hidden="false" customHeight="false" outlineLevel="0" collapsed="false">
      <c r="A31" s="6" t="n">
        <v>73</v>
      </c>
      <c r="B31" s="11" t="n">
        <f aca="false">0.1327*10^-1</f>
        <v>0.01327</v>
      </c>
      <c r="C31" s="11" t="n">
        <v>227.8</v>
      </c>
      <c r="D31" s="11" t="n">
        <f aca="false">0.1429*10^-1</f>
        <v>0.01429</v>
      </c>
      <c r="E31" s="11" t="n">
        <v>226</v>
      </c>
      <c r="F31" s="11" t="n">
        <f aca="false">0.1551*10^-1</f>
        <v>0.01551</v>
      </c>
      <c r="G31" s="11" t="n">
        <v>228</v>
      </c>
      <c r="H31" s="11" t="n">
        <f aca="false">0.1595*10^-1</f>
        <v>0.01595</v>
      </c>
      <c r="I31" s="11" t="n">
        <v>226.4</v>
      </c>
      <c r="J31" s="0"/>
      <c r="K31" s="7" t="n">
        <v>2.7E-009</v>
      </c>
      <c r="M31" s="11" t="n">
        <f aca="false">A31</f>
        <v>73</v>
      </c>
      <c r="N31" s="11" t="n">
        <f aca="false">B31+$K32</f>
        <v>0.0132700028</v>
      </c>
      <c r="O31" s="11" t="n">
        <f aca="false">C31+$K32</f>
        <v>227.8000000028</v>
      </c>
      <c r="P31" s="11" t="n">
        <f aca="false">D31+$K32</f>
        <v>0.0142900028</v>
      </c>
      <c r="Q31" s="11" t="n">
        <f aca="false">E31+$K32</f>
        <v>226.0000000028</v>
      </c>
      <c r="R31" s="11" t="n">
        <f aca="false">F31+$K32</f>
        <v>0.0155100028</v>
      </c>
      <c r="S31" s="11" t="n">
        <f aca="false">G31+$K32</f>
        <v>228.0000000028</v>
      </c>
      <c r="T31" s="11" t="n">
        <f aca="false">H31+$K32</f>
        <v>0.0159500028</v>
      </c>
      <c r="U31" s="11" t="n">
        <f aca="false">I31+$K32</f>
        <v>226.4000000028</v>
      </c>
    </row>
    <row r="32" customFormat="false" ht="13.8" hidden="false" customHeight="false" outlineLevel="0" collapsed="false">
      <c r="A32" s="6" t="n">
        <v>72</v>
      </c>
      <c r="B32" s="11" t="n">
        <f aca="false">0.1617*10^-1</f>
        <v>0.01617</v>
      </c>
      <c r="C32" s="11" t="n">
        <v>229.3</v>
      </c>
      <c r="D32" s="11" t="n">
        <f aca="false">0.1744*10^-1</f>
        <v>0.01744</v>
      </c>
      <c r="E32" s="11" t="n">
        <v>228</v>
      </c>
      <c r="F32" s="11" t="n">
        <f aca="false">0.189*10^-1</f>
        <v>0.0189</v>
      </c>
      <c r="G32" s="11" t="n">
        <v>230.1</v>
      </c>
      <c r="H32" s="11" t="n">
        <f aca="false">0.1947*10^-1</f>
        <v>0.01947</v>
      </c>
      <c r="I32" s="11" t="n">
        <v>228.1</v>
      </c>
      <c r="J32" s="0"/>
      <c r="K32" s="1" t="n">
        <v>2.8E-009</v>
      </c>
      <c r="M32" s="11" t="n">
        <f aca="false">A32</f>
        <v>72</v>
      </c>
      <c r="N32" s="11" t="n">
        <f aca="false">B32+$K33</f>
        <v>0.0161700029</v>
      </c>
      <c r="O32" s="11" t="n">
        <f aca="false">C32+$K33</f>
        <v>229.3000000029</v>
      </c>
      <c r="P32" s="11" t="n">
        <f aca="false">D32+$K33</f>
        <v>0.0174400029</v>
      </c>
      <c r="Q32" s="11" t="n">
        <f aca="false">E32+$K33</f>
        <v>228.0000000029</v>
      </c>
      <c r="R32" s="11" t="n">
        <f aca="false">F32+$K33</f>
        <v>0.0189000029</v>
      </c>
      <c r="S32" s="11" t="n">
        <f aca="false">G32+$K33</f>
        <v>230.1000000029</v>
      </c>
      <c r="T32" s="11" t="n">
        <f aca="false">H32+$K33</f>
        <v>0.0194700029</v>
      </c>
      <c r="U32" s="11" t="n">
        <f aca="false">I32+$K33</f>
        <v>228.1000000029</v>
      </c>
    </row>
    <row r="33" customFormat="false" ht="13.8" hidden="false" customHeight="false" outlineLevel="0" collapsed="false">
      <c r="A33" s="6" t="n">
        <v>71</v>
      </c>
      <c r="B33" s="11" t="n">
        <f aca="false">0.197*10^-1</f>
        <v>0.0197</v>
      </c>
      <c r="C33" s="11" t="n">
        <v>230.5</v>
      </c>
      <c r="D33" s="11" t="n">
        <f aca="false">0.2127*10^-1</f>
        <v>0.02127</v>
      </c>
      <c r="E33" s="11" t="n">
        <v>229.4</v>
      </c>
      <c r="F33" s="11" t="n">
        <f aca="false">0.23*10^-1</f>
        <v>0.023</v>
      </c>
      <c r="G33" s="11" t="n">
        <v>231.6</v>
      </c>
      <c r="H33" s="11" t="n">
        <f aca="false">0.2373*10^-1</f>
        <v>0.02373</v>
      </c>
      <c r="I33" s="11" t="n">
        <v>229.5</v>
      </c>
      <c r="J33" s="0"/>
      <c r="K33" s="7" t="n">
        <v>2.9E-009</v>
      </c>
      <c r="M33" s="11" t="n">
        <f aca="false">A33</f>
        <v>71</v>
      </c>
      <c r="N33" s="11" t="n">
        <f aca="false">B33+$K34</f>
        <v>0.019700003</v>
      </c>
      <c r="O33" s="11" t="n">
        <f aca="false">C33+$K34</f>
        <v>230.500000003</v>
      </c>
      <c r="P33" s="11" t="n">
        <f aca="false">D33+$K34</f>
        <v>0.021270003</v>
      </c>
      <c r="Q33" s="11" t="n">
        <f aca="false">E33+$K34</f>
        <v>229.400000003</v>
      </c>
      <c r="R33" s="11" t="n">
        <f aca="false">F33+$K34</f>
        <v>0.023000003</v>
      </c>
      <c r="S33" s="11" t="n">
        <f aca="false">G33+$K34</f>
        <v>231.600000003</v>
      </c>
      <c r="T33" s="11" t="n">
        <f aca="false">H33+$K34</f>
        <v>0.023730003</v>
      </c>
      <c r="U33" s="11" t="n">
        <f aca="false">I33+$K34</f>
        <v>229.500000003</v>
      </c>
    </row>
    <row r="34" customFormat="false" ht="13.8" hidden="false" customHeight="false" outlineLevel="0" collapsed="false">
      <c r="A34" s="6" t="n">
        <v>70</v>
      </c>
      <c r="B34" s="11" t="n">
        <f aca="false">0.2397*10^-1</f>
        <v>0.02397</v>
      </c>
      <c r="C34" s="11" t="n">
        <v>231.1</v>
      </c>
      <c r="D34" s="11" t="n">
        <f aca="false">0.259*10^-1</f>
        <v>0.0259</v>
      </c>
      <c r="E34" s="11" t="n">
        <v>230.2</v>
      </c>
      <c r="F34" s="11" t="n">
        <f aca="false">0.2796*10^-1</f>
        <v>0.02796</v>
      </c>
      <c r="G34" s="11" t="n">
        <v>232.6</v>
      </c>
      <c r="H34" s="11" t="n">
        <f aca="false">0.289*10^-1</f>
        <v>0.0289</v>
      </c>
      <c r="I34" s="11" t="n">
        <v>230.6</v>
      </c>
      <c r="J34" s="0"/>
      <c r="K34" s="7" t="n">
        <v>3E-009</v>
      </c>
      <c r="M34" s="11" t="n">
        <f aca="false">A34</f>
        <v>70</v>
      </c>
      <c r="N34" s="11" t="n">
        <f aca="false">B34+$K35</f>
        <v>0.0239700031</v>
      </c>
      <c r="O34" s="11" t="n">
        <f aca="false">C34+$K35</f>
        <v>231.1000000031</v>
      </c>
      <c r="P34" s="11" t="n">
        <f aca="false">D34+$K35</f>
        <v>0.0259000031</v>
      </c>
      <c r="Q34" s="11" t="n">
        <f aca="false">E34+$K35</f>
        <v>230.2000000031</v>
      </c>
      <c r="R34" s="11" t="n">
        <f aca="false">F34+$K35</f>
        <v>0.0279600031</v>
      </c>
      <c r="S34" s="11" t="n">
        <f aca="false">G34+$K35</f>
        <v>232.6000000031</v>
      </c>
      <c r="T34" s="11" t="n">
        <f aca="false">H34+$K35</f>
        <v>0.0289000031</v>
      </c>
      <c r="U34" s="11" t="n">
        <f aca="false">I34+$K35</f>
        <v>230.6000000031</v>
      </c>
    </row>
    <row r="35" customFormat="false" ht="13.8" hidden="false" customHeight="false" outlineLevel="0" collapsed="false">
      <c r="A35" s="6" t="n">
        <v>69</v>
      </c>
      <c r="B35" s="11" t="n">
        <f aca="false">0.2917*10^-1</f>
        <v>0.02917</v>
      </c>
      <c r="C35" s="11" t="n">
        <v>231.2</v>
      </c>
      <c r="D35" s="11" t="n">
        <f aca="false">0.3154*10^-1</f>
        <v>0.03154</v>
      </c>
      <c r="E35" s="11" t="n">
        <v>230.3</v>
      </c>
      <c r="F35" s="11" t="n">
        <f aca="false">0.3397*10^-1</f>
        <v>0.03397</v>
      </c>
      <c r="G35" s="11" t="n">
        <v>232.9</v>
      </c>
      <c r="H35" s="11" t="n">
        <f aca="false">0.3517*10^-1</f>
        <v>0.03517</v>
      </c>
      <c r="I35" s="11" t="n">
        <v>231.2</v>
      </c>
      <c r="J35" s="0"/>
      <c r="K35" s="1" t="n">
        <v>3.1E-009</v>
      </c>
      <c r="M35" s="11" t="n">
        <f aca="false">A35</f>
        <v>69</v>
      </c>
      <c r="N35" s="11" t="n">
        <f aca="false">B35+$K36</f>
        <v>0.0291700032</v>
      </c>
      <c r="O35" s="11" t="n">
        <f aca="false">C35+$K36</f>
        <v>231.2000000032</v>
      </c>
      <c r="P35" s="11" t="n">
        <f aca="false">D35+$K36</f>
        <v>0.0315400032</v>
      </c>
      <c r="Q35" s="11" t="n">
        <f aca="false">E35+$K36</f>
        <v>230.3000000032</v>
      </c>
      <c r="R35" s="11" t="n">
        <f aca="false">F35+$K36</f>
        <v>0.0339700032</v>
      </c>
      <c r="S35" s="11" t="n">
        <f aca="false">G35+$K36</f>
        <v>232.9000000032</v>
      </c>
      <c r="T35" s="11" t="n">
        <f aca="false">H35+$K36</f>
        <v>0.0351700032</v>
      </c>
      <c r="U35" s="11" t="n">
        <f aca="false">I35+$K36</f>
        <v>231.2000000032</v>
      </c>
    </row>
    <row r="36" customFormat="false" ht="13.8" hidden="false" customHeight="false" outlineLevel="0" collapsed="false">
      <c r="A36" s="6" t="n">
        <v>68</v>
      </c>
      <c r="B36" s="11" t="n">
        <f aca="false">0.3551*10^-1</f>
        <v>0.03551</v>
      </c>
      <c r="C36" s="11" t="n">
        <v>230.4</v>
      </c>
      <c r="D36" s="11" t="n">
        <f aca="false">0.3842*10^-1</f>
        <v>0.03842</v>
      </c>
      <c r="E36" s="11" t="n">
        <v>229.5</v>
      </c>
      <c r="F36" s="11" t="n">
        <f aca="false">0.4129*10^-1</f>
        <v>0.04129</v>
      </c>
      <c r="G36" s="11" t="n">
        <v>232.6</v>
      </c>
      <c r="H36" s="11" t="n">
        <f aca="false">0.428*10^-1</f>
        <v>0.0428</v>
      </c>
      <c r="I36" s="11" t="n">
        <v>231.4</v>
      </c>
      <c r="J36" s="0"/>
      <c r="K36" s="7" t="n">
        <v>3.2E-009</v>
      </c>
      <c r="M36" s="11" t="n">
        <f aca="false">A36</f>
        <v>68</v>
      </c>
      <c r="N36" s="11" t="n">
        <f aca="false">B36+$K37</f>
        <v>0.0355100033</v>
      </c>
      <c r="O36" s="11" t="n">
        <f aca="false">C36+$K37</f>
        <v>230.4000000033</v>
      </c>
      <c r="P36" s="11" t="n">
        <f aca="false">D36+$K37</f>
        <v>0.0384200033</v>
      </c>
      <c r="Q36" s="11" t="n">
        <f aca="false">E36+$K37</f>
        <v>229.5000000033</v>
      </c>
      <c r="R36" s="11" t="n">
        <f aca="false">F36+$K37</f>
        <v>0.0412900033</v>
      </c>
      <c r="S36" s="11" t="n">
        <f aca="false">G36+$K37</f>
        <v>232.6000000033</v>
      </c>
      <c r="T36" s="11" t="n">
        <f aca="false">H36+$K37</f>
        <v>0.0428000033</v>
      </c>
      <c r="U36" s="11" t="n">
        <f aca="false">I36+$K37</f>
        <v>231.4000000033</v>
      </c>
    </row>
    <row r="37" customFormat="false" ht="13.8" hidden="false" customHeight="false" outlineLevel="0" collapsed="false">
      <c r="A37" s="6" t="n">
        <v>67</v>
      </c>
      <c r="B37" s="11" t="n">
        <f aca="false">0.4327*10^-1</f>
        <v>0.04327</v>
      </c>
      <c r="C37" s="11" t="n">
        <v>228.8</v>
      </c>
      <c r="D37" s="11" t="n">
        <f aca="false">0.4686*10^-1</f>
        <v>0.04686</v>
      </c>
      <c r="E37" s="11" t="n">
        <v>228</v>
      </c>
      <c r="F37" s="11" t="n">
        <f aca="false">0.5021*10^-1</f>
        <v>0.05021</v>
      </c>
      <c r="G37" s="11" t="n">
        <v>231.7</v>
      </c>
      <c r="H37" s="11" t="n">
        <f aca="false">0.5207*10^-1</f>
        <v>0.05207</v>
      </c>
      <c r="I37" s="11" t="n">
        <v>231.2</v>
      </c>
      <c r="J37" s="0"/>
      <c r="K37" s="7" t="n">
        <v>3.3E-009</v>
      </c>
      <c r="M37" s="11" t="n">
        <f aca="false">A37</f>
        <v>67</v>
      </c>
      <c r="N37" s="11" t="n">
        <f aca="false">B37+$K38</f>
        <v>0.0432700034</v>
      </c>
      <c r="O37" s="11" t="n">
        <f aca="false">C37+$K38</f>
        <v>228.8000000034</v>
      </c>
      <c r="P37" s="11" t="n">
        <f aca="false">D37+$K38</f>
        <v>0.0468600034</v>
      </c>
      <c r="Q37" s="11" t="n">
        <f aca="false">E37+$K38</f>
        <v>228.0000000034</v>
      </c>
      <c r="R37" s="11" t="n">
        <f aca="false">F37+$K38</f>
        <v>0.0502100034</v>
      </c>
      <c r="S37" s="11" t="n">
        <f aca="false">G37+$K38</f>
        <v>231.7000000034</v>
      </c>
      <c r="T37" s="11" t="n">
        <f aca="false">H37+$K38</f>
        <v>0.0520700034</v>
      </c>
      <c r="U37" s="11" t="n">
        <f aca="false">I37+$K38</f>
        <v>231.2000000034</v>
      </c>
    </row>
    <row r="38" customFormat="false" ht="13.8" hidden="false" customHeight="false" outlineLevel="0" collapsed="false">
      <c r="A38" s="6" t="n">
        <v>66</v>
      </c>
      <c r="B38" s="11" t="n">
        <f aca="false">0.5283*10^-1</f>
        <v>0.05283</v>
      </c>
      <c r="C38" s="11" t="n">
        <v>226.5</v>
      </c>
      <c r="D38" s="11" t="n">
        <f aca="false">0.5725*10^-1</f>
        <v>0.05725</v>
      </c>
      <c r="E38" s="11" t="n">
        <v>226.1</v>
      </c>
      <c r="F38" s="11" t="n">
        <f aca="false">0.6112*10^-1</f>
        <v>0.06112</v>
      </c>
      <c r="G38" s="11" t="n">
        <v>230.5</v>
      </c>
      <c r="H38" s="11" t="n">
        <f aca="false">0.6339*10^-1</f>
        <v>0.06339</v>
      </c>
      <c r="I38" s="11" t="n">
        <v>230.8</v>
      </c>
      <c r="J38" s="0"/>
      <c r="K38" s="1" t="n">
        <v>3.4E-009</v>
      </c>
      <c r="M38" s="11" t="n">
        <f aca="false">A38</f>
        <v>66</v>
      </c>
      <c r="N38" s="11" t="n">
        <f aca="false">B38+$K39</f>
        <v>0.0528300035</v>
      </c>
      <c r="O38" s="11" t="n">
        <f aca="false">C38+$K39</f>
        <v>226.5000000035</v>
      </c>
      <c r="P38" s="11" t="n">
        <f aca="false">D38+$K39</f>
        <v>0.0572500035</v>
      </c>
      <c r="Q38" s="11" t="n">
        <f aca="false">E38+$K39</f>
        <v>226.1000000035</v>
      </c>
      <c r="R38" s="11" t="n">
        <f aca="false">F38+$K39</f>
        <v>0.0611200035</v>
      </c>
      <c r="S38" s="11" t="n">
        <f aca="false">G38+$K39</f>
        <v>230.5000000035</v>
      </c>
      <c r="T38" s="11" t="n">
        <f aca="false">H38+$K39</f>
        <v>0.0633900035</v>
      </c>
      <c r="U38" s="11" t="n">
        <f aca="false">I38+$K39</f>
        <v>230.8000000035</v>
      </c>
    </row>
    <row r="39" customFormat="false" ht="13.8" hidden="false" customHeight="false" outlineLevel="0" collapsed="false">
      <c r="A39" s="6" t="n">
        <v>65</v>
      </c>
      <c r="B39" s="11" t="n">
        <f aca="false">0.6465*10^-1</f>
        <v>0.06465</v>
      </c>
      <c r="C39" s="11" t="n">
        <v>224.1</v>
      </c>
      <c r="D39" s="11" t="n">
        <f aca="false">0.7006*10^-1</f>
        <v>0.07006</v>
      </c>
      <c r="E39" s="11" t="n">
        <v>224.2</v>
      </c>
      <c r="F39" s="11" t="n">
        <f aca="false">0.7447*10^-1</f>
        <v>0.07447</v>
      </c>
      <c r="G39" s="11" t="n">
        <v>229.4</v>
      </c>
      <c r="H39" s="11" t="n">
        <f aca="false">0.772*10^-1</f>
        <v>0.0772</v>
      </c>
      <c r="I39" s="11" t="n">
        <v>230.3</v>
      </c>
      <c r="J39" s="0"/>
      <c r="K39" s="7" t="n">
        <v>3.5E-009</v>
      </c>
      <c r="M39" s="11" t="n">
        <f aca="false">A39</f>
        <v>65</v>
      </c>
      <c r="N39" s="11" t="n">
        <f aca="false">B39+$K40</f>
        <v>0.0646500036</v>
      </c>
      <c r="O39" s="11" t="n">
        <f aca="false">C39+$K40</f>
        <v>224.1000000036</v>
      </c>
      <c r="P39" s="11" t="n">
        <f aca="false">D39+$K40</f>
        <v>0.0700600036</v>
      </c>
      <c r="Q39" s="11" t="n">
        <f aca="false">E39+$K40</f>
        <v>224.2000000036</v>
      </c>
      <c r="R39" s="11" t="n">
        <f aca="false">F39+$K40</f>
        <v>0.0744700036</v>
      </c>
      <c r="S39" s="11" t="n">
        <f aca="false">G39+$K40</f>
        <v>229.4000000036</v>
      </c>
      <c r="T39" s="11" t="n">
        <f aca="false">H39+$K40</f>
        <v>0.0772000036</v>
      </c>
      <c r="U39" s="11" t="n">
        <f aca="false">I39+$K40</f>
        <v>230.3000000036</v>
      </c>
    </row>
    <row r="40" customFormat="false" ht="13.8" hidden="false" customHeight="false" outlineLevel="0" collapsed="false">
      <c r="A40" s="6" t="n">
        <v>64</v>
      </c>
      <c r="B40" s="11" t="n">
        <f aca="false">0.7929*10^-1</f>
        <v>0.07929</v>
      </c>
      <c r="C40" s="11" t="n">
        <v>221.8</v>
      </c>
      <c r="D40" s="11" t="n">
        <f aca="false">0.8588*10^-1</f>
        <v>0.08588</v>
      </c>
      <c r="E40" s="11" t="n">
        <v>222.8</v>
      </c>
      <c r="F40" s="11" t="n">
        <f aca="false">0.9083*10^-1</f>
        <v>0.09083</v>
      </c>
      <c r="G40" s="11" t="n">
        <v>228.6</v>
      </c>
      <c r="H40" s="11" t="n">
        <f aca="false">0.9404*10^-1</f>
        <v>0.09404</v>
      </c>
      <c r="I40" s="11" t="n">
        <v>230.5</v>
      </c>
      <c r="J40" s="0"/>
      <c r="K40" s="7" t="n">
        <v>3.6E-009</v>
      </c>
      <c r="M40" s="11" t="n">
        <f aca="false">A40</f>
        <v>64</v>
      </c>
      <c r="N40" s="11" t="n">
        <f aca="false">B40+$K41</f>
        <v>0.0792900037</v>
      </c>
      <c r="O40" s="11" t="n">
        <f aca="false">C40+$K41</f>
        <v>221.8000000037</v>
      </c>
      <c r="P40" s="11" t="n">
        <f aca="false">D40+$K41</f>
        <v>0.0858800037</v>
      </c>
      <c r="Q40" s="11" t="n">
        <f aca="false">E40+$K41</f>
        <v>222.8000000037</v>
      </c>
      <c r="R40" s="11" t="n">
        <f aca="false">F40+$K41</f>
        <v>0.0908300037</v>
      </c>
      <c r="S40" s="11" t="n">
        <f aca="false">G40+$K41</f>
        <v>228.6000000037</v>
      </c>
      <c r="T40" s="11" t="n">
        <f aca="false">H40+$K41</f>
        <v>0.0940400037</v>
      </c>
      <c r="U40" s="11" t="n">
        <f aca="false">I40+$K41</f>
        <v>230.5000000037</v>
      </c>
    </row>
    <row r="41" customFormat="false" ht="13.8" hidden="false" customHeight="false" outlineLevel="0" collapsed="false">
      <c r="A41" s="6" t="n">
        <v>63</v>
      </c>
      <c r="B41" s="11" t="n">
        <f aca="false">0.9742*10^-1</f>
        <v>0.09742</v>
      </c>
      <c r="C41" s="11" t="n">
        <v>220.1</v>
      </c>
      <c r="D41" s="11" t="n">
        <f aca="false">0.1053</f>
        <v>0.1053</v>
      </c>
      <c r="E41" s="11" t="n">
        <v>222.5</v>
      </c>
      <c r="F41" s="11" t="n">
        <f aca="false">0.1108</f>
        <v>0.1108</v>
      </c>
      <c r="G41" s="11" t="n">
        <v>228.7</v>
      </c>
      <c r="H41" s="11" t="n">
        <f aca="false">0.1145</f>
        <v>0.1145</v>
      </c>
      <c r="I41" s="11" t="n">
        <v>231.4</v>
      </c>
      <c r="J41" s="0"/>
      <c r="K41" s="1" t="n">
        <v>3.7E-009</v>
      </c>
      <c r="M41" s="11" t="n">
        <f aca="false">A41</f>
        <v>63</v>
      </c>
      <c r="N41" s="11" t="n">
        <f aca="false">B41+$K42</f>
        <v>0.0974200038</v>
      </c>
      <c r="O41" s="11" t="n">
        <f aca="false">C41+$K42</f>
        <v>220.1000000038</v>
      </c>
      <c r="P41" s="11" t="n">
        <f aca="false">D41+$K42</f>
        <v>0.1053000038</v>
      </c>
      <c r="Q41" s="11" t="n">
        <f aca="false">E41+$K42</f>
        <v>222.5000000038</v>
      </c>
      <c r="R41" s="11" t="n">
        <f aca="false">F41+$K42</f>
        <v>0.1108000038</v>
      </c>
      <c r="S41" s="11" t="n">
        <f aca="false">G41+$K42</f>
        <v>228.7000000038</v>
      </c>
      <c r="T41" s="11" t="n">
        <f aca="false">H41+$K42</f>
        <v>0.1145000038</v>
      </c>
      <c r="U41" s="11" t="n">
        <f aca="false">I41+$K42</f>
        <v>231.4000000038</v>
      </c>
    </row>
    <row r="42" customFormat="false" ht="13.8" hidden="false" customHeight="false" outlineLevel="0" collapsed="false">
      <c r="A42" s="6" t="n">
        <v>62</v>
      </c>
      <c r="B42" s="11" t="n">
        <f aca="false">0.1198</f>
        <v>0.1198</v>
      </c>
      <c r="C42" s="11" t="n">
        <v>220.2</v>
      </c>
      <c r="D42" s="11" t="n">
        <f aca="false">0.1291</f>
        <v>0.1291</v>
      </c>
      <c r="E42" s="11" t="n">
        <v>223.8</v>
      </c>
      <c r="F42" s="11" t="n">
        <f aca="false">0.1351</f>
        <v>0.1351</v>
      </c>
      <c r="G42" s="11" t="n">
        <v>230.1</v>
      </c>
      <c r="H42" s="11" t="n">
        <f aca="false">0.1392</f>
        <v>0.1392</v>
      </c>
      <c r="I42" s="11" t="n">
        <v>233.6</v>
      </c>
      <c r="J42" s="0"/>
      <c r="K42" s="7" t="n">
        <v>3.8E-009</v>
      </c>
      <c r="M42" s="11" t="n">
        <f aca="false">A42</f>
        <v>62</v>
      </c>
      <c r="N42" s="11" t="n">
        <f aca="false">B42+$K43</f>
        <v>0.1198000039</v>
      </c>
      <c r="O42" s="11" t="n">
        <f aca="false">C42+$K43</f>
        <v>220.2000000039</v>
      </c>
      <c r="P42" s="11" t="n">
        <f aca="false">D42+$K43</f>
        <v>0.1291000039</v>
      </c>
      <c r="Q42" s="11" t="n">
        <f aca="false">E42+$K43</f>
        <v>223.8000000039</v>
      </c>
      <c r="R42" s="11" t="n">
        <f aca="false">F42+$K43</f>
        <v>0.1351000039</v>
      </c>
      <c r="S42" s="11" t="n">
        <f aca="false">G42+$K43</f>
        <v>230.1000000039</v>
      </c>
      <c r="T42" s="11" t="n">
        <f aca="false">H42+$K43</f>
        <v>0.1392000039</v>
      </c>
      <c r="U42" s="11" t="n">
        <f aca="false">I42+$K43</f>
        <v>233.6000000039</v>
      </c>
    </row>
    <row r="43" customFormat="false" ht="13.8" hidden="false" customHeight="false" outlineLevel="0" collapsed="false">
      <c r="A43" s="6" t="n">
        <v>61</v>
      </c>
      <c r="B43" s="11" t="n">
        <f aca="false">0.1472</f>
        <v>0.1472</v>
      </c>
      <c r="C43" s="11" t="n">
        <v>221.1</v>
      </c>
      <c r="D43" s="11" t="n">
        <f aca="false">0.158</f>
        <v>0.158</v>
      </c>
      <c r="E43" s="11" t="n">
        <v>226.6</v>
      </c>
      <c r="F43" s="11" t="n">
        <f aca="false">0.1644</f>
        <v>0.1644</v>
      </c>
      <c r="G43" s="11" t="n">
        <v>232.8</v>
      </c>
      <c r="H43" s="11" t="n">
        <f aca="false">0.1689</f>
        <v>0.1689</v>
      </c>
      <c r="I43" s="11" t="n">
        <v>236.8</v>
      </c>
      <c r="J43" s="0"/>
      <c r="K43" s="7" t="n">
        <v>3.9E-009</v>
      </c>
      <c r="M43" s="11" t="n">
        <f aca="false">A43</f>
        <v>61</v>
      </c>
      <c r="N43" s="11" t="n">
        <f aca="false">B43+$K44</f>
        <v>0.147200004</v>
      </c>
      <c r="O43" s="11" t="n">
        <f aca="false">C43+$K44</f>
        <v>221.100000004</v>
      </c>
      <c r="P43" s="11" t="n">
        <f aca="false">D43+$K44</f>
        <v>0.158000004</v>
      </c>
      <c r="Q43" s="11" t="n">
        <f aca="false">E43+$K44</f>
        <v>226.600000004</v>
      </c>
      <c r="R43" s="11" t="n">
        <f aca="false">F43+$K44</f>
        <v>0.164400004</v>
      </c>
      <c r="S43" s="11" t="n">
        <f aca="false">G43+$K44</f>
        <v>232.800000004</v>
      </c>
      <c r="T43" s="11" t="n">
        <f aca="false">H43+$K44</f>
        <v>0.168900004</v>
      </c>
      <c r="U43" s="11" t="n">
        <f aca="false">I43+$K44</f>
        <v>236.800000004</v>
      </c>
    </row>
    <row r="44" customFormat="false" ht="13.8" hidden="false" customHeight="false" outlineLevel="0" collapsed="false">
      <c r="A44" s="6" t="n">
        <v>60</v>
      </c>
      <c r="B44" s="11" t="n">
        <f aca="false">0.1806</f>
        <v>0.1806</v>
      </c>
      <c r="C44" s="11" t="n">
        <v>224</v>
      </c>
      <c r="D44" s="11" t="n">
        <f aca="false">0.1927</f>
        <v>0.1927</v>
      </c>
      <c r="E44" s="11" t="n">
        <v>230.8</v>
      </c>
      <c r="F44" s="11" t="n">
        <f aca="false">0.1996</f>
        <v>0.1996</v>
      </c>
      <c r="G44" s="11" t="n">
        <v>236.4</v>
      </c>
      <c r="H44" s="11" t="n">
        <f aca="false">0.2042</f>
        <v>0.2042</v>
      </c>
      <c r="I44" s="11" t="n">
        <v>241</v>
      </c>
      <c r="J44" s="0"/>
      <c r="K44" s="1" t="n">
        <v>4E-009</v>
      </c>
      <c r="M44" s="11" t="n">
        <f aca="false">A44</f>
        <v>60</v>
      </c>
      <c r="N44" s="11" t="n">
        <f aca="false">B44+$K45</f>
        <v>0.1806000041</v>
      </c>
      <c r="O44" s="11" t="n">
        <f aca="false">C44+$K45</f>
        <v>224.0000000041</v>
      </c>
      <c r="P44" s="11" t="n">
        <f aca="false">D44+$K45</f>
        <v>0.1927000041</v>
      </c>
      <c r="Q44" s="11" t="n">
        <f aca="false">E44+$K45</f>
        <v>230.8000000041</v>
      </c>
      <c r="R44" s="11" t="n">
        <f aca="false">F44+$K45</f>
        <v>0.1996000041</v>
      </c>
      <c r="S44" s="11" t="n">
        <f aca="false">G44+$K45</f>
        <v>236.4000000041</v>
      </c>
      <c r="T44" s="11" t="n">
        <f aca="false">H44+$K45</f>
        <v>0.2042000041</v>
      </c>
      <c r="U44" s="11" t="n">
        <f aca="false">I44+$K45</f>
        <v>241.0000000041</v>
      </c>
    </row>
    <row r="45" customFormat="false" ht="13.8" hidden="false" customHeight="false" outlineLevel="0" collapsed="false">
      <c r="A45" s="6" t="n">
        <v>59</v>
      </c>
      <c r="B45" s="11" t="n">
        <f aca="false">0.2209</f>
        <v>0.2209</v>
      </c>
      <c r="C45" s="11" t="n">
        <v>226.6</v>
      </c>
      <c r="D45" s="11" t="n">
        <f aca="false">0.2342</f>
        <v>0.2342</v>
      </c>
      <c r="E45" s="11" t="n">
        <v>235.4</v>
      </c>
      <c r="F45" s="11" t="n">
        <f aca="false">0.2415</f>
        <v>0.2415</v>
      </c>
      <c r="G45" s="11" t="n">
        <v>240</v>
      </c>
      <c r="H45" s="11" t="n">
        <f aca="false">0.2461</f>
        <v>0.2461</v>
      </c>
      <c r="I45" s="11" t="n">
        <v>245.8</v>
      </c>
      <c r="J45" s="0"/>
      <c r="K45" s="7" t="n">
        <v>4.1E-009</v>
      </c>
      <c r="M45" s="11" t="n">
        <f aca="false">A45</f>
        <v>59</v>
      </c>
      <c r="N45" s="11" t="n">
        <f aca="false">B45+$K46</f>
        <v>0.2209000042</v>
      </c>
      <c r="O45" s="11" t="n">
        <f aca="false">C45+$K46</f>
        <v>226.6000000042</v>
      </c>
      <c r="P45" s="11" t="n">
        <f aca="false">D45+$K46</f>
        <v>0.2342000042</v>
      </c>
      <c r="Q45" s="11" t="n">
        <f aca="false">E45+$K46</f>
        <v>235.4000000042</v>
      </c>
      <c r="R45" s="11" t="n">
        <f aca="false">F45+$K46</f>
        <v>0.2415000042</v>
      </c>
      <c r="S45" s="11" t="n">
        <f aca="false">G45+$K46</f>
        <v>240.0000000042</v>
      </c>
      <c r="T45" s="11" t="n">
        <f aca="false">H45+$K46</f>
        <v>0.2461000042</v>
      </c>
      <c r="U45" s="11" t="n">
        <f aca="false">I45+$K46</f>
        <v>245.8000000042</v>
      </c>
    </row>
    <row r="46" customFormat="false" ht="13.8" hidden="false" customHeight="false" outlineLevel="0" collapsed="false">
      <c r="A46" s="6" t="n">
        <v>58</v>
      </c>
      <c r="B46" s="11" t="n">
        <f aca="false">0.2696</f>
        <v>0.2696</v>
      </c>
      <c r="C46" s="11" t="n">
        <v>229.7</v>
      </c>
      <c r="D46" s="11" t="n">
        <f aca="false">0.2835</f>
        <v>0.2835</v>
      </c>
      <c r="E46" s="11" t="n">
        <v>240</v>
      </c>
      <c r="F46" s="11" t="n">
        <f aca="false">0.2914</f>
        <v>0.2914</v>
      </c>
      <c r="G46" s="11" t="n">
        <v>244.1</v>
      </c>
      <c r="H46" s="11" t="n">
        <f aca="false">0.2955</f>
        <v>0.2955</v>
      </c>
      <c r="I46" s="11" t="n">
        <v>251.1</v>
      </c>
      <c r="J46" s="0"/>
      <c r="K46" s="7" t="n">
        <v>4.2E-009</v>
      </c>
      <c r="M46" s="11" t="n">
        <f aca="false">A46</f>
        <v>58</v>
      </c>
      <c r="N46" s="11" t="n">
        <f aca="false">B46+$K47</f>
        <v>0.2696000043</v>
      </c>
      <c r="O46" s="11" t="n">
        <f aca="false">C46+$K47</f>
        <v>229.7000000043</v>
      </c>
      <c r="P46" s="11" t="n">
        <f aca="false">D46+$K47</f>
        <v>0.2835000043</v>
      </c>
      <c r="Q46" s="11" t="n">
        <f aca="false">E46+$K47</f>
        <v>240.0000000043</v>
      </c>
      <c r="R46" s="11" t="n">
        <f aca="false">F46+$K47</f>
        <v>0.2914000043</v>
      </c>
      <c r="S46" s="11" t="n">
        <f aca="false">G46+$K47</f>
        <v>244.1000000043</v>
      </c>
      <c r="T46" s="11" t="n">
        <f aca="false">H46+$K47</f>
        <v>0.2955000043</v>
      </c>
      <c r="U46" s="11" t="n">
        <f aca="false">I46+$K47</f>
        <v>251.1000000043</v>
      </c>
    </row>
    <row r="47" customFormat="false" ht="13.8" hidden="false" customHeight="false" outlineLevel="0" collapsed="false">
      <c r="A47" s="6" t="n">
        <v>57</v>
      </c>
      <c r="B47" s="11" t="n">
        <f aca="false">0.3283</f>
        <v>0.3283</v>
      </c>
      <c r="C47" s="11" t="n">
        <v>232.7</v>
      </c>
      <c r="D47" s="11" t="n">
        <f aca="false">0.3419</f>
        <v>0.3419</v>
      </c>
      <c r="E47" s="11" t="n">
        <v>245.3</v>
      </c>
      <c r="F47" s="11" t="n">
        <f aca="false">0.35</f>
        <v>0.35</v>
      </c>
      <c r="G47" s="11" t="n">
        <v>251.6</v>
      </c>
      <c r="H47" s="11" t="n">
        <f aca="false">0.3532</f>
        <v>0.3532</v>
      </c>
      <c r="I47" s="11" t="n">
        <v>257.5</v>
      </c>
      <c r="J47" s="0"/>
      <c r="K47" s="1" t="n">
        <v>4.3E-009</v>
      </c>
      <c r="M47" s="11" t="n">
        <f aca="false">A47</f>
        <v>57</v>
      </c>
      <c r="N47" s="11" t="n">
        <f aca="false">B47+$K48</f>
        <v>0.3283000044</v>
      </c>
      <c r="O47" s="11" t="n">
        <f aca="false">C47+$K48</f>
        <v>232.7000000044</v>
      </c>
      <c r="P47" s="11" t="n">
        <f aca="false">D47+$K48</f>
        <v>0.3419000044</v>
      </c>
      <c r="Q47" s="11" t="n">
        <f aca="false">E47+$K48</f>
        <v>245.3000000044</v>
      </c>
      <c r="R47" s="11" t="n">
        <f aca="false">F47+$K48</f>
        <v>0.3500000044</v>
      </c>
      <c r="S47" s="11" t="n">
        <f aca="false">G47+$K48</f>
        <v>251.6000000044</v>
      </c>
      <c r="T47" s="11" t="n">
        <f aca="false">H47+$K48</f>
        <v>0.3532000044</v>
      </c>
      <c r="U47" s="11" t="n">
        <f aca="false">I47+$K48</f>
        <v>257.5000000044</v>
      </c>
    </row>
    <row r="48" customFormat="false" ht="13.8" hidden="false" customHeight="false" outlineLevel="0" collapsed="false">
      <c r="A48" s="6" t="n">
        <v>56</v>
      </c>
      <c r="B48" s="11" t="n">
        <f aca="false">0.3983</f>
        <v>0.3983</v>
      </c>
      <c r="C48" s="11" t="n">
        <v>238.1</v>
      </c>
      <c r="D48" s="11" t="n">
        <f aca="false">0.4103</f>
        <v>0.4103</v>
      </c>
      <c r="E48" s="11" t="n">
        <v>253.3</v>
      </c>
      <c r="F48" s="11" t="n">
        <f aca="false">0.4177</f>
        <v>0.4177</v>
      </c>
      <c r="G48" s="11" t="n">
        <v>261.7</v>
      </c>
      <c r="H48" s="11" t="n">
        <f aca="false">0.4202</f>
        <v>0.4202</v>
      </c>
      <c r="I48" s="11" t="n">
        <v>265.4</v>
      </c>
      <c r="J48" s="0"/>
      <c r="K48" s="7" t="n">
        <v>4.4E-009</v>
      </c>
      <c r="M48" s="11" t="n">
        <f aca="false">A48</f>
        <v>56</v>
      </c>
      <c r="N48" s="11" t="n">
        <f aca="false">B48+$K49</f>
        <v>0.3983000045</v>
      </c>
      <c r="O48" s="11" t="n">
        <f aca="false">C48+$K49</f>
        <v>238.1000000045</v>
      </c>
      <c r="P48" s="11" t="n">
        <f aca="false">D48+$K49</f>
        <v>0.4103000045</v>
      </c>
      <c r="Q48" s="11" t="n">
        <f aca="false">E48+$K49</f>
        <v>253.3000000045</v>
      </c>
      <c r="R48" s="11" t="n">
        <f aca="false">F48+$K49</f>
        <v>0.4177000045</v>
      </c>
      <c r="S48" s="11" t="n">
        <f aca="false">G48+$K49</f>
        <v>261.7000000045</v>
      </c>
      <c r="T48" s="11" t="n">
        <f aca="false">H48+$K49</f>
        <v>0.4202000045</v>
      </c>
      <c r="U48" s="11" t="n">
        <f aca="false">I48+$K49</f>
        <v>265.4000000045</v>
      </c>
    </row>
    <row r="49" customFormat="false" ht="13.8" hidden="false" customHeight="false" outlineLevel="0" collapsed="false">
      <c r="A49" s="6" t="n">
        <v>55</v>
      </c>
      <c r="B49" s="11" t="n">
        <f aca="false">0.4793</f>
        <v>0.4793</v>
      </c>
      <c r="C49" s="11" t="n">
        <v>252.1</v>
      </c>
      <c r="D49" s="11" t="n">
        <f aca="false">0.4886</f>
        <v>0.4886</v>
      </c>
      <c r="E49" s="11" t="n">
        <v>266</v>
      </c>
      <c r="F49" s="11" t="n">
        <f aca="false">0.4947</f>
        <v>0.4947</v>
      </c>
      <c r="G49" s="11" t="n">
        <v>274</v>
      </c>
      <c r="H49" s="11" t="n">
        <f aca="false">0.4968</f>
        <v>0.4968</v>
      </c>
      <c r="I49" s="11" t="n">
        <v>276.7</v>
      </c>
      <c r="J49" s="0"/>
      <c r="K49" s="7" t="n">
        <v>4.5E-009</v>
      </c>
      <c r="M49" s="11" t="n">
        <f aca="false">A49</f>
        <v>55</v>
      </c>
      <c r="N49" s="11" t="n">
        <f aca="false">B49+$K50</f>
        <v>0.4793000046</v>
      </c>
      <c r="O49" s="11" t="n">
        <f aca="false">C49+$K50</f>
        <v>252.1000000046</v>
      </c>
      <c r="P49" s="11" t="n">
        <f aca="false">D49+$K50</f>
        <v>0.4886000046</v>
      </c>
      <c r="Q49" s="11" t="n">
        <f aca="false">E49+$K50</f>
        <v>266.0000000046</v>
      </c>
      <c r="R49" s="11" t="n">
        <f aca="false">F49+$K50</f>
        <v>0.4947000046</v>
      </c>
      <c r="S49" s="11" t="n">
        <f aca="false">G49+$K50</f>
        <v>274.0000000046</v>
      </c>
      <c r="T49" s="11" t="n">
        <f aca="false">H49+$K50</f>
        <v>0.4968000046</v>
      </c>
      <c r="U49" s="11" t="n">
        <f aca="false">I49+$K50</f>
        <v>276.7000000046</v>
      </c>
    </row>
    <row r="50" customFormat="false" ht="13.8" hidden="false" customHeight="false" outlineLevel="0" collapsed="false">
      <c r="A50" s="6" t="n">
        <v>54</v>
      </c>
      <c r="B50" s="11" t="n">
        <f aca="false">0.5703</f>
        <v>0.5703</v>
      </c>
      <c r="C50" s="11" t="n">
        <v>268.3</v>
      </c>
      <c r="D50" s="11" t="n">
        <f aca="false">0.5768</f>
        <v>0.5768</v>
      </c>
      <c r="E50" s="11" t="n">
        <v>279.9</v>
      </c>
      <c r="F50" s="11" t="n">
        <f aca="false">0.5815</f>
        <v>0.5815</v>
      </c>
      <c r="G50" s="11" t="n">
        <v>286.6</v>
      </c>
      <c r="H50" s="11" t="n">
        <f aca="false">0.5831</f>
        <v>0.5831</v>
      </c>
      <c r="I50" s="11" t="n">
        <v>289</v>
      </c>
      <c r="J50" s="0"/>
      <c r="K50" s="1" t="n">
        <v>4.6E-009</v>
      </c>
      <c r="M50" s="11" t="n">
        <f aca="false">A50</f>
        <v>54</v>
      </c>
      <c r="N50" s="11" t="n">
        <f aca="false">B50+$K51</f>
        <v>0.5703000047</v>
      </c>
      <c r="O50" s="11" t="n">
        <f aca="false">C50+$K51</f>
        <v>268.3000000047</v>
      </c>
      <c r="P50" s="11" t="n">
        <f aca="false">D50+$K51</f>
        <v>0.5768000047</v>
      </c>
      <c r="Q50" s="11" t="n">
        <f aca="false">E50+$K51</f>
        <v>279.9000000047</v>
      </c>
      <c r="R50" s="11" t="n">
        <f aca="false">F50+$K51</f>
        <v>0.5815000047</v>
      </c>
      <c r="S50" s="11" t="n">
        <f aca="false">G50+$K51</f>
        <v>286.6000000047</v>
      </c>
      <c r="T50" s="11" t="n">
        <f aca="false">H50+$K51</f>
        <v>0.5831000047</v>
      </c>
      <c r="U50" s="11" t="n">
        <f aca="false">I50+$K51</f>
        <v>289.0000000047</v>
      </c>
    </row>
    <row r="51" customFormat="false" ht="13.8" hidden="false" customHeight="false" outlineLevel="0" collapsed="false">
      <c r="A51" s="6" t="n">
        <v>53</v>
      </c>
      <c r="B51" s="11" t="n">
        <f aca="false">0.6716</f>
        <v>0.6716</v>
      </c>
      <c r="C51" s="11" t="n">
        <v>285</v>
      </c>
      <c r="D51" s="11" t="n">
        <f aca="false">0.6753</f>
        <v>0.6753</v>
      </c>
      <c r="E51" s="11" t="n">
        <v>294.1</v>
      </c>
      <c r="F51" s="11" t="n">
        <f aca="false">0.6787</f>
        <v>0.6787</v>
      </c>
      <c r="G51" s="11" t="n">
        <v>299.5</v>
      </c>
      <c r="H51" s="11" t="n">
        <f aca="false">0.6799</f>
        <v>0.6799</v>
      </c>
      <c r="I51" s="11" t="n">
        <v>301.4</v>
      </c>
      <c r="J51" s="0"/>
      <c r="K51" s="7" t="n">
        <v>4.7E-009</v>
      </c>
      <c r="M51" s="11" t="n">
        <f aca="false">A51</f>
        <v>53</v>
      </c>
      <c r="N51" s="11" t="n">
        <f aca="false">B51+$K52</f>
        <v>0.6716000048</v>
      </c>
      <c r="O51" s="11" t="n">
        <f aca="false">C51+$K52</f>
        <v>285.0000000048</v>
      </c>
      <c r="P51" s="11" t="n">
        <f aca="false">D51+$K52</f>
        <v>0.6753000048</v>
      </c>
      <c r="Q51" s="11" t="n">
        <f aca="false">E51+$K52</f>
        <v>294.1000000048</v>
      </c>
      <c r="R51" s="11" t="n">
        <f aca="false">F51+$K52</f>
        <v>0.6787000048</v>
      </c>
      <c r="S51" s="11" t="n">
        <f aca="false">G51+$K52</f>
        <v>299.5000000048</v>
      </c>
      <c r="T51" s="11" t="n">
        <f aca="false">H51+$K52</f>
        <v>0.6799000048</v>
      </c>
      <c r="U51" s="11" t="n">
        <f aca="false">I51+$K52</f>
        <v>301.4000000048</v>
      </c>
    </row>
    <row r="52" customFormat="false" ht="13.8" hidden="false" customHeight="false" outlineLevel="0" collapsed="false">
      <c r="A52" s="6" t="n">
        <v>52</v>
      </c>
      <c r="B52" s="11" t="n">
        <f aca="false">0.7835</f>
        <v>0.7835</v>
      </c>
      <c r="C52" s="11" t="n">
        <v>302.2</v>
      </c>
      <c r="D52" s="11" t="n">
        <f aca="false">0.7848</f>
        <v>0.7848</v>
      </c>
      <c r="E52" s="11" t="n">
        <v>308.7</v>
      </c>
      <c r="F52" s="11" t="n">
        <f aca="false">0.7871</f>
        <v>0.7871</v>
      </c>
      <c r="G52" s="11" t="n">
        <v>312.6</v>
      </c>
      <c r="H52" s="11" t="n">
        <f aca="false">0.7879</f>
        <v>0.7879</v>
      </c>
      <c r="I52" s="11" t="n">
        <v>313.9</v>
      </c>
      <c r="J52" s="0"/>
      <c r="K52" s="7" t="n">
        <v>4.8E-009</v>
      </c>
      <c r="M52" s="11" t="n">
        <f aca="false">A52</f>
        <v>52</v>
      </c>
      <c r="N52" s="11" t="n">
        <f aca="false">B52+$K53</f>
        <v>0.7835000049</v>
      </c>
      <c r="O52" s="11" t="n">
        <f aca="false">C52+$K53</f>
        <v>302.2000000049</v>
      </c>
      <c r="P52" s="11" t="n">
        <f aca="false">D52+$K53</f>
        <v>0.7848000049</v>
      </c>
      <c r="Q52" s="11" t="n">
        <f aca="false">E52+$K53</f>
        <v>308.7000000049</v>
      </c>
      <c r="R52" s="11" t="n">
        <f aca="false">F52+$K53</f>
        <v>0.7871000049</v>
      </c>
      <c r="S52" s="11" t="n">
        <f aca="false">G52+$K53</f>
        <v>312.6000000049</v>
      </c>
      <c r="T52" s="11" t="n">
        <f aca="false">H52+$K53</f>
        <v>0.7879000049</v>
      </c>
      <c r="U52" s="11" t="n">
        <f aca="false">I52+$K53</f>
        <v>313.9000000049</v>
      </c>
    </row>
    <row r="53" customFormat="false" ht="13.8" hidden="false" customHeight="false" outlineLevel="0" collapsed="false">
      <c r="A53" s="6" t="n">
        <v>51</v>
      </c>
      <c r="B53" s="11" t="n">
        <f aca="false">0.9062</f>
        <v>0.9062</v>
      </c>
      <c r="C53" s="11" t="n">
        <v>319.9</v>
      </c>
      <c r="D53" s="11" t="n">
        <f aca="false">0.9058</f>
        <v>0.9058</v>
      </c>
      <c r="E53" s="11" t="n">
        <v>323.6</v>
      </c>
      <c r="F53" s="11" t="n">
        <f aca="false">0.9072</f>
        <v>0.9072</v>
      </c>
      <c r="G53" s="11" t="n">
        <v>325.8</v>
      </c>
      <c r="H53" s="11" t="n">
        <f aca="false">0.9077</f>
        <v>0.9077</v>
      </c>
      <c r="I53" s="11" t="n">
        <v>326.7</v>
      </c>
      <c r="J53" s="0"/>
      <c r="K53" s="1" t="n">
        <v>4.9E-009</v>
      </c>
      <c r="M53" s="11" t="n">
        <f aca="false">A53</f>
        <v>51</v>
      </c>
      <c r="N53" s="11" t="n">
        <f aca="false">B53+$K54</f>
        <v>0.906200005</v>
      </c>
      <c r="O53" s="11" t="n">
        <f aca="false">C53+$K54</f>
        <v>319.900000005</v>
      </c>
      <c r="P53" s="11" t="n">
        <f aca="false">D53+$K54</f>
        <v>0.905800005</v>
      </c>
      <c r="Q53" s="11" t="n">
        <f aca="false">E53+$K54</f>
        <v>323.600000005</v>
      </c>
      <c r="R53" s="11" t="n">
        <f aca="false">F53+$K54</f>
        <v>0.907200005</v>
      </c>
      <c r="S53" s="11" t="n">
        <f aca="false">G53+$K54</f>
        <v>325.800000005</v>
      </c>
      <c r="T53" s="11" t="n">
        <f aca="false">H53+$K54</f>
        <v>0.907700005</v>
      </c>
      <c r="U53" s="11" t="n">
        <f aca="false">I53+$K54</f>
        <v>326.700000005</v>
      </c>
    </row>
    <row r="54" customFormat="false" ht="13.8" hidden="false" customHeight="false" outlineLevel="0" collapsed="false">
      <c r="A54" s="6" t="n">
        <v>50</v>
      </c>
      <c r="B54" s="11" t="n">
        <f aca="false">1.039</f>
        <v>1.039</v>
      </c>
      <c r="C54" s="11" t="n">
        <v>338.5</v>
      </c>
      <c r="D54" s="11" t="n">
        <f aca="false">1.038</f>
        <v>1.038</v>
      </c>
      <c r="E54" s="11" t="n">
        <v>339.2</v>
      </c>
      <c r="F54" s="11" t="n">
        <f aca="false">1.039</f>
        <v>1.039</v>
      </c>
      <c r="G54" s="11" t="n">
        <v>339.9</v>
      </c>
      <c r="H54" s="11" t="n">
        <f aca="false">1.039</f>
        <v>1.039</v>
      </c>
      <c r="I54" s="11" t="n">
        <v>340.1</v>
      </c>
      <c r="J54" s="0"/>
      <c r="K54" s="7" t="n">
        <v>5E-009</v>
      </c>
      <c r="M54" s="11" t="n">
        <f aca="false">A54</f>
        <v>50</v>
      </c>
      <c r="N54" s="11" t="n">
        <f aca="false">B54+$K55</f>
        <v>1.0390000051</v>
      </c>
      <c r="O54" s="11" t="n">
        <f aca="false">C54+$K55</f>
        <v>338.5000000051</v>
      </c>
      <c r="P54" s="11" t="n">
        <f aca="false">D54+$K55</f>
        <v>1.0380000051</v>
      </c>
      <c r="Q54" s="11" t="n">
        <f aca="false">E54+$K55</f>
        <v>339.2000000051</v>
      </c>
      <c r="R54" s="11" t="n">
        <f aca="false">F54+$K55</f>
        <v>1.0390000051</v>
      </c>
      <c r="S54" s="11" t="n">
        <f aca="false">G54+$K55</f>
        <v>339.9000000051</v>
      </c>
      <c r="T54" s="11" t="n">
        <f aca="false">H54+$K55</f>
        <v>1.0390000051</v>
      </c>
      <c r="U54" s="11" t="n">
        <f aca="false">I54+$K55</f>
        <v>340.1000000051</v>
      </c>
    </row>
    <row r="55" customFormat="false" ht="13.8" hidden="false" customHeight="false" outlineLevel="0" collapsed="false">
      <c r="K55" s="7" t="n">
        <v>5.1E-009</v>
      </c>
    </row>
  </sheetData>
  <mergeCells count="12">
    <mergeCell ref="A1:I1"/>
    <mergeCell ref="M1:U1"/>
    <mergeCell ref="A2:A3"/>
    <mergeCell ref="B2:C2"/>
    <mergeCell ref="D2:E2"/>
    <mergeCell ref="F2:G2"/>
    <mergeCell ref="H2:I2"/>
    <mergeCell ref="M2:M3"/>
    <mergeCell ref="N2:O2"/>
    <mergeCell ref="P2:Q2"/>
    <mergeCell ref="R2:S2"/>
    <mergeCell ref="T2:U2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6" activeCellId="0" sqref="E6"/>
    </sheetView>
  </sheetViews>
  <sheetFormatPr defaultRowHeight="13.5" zeroHeight="false" outlineLevelRow="0" outlineLevelCol="0"/>
  <cols>
    <col collapsed="false" customWidth="true" hidden="false" outlineLevel="0" max="9" min="1" style="1" width="10.61"/>
    <col collapsed="false" customWidth="true" hidden="false" outlineLevel="0" max="257" min="10" style="1" width="8.98"/>
    <col collapsed="false" customWidth="true" hidden="false" outlineLevel="0" max="1025" min="258" style="0" width="8.98"/>
  </cols>
  <sheetData>
    <row r="1" customFormat="false" ht="24.25" hidden="false" customHeight="false" outlineLevel="0" collapsed="false">
      <c r="A1" s="13"/>
      <c r="B1" s="13"/>
      <c r="C1" s="13"/>
      <c r="D1" s="13"/>
      <c r="E1" s="3" t="s">
        <v>12</v>
      </c>
      <c r="F1" s="3"/>
      <c r="G1" s="13"/>
      <c r="H1" s="13"/>
      <c r="I1" s="13"/>
      <c r="M1" s="13"/>
      <c r="N1" s="13"/>
      <c r="O1" s="13"/>
      <c r="P1" s="13"/>
      <c r="Q1" s="3" t="s">
        <v>12</v>
      </c>
      <c r="R1" s="3"/>
      <c r="S1" s="13"/>
      <c r="T1" s="13"/>
      <c r="U1" s="13"/>
    </row>
    <row r="2" customFormat="false" ht="25.5" hidden="false" customHeight="true" outlineLevel="0" collapsed="false">
      <c r="A2" s="14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K2" s="0"/>
      <c r="M2" s="14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customFormat="false" ht="13.8" hidden="false" customHeight="false" outlineLevel="0" collapsed="false">
      <c r="A3" s="14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K3" s="1" t="s">
        <v>8</v>
      </c>
      <c r="M3" s="14"/>
      <c r="N3" s="3" t="s">
        <v>6</v>
      </c>
      <c r="O3" s="3" t="s">
        <v>7</v>
      </c>
      <c r="P3" s="3" t="s">
        <v>6</v>
      </c>
      <c r="Q3" s="3" t="s">
        <v>7</v>
      </c>
      <c r="R3" s="3" t="s">
        <v>6</v>
      </c>
      <c r="S3" s="3" t="s">
        <v>7</v>
      </c>
      <c r="T3" s="3" t="s">
        <v>6</v>
      </c>
      <c r="U3" s="3" t="s">
        <v>7</v>
      </c>
    </row>
    <row r="4" customFormat="false" ht="13.8" hidden="false" customHeight="false" outlineLevel="0" collapsed="false">
      <c r="A4" s="4" t="n">
        <v>100</v>
      </c>
      <c r="B4" s="1" t="n">
        <f aca="false">0.2504*10^-4</f>
        <v>2.504E-005</v>
      </c>
      <c r="C4" s="1" t="n">
        <v>171.9</v>
      </c>
      <c r="D4" s="1" t="n">
        <f aca="false">0.248*10^-4</f>
        <v>2.48E-005</v>
      </c>
      <c r="E4" s="1" t="n">
        <v>166.8</v>
      </c>
      <c r="F4" s="1" t="n">
        <f aca="false">0.2554*10^-4</f>
        <v>2.554E-005</v>
      </c>
      <c r="G4" s="1" t="n">
        <v>168</v>
      </c>
      <c r="H4" s="1" t="n">
        <f aca="false">0.2557*10^-4</f>
        <v>2.557E-005</v>
      </c>
      <c r="I4" s="1" t="n">
        <v>168.9</v>
      </c>
      <c r="K4" s="1" t="n">
        <v>1E-010</v>
      </c>
      <c r="M4" s="1" t="n">
        <f aca="false">A4</f>
        <v>100</v>
      </c>
      <c r="N4" s="1" t="n">
        <f aca="false">B4+$K5</f>
        <v>2.50402E-005</v>
      </c>
      <c r="O4" s="1" t="n">
        <f aca="false">C4+$K5</f>
        <v>171.9000000002</v>
      </c>
      <c r="P4" s="1" t="n">
        <f aca="false">D4+$K5</f>
        <v>2.48002E-005</v>
      </c>
      <c r="Q4" s="1" t="n">
        <f aca="false">E4+$K5</f>
        <v>166.8000000002</v>
      </c>
      <c r="R4" s="1" t="n">
        <f aca="false">F4+$K5</f>
        <v>2.55402E-005</v>
      </c>
      <c r="S4" s="1" t="n">
        <f aca="false">G4+$K5</f>
        <v>168.0000000002</v>
      </c>
      <c r="T4" s="1" t="n">
        <f aca="false">H4+$K5</f>
        <v>2.55702E-005</v>
      </c>
      <c r="U4" s="1" t="n">
        <f aca="false">I4+$K5</f>
        <v>168.9000000002</v>
      </c>
    </row>
    <row r="5" customFormat="false" ht="13.8" hidden="false" customHeight="false" outlineLevel="0" collapsed="false">
      <c r="A5" s="6" t="n">
        <v>99</v>
      </c>
      <c r="B5" s="1" t="n">
        <f aca="false">0.3253*10^-4</f>
        <v>3.253E-005</v>
      </c>
      <c r="C5" s="1" t="n">
        <v>171.4</v>
      </c>
      <c r="D5" s="1" t="n">
        <f aca="false">0.3246*10^-4</f>
        <v>3.246E-005</v>
      </c>
      <c r="E5" s="1" t="n">
        <v>167</v>
      </c>
      <c r="F5" s="1" t="n">
        <f aca="false">0.3338*10^-4</f>
        <v>3.338E-005</v>
      </c>
      <c r="G5" s="1" t="n">
        <v>167.8</v>
      </c>
      <c r="H5" s="1" t="n">
        <f aca="false">0.3336*10^-4</f>
        <v>3.336E-005</v>
      </c>
      <c r="I5" s="1" t="n">
        <v>168.8</v>
      </c>
      <c r="K5" s="7" t="n">
        <v>2E-010</v>
      </c>
      <c r="M5" s="1" t="n">
        <f aca="false">A5</f>
        <v>99</v>
      </c>
      <c r="N5" s="1" t="n">
        <f aca="false">B5+$K6</f>
        <v>3.25303E-005</v>
      </c>
      <c r="O5" s="1" t="n">
        <f aca="false">C5+$K6</f>
        <v>171.4000000003</v>
      </c>
      <c r="P5" s="1" t="n">
        <f aca="false">D5+$K6</f>
        <v>3.24603E-005</v>
      </c>
      <c r="Q5" s="1" t="n">
        <f aca="false">E5+$K6</f>
        <v>167.0000000003</v>
      </c>
      <c r="R5" s="1" t="n">
        <f aca="false">F5+$K6</f>
        <v>3.33803E-005</v>
      </c>
      <c r="S5" s="1" t="n">
        <f aca="false">G5+$K6</f>
        <v>167.8000000003</v>
      </c>
      <c r="T5" s="1" t="n">
        <f aca="false">H5+$K6</f>
        <v>3.33603E-005</v>
      </c>
      <c r="U5" s="1" t="n">
        <f aca="false">I5+$K6</f>
        <v>168.8000000003</v>
      </c>
    </row>
    <row r="6" customFormat="false" ht="13.8" hidden="false" customHeight="false" outlineLevel="0" collapsed="false">
      <c r="A6" s="6" t="n">
        <v>98</v>
      </c>
      <c r="B6" s="1" t="n">
        <f aca="false">0.4227*10^-4</f>
        <v>4.227E-005</v>
      </c>
      <c r="C6" s="1" t="n">
        <v>171.7</v>
      </c>
      <c r="D6" s="1" t="n">
        <f aca="false">0.4246*10^-4</f>
        <v>4.246E-005</v>
      </c>
      <c r="E6" s="1" t="n">
        <v>167.7</v>
      </c>
      <c r="F6" s="1" t="n">
        <f aca="false">0.436*10^-4</f>
        <v>4.36E-005</v>
      </c>
      <c r="G6" s="1" t="n">
        <v>168.4</v>
      </c>
      <c r="H6" s="1" t="n">
        <f aca="false">0.4353*10^-4</f>
        <v>4.353E-005</v>
      </c>
      <c r="I6" s="1" t="n">
        <v>169.1</v>
      </c>
      <c r="K6" s="7" t="n">
        <v>3E-010</v>
      </c>
      <c r="M6" s="1" t="n">
        <f aca="false">A6</f>
        <v>98</v>
      </c>
      <c r="N6" s="1" t="n">
        <f aca="false">B6+$K7</f>
        <v>4.22704E-005</v>
      </c>
      <c r="O6" s="1" t="n">
        <f aca="false">C6+$K7</f>
        <v>171.7000000004</v>
      </c>
      <c r="P6" s="1" t="n">
        <f aca="false">D6+$K7</f>
        <v>4.24604E-005</v>
      </c>
      <c r="Q6" s="1" t="n">
        <f aca="false">E6+$K7</f>
        <v>167.7000000004</v>
      </c>
      <c r="R6" s="1" t="n">
        <f aca="false">F6+$K7</f>
        <v>4.36004E-005</v>
      </c>
      <c r="S6" s="1" t="n">
        <f aca="false">G6+$K7</f>
        <v>168.4000000004</v>
      </c>
      <c r="T6" s="1" t="n">
        <f aca="false">H6+$K7</f>
        <v>4.35304E-005</v>
      </c>
      <c r="U6" s="1" t="n">
        <f aca="false">I6+$K7</f>
        <v>169.1000000004</v>
      </c>
    </row>
    <row r="7" customFormat="false" ht="13.8" hidden="false" customHeight="false" outlineLevel="0" collapsed="false">
      <c r="A7" s="6" t="n">
        <v>97</v>
      </c>
      <c r="B7" s="1" t="n">
        <f aca="false">0.549*10^-4</f>
        <v>5.49E-005</v>
      </c>
      <c r="C7" s="1" t="n">
        <v>172.2</v>
      </c>
      <c r="D7" s="1" t="n">
        <f aca="false">0.5547*10^-4</f>
        <v>5.547E-005</v>
      </c>
      <c r="E7" s="1" t="n">
        <v>168.7</v>
      </c>
      <c r="F7" s="1" t="n">
        <f aca="false">0.5691*10^-4</f>
        <v>5.691E-005</v>
      </c>
      <c r="G7" s="1" t="n">
        <v>169.1</v>
      </c>
      <c r="H7" s="1" t="n">
        <f aca="false">0.5676*10^-4</f>
        <v>5.676E-005</v>
      </c>
      <c r="I7" s="1" t="n">
        <v>169.6</v>
      </c>
      <c r="K7" s="1" t="n">
        <v>4E-010</v>
      </c>
      <c r="M7" s="1" t="n">
        <f aca="false">A7</f>
        <v>97</v>
      </c>
      <c r="N7" s="1" t="n">
        <f aca="false">B7+$K8</f>
        <v>5.49005E-005</v>
      </c>
      <c r="O7" s="1" t="n">
        <f aca="false">C7+$K8</f>
        <v>172.2000000005</v>
      </c>
      <c r="P7" s="1" t="n">
        <f aca="false">D7+$K8</f>
        <v>5.54705E-005</v>
      </c>
      <c r="Q7" s="1" t="n">
        <f aca="false">E7+$K8</f>
        <v>168.7000000005</v>
      </c>
      <c r="R7" s="1" t="n">
        <f aca="false">F7+$K8</f>
        <v>5.69105E-005</v>
      </c>
      <c r="S7" s="1" t="n">
        <f aca="false">G7+$K8</f>
        <v>169.1000000005</v>
      </c>
      <c r="T7" s="1" t="n">
        <f aca="false">H7+$K8</f>
        <v>5.67605E-005</v>
      </c>
      <c r="U7" s="1" t="n">
        <f aca="false">I7+$K8</f>
        <v>169.6000000005</v>
      </c>
    </row>
    <row r="8" customFormat="false" ht="13.8" hidden="false" customHeight="false" outlineLevel="0" collapsed="false">
      <c r="A8" s="6" t="n">
        <v>96</v>
      </c>
      <c r="B8" s="1" t="n">
        <f aca="false">0.7126*10^-4</f>
        <v>7.126E-005</v>
      </c>
      <c r="C8" s="1" t="n">
        <v>172.6</v>
      </c>
      <c r="D8" s="1" t="n">
        <f aca="false">0.7234*10^-4</f>
        <v>7.234E-005</v>
      </c>
      <c r="E8" s="1" t="n">
        <v>169.8</v>
      </c>
      <c r="F8" s="1" t="n">
        <f aca="false">0.7419*10^-4</f>
        <v>7.419E-005</v>
      </c>
      <c r="G8" s="1" t="n">
        <v>169.9</v>
      </c>
      <c r="H8" s="1" t="n">
        <f aca="false">0.7396*10^-4</f>
        <v>7.396E-005</v>
      </c>
      <c r="I8" s="1" t="n">
        <v>170</v>
      </c>
      <c r="K8" s="7" t="n">
        <v>5E-010</v>
      </c>
      <c r="M8" s="1" t="n">
        <f aca="false">A8</f>
        <v>96</v>
      </c>
      <c r="N8" s="1" t="n">
        <f aca="false">B8+$K9</f>
        <v>7.12606E-005</v>
      </c>
      <c r="O8" s="1" t="n">
        <f aca="false">C8+$K9</f>
        <v>172.6000000006</v>
      </c>
      <c r="P8" s="1" t="n">
        <f aca="false">D8+$K9</f>
        <v>7.23406E-005</v>
      </c>
      <c r="Q8" s="1" t="n">
        <f aca="false">E8+$K9</f>
        <v>169.8000000006</v>
      </c>
      <c r="R8" s="1" t="n">
        <f aca="false">F8+$K9</f>
        <v>7.41906E-005</v>
      </c>
      <c r="S8" s="1" t="n">
        <f aca="false">G8+$K9</f>
        <v>169.9000000006</v>
      </c>
      <c r="T8" s="1" t="n">
        <f aca="false">H8+$K9</f>
        <v>7.39606E-005</v>
      </c>
      <c r="U8" s="1" t="n">
        <f aca="false">I8+$K9</f>
        <v>170.0000000006</v>
      </c>
    </row>
    <row r="9" customFormat="false" ht="13.8" hidden="false" customHeight="false" outlineLevel="0" collapsed="false">
      <c r="A9" s="6" t="n">
        <v>95</v>
      </c>
      <c r="B9" s="1" t="n">
        <f aca="false">0.9243*10^-4</f>
        <v>9.243E-005</v>
      </c>
      <c r="C9" s="1" t="n">
        <v>173.2</v>
      </c>
      <c r="D9" s="1" t="n">
        <f aca="false">0.9419*10^-4</f>
        <v>9.419E-005</v>
      </c>
      <c r="E9" s="1" t="n">
        <v>170.9</v>
      </c>
      <c r="F9" s="1" t="n">
        <f aca="false">0.9661*10^-4</f>
        <v>9.661E-005</v>
      </c>
      <c r="G9" s="1" t="n">
        <v>170.7</v>
      </c>
      <c r="H9" s="1" t="n">
        <f aca="false">0.9632*10^-4</f>
        <v>9.632E-005</v>
      </c>
      <c r="I9" s="1" t="n">
        <v>170.5</v>
      </c>
      <c r="K9" s="7" t="n">
        <v>6E-010</v>
      </c>
      <c r="M9" s="1" t="n">
        <f aca="false">A9</f>
        <v>95</v>
      </c>
      <c r="N9" s="1" t="n">
        <f aca="false">B9+$K10</f>
        <v>9.24307E-005</v>
      </c>
      <c r="O9" s="1" t="n">
        <f aca="false">C9+$K10</f>
        <v>173.2000000007</v>
      </c>
      <c r="P9" s="1" t="n">
        <f aca="false">D9+$K10</f>
        <v>9.41907E-005</v>
      </c>
      <c r="Q9" s="1" t="n">
        <f aca="false">E9+$K10</f>
        <v>170.9000000007</v>
      </c>
      <c r="R9" s="1" t="n">
        <f aca="false">F9+$K10</f>
        <v>9.66107E-005</v>
      </c>
      <c r="S9" s="1" t="n">
        <f aca="false">G9+$K10</f>
        <v>170.7000000007</v>
      </c>
      <c r="T9" s="1" t="n">
        <f aca="false">H9+$K10</f>
        <v>9.63207E-005</v>
      </c>
      <c r="U9" s="1" t="n">
        <f aca="false">I9+$K10</f>
        <v>170.5000000007</v>
      </c>
    </row>
    <row r="10" customFormat="false" ht="13.8" hidden="false" customHeight="false" outlineLevel="0" collapsed="false">
      <c r="A10" s="6" t="n">
        <v>94</v>
      </c>
      <c r="B10" s="1" t="n">
        <f aca="false">0.1198*10^-3</f>
        <v>0.0001198</v>
      </c>
      <c r="C10" s="1" t="n">
        <v>174.1</v>
      </c>
      <c r="D10" s="1" t="n">
        <f aca="false">0.1224*10^-3</f>
        <v>0.0001224</v>
      </c>
      <c r="E10" s="1" t="n">
        <v>172.3</v>
      </c>
      <c r="F10" s="1" t="n">
        <f aca="false">0.1256*10^-3</f>
        <v>0.0001256</v>
      </c>
      <c r="G10" s="1" t="n">
        <v>171.9</v>
      </c>
      <c r="H10" s="1" t="n">
        <f aca="false">0.1253*10^-3</f>
        <v>0.0001253</v>
      </c>
      <c r="I10" s="1" t="n">
        <v>171.3</v>
      </c>
      <c r="K10" s="1" t="n">
        <v>7E-010</v>
      </c>
      <c r="M10" s="1" t="n">
        <f aca="false">A10</f>
        <v>94</v>
      </c>
      <c r="N10" s="1" t="n">
        <f aca="false">B10+$K11</f>
        <v>0.0001198008</v>
      </c>
      <c r="O10" s="1" t="n">
        <f aca="false">C10+$K11</f>
        <v>174.1000000008</v>
      </c>
      <c r="P10" s="1" t="n">
        <f aca="false">D10+$K11</f>
        <v>0.0001224008</v>
      </c>
      <c r="Q10" s="1" t="n">
        <f aca="false">E10+$K11</f>
        <v>172.3000000008</v>
      </c>
      <c r="R10" s="1" t="n">
        <f aca="false">F10+$K11</f>
        <v>0.0001256008</v>
      </c>
      <c r="S10" s="1" t="n">
        <f aca="false">G10+$K11</f>
        <v>171.9000000008</v>
      </c>
      <c r="T10" s="1" t="n">
        <f aca="false">H10+$K11</f>
        <v>0.0001253008</v>
      </c>
      <c r="U10" s="1" t="n">
        <f aca="false">I10+$K11</f>
        <v>171.3000000008</v>
      </c>
    </row>
    <row r="11" customFormat="false" ht="13.8" hidden="false" customHeight="false" outlineLevel="0" collapsed="false">
      <c r="A11" s="6" t="n">
        <v>93</v>
      </c>
      <c r="B11" s="1" t="n">
        <f aca="false">0.1549*10^-3</f>
        <v>0.0001549</v>
      </c>
      <c r="C11" s="1" t="n">
        <v>175.3</v>
      </c>
      <c r="D11" s="1" t="n">
        <f aca="false">0.1588*10^-3</f>
        <v>0.0001588</v>
      </c>
      <c r="E11" s="1" t="n">
        <v>173.8</v>
      </c>
      <c r="F11" s="1" t="n">
        <f aca="false">0.163*10^-3</f>
        <v>0.000163</v>
      </c>
      <c r="G11" s="1" t="n">
        <v>173.4</v>
      </c>
      <c r="H11" s="1" t="n">
        <f aca="false">0.1628*10^-3</f>
        <v>0.0001628</v>
      </c>
      <c r="I11" s="1" t="n">
        <v>172.4</v>
      </c>
      <c r="K11" s="7" t="n">
        <v>8E-010</v>
      </c>
      <c r="M11" s="1" t="n">
        <f aca="false">A11</f>
        <v>93</v>
      </c>
      <c r="N11" s="1" t="n">
        <f aca="false">B11+$K12</f>
        <v>0.0001549009</v>
      </c>
      <c r="O11" s="1" t="n">
        <f aca="false">C11+$K12</f>
        <v>175.3000000009</v>
      </c>
      <c r="P11" s="1" t="n">
        <f aca="false">D11+$K12</f>
        <v>0.0001588009</v>
      </c>
      <c r="Q11" s="1" t="n">
        <f aca="false">E11+$K12</f>
        <v>173.8000000009</v>
      </c>
      <c r="R11" s="1" t="n">
        <f aca="false">F11+$K12</f>
        <v>0.0001630009</v>
      </c>
      <c r="S11" s="1" t="n">
        <f aca="false">G11+$K12</f>
        <v>173.4000000009</v>
      </c>
      <c r="T11" s="1" t="n">
        <f aca="false">H11+$K12</f>
        <v>0.0001628009</v>
      </c>
      <c r="U11" s="1" t="n">
        <f aca="false">I11+$K12</f>
        <v>172.4000000009</v>
      </c>
    </row>
    <row r="12" customFormat="false" ht="13.8" hidden="false" customHeight="false" outlineLevel="0" collapsed="false">
      <c r="A12" s="6" t="n">
        <v>92</v>
      </c>
      <c r="B12" s="1" t="n">
        <f aca="false">0.2001*10^-3</f>
        <v>0.0002001</v>
      </c>
      <c r="C12" s="1" t="n">
        <v>176.6</v>
      </c>
      <c r="D12" s="1" t="n">
        <f aca="false">0.2054*10^-3</f>
        <v>0.0002054</v>
      </c>
      <c r="E12" s="1" t="n">
        <v>175.4</v>
      </c>
      <c r="F12" s="1" t="n">
        <f aca="false">0.211*10^-3</f>
        <v>0.000211</v>
      </c>
      <c r="G12" s="1" t="n">
        <v>174.9</v>
      </c>
      <c r="H12" s="1" t="n">
        <f aca="false">0.2112*10^-3</f>
        <v>0.0002112</v>
      </c>
      <c r="I12" s="1" t="n">
        <v>173.6</v>
      </c>
      <c r="K12" s="7" t="n">
        <v>9E-010</v>
      </c>
      <c r="M12" s="1" t="n">
        <f aca="false">A12</f>
        <v>92</v>
      </c>
      <c r="N12" s="1" t="n">
        <f aca="false">B12+$K13</f>
        <v>0.000200101</v>
      </c>
      <c r="O12" s="1" t="n">
        <f aca="false">C12+$K13</f>
        <v>176.600000001</v>
      </c>
      <c r="P12" s="1" t="n">
        <f aca="false">D12+$K13</f>
        <v>0.000205401</v>
      </c>
      <c r="Q12" s="1" t="n">
        <f aca="false">E12+$K13</f>
        <v>175.400000001</v>
      </c>
      <c r="R12" s="1" t="n">
        <f aca="false">F12+$K13</f>
        <v>0.000211001</v>
      </c>
      <c r="S12" s="1" t="n">
        <f aca="false">G12+$K13</f>
        <v>174.900000001</v>
      </c>
      <c r="T12" s="1" t="n">
        <f aca="false">H12+$K13</f>
        <v>0.000211201</v>
      </c>
      <c r="U12" s="1" t="n">
        <f aca="false">I12+$K13</f>
        <v>173.600000001</v>
      </c>
    </row>
    <row r="13" customFormat="false" ht="13.8" hidden="false" customHeight="false" outlineLevel="0" collapsed="false">
      <c r="A13" s="6" t="n">
        <v>91</v>
      </c>
      <c r="B13" s="1" t="n">
        <f aca="false">0.258*10^-3</f>
        <v>0.000258</v>
      </c>
      <c r="C13" s="1" t="n">
        <v>177.9</v>
      </c>
      <c r="D13" s="1" t="n">
        <f aca="false">0.2652*10^-3</f>
        <v>0.0002652</v>
      </c>
      <c r="E13" s="1" t="n">
        <v>177</v>
      </c>
      <c r="F13" s="1" t="n">
        <f aca="false">0.2727*10^-3</f>
        <v>0.0002727</v>
      </c>
      <c r="G13" s="1" t="n">
        <v>176.5</v>
      </c>
      <c r="H13" s="1" t="n">
        <f aca="false">0.2735*10^-3</f>
        <v>0.0002735</v>
      </c>
      <c r="I13" s="1" t="n">
        <v>174.8</v>
      </c>
      <c r="K13" s="1" t="n">
        <v>1E-009</v>
      </c>
      <c r="M13" s="1" t="n">
        <f aca="false">A13</f>
        <v>91</v>
      </c>
      <c r="N13" s="1" t="n">
        <f aca="false">B13+$K14</f>
        <v>0.0002580011</v>
      </c>
      <c r="O13" s="1" t="n">
        <f aca="false">C13+$K14</f>
        <v>177.9000000011</v>
      </c>
      <c r="P13" s="1" t="n">
        <f aca="false">D13+$K14</f>
        <v>0.0002652011</v>
      </c>
      <c r="Q13" s="1" t="n">
        <f aca="false">E13+$K14</f>
        <v>177.0000000011</v>
      </c>
      <c r="R13" s="1" t="n">
        <f aca="false">F13+$K14</f>
        <v>0.0002727011</v>
      </c>
      <c r="S13" s="1" t="n">
        <f aca="false">G13+$K14</f>
        <v>176.5000000011</v>
      </c>
      <c r="T13" s="1" t="n">
        <f aca="false">H13+$K14</f>
        <v>0.0002735011</v>
      </c>
      <c r="U13" s="1" t="n">
        <f aca="false">I13+$K14</f>
        <v>174.8000000011</v>
      </c>
    </row>
    <row r="14" customFormat="false" ht="13.8" hidden="false" customHeight="false" outlineLevel="0" collapsed="false">
      <c r="A14" s="6" t="n">
        <v>90</v>
      </c>
      <c r="B14" s="1" t="n">
        <f aca="false">0.332*10^-3</f>
        <v>0.000332</v>
      </c>
      <c r="C14" s="1" t="n">
        <v>179.1</v>
      </c>
      <c r="D14" s="1" t="n">
        <f aca="false">0.3416*10^-3</f>
        <v>0.0003416</v>
      </c>
      <c r="E14" s="1" t="n">
        <v>178.7</v>
      </c>
      <c r="F14" s="1" t="n">
        <f aca="false">0.3515*10^-3</f>
        <v>0.0003515</v>
      </c>
      <c r="G14" s="1" t="n">
        <v>178</v>
      </c>
      <c r="H14" s="1" t="n">
        <f aca="false">0.3535*10^-3</f>
        <v>0.0003535</v>
      </c>
      <c r="I14" s="1" t="n">
        <v>176.2</v>
      </c>
      <c r="K14" s="7" t="n">
        <v>1.1E-009</v>
      </c>
      <c r="M14" s="1" t="n">
        <f aca="false">A14</f>
        <v>90</v>
      </c>
      <c r="N14" s="1" t="n">
        <f aca="false">B14+$K15</f>
        <v>0.0003320012</v>
      </c>
      <c r="O14" s="1" t="n">
        <f aca="false">C14+$K15</f>
        <v>179.1000000012</v>
      </c>
      <c r="P14" s="1" t="n">
        <f aca="false">D14+$K15</f>
        <v>0.0003416012</v>
      </c>
      <c r="Q14" s="1" t="n">
        <f aca="false">E14+$K15</f>
        <v>178.7000000012</v>
      </c>
      <c r="R14" s="1" t="n">
        <f aca="false">F14+$K15</f>
        <v>0.0003515012</v>
      </c>
      <c r="S14" s="1" t="n">
        <f aca="false">G14+$K15</f>
        <v>178.0000000012</v>
      </c>
      <c r="T14" s="1" t="n">
        <f aca="false">H14+$K15</f>
        <v>0.0003535012</v>
      </c>
      <c r="U14" s="1" t="n">
        <f aca="false">I14+$K15</f>
        <v>176.2000000012</v>
      </c>
    </row>
    <row r="15" customFormat="false" ht="13.8" hidden="false" customHeight="false" outlineLevel="0" collapsed="false">
      <c r="A15" s="6" t="n">
        <v>89</v>
      </c>
      <c r="B15" s="1" t="n">
        <f aca="false">0.4265*10^-3</f>
        <v>0.0004265</v>
      </c>
      <c r="C15" s="1" t="n">
        <v>180.7</v>
      </c>
      <c r="D15" s="1" t="n">
        <f aca="false">0.4389*10^-3</f>
        <v>0.0004389</v>
      </c>
      <c r="E15" s="1" t="n">
        <v>180.7</v>
      </c>
      <c r="F15" s="1" t="n">
        <f aca="false">0.4521*10^-3</f>
        <v>0.0004521</v>
      </c>
      <c r="G15" s="1" t="n">
        <v>180</v>
      </c>
      <c r="H15" s="1" t="n">
        <f aca="false">0.4559*10^-3</f>
        <v>0.0004559</v>
      </c>
      <c r="I15" s="1" t="n">
        <v>177.9</v>
      </c>
      <c r="K15" s="7" t="n">
        <v>1.2E-009</v>
      </c>
      <c r="M15" s="1" t="n">
        <f aca="false">A15</f>
        <v>89</v>
      </c>
      <c r="N15" s="1" t="n">
        <f aca="false">B15+$K16</f>
        <v>0.0004265013</v>
      </c>
      <c r="O15" s="1" t="n">
        <f aca="false">C15+$K16</f>
        <v>180.7000000013</v>
      </c>
      <c r="P15" s="1" t="n">
        <f aca="false">D15+$K16</f>
        <v>0.0004389013</v>
      </c>
      <c r="Q15" s="1" t="n">
        <f aca="false">E15+$K16</f>
        <v>180.7000000013</v>
      </c>
      <c r="R15" s="1" t="n">
        <f aca="false">F15+$K16</f>
        <v>0.0004521013</v>
      </c>
      <c r="S15" s="1" t="n">
        <f aca="false">G15+$K16</f>
        <v>180.0000000013</v>
      </c>
      <c r="T15" s="1" t="n">
        <f aca="false">H15+$K16</f>
        <v>0.0004559013</v>
      </c>
      <c r="U15" s="1" t="n">
        <f aca="false">I15+$K16</f>
        <v>177.9000000013</v>
      </c>
    </row>
    <row r="16" customFormat="false" ht="13.8" hidden="false" customHeight="false" outlineLevel="0" collapsed="false">
      <c r="A16" s="6" t="n">
        <v>88</v>
      </c>
      <c r="B16" s="1" t="n">
        <f aca="false">0.5463*10^-3</f>
        <v>0.0005463</v>
      </c>
      <c r="C16" s="1" t="n">
        <v>183.1</v>
      </c>
      <c r="D16" s="1" t="n">
        <f aca="false">0.5621*10^-3</f>
        <v>0.0005621</v>
      </c>
      <c r="E16" s="1" t="n">
        <v>183.2</v>
      </c>
      <c r="F16" s="1" t="n">
        <f aca="false">0.5795*10^-3</f>
        <v>0.0005795</v>
      </c>
      <c r="G16" s="1" t="n">
        <v>182.7</v>
      </c>
      <c r="H16" s="1" t="n">
        <f aca="false">0.5864*10^-3</f>
        <v>0.0005864</v>
      </c>
      <c r="I16" s="1" t="n">
        <v>180</v>
      </c>
      <c r="K16" s="1" t="n">
        <v>1.3E-009</v>
      </c>
      <c r="M16" s="1" t="n">
        <f aca="false">A16</f>
        <v>88</v>
      </c>
      <c r="N16" s="1" t="n">
        <f aca="false">B16+$K17</f>
        <v>0.0005463014</v>
      </c>
      <c r="O16" s="1" t="n">
        <f aca="false">C16+$K17</f>
        <v>183.1000000014</v>
      </c>
      <c r="P16" s="1" t="n">
        <f aca="false">D16+$K17</f>
        <v>0.0005621014</v>
      </c>
      <c r="Q16" s="1" t="n">
        <f aca="false">E16+$K17</f>
        <v>183.2000000014</v>
      </c>
      <c r="R16" s="1" t="n">
        <f aca="false">F16+$K17</f>
        <v>0.0005795014</v>
      </c>
      <c r="S16" s="1" t="n">
        <f aca="false">G16+$K17</f>
        <v>182.7000000014</v>
      </c>
      <c r="T16" s="1" t="n">
        <f aca="false">H16+$K17</f>
        <v>0.0005864014</v>
      </c>
      <c r="U16" s="1" t="n">
        <f aca="false">I16+$K17</f>
        <v>180.0000000014</v>
      </c>
    </row>
    <row r="17" customFormat="false" ht="13.8" hidden="false" customHeight="false" outlineLevel="0" collapsed="false">
      <c r="A17" s="6" t="n">
        <v>87</v>
      </c>
      <c r="B17" s="1" t="n">
        <f aca="false">0.6974*10^-3</f>
        <v>0.0006974</v>
      </c>
      <c r="C17" s="1" t="n">
        <v>185.8</v>
      </c>
      <c r="D17" s="1" t="n">
        <f aca="false">0.7174*10^-3</f>
        <v>0.0007174</v>
      </c>
      <c r="E17" s="1" t="n">
        <v>186.1</v>
      </c>
      <c r="F17" s="1" t="n">
        <f aca="false">0.7401*10^-3</f>
        <v>0.0007401</v>
      </c>
      <c r="G17" s="1" t="n">
        <v>185.6</v>
      </c>
      <c r="H17" s="1" t="n">
        <f aca="false">0.7519*10^-3</f>
        <v>0.0007519</v>
      </c>
      <c r="I17" s="1" t="n">
        <v>182.5</v>
      </c>
      <c r="K17" s="7" t="n">
        <v>1.4E-009</v>
      </c>
      <c r="M17" s="1" t="n">
        <f aca="false">A17</f>
        <v>87</v>
      </c>
      <c r="N17" s="1" t="n">
        <f aca="false">B17+$K18</f>
        <v>0.0006974015</v>
      </c>
      <c r="O17" s="1" t="n">
        <f aca="false">C17+$K18</f>
        <v>185.8000000015</v>
      </c>
      <c r="P17" s="1" t="n">
        <f aca="false">D17+$K18</f>
        <v>0.0007174015</v>
      </c>
      <c r="Q17" s="1" t="n">
        <f aca="false">E17+$K18</f>
        <v>186.1000000015</v>
      </c>
      <c r="R17" s="1" t="n">
        <f aca="false">F17+$K18</f>
        <v>0.0007401015</v>
      </c>
      <c r="S17" s="1" t="n">
        <f aca="false">G17+$K18</f>
        <v>185.6000000015</v>
      </c>
      <c r="T17" s="1" t="n">
        <f aca="false">H17+$K18</f>
        <v>0.0007519015</v>
      </c>
      <c r="U17" s="1" t="n">
        <f aca="false">I17+$K18</f>
        <v>182.5000000015</v>
      </c>
    </row>
    <row r="18" customFormat="false" ht="13.8" hidden="false" customHeight="false" outlineLevel="0" collapsed="false">
      <c r="A18" s="6" t="n">
        <v>86</v>
      </c>
      <c r="B18" s="1" t="n">
        <f aca="false">0.8869*10^-3</f>
        <v>0.0008869</v>
      </c>
      <c r="C18" s="1" t="n">
        <v>189</v>
      </c>
      <c r="D18" s="1" t="n">
        <f aca="false">0.912*10^-3</f>
        <v>0.000912</v>
      </c>
      <c r="E18" s="1" t="n">
        <v>189.4</v>
      </c>
      <c r="F18" s="1" t="n">
        <f aca="false">0.9413*10^-3</f>
        <v>0.0009413</v>
      </c>
      <c r="G18" s="1" t="n">
        <v>189</v>
      </c>
      <c r="H18" s="1" t="n">
        <f aca="false">0.9606*10^-3</f>
        <v>0.0009606</v>
      </c>
      <c r="I18" s="1" t="n">
        <v>185.4</v>
      </c>
      <c r="K18" s="7" t="n">
        <v>1.5E-009</v>
      </c>
      <c r="M18" s="1" t="n">
        <f aca="false">A18</f>
        <v>86</v>
      </c>
      <c r="N18" s="1" t="n">
        <f aca="false">B18+$K19</f>
        <v>0.0008869016</v>
      </c>
      <c r="O18" s="1" t="n">
        <f aca="false">C18+$K19</f>
        <v>189.0000000016</v>
      </c>
      <c r="P18" s="1" t="n">
        <f aca="false">D18+$K19</f>
        <v>0.0009120016</v>
      </c>
      <c r="Q18" s="1" t="n">
        <f aca="false">E18+$K19</f>
        <v>189.4000000016</v>
      </c>
      <c r="R18" s="1" t="n">
        <f aca="false">F18+$K19</f>
        <v>0.0009413016</v>
      </c>
      <c r="S18" s="1" t="n">
        <f aca="false">G18+$K19</f>
        <v>189.0000000016</v>
      </c>
      <c r="T18" s="1" t="n">
        <f aca="false">H18+$K19</f>
        <v>0.0009606016</v>
      </c>
      <c r="U18" s="1" t="n">
        <f aca="false">I18+$K19</f>
        <v>185.4000000016</v>
      </c>
    </row>
    <row r="19" customFormat="false" ht="13.8" hidden="false" customHeight="false" outlineLevel="0" collapsed="false">
      <c r="A19" s="6" t="n">
        <v>85</v>
      </c>
      <c r="B19" s="1" t="n">
        <f aca="false">0.1123*10^-2</f>
        <v>0.001123</v>
      </c>
      <c r="C19" s="1" t="n">
        <v>192.5</v>
      </c>
      <c r="D19" s="1" t="n">
        <f aca="false">0.1154*10^-2</f>
        <v>0.001154</v>
      </c>
      <c r="E19" s="1" t="n">
        <v>193</v>
      </c>
      <c r="F19" s="1" t="n">
        <f aca="false">0.1192*10^-2</f>
        <v>0.001192</v>
      </c>
      <c r="G19" s="1" t="n">
        <v>192.8</v>
      </c>
      <c r="H19" s="1" t="n">
        <f aca="false">0.1222*10^-2</f>
        <v>0.001222</v>
      </c>
      <c r="I19" s="1" t="n">
        <v>188.8</v>
      </c>
      <c r="K19" s="1" t="n">
        <v>1.6E-009</v>
      </c>
      <c r="M19" s="1" t="n">
        <f aca="false">A19</f>
        <v>85</v>
      </c>
      <c r="N19" s="1" t="n">
        <f aca="false">B19+$K20</f>
        <v>0.0011230017</v>
      </c>
      <c r="O19" s="1" t="n">
        <f aca="false">C19+$K20</f>
        <v>192.5000000017</v>
      </c>
      <c r="P19" s="1" t="n">
        <f aca="false">D19+$K20</f>
        <v>0.0011540017</v>
      </c>
      <c r="Q19" s="1" t="n">
        <f aca="false">E19+$K20</f>
        <v>193.0000000017</v>
      </c>
      <c r="R19" s="1" t="n">
        <f aca="false">F19+$K20</f>
        <v>0.0011920017</v>
      </c>
      <c r="S19" s="1" t="n">
        <f aca="false">G19+$K20</f>
        <v>192.8000000017</v>
      </c>
      <c r="T19" s="1" t="n">
        <f aca="false">H19+$K20</f>
        <v>0.0012220017</v>
      </c>
      <c r="U19" s="1" t="n">
        <f aca="false">I19+$K20</f>
        <v>188.8000000017</v>
      </c>
    </row>
    <row r="20" customFormat="false" ht="13.8" hidden="false" customHeight="false" outlineLevel="0" collapsed="false">
      <c r="A20" s="6" t="n">
        <v>84</v>
      </c>
      <c r="B20" s="1" t="n">
        <f aca="false">0.1416*10^-2</f>
        <v>0.001416</v>
      </c>
      <c r="C20" s="1" t="n">
        <v>197</v>
      </c>
      <c r="D20" s="1" t="n">
        <f aca="false">0.1454*10^-2</f>
        <v>0.001454</v>
      </c>
      <c r="E20" s="1" t="n">
        <v>197.2</v>
      </c>
      <c r="F20" s="1" t="n">
        <f aca="false">0.1501*10^-2</f>
        <v>0.001501</v>
      </c>
      <c r="G20" s="1" t="n">
        <v>197.4</v>
      </c>
      <c r="H20" s="1" t="n">
        <f aca="false">0.1548*10^-2</f>
        <v>0.001548</v>
      </c>
      <c r="I20" s="1" t="n">
        <v>192.7</v>
      </c>
      <c r="K20" s="7" t="n">
        <v>1.7E-009</v>
      </c>
      <c r="M20" s="1" t="n">
        <f aca="false">A20</f>
        <v>84</v>
      </c>
      <c r="N20" s="1" t="n">
        <f aca="false">B20+$K21</f>
        <v>0.0014160018</v>
      </c>
      <c r="O20" s="1" t="n">
        <f aca="false">C20+$K21</f>
        <v>197.0000000018</v>
      </c>
      <c r="P20" s="1" t="n">
        <f aca="false">D20+$K21</f>
        <v>0.0014540018</v>
      </c>
      <c r="Q20" s="1" t="n">
        <f aca="false">E20+$K21</f>
        <v>197.2000000018</v>
      </c>
      <c r="R20" s="1" t="n">
        <f aca="false">F20+$K21</f>
        <v>0.0015010018</v>
      </c>
      <c r="S20" s="1" t="n">
        <f aca="false">G20+$K21</f>
        <v>197.4000000018</v>
      </c>
      <c r="T20" s="1" t="n">
        <f aca="false">H20+$K21</f>
        <v>0.0015480018</v>
      </c>
      <c r="U20" s="1" t="n">
        <f aca="false">I20+$K21</f>
        <v>192.7000000018</v>
      </c>
    </row>
    <row r="21" customFormat="false" ht="13.8" hidden="false" customHeight="false" outlineLevel="0" collapsed="false">
      <c r="A21" s="6" t="n">
        <v>83</v>
      </c>
      <c r="B21" s="1" t="n">
        <f aca="false">0.1775*10^-2</f>
        <v>0.001775</v>
      </c>
      <c r="C21" s="1" t="n">
        <v>201.7</v>
      </c>
      <c r="D21" s="1" t="n">
        <f aca="false">0.1823*10^-2</f>
        <v>0.001823</v>
      </c>
      <c r="E21" s="1" t="n">
        <v>201.5</v>
      </c>
      <c r="F21" s="1" t="n">
        <f aca="false">0.1882*10^-2</f>
        <v>0.001882</v>
      </c>
      <c r="G21" s="1" t="n">
        <v>202</v>
      </c>
      <c r="H21" s="1" t="n">
        <f aca="false">0.1951*10^-2</f>
        <v>0.001951</v>
      </c>
      <c r="I21" s="1" t="n">
        <v>196.9</v>
      </c>
      <c r="K21" s="7" t="n">
        <v>1.8E-009</v>
      </c>
      <c r="M21" s="1" t="n">
        <f aca="false">A21</f>
        <v>83</v>
      </c>
      <c r="N21" s="1" t="n">
        <f aca="false">B21+$K22</f>
        <v>0.0017750019</v>
      </c>
      <c r="O21" s="1" t="n">
        <f aca="false">C21+$K22</f>
        <v>201.7000000019</v>
      </c>
      <c r="P21" s="1" t="n">
        <f aca="false">D21+$K22</f>
        <v>0.0018230019</v>
      </c>
      <c r="Q21" s="1" t="n">
        <f aca="false">E21+$K22</f>
        <v>201.5000000019</v>
      </c>
      <c r="R21" s="1" t="n">
        <f aca="false">F21+$K22</f>
        <v>0.0018820019</v>
      </c>
      <c r="S21" s="1" t="n">
        <f aca="false">G21+$K22</f>
        <v>202.0000000019</v>
      </c>
      <c r="T21" s="1" t="n">
        <f aca="false">H21+$K22</f>
        <v>0.0019510019</v>
      </c>
      <c r="U21" s="1" t="n">
        <f aca="false">I21+$K22</f>
        <v>196.9000000019</v>
      </c>
    </row>
    <row r="22" customFormat="false" ht="13.8" hidden="false" customHeight="false" outlineLevel="0" collapsed="false">
      <c r="A22" s="6" t="n">
        <v>82</v>
      </c>
      <c r="B22" s="1" t="n">
        <f aca="false">0.2213*10^-2</f>
        <v>0.002213</v>
      </c>
      <c r="C22" s="1" t="n">
        <v>206.5</v>
      </c>
      <c r="D22" s="1" t="n">
        <f aca="false">0.2275*10^-2</f>
        <v>0.002275</v>
      </c>
      <c r="E22" s="1" t="n">
        <v>205.4</v>
      </c>
      <c r="F22" s="1" t="n">
        <f aca="false">0.2346*10^-2</f>
        <v>0.002346</v>
      </c>
      <c r="G22" s="1" t="n">
        <v>206.5</v>
      </c>
      <c r="H22" s="1" t="n">
        <f aca="false">0.2447*10^-2</f>
        <v>0.002447</v>
      </c>
      <c r="I22" s="1" t="n">
        <v>200.9</v>
      </c>
      <c r="K22" s="1" t="n">
        <v>1.9E-009</v>
      </c>
      <c r="M22" s="1" t="n">
        <f aca="false">A22</f>
        <v>82</v>
      </c>
      <c r="N22" s="1" t="n">
        <f aca="false">B22+$K23</f>
        <v>0.002213002</v>
      </c>
      <c r="O22" s="1" t="n">
        <f aca="false">C22+$K23</f>
        <v>206.500000002</v>
      </c>
      <c r="P22" s="1" t="n">
        <f aca="false">D22+$K23</f>
        <v>0.002275002</v>
      </c>
      <c r="Q22" s="1" t="n">
        <f aca="false">E22+$K23</f>
        <v>205.400000002</v>
      </c>
      <c r="R22" s="1" t="n">
        <f aca="false">F22+$K23</f>
        <v>0.002346002</v>
      </c>
      <c r="S22" s="1" t="n">
        <f aca="false">G22+$K23</f>
        <v>206.500000002</v>
      </c>
      <c r="T22" s="1" t="n">
        <f aca="false">H22+$K23</f>
        <v>0.002447002</v>
      </c>
      <c r="U22" s="1" t="n">
        <f aca="false">I22+$K23</f>
        <v>200.900000002</v>
      </c>
    </row>
    <row r="23" customFormat="false" ht="13.8" hidden="false" customHeight="false" outlineLevel="0" collapsed="false">
      <c r="A23" s="6" t="n">
        <v>81</v>
      </c>
      <c r="B23" s="1" t="n">
        <f aca="false">0.2747*10^-2</f>
        <v>0.002747</v>
      </c>
      <c r="C23" s="1" t="n">
        <v>211</v>
      </c>
      <c r="D23" s="1" t="n">
        <f aca="false">0.2828*10^-2</f>
        <v>0.002828</v>
      </c>
      <c r="E23" s="1" t="n">
        <v>208.7</v>
      </c>
      <c r="F23" s="1" t="n">
        <f aca="false">0.2913*10^-2</f>
        <v>0.002913</v>
      </c>
      <c r="G23" s="1" t="n">
        <v>210.3</v>
      </c>
      <c r="H23" s="1" t="n">
        <f aca="false">0.3057*10^-2</f>
        <v>0.003057</v>
      </c>
      <c r="I23" s="1" t="n">
        <v>204.8</v>
      </c>
      <c r="K23" s="7" t="n">
        <v>2E-009</v>
      </c>
      <c r="M23" s="1" t="n">
        <f aca="false">A23</f>
        <v>81</v>
      </c>
      <c r="N23" s="1" t="n">
        <f aca="false">B23+$K24</f>
        <v>0.0027470021</v>
      </c>
      <c r="O23" s="1" t="n">
        <f aca="false">C23+$K24</f>
        <v>211.0000000021</v>
      </c>
      <c r="P23" s="1" t="n">
        <f aca="false">D23+$K24</f>
        <v>0.0028280021</v>
      </c>
      <c r="Q23" s="1" t="n">
        <f aca="false">E23+$K24</f>
        <v>208.7000000021</v>
      </c>
      <c r="R23" s="1" t="n">
        <f aca="false">F23+$K24</f>
        <v>0.0029130021</v>
      </c>
      <c r="S23" s="1" t="n">
        <f aca="false">G23+$K24</f>
        <v>210.3000000021</v>
      </c>
      <c r="T23" s="1" t="n">
        <f aca="false">H23+$K24</f>
        <v>0.0030570021</v>
      </c>
      <c r="U23" s="1" t="n">
        <f aca="false">I23+$K24</f>
        <v>204.8000000021</v>
      </c>
    </row>
    <row r="24" customFormat="false" ht="13.8" hidden="false" customHeight="false" outlineLevel="0" collapsed="false">
      <c r="A24" s="6" t="n">
        <v>80</v>
      </c>
      <c r="B24" s="1" t="n">
        <f aca="false">0.3394*10^-2</f>
        <v>0.003394</v>
      </c>
      <c r="C24" s="1" t="n">
        <v>215</v>
      </c>
      <c r="D24" s="1" t="n">
        <f aca="false">0.3506*10^-2</f>
        <v>0.003506</v>
      </c>
      <c r="E24" s="1" t="n">
        <v>211.6</v>
      </c>
      <c r="F24" s="1" t="n">
        <f aca="false">0.3604*10^-2</f>
        <v>0.003604</v>
      </c>
      <c r="G24" s="1" t="n">
        <v>213.6</v>
      </c>
      <c r="H24" s="1" t="n">
        <f aca="false">0.3803*10^-2</f>
        <v>0.003803</v>
      </c>
      <c r="I24" s="1" t="n">
        <v>208.5</v>
      </c>
      <c r="K24" s="7" t="n">
        <v>2.1E-009</v>
      </c>
      <c r="M24" s="1" t="n">
        <f aca="false">A24</f>
        <v>80</v>
      </c>
      <c r="N24" s="1" t="n">
        <f aca="false">B24+$K25</f>
        <v>0.0033940022</v>
      </c>
      <c r="O24" s="1" t="n">
        <f aca="false">C24+$K25</f>
        <v>215.0000000022</v>
      </c>
      <c r="P24" s="1" t="n">
        <f aca="false">D24+$K25</f>
        <v>0.0035060022</v>
      </c>
      <c r="Q24" s="1" t="n">
        <f aca="false">E24+$K25</f>
        <v>211.6000000022</v>
      </c>
      <c r="R24" s="1" t="n">
        <f aca="false">F24+$K25</f>
        <v>0.0036040022</v>
      </c>
      <c r="S24" s="1" t="n">
        <f aca="false">G24+$K25</f>
        <v>213.6000000022</v>
      </c>
      <c r="T24" s="1" t="n">
        <f aca="false">H24+$K25</f>
        <v>0.0038030022</v>
      </c>
      <c r="U24" s="1" t="n">
        <f aca="false">I24+$K25</f>
        <v>208.5000000022</v>
      </c>
    </row>
    <row r="25" customFormat="false" ht="13.8" hidden="false" customHeight="false" outlineLevel="0" collapsed="false">
      <c r="A25" s="6" t="n">
        <v>79</v>
      </c>
      <c r="B25" s="1" t="n">
        <f aca="false">0.418*10^-2</f>
        <v>0.00418</v>
      </c>
      <c r="C25" s="1" t="n">
        <v>218.5</v>
      </c>
      <c r="D25" s="1" t="n">
        <f aca="false">0.4335*10^-2</f>
        <v>0.004335</v>
      </c>
      <c r="E25" s="1" t="n">
        <v>214.2</v>
      </c>
      <c r="F25" s="1" t="n">
        <f aca="false">0.4446*10^-2</f>
        <v>0.004446</v>
      </c>
      <c r="G25" s="1" t="n">
        <v>216.4</v>
      </c>
      <c r="H25" s="1" t="n">
        <f aca="false">0.4713*10^-2</f>
        <v>0.004713</v>
      </c>
      <c r="I25" s="1" t="n">
        <v>211.9</v>
      </c>
      <c r="K25" s="1" t="n">
        <v>2.2E-009</v>
      </c>
      <c r="M25" s="1" t="n">
        <f aca="false">A25</f>
        <v>79</v>
      </c>
      <c r="N25" s="1" t="n">
        <f aca="false">B25+$K26</f>
        <v>0.0041800023</v>
      </c>
      <c r="O25" s="1" t="n">
        <f aca="false">C25+$K26</f>
        <v>218.5000000023</v>
      </c>
      <c r="P25" s="1" t="n">
        <f aca="false">D25+$K26</f>
        <v>0.0043350023</v>
      </c>
      <c r="Q25" s="1" t="n">
        <f aca="false">E25+$K26</f>
        <v>214.2000000023</v>
      </c>
      <c r="R25" s="1" t="n">
        <f aca="false">F25+$K26</f>
        <v>0.0044460023</v>
      </c>
      <c r="S25" s="1" t="n">
        <f aca="false">G25+$K26</f>
        <v>216.4000000023</v>
      </c>
      <c r="T25" s="1" t="n">
        <f aca="false">H25+$K26</f>
        <v>0.0047130023</v>
      </c>
      <c r="U25" s="1" t="n">
        <f aca="false">I25+$K26</f>
        <v>211.9000000023</v>
      </c>
    </row>
    <row r="26" customFormat="false" ht="13.8" hidden="false" customHeight="false" outlineLevel="0" collapsed="false">
      <c r="A26" s="6" t="n">
        <v>78</v>
      </c>
      <c r="B26" s="1" t="n">
        <f aca="false">0.5133*10^-2</f>
        <v>0.005133</v>
      </c>
      <c r="C26" s="1" t="n">
        <v>221.4</v>
      </c>
      <c r="D26" s="1" t="n">
        <f aca="false">0.5347*10^-2</f>
        <v>0.005347</v>
      </c>
      <c r="E26" s="1" t="n">
        <v>216.4</v>
      </c>
      <c r="F26" s="1" t="n">
        <f aca="false">0.5471*10^-2</f>
        <v>0.005471</v>
      </c>
      <c r="G26" s="1" t="n">
        <v>219</v>
      </c>
      <c r="H26" s="1" t="n">
        <f aca="false">0.5824*10^-2</f>
        <v>0.005824</v>
      </c>
      <c r="I26" s="1" t="n">
        <v>215.2</v>
      </c>
      <c r="K26" s="7" t="n">
        <v>2.3E-009</v>
      </c>
      <c r="M26" s="1" t="n">
        <f aca="false">A26</f>
        <v>78</v>
      </c>
      <c r="N26" s="1" t="n">
        <f aca="false">B26+$K27</f>
        <v>0.0051330024</v>
      </c>
      <c r="O26" s="1" t="n">
        <f aca="false">C26+$K27</f>
        <v>221.4000000024</v>
      </c>
      <c r="P26" s="1" t="n">
        <f aca="false">D26+$K27</f>
        <v>0.0053470024</v>
      </c>
      <c r="Q26" s="1" t="n">
        <f aca="false">E26+$K27</f>
        <v>216.4000000024</v>
      </c>
      <c r="R26" s="1" t="n">
        <f aca="false">F26+$K27</f>
        <v>0.0054710024</v>
      </c>
      <c r="S26" s="1" t="n">
        <f aca="false">G26+$K27</f>
        <v>219.0000000024</v>
      </c>
      <c r="T26" s="1" t="n">
        <f aca="false">H26+$K27</f>
        <v>0.0058240024</v>
      </c>
      <c r="U26" s="1" t="n">
        <f aca="false">I26+$K27</f>
        <v>215.2000000024</v>
      </c>
    </row>
    <row r="27" customFormat="false" ht="13.8" hidden="false" customHeight="false" outlineLevel="0" collapsed="false">
      <c r="A27" s="6" t="n">
        <v>77</v>
      </c>
      <c r="B27" s="1" t="n">
        <f aca="false">0.6289*10^-2</f>
        <v>0.006289</v>
      </c>
      <c r="C27" s="1" t="n">
        <v>223.7</v>
      </c>
      <c r="D27" s="1" t="n">
        <f aca="false">0.6582*10^-2</f>
        <v>0.006582</v>
      </c>
      <c r="E27" s="1" t="n">
        <v>218.8</v>
      </c>
      <c r="F27" s="1" t="n">
        <f aca="false">0.6717*10^-2</f>
        <v>0.006717</v>
      </c>
      <c r="G27" s="1" t="n">
        <v>221.5</v>
      </c>
      <c r="H27" s="1" t="n">
        <f aca="false">0.7171*10^-2</f>
        <v>0.007171</v>
      </c>
      <c r="I27" s="1" t="n">
        <v>218.7</v>
      </c>
      <c r="K27" s="7" t="n">
        <v>2.4E-009</v>
      </c>
      <c r="M27" s="1" t="n">
        <f aca="false">A27</f>
        <v>77</v>
      </c>
      <c r="N27" s="1" t="n">
        <f aca="false">B27+$K28</f>
        <v>0.0062890025</v>
      </c>
      <c r="O27" s="1" t="n">
        <f aca="false">C27+$K28</f>
        <v>223.7000000025</v>
      </c>
      <c r="P27" s="1" t="n">
        <f aca="false">D27+$K28</f>
        <v>0.0065820025</v>
      </c>
      <c r="Q27" s="1" t="n">
        <f aca="false">E27+$K28</f>
        <v>218.8000000025</v>
      </c>
      <c r="R27" s="1" t="n">
        <f aca="false">F27+$K28</f>
        <v>0.0067170025</v>
      </c>
      <c r="S27" s="1" t="n">
        <f aca="false">G27+$K28</f>
        <v>221.5000000025</v>
      </c>
      <c r="T27" s="1" t="n">
        <f aca="false">H27+$K28</f>
        <v>0.0071710025</v>
      </c>
      <c r="U27" s="1" t="n">
        <f aca="false">I27+$K28</f>
        <v>218.7000000025</v>
      </c>
    </row>
    <row r="28" customFormat="false" ht="13.8" hidden="false" customHeight="false" outlineLevel="0" collapsed="false">
      <c r="A28" s="6" t="n">
        <v>76</v>
      </c>
      <c r="B28" s="1" t="n">
        <f aca="false">0.7691*10^-2</f>
        <v>0.007691</v>
      </c>
      <c r="C28" s="1" t="n">
        <v>225.9</v>
      </c>
      <c r="D28" s="1" t="n">
        <f aca="false">0.8082*10^-2</f>
        <v>0.008082</v>
      </c>
      <c r="E28" s="1" t="n">
        <v>221.5</v>
      </c>
      <c r="F28" s="1" t="n">
        <f aca="false">0.8226*10^-2</f>
        <v>0.008226</v>
      </c>
      <c r="G28" s="1" t="n">
        <v>224.5</v>
      </c>
      <c r="H28" s="1" t="n">
        <f aca="false">0.8803*10^-2</f>
        <v>0.008803</v>
      </c>
      <c r="I28" s="1" t="n">
        <v>222.2</v>
      </c>
      <c r="K28" s="1" t="n">
        <v>2.5E-009</v>
      </c>
      <c r="M28" s="1" t="n">
        <f aca="false">A28</f>
        <v>76</v>
      </c>
      <c r="N28" s="1" t="n">
        <f aca="false">B28+$K29</f>
        <v>0.0076910026</v>
      </c>
      <c r="O28" s="1" t="n">
        <f aca="false">C28+$K29</f>
        <v>225.9000000026</v>
      </c>
      <c r="P28" s="1" t="n">
        <f aca="false">D28+$K29</f>
        <v>0.0080820026</v>
      </c>
      <c r="Q28" s="1" t="n">
        <f aca="false">E28+$K29</f>
        <v>221.5000000026</v>
      </c>
      <c r="R28" s="1" t="n">
        <f aca="false">F28+$K29</f>
        <v>0.0082260026</v>
      </c>
      <c r="S28" s="1" t="n">
        <f aca="false">G28+$K29</f>
        <v>224.5000000026</v>
      </c>
      <c r="T28" s="1" t="n">
        <f aca="false">H28+$K29</f>
        <v>0.0088030026</v>
      </c>
      <c r="U28" s="1" t="n">
        <f aca="false">I28+$K29</f>
        <v>222.2000000026</v>
      </c>
    </row>
    <row r="29" customFormat="false" ht="13.8" hidden="false" customHeight="false" outlineLevel="0" collapsed="false">
      <c r="A29" s="6" t="n">
        <v>75</v>
      </c>
      <c r="B29" s="1" t="n">
        <f aca="false">0.9386*10^-2</f>
        <v>0.009386</v>
      </c>
      <c r="C29" s="1" t="n">
        <v>228.1</v>
      </c>
      <c r="D29" s="1" t="n">
        <f aca="false">0.99*10^-2</f>
        <v>0.0099</v>
      </c>
      <c r="E29" s="1" t="n">
        <v>224.2</v>
      </c>
      <c r="F29" s="1" t="n">
        <f aca="false">0.1005*10^-1</f>
        <v>0.01005</v>
      </c>
      <c r="G29" s="1" t="n">
        <v>227.3</v>
      </c>
      <c r="H29" s="1" t="n">
        <f aca="false">0.1077*10^-1</f>
        <v>0.01077</v>
      </c>
      <c r="I29" s="1" t="n">
        <v>225.4</v>
      </c>
      <c r="K29" s="7" t="n">
        <v>2.6E-009</v>
      </c>
      <c r="M29" s="1" t="n">
        <f aca="false">A29</f>
        <v>75</v>
      </c>
      <c r="N29" s="1" t="n">
        <f aca="false">B29+$K30</f>
        <v>0.0093860027</v>
      </c>
      <c r="O29" s="1" t="n">
        <f aca="false">C29+$K30</f>
        <v>228.1000000027</v>
      </c>
      <c r="P29" s="1" t="n">
        <f aca="false">D29+$K30</f>
        <v>0.0099000027</v>
      </c>
      <c r="Q29" s="1" t="n">
        <f aca="false">E29+$K30</f>
        <v>224.2000000027</v>
      </c>
      <c r="R29" s="1" t="n">
        <f aca="false">F29+$K30</f>
        <v>0.0100500027</v>
      </c>
      <c r="S29" s="1" t="n">
        <f aca="false">G29+$K30</f>
        <v>227.3000000027</v>
      </c>
      <c r="T29" s="1" t="n">
        <f aca="false">H29+$K30</f>
        <v>0.0107700027</v>
      </c>
      <c r="U29" s="1" t="n">
        <f aca="false">I29+$K30</f>
        <v>225.4000000027</v>
      </c>
    </row>
    <row r="30" customFormat="false" ht="13.8" hidden="false" customHeight="false" outlineLevel="0" collapsed="false">
      <c r="A30" s="6" t="n">
        <v>74</v>
      </c>
      <c r="B30" s="1" t="n">
        <f aca="false">0.1144*10^-1</f>
        <v>0.01144</v>
      </c>
      <c r="C30" s="1" t="n">
        <v>229.5</v>
      </c>
      <c r="D30" s="1" t="n">
        <f aca="false">0.121*10^-1</f>
        <v>0.0121</v>
      </c>
      <c r="E30" s="1" t="n">
        <v>226.8</v>
      </c>
      <c r="F30" s="1" t="n">
        <f aca="false">0.1225*10^-1</f>
        <v>0.01225</v>
      </c>
      <c r="G30" s="1" t="n">
        <v>229.4</v>
      </c>
      <c r="H30" s="1" t="n">
        <f aca="false">0.1315*10^-1</f>
        <v>0.01315</v>
      </c>
      <c r="I30" s="1" t="n">
        <v>228.3</v>
      </c>
      <c r="K30" s="7" t="n">
        <v>2.7E-009</v>
      </c>
      <c r="M30" s="1" t="n">
        <f aca="false">A30</f>
        <v>74</v>
      </c>
      <c r="N30" s="1" t="n">
        <f aca="false">B30+$K31</f>
        <v>0.0114400028</v>
      </c>
      <c r="O30" s="1" t="n">
        <f aca="false">C30+$K31</f>
        <v>229.5000000028</v>
      </c>
      <c r="P30" s="1" t="n">
        <f aca="false">D30+$K31</f>
        <v>0.0121000028</v>
      </c>
      <c r="Q30" s="1" t="n">
        <f aca="false">E30+$K31</f>
        <v>226.8000000028</v>
      </c>
      <c r="R30" s="1" t="n">
        <f aca="false">F30+$K31</f>
        <v>0.0122500028</v>
      </c>
      <c r="S30" s="1" t="n">
        <f aca="false">G30+$K31</f>
        <v>229.4000000028</v>
      </c>
      <c r="T30" s="1" t="n">
        <f aca="false">H30+$K31</f>
        <v>0.0131500028</v>
      </c>
      <c r="U30" s="1" t="n">
        <f aca="false">I30+$K31</f>
        <v>228.3000000028</v>
      </c>
    </row>
    <row r="31" customFormat="false" ht="13.8" hidden="false" customHeight="false" outlineLevel="0" collapsed="false">
      <c r="A31" s="6" t="n">
        <v>73</v>
      </c>
      <c r="B31" s="1" t="n">
        <f aca="false">0.1393*10^-1</f>
        <v>0.01393</v>
      </c>
      <c r="C31" s="1" t="n">
        <v>230.9</v>
      </c>
      <c r="D31" s="1" t="n">
        <f aca="false">0.1476*10^-1</f>
        <v>0.01476</v>
      </c>
      <c r="E31" s="1" t="n">
        <v>229.1</v>
      </c>
      <c r="F31" s="1" t="n">
        <f aca="false">0.1491*10^-1</f>
        <v>0.01491</v>
      </c>
      <c r="G31" s="1" t="n">
        <v>231.3</v>
      </c>
      <c r="H31" s="1" t="n">
        <f aca="false">0.1601*10^-1</f>
        <v>0.01601</v>
      </c>
      <c r="I31" s="1" t="n">
        <v>230.9</v>
      </c>
      <c r="K31" s="1" t="n">
        <v>2.8E-009</v>
      </c>
      <c r="M31" s="1" t="n">
        <f aca="false">A31</f>
        <v>73</v>
      </c>
      <c r="N31" s="1" t="n">
        <f aca="false">B31+$K32</f>
        <v>0.0139300029</v>
      </c>
      <c r="O31" s="1" t="n">
        <f aca="false">C31+$K32</f>
        <v>230.9000000029</v>
      </c>
      <c r="P31" s="1" t="n">
        <f aca="false">D31+$K32</f>
        <v>0.0147600029</v>
      </c>
      <c r="Q31" s="1" t="n">
        <f aca="false">E31+$K32</f>
        <v>229.1000000029</v>
      </c>
      <c r="R31" s="1" t="n">
        <f aca="false">F31+$K32</f>
        <v>0.0149100029</v>
      </c>
      <c r="S31" s="1" t="n">
        <f aca="false">G31+$K32</f>
        <v>231.3000000029</v>
      </c>
      <c r="T31" s="1" t="n">
        <f aca="false">H31+$K32</f>
        <v>0.0160100029</v>
      </c>
      <c r="U31" s="1" t="n">
        <f aca="false">I31+$K32</f>
        <v>230.9000000029</v>
      </c>
    </row>
    <row r="32" customFormat="false" ht="13.8" hidden="false" customHeight="false" outlineLevel="0" collapsed="false">
      <c r="A32" s="6" t="n">
        <v>72</v>
      </c>
      <c r="B32" s="1" t="n">
        <f aca="false">0.1694*10^-1</f>
        <v>0.01694</v>
      </c>
      <c r="C32" s="1" t="n">
        <v>232</v>
      </c>
      <c r="D32" s="1" t="n">
        <f aca="false">0.1796*10^-1</f>
        <v>0.01796</v>
      </c>
      <c r="E32" s="1" t="n">
        <v>231.4</v>
      </c>
      <c r="F32" s="1" t="n">
        <f aca="false">0.1812*10^-1</f>
        <v>0.01812</v>
      </c>
      <c r="G32" s="1" t="n">
        <v>233.1</v>
      </c>
      <c r="H32" s="1" t="n">
        <f aca="false">0.1946*10^-1</f>
        <v>0.01946</v>
      </c>
      <c r="I32" s="1" t="n">
        <v>233.3</v>
      </c>
      <c r="K32" s="7" t="n">
        <v>2.9E-009</v>
      </c>
      <c r="M32" s="1" t="n">
        <f aca="false">A32</f>
        <v>72</v>
      </c>
      <c r="N32" s="1" t="n">
        <f aca="false">B32+$K33</f>
        <v>0.016940003</v>
      </c>
      <c r="O32" s="1" t="n">
        <f aca="false">C32+$K33</f>
        <v>232.000000003</v>
      </c>
      <c r="P32" s="1" t="n">
        <f aca="false">D32+$K33</f>
        <v>0.017960003</v>
      </c>
      <c r="Q32" s="1" t="n">
        <f aca="false">E32+$K33</f>
        <v>231.400000003</v>
      </c>
      <c r="R32" s="1" t="n">
        <f aca="false">F32+$K33</f>
        <v>0.018120003</v>
      </c>
      <c r="S32" s="1" t="n">
        <f aca="false">G32+$K33</f>
        <v>233.100000003</v>
      </c>
      <c r="T32" s="1" t="n">
        <f aca="false">H32+$K33</f>
        <v>0.019460003</v>
      </c>
      <c r="U32" s="1" t="n">
        <f aca="false">I32+$K33</f>
        <v>233.300000003</v>
      </c>
    </row>
    <row r="33" customFormat="false" ht="13.8" hidden="false" customHeight="false" outlineLevel="0" collapsed="false">
      <c r="A33" s="6" t="n">
        <v>71</v>
      </c>
      <c r="B33" s="1" t="n">
        <f aca="false">0.2058*10^-1</f>
        <v>0.02058</v>
      </c>
      <c r="C33" s="1" t="n">
        <v>233.4</v>
      </c>
      <c r="D33" s="1" t="n">
        <f aca="false">0.2182*10^-1</f>
        <v>0.02182</v>
      </c>
      <c r="E33" s="1" t="n">
        <v>233.6</v>
      </c>
      <c r="F33" s="1" t="n">
        <f aca="false">0.2199*10^-1</f>
        <v>0.02199</v>
      </c>
      <c r="G33" s="1" t="n">
        <v>234.9</v>
      </c>
      <c r="H33" s="1" t="n">
        <f aca="false">0.2361*10^-1</f>
        <v>0.02361</v>
      </c>
      <c r="I33" s="1" t="n">
        <v>235.3</v>
      </c>
      <c r="K33" s="7" t="n">
        <v>3E-009</v>
      </c>
      <c r="M33" s="1" t="n">
        <f aca="false">A33</f>
        <v>71</v>
      </c>
      <c r="N33" s="1" t="n">
        <f aca="false">B33+$K34</f>
        <v>0.0205800031</v>
      </c>
      <c r="O33" s="1" t="n">
        <f aca="false">C33+$K34</f>
        <v>233.4000000031</v>
      </c>
      <c r="P33" s="1" t="n">
        <f aca="false">D33+$K34</f>
        <v>0.0218200031</v>
      </c>
      <c r="Q33" s="1" t="n">
        <f aca="false">E33+$K34</f>
        <v>233.6000000031</v>
      </c>
      <c r="R33" s="1" t="n">
        <f aca="false">F33+$K34</f>
        <v>0.0219900031</v>
      </c>
      <c r="S33" s="1" t="n">
        <f aca="false">G33+$K34</f>
        <v>234.9000000031</v>
      </c>
      <c r="T33" s="1" t="n">
        <f aca="false">H33+$K34</f>
        <v>0.0236100031</v>
      </c>
      <c r="U33" s="1" t="n">
        <f aca="false">I33+$K34</f>
        <v>235.3000000031</v>
      </c>
    </row>
    <row r="34" customFormat="false" ht="13.8" hidden="false" customHeight="false" outlineLevel="0" collapsed="false">
      <c r="A34" s="6" t="n">
        <v>70</v>
      </c>
      <c r="B34" s="1" t="n">
        <f aca="false">0.2498*10^-1</f>
        <v>0.02498</v>
      </c>
      <c r="C34" s="1" t="n">
        <v>234.4</v>
      </c>
      <c r="D34" s="1" t="n">
        <f aca="false">0.2647*10^-1</f>
        <v>0.02647</v>
      </c>
      <c r="E34" s="1" t="n">
        <v>235.4</v>
      </c>
      <c r="F34" s="1" t="n">
        <f aca="false">0.2666*10^-1</f>
        <v>0.02666</v>
      </c>
      <c r="G34" s="1" t="n">
        <v>236.3</v>
      </c>
      <c r="H34" s="1" t="n">
        <f aca="false">0.2861*10^-1</f>
        <v>0.02861</v>
      </c>
      <c r="I34" s="1" t="n">
        <v>237</v>
      </c>
      <c r="K34" s="1" t="n">
        <v>3.1E-009</v>
      </c>
      <c r="M34" s="1" t="n">
        <f aca="false">A34</f>
        <v>70</v>
      </c>
      <c r="N34" s="1" t="n">
        <f aca="false">B34+$K35</f>
        <v>0.0249800032</v>
      </c>
      <c r="O34" s="1" t="n">
        <f aca="false">C34+$K35</f>
        <v>234.4000000032</v>
      </c>
      <c r="P34" s="1" t="n">
        <f aca="false">D34+$K35</f>
        <v>0.0264700032</v>
      </c>
      <c r="Q34" s="1" t="n">
        <f aca="false">E34+$K35</f>
        <v>235.4000000032</v>
      </c>
      <c r="R34" s="1" t="n">
        <f aca="false">F34+$K35</f>
        <v>0.0266600032</v>
      </c>
      <c r="S34" s="1" t="n">
        <f aca="false">G34+$K35</f>
        <v>236.3000000032</v>
      </c>
      <c r="T34" s="1" t="n">
        <f aca="false">H34+$K35</f>
        <v>0.0286100032</v>
      </c>
      <c r="U34" s="1" t="n">
        <f aca="false">I34+$K35</f>
        <v>237.0000000032</v>
      </c>
    </row>
    <row r="35" customFormat="false" ht="13.8" hidden="false" customHeight="false" outlineLevel="0" collapsed="false">
      <c r="A35" s="6" t="n">
        <v>69</v>
      </c>
      <c r="B35" s="1" t="n">
        <f aca="false">0.303*10^-1</f>
        <v>0.0303</v>
      </c>
      <c r="C35" s="1" t="n">
        <v>235.3</v>
      </c>
      <c r="D35" s="1" t="n">
        <f aca="false">0.3207*10^-1</f>
        <v>0.03207</v>
      </c>
      <c r="E35" s="1" t="n">
        <v>237</v>
      </c>
      <c r="F35" s="1" t="n">
        <f aca="false">0.3228*10^-1</f>
        <v>0.03228</v>
      </c>
      <c r="G35" s="1" t="n">
        <v>237.5</v>
      </c>
      <c r="H35" s="1" t="n">
        <f aca="false">0.3462*10^-1</f>
        <v>0.03462</v>
      </c>
      <c r="I35" s="1" t="n">
        <v>238.4</v>
      </c>
      <c r="K35" s="7" t="n">
        <v>3.2E-009</v>
      </c>
      <c r="M35" s="1" t="n">
        <f aca="false">A35</f>
        <v>69</v>
      </c>
      <c r="N35" s="1" t="n">
        <f aca="false">B35+$K36</f>
        <v>0.0303000033</v>
      </c>
      <c r="O35" s="1" t="n">
        <f aca="false">C35+$K36</f>
        <v>235.3000000033</v>
      </c>
      <c r="P35" s="1" t="n">
        <f aca="false">D35+$K36</f>
        <v>0.0320700033</v>
      </c>
      <c r="Q35" s="1" t="n">
        <f aca="false">E35+$K36</f>
        <v>237.0000000033</v>
      </c>
      <c r="R35" s="1" t="n">
        <f aca="false">F35+$K36</f>
        <v>0.0322800033</v>
      </c>
      <c r="S35" s="1" t="n">
        <f aca="false">G35+$K36</f>
        <v>237.5000000033</v>
      </c>
      <c r="T35" s="1" t="n">
        <f aca="false">H35+$K36</f>
        <v>0.0346200033</v>
      </c>
      <c r="U35" s="1" t="n">
        <f aca="false">I35+$K36</f>
        <v>238.4000000033</v>
      </c>
    </row>
    <row r="36" customFormat="false" ht="13.8" hidden="false" customHeight="false" outlineLevel="0" collapsed="false">
      <c r="A36" s="6" t="n">
        <v>68</v>
      </c>
      <c r="B36" s="1" t="n">
        <f aca="false">0.3674*10^-1</f>
        <v>0.03674</v>
      </c>
      <c r="C36" s="1" t="n">
        <v>235.2</v>
      </c>
      <c r="D36" s="1" t="n">
        <f aca="false">0.3883*10^-1</f>
        <v>0.03883</v>
      </c>
      <c r="E36" s="1" t="n">
        <v>237.5</v>
      </c>
      <c r="F36" s="1" t="n">
        <f aca="false">0.3907*10^-1</f>
        <v>0.03907</v>
      </c>
      <c r="G36" s="1" t="n">
        <v>237.7</v>
      </c>
      <c r="H36" s="1" t="n">
        <f aca="false">0.4186*10^-1</f>
        <v>0.04186</v>
      </c>
      <c r="I36" s="1" t="n">
        <v>238.9</v>
      </c>
      <c r="K36" s="7" t="n">
        <v>3.3E-009</v>
      </c>
      <c r="M36" s="1" t="n">
        <f aca="false">A36</f>
        <v>68</v>
      </c>
      <c r="N36" s="1" t="n">
        <f aca="false">B36+$K37</f>
        <v>0.0367400034</v>
      </c>
      <c r="O36" s="1" t="n">
        <f aca="false">C36+$K37</f>
        <v>235.2000000034</v>
      </c>
      <c r="P36" s="1" t="n">
        <f aca="false">D36+$K37</f>
        <v>0.0388300034</v>
      </c>
      <c r="Q36" s="1" t="n">
        <f aca="false">E36+$K37</f>
        <v>237.5000000034</v>
      </c>
      <c r="R36" s="1" t="n">
        <f aca="false">F36+$K37</f>
        <v>0.0390700034</v>
      </c>
      <c r="S36" s="1" t="n">
        <f aca="false">G36+$K37</f>
        <v>237.7000000034</v>
      </c>
      <c r="T36" s="1" t="n">
        <f aca="false">H36+$K37</f>
        <v>0.0418600034</v>
      </c>
      <c r="U36" s="1" t="n">
        <f aca="false">I36+$K37</f>
        <v>238.9000000034</v>
      </c>
    </row>
    <row r="37" customFormat="false" ht="13.8" hidden="false" customHeight="false" outlineLevel="0" collapsed="false">
      <c r="A37" s="6" t="n">
        <v>67</v>
      </c>
      <c r="B37" s="1" t="n">
        <f aca="false">0.4459*10^-1</f>
        <v>0.04459</v>
      </c>
      <c r="C37" s="1" t="n">
        <v>234.1</v>
      </c>
      <c r="D37" s="1" t="n">
        <f aca="false">0.4703*10^-1</f>
        <v>0.04703</v>
      </c>
      <c r="E37" s="1" t="n">
        <v>236.5</v>
      </c>
      <c r="F37" s="1" t="n">
        <f aca="false">0.4731*10^-1</f>
        <v>0.04731</v>
      </c>
      <c r="G37" s="1" t="n">
        <v>236.8</v>
      </c>
      <c r="H37" s="1" t="n">
        <f aca="false">0.5063*10^-1</f>
        <v>0.05063</v>
      </c>
      <c r="I37" s="1" t="n">
        <v>238.4</v>
      </c>
      <c r="K37" s="1" t="n">
        <v>3.4E-009</v>
      </c>
      <c r="M37" s="1" t="n">
        <f aca="false">A37</f>
        <v>67</v>
      </c>
      <c r="N37" s="1" t="n">
        <f aca="false">B37+$K38</f>
        <v>0.0445900035</v>
      </c>
      <c r="O37" s="1" t="n">
        <f aca="false">C37+$K38</f>
        <v>234.1000000035</v>
      </c>
      <c r="P37" s="1" t="n">
        <f aca="false">D37+$K38</f>
        <v>0.0470300035</v>
      </c>
      <c r="Q37" s="1" t="n">
        <f aca="false">E37+$K38</f>
        <v>236.5000000035</v>
      </c>
      <c r="R37" s="1" t="n">
        <f aca="false">F37+$K38</f>
        <v>0.0473100035</v>
      </c>
      <c r="S37" s="1" t="n">
        <f aca="false">G37+$K38</f>
        <v>236.8000000035</v>
      </c>
      <c r="T37" s="1" t="n">
        <f aca="false">H37+$K38</f>
        <v>0.0506300035</v>
      </c>
      <c r="U37" s="1" t="n">
        <f aca="false">I37+$K38</f>
        <v>238.4000000035</v>
      </c>
    </row>
    <row r="38" customFormat="false" ht="13.8" hidden="false" customHeight="false" outlineLevel="0" collapsed="false">
      <c r="A38" s="6" t="n">
        <v>66</v>
      </c>
      <c r="B38" s="1" t="n">
        <f aca="false">0.542*10^-1</f>
        <v>0.0542</v>
      </c>
      <c r="C38" s="1" t="n">
        <v>231.7</v>
      </c>
      <c r="D38" s="1" t="n">
        <f aca="false">0.5703*10^-1</f>
        <v>0.05703</v>
      </c>
      <c r="E38" s="1" t="n">
        <v>234.8</v>
      </c>
      <c r="F38" s="1" t="n">
        <f aca="false">0.5736*10^-1</f>
        <v>0.05736</v>
      </c>
      <c r="G38" s="1" t="n">
        <v>235.1</v>
      </c>
      <c r="H38" s="1" t="n">
        <f aca="false">0.6128*10^-1</f>
        <v>0.06128</v>
      </c>
      <c r="I38" s="1" t="n">
        <v>237.5</v>
      </c>
      <c r="K38" s="7" t="n">
        <v>3.5E-009</v>
      </c>
      <c r="M38" s="1" t="n">
        <f aca="false">A38</f>
        <v>66</v>
      </c>
      <c r="N38" s="1" t="n">
        <f aca="false">B38+$K39</f>
        <v>0.0542000036</v>
      </c>
      <c r="O38" s="1" t="n">
        <f aca="false">C38+$K39</f>
        <v>231.7000000036</v>
      </c>
      <c r="P38" s="1" t="n">
        <f aca="false">D38+$K39</f>
        <v>0.0570300036</v>
      </c>
      <c r="Q38" s="1" t="n">
        <f aca="false">E38+$K39</f>
        <v>234.8000000036</v>
      </c>
      <c r="R38" s="1" t="n">
        <f aca="false">F38+$K39</f>
        <v>0.0573600036</v>
      </c>
      <c r="S38" s="1" t="n">
        <f aca="false">G38+$K39</f>
        <v>235.1000000036</v>
      </c>
      <c r="T38" s="1" t="n">
        <f aca="false">H38+$K39</f>
        <v>0.0612800036</v>
      </c>
      <c r="U38" s="1" t="n">
        <f aca="false">I38+$K39</f>
        <v>237.5000000036</v>
      </c>
    </row>
    <row r="39" customFormat="false" ht="13.8" hidden="false" customHeight="false" outlineLevel="0" collapsed="false">
      <c r="A39" s="6" t="n">
        <v>65</v>
      </c>
      <c r="B39" s="1" t="n">
        <f aca="false">0.6602*10^-1</f>
        <v>0.06602</v>
      </c>
      <c r="C39" s="1" t="n">
        <v>229.2</v>
      </c>
      <c r="D39" s="1" t="n">
        <f aca="false">0.6927*10^-1</f>
        <v>0.06927</v>
      </c>
      <c r="E39" s="1" t="n">
        <v>233</v>
      </c>
      <c r="F39" s="1" t="n">
        <f aca="false">0.6964*10^-1</f>
        <v>0.06964</v>
      </c>
      <c r="G39" s="1" t="n">
        <v>233.6</v>
      </c>
      <c r="H39" s="1" t="n">
        <f aca="false">0.7423*10^-1</f>
        <v>0.07423</v>
      </c>
      <c r="I39" s="1" t="n">
        <v>236.6</v>
      </c>
      <c r="K39" s="7" t="n">
        <v>3.6E-009</v>
      </c>
      <c r="M39" s="1" t="n">
        <f aca="false">A39</f>
        <v>65</v>
      </c>
      <c r="N39" s="1" t="n">
        <f aca="false">B39+$K40</f>
        <v>0.0660200037</v>
      </c>
      <c r="O39" s="1" t="n">
        <f aca="false">C39+$K40</f>
        <v>229.2000000037</v>
      </c>
      <c r="P39" s="1" t="n">
        <f aca="false">D39+$K40</f>
        <v>0.0692700037</v>
      </c>
      <c r="Q39" s="1" t="n">
        <f aca="false">E39+$K40</f>
        <v>233.0000000037</v>
      </c>
      <c r="R39" s="1" t="n">
        <f aca="false">F39+$K40</f>
        <v>0.0696400037</v>
      </c>
      <c r="S39" s="1" t="n">
        <f aca="false">G39+$K40</f>
        <v>233.6000000037</v>
      </c>
      <c r="T39" s="1" t="n">
        <f aca="false">H39+$K40</f>
        <v>0.0742300037</v>
      </c>
      <c r="U39" s="1" t="n">
        <f aca="false">I39+$K40</f>
        <v>236.6000000037</v>
      </c>
    </row>
    <row r="40" customFormat="false" ht="13.8" hidden="false" customHeight="false" outlineLevel="0" collapsed="false">
      <c r="A40" s="6" t="n">
        <v>64</v>
      </c>
      <c r="B40" s="1" t="n">
        <f aca="false">0.806*10^-1</f>
        <v>0.0806</v>
      </c>
      <c r="C40" s="1" t="n">
        <v>226.8</v>
      </c>
      <c r="D40" s="1" t="n">
        <f aca="false">0.8425*10^-1</f>
        <v>0.08425</v>
      </c>
      <c r="E40" s="1" t="n">
        <v>231.6</v>
      </c>
      <c r="F40" s="1" t="n">
        <f aca="false">0.8464*10^-1</f>
        <v>0.08464</v>
      </c>
      <c r="G40" s="1" t="n">
        <v>232.5</v>
      </c>
      <c r="H40" s="1" t="n">
        <f aca="false">0.8998*10^-1</f>
        <v>0.08998</v>
      </c>
      <c r="I40" s="1" t="n">
        <v>236.1</v>
      </c>
      <c r="K40" s="1" t="n">
        <v>3.7E-009</v>
      </c>
      <c r="M40" s="1" t="n">
        <f aca="false">A40</f>
        <v>64</v>
      </c>
      <c r="N40" s="1" t="n">
        <f aca="false">B40+$K41</f>
        <v>0.0806000038</v>
      </c>
      <c r="O40" s="1" t="n">
        <f aca="false">C40+$K41</f>
        <v>226.8000000038</v>
      </c>
      <c r="P40" s="1" t="n">
        <f aca="false">D40+$K41</f>
        <v>0.0842500038</v>
      </c>
      <c r="Q40" s="1" t="n">
        <f aca="false">E40+$K41</f>
        <v>231.6000000038</v>
      </c>
      <c r="R40" s="1" t="n">
        <f aca="false">F40+$K41</f>
        <v>0.0846400038</v>
      </c>
      <c r="S40" s="1" t="n">
        <f aca="false">G40+$K41</f>
        <v>232.5000000038</v>
      </c>
      <c r="T40" s="1" t="n">
        <f aca="false">H40+$K41</f>
        <v>0.0899800038</v>
      </c>
      <c r="U40" s="1" t="n">
        <f aca="false">I40+$K41</f>
        <v>236.1000000038</v>
      </c>
    </row>
    <row r="41" customFormat="false" ht="13.8" hidden="false" customHeight="false" outlineLevel="0" collapsed="false">
      <c r="A41" s="6" t="n">
        <v>63</v>
      </c>
      <c r="B41" s="1" t="n">
        <f aca="false">0.9859*10^-1</f>
        <v>0.09859</v>
      </c>
      <c r="C41" s="1" t="n">
        <v>225.1</v>
      </c>
      <c r="D41" s="1" t="n">
        <f aca="false">0.1026</f>
        <v>0.1026</v>
      </c>
      <c r="E41" s="1" t="n">
        <v>230.9</v>
      </c>
      <c r="F41" s="1" t="n">
        <f aca="false">0.103</f>
        <v>0.103</v>
      </c>
      <c r="G41" s="1" t="n">
        <v>231.8</v>
      </c>
      <c r="H41" s="1" t="n">
        <f aca="false">0.1091</f>
        <v>0.1091</v>
      </c>
      <c r="I41" s="1" t="n">
        <v>235.9</v>
      </c>
      <c r="K41" s="7" t="n">
        <v>3.8E-009</v>
      </c>
      <c r="M41" s="1" t="n">
        <f aca="false">A41</f>
        <v>63</v>
      </c>
      <c r="N41" s="1" t="n">
        <f aca="false">B41+$K42</f>
        <v>0.0985900039</v>
      </c>
      <c r="O41" s="1" t="n">
        <f aca="false">C41+$K42</f>
        <v>225.1000000039</v>
      </c>
      <c r="P41" s="1" t="n">
        <f aca="false">D41+$K42</f>
        <v>0.1026000039</v>
      </c>
      <c r="Q41" s="1" t="n">
        <f aca="false">E41+$K42</f>
        <v>230.9000000039</v>
      </c>
      <c r="R41" s="1" t="n">
        <f aca="false">F41+$K42</f>
        <v>0.1030000039</v>
      </c>
      <c r="S41" s="1" t="n">
        <f aca="false">G41+$K42</f>
        <v>231.8000000039</v>
      </c>
      <c r="T41" s="1" t="n">
        <f aca="false">H41+$K42</f>
        <v>0.1091000039</v>
      </c>
      <c r="U41" s="1" t="n">
        <f aca="false">I41+$K42</f>
        <v>235.9000000039</v>
      </c>
    </row>
    <row r="42" customFormat="false" ht="13.8" hidden="false" customHeight="false" outlineLevel="0" collapsed="false">
      <c r="A42" s="6" t="n">
        <v>62</v>
      </c>
      <c r="B42" s="1" t="n">
        <f aca="false">0.1207</f>
        <v>0.1207</v>
      </c>
      <c r="C42" s="1" t="n">
        <v>224.6</v>
      </c>
      <c r="D42" s="1" t="n">
        <f aca="false">0.1249</f>
        <v>0.1249</v>
      </c>
      <c r="E42" s="1" t="n">
        <v>230.9</v>
      </c>
      <c r="F42" s="1" t="n">
        <f aca="false">0.1253</f>
        <v>0.1253</v>
      </c>
      <c r="G42" s="1" t="n">
        <v>231.5</v>
      </c>
      <c r="H42" s="1" t="n">
        <f aca="false">0.1323</f>
        <v>0.1323</v>
      </c>
      <c r="I42" s="1" t="n">
        <v>236.2</v>
      </c>
      <c r="K42" s="7" t="n">
        <v>3.9E-009</v>
      </c>
      <c r="M42" s="1" t="n">
        <f aca="false">A42</f>
        <v>62</v>
      </c>
      <c r="N42" s="1" t="n">
        <f aca="false">B42+$K43</f>
        <v>0.120700004</v>
      </c>
      <c r="O42" s="1" t="n">
        <f aca="false">C42+$K43</f>
        <v>224.600000004</v>
      </c>
      <c r="P42" s="1" t="n">
        <f aca="false">D42+$K43</f>
        <v>0.124900004</v>
      </c>
      <c r="Q42" s="1" t="n">
        <f aca="false">E42+$K43</f>
        <v>230.900000004</v>
      </c>
      <c r="R42" s="1" t="n">
        <f aca="false">F42+$K43</f>
        <v>0.125300004</v>
      </c>
      <c r="S42" s="1" t="n">
        <f aca="false">G42+$K43</f>
        <v>231.500000004</v>
      </c>
      <c r="T42" s="1" t="n">
        <f aca="false">H42+$K43</f>
        <v>0.132300004</v>
      </c>
      <c r="U42" s="1" t="n">
        <f aca="false">I42+$K43</f>
        <v>236.200000004</v>
      </c>
    </row>
    <row r="43" customFormat="false" ht="13.8" hidden="false" customHeight="false" outlineLevel="0" collapsed="false">
      <c r="A43" s="6" t="n">
        <v>61</v>
      </c>
      <c r="B43" s="1" t="n">
        <f aca="false">0.1478</f>
        <v>0.1478</v>
      </c>
      <c r="C43" s="1" t="n">
        <v>224.6</v>
      </c>
      <c r="D43" s="1" t="n">
        <f aca="false">0.1521</f>
        <v>0.1521</v>
      </c>
      <c r="E43" s="1" t="n">
        <v>231.2</v>
      </c>
      <c r="F43" s="1" t="n">
        <f aca="false">0.1525</f>
        <v>0.1525</v>
      </c>
      <c r="G43" s="1" t="n">
        <v>231.4</v>
      </c>
      <c r="H43" s="1" t="n">
        <f aca="false">0.1603</f>
        <v>0.1603</v>
      </c>
      <c r="I43" s="1" t="n">
        <v>237.1</v>
      </c>
      <c r="K43" s="1" t="n">
        <v>4E-009</v>
      </c>
      <c r="M43" s="1" t="n">
        <f aca="false">A43</f>
        <v>61</v>
      </c>
      <c r="N43" s="1" t="n">
        <f aca="false">B43+$K44</f>
        <v>0.1478000041</v>
      </c>
      <c r="O43" s="1" t="n">
        <f aca="false">C43+$K44</f>
        <v>224.6000000041</v>
      </c>
      <c r="P43" s="1" t="n">
        <f aca="false">D43+$K44</f>
        <v>0.1521000041</v>
      </c>
      <c r="Q43" s="1" t="n">
        <f aca="false">E43+$K44</f>
        <v>231.2000000041</v>
      </c>
      <c r="R43" s="1" t="n">
        <f aca="false">F43+$K44</f>
        <v>0.1525000041</v>
      </c>
      <c r="S43" s="1" t="n">
        <f aca="false">G43+$K44</f>
        <v>231.4000000041</v>
      </c>
      <c r="T43" s="1" t="n">
        <f aca="false">H43+$K44</f>
        <v>0.1603000041</v>
      </c>
      <c r="U43" s="1" t="n">
        <f aca="false">I43+$K44</f>
        <v>237.1000000041</v>
      </c>
    </row>
    <row r="44" customFormat="false" ht="13.8" hidden="false" customHeight="false" outlineLevel="0" collapsed="false">
      <c r="A44" s="6" t="n">
        <v>60</v>
      </c>
      <c r="B44" s="1" t="n">
        <f aca="false">0.1808</f>
        <v>0.1808</v>
      </c>
      <c r="C44" s="1" t="n">
        <v>226.5</v>
      </c>
      <c r="D44" s="1" t="n">
        <f aca="false">0.185</f>
        <v>0.185</v>
      </c>
      <c r="E44" s="1" t="n">
        <v>232.4</v>
      </c>
      <c r="F44" s="1" t="n">
        <f aca="false">0.1856</f>
        <v>0.1856</v>
      </c>
      <c r="G44" s="1" t="n">
        <v>232.4</v>
      </c>
      <c r="H44" s="1" t="n">
        <f aca="false">0.1941</f>
        <v>0.1941</v>
      </c>
      <c r="I44" s="1" t="n">
        <v>238.8</v>
      </c>
      <c r="K44" s="7" t="n">
        <v>4.1E-009</v>
      </c>
      <c r="M44" s="1" t="n">
        <f aca="false">A44</f>
        <v>60</v>
      </c>
      <c r="N44" s="1" t="n">
        <f aca="false">B44+$K45</f>
        <v>0.1808000042</v>
      </c>
      <c r="O44" s="1" t="n">
        <f aca="false">C44+$K45</f>
        <v>226.5000000042</v>
      </c>
      <c r="P44" s="1" t="n">
        <f aca="false">D44+$K45</f>
        <v>0.1850000042</v>
      </c>
      <c r="Q44" s="1" t="n">
        <f aca="false">E44+$K45</f>
        <v>232.4000000042</v>
      </c>
      <c r="R44" s="1" t="n">
        <f aca="false">F44+$K45</f>
        <v>0.1856000042</v>
      </c>
      <c r="S44" s="1" t="n">
        <f aca="false">G44+$K45</f>
        <v>232.4000000042</v>
      </c>
      <c r="T44" s="1" t="n">
        <f aca="false">H44+$K45</f>
        <v>0.1941000042</v>
      </c>
      <c r="U44" s="1" t="n">
        <f aca="false">I44+$K45</f>
        <v>238.8000000042</v>
      </c>
    </row>
    <row r="45" customFormat="false" ht="13.8" hidden="false" customHeight="false" outlineLevel="0" collapsed="false">
      <c r="A45" s="6" t="n">
        <v>59</v>
      </c>
      <c r="B45" s="1" t="n">
        <f aca="false">0.2208</f>
        <v>0.2208</v>
      </c>
      <c r="C45" s="1" t="n">
        <v>229</v>
      </c>
      <c r="D45" s="1" t="n">
        <f aca="false">0.2248</f>
        <v>0.2248</v>
      </c>
      <c r="E45" s="1" t="n">
        <v>234.4</v>
      </c>
      <c r="F45" s="1" t="n">
        <f aca="false">0.2255</f>
        <v>0.2255</v>
      </c>
      <c r="G45" s="1" t="n">
        <v>234.4</v>
      </c>
      <c r="H45" s="1" t="n">
        <f aca="false">0.2345</f>
        <v>0.2345</v>
      </c>
      <c r="I45" s="1" t="n">
        <v>241.4</v>
      </c>
      <c r="K45" s="7" t="n">
        <v>4.2E-009</v>
      </c>
      <c r="M45" s="1" t="n">
        <f aca="false">A45</f>
        <v>59</v>
      </c>
      <c r="N45" s="1" t="n">
        <f aca="false">B45+$K46</f>
        <v>0.2208000043</v>
      </c>
      <c r="O45" s="1" t="n">
        <f aca="false">C45+$K46</f>
        <v>229.0000000043</v>
      </c>
      <c r="P45" s="1" t="n">
        <f aca="false">D45+$K46</f>
        <v>0.2248000043</v>
      </c>
      <c r="Q45" s="1" t="n">
        <f aca="false">E45+$K46</f>
        <v>234.4000000043</v>
      </c>
      <c r="R45" s="1" t="n">
        <f aca="false">F45+$K46</f>
        <v>0.2255000043</v>
      </c>
      <c r="S45" s="1" t="n">
        <f aca="false">G45+$K46</f>
        <v>234.4000000043</v>
      </c>
      <c r="T45" s="1" t="n">
        <f aca="false">H45+$K46</f>
        <v>0.2345000043</v>
      </c>
      <c r="U45" s="1" t="n">
        <f aca="false">I45+$K46</f>
        <v>241.4000000043</v>
      </c>
    </row>
    <row r="46" customFormat="false" ht="13.8" hidden="false" customHeight="false" outlineLevel="0" collapsed="false">
      <c r="A46" s="6" t="n">
        <v>58</v>
      </c>
      <c r="B46" s="1" t="n">
        <f aca="false">0.269</f>
        <v>0.269</v>
      </c>
      <c r="C46" s="1" t="n">
        <v>231.2</v>
      </c>
      <c r="D46" s="1" t="n">
        <f aca="false">0.2727</f>
        <v>0.2727</v>
      </c>
      <c r="E46" s="1" t="n">
        <v>236.6</v>
      </c>
      <c r="F46" s="1" t="n">
        <f aca="false">0.2735</f>
        <v>0.2735</v>
      </c>
      <c r="G46" s="1" t="n">
        <v>236.6</v>
      </c>
      <c r="H46" s="1" t="n">
        <f aca="false">0.2827</f>
        <v>0.2827</v>
      </c>
      <c r="I46" s="1" t="n">
        <v>244.8</v>
      </c>
      <c r="K46" s="1" t="n">
        <v>4.3E-009</v>
      </c>
      <c r="M46" s="1" t="n">
        <f aca="false">A46</f>
        <v>58</v>
      </c>
      <c r="N46" s="1" t="n">
        <f aca="false">B46+$K47</f>
        <v>0.2690000044</v>
      </c>
      <c r="O46" s="1" t="n">
        <f aca="false">C46+$K47</f>
        <v>231.2000000044</v>
      </c>
      <c r="P46" s="1" t="n">
        <f aca="false">D46+$K47</f>
        <v>0.2727000044</v>
      </c>
      <c r="Q46" s="1" t="n">
        <f aca="false">E46+$K47</f>
        <v>236.6000000044</v>
      </c>
      <c r="R46" s="1" t="n">
        <f aca="false">F46+$K47</f>
        <v>0.2735000044</v>
      </c>
      <c r="S46" s="1" t="n">
        <f aca="false">G46+$K47</f>
        <v>236.6000000044</v>
      </c>
      <c r="T46" s="1" t="n">
        <f aca="false">H46+$K47</f>
        <v>0.2827000044</v>
      </c>
      <c r="U46" s="1" t="n">
        <f aca="false">I46+$K47</f>
        <v>244.8000000044</v>
      </c>
    </row>
    <row r="47" customFormat="false" ht="13.8" hidden="false" customHeight="false" outlineLevel="0" collapsed="false">
      <c r="A47" s="6" t="n">
        <v>57</v>
      </c>
      <c r="B47" s="1" t="n">
        <f aca="false">0.3273</f>
        <v>0.3273</v>
      </c>
      <c r="C47" s="1" t="n">
        <v>233.2</v>
      </c>
      <c r="D47" s="1" t="n">
        <f aca="false">0.3303</f>
        <v>0.3303</v>
      </c>
      <c r="E47" s="1" t="n">
        <v>238.8</v>
      </c>
      <c r="F47" s="1" t="n">
        <f aca="false">0.3311</f>
        <v>0.3311</v>
      </c>
      <c r="G47" s="1" t="n">
        <v>240.3</v>
      </c>
      <c r="H47" s="1" t="n">
        <f aca="false">0.3399</f>
        <v>0.3399</v>
      </c>
      <c r="I47" s="1" t="n">
        <v>249.8</v>
      </c>
      <c r="K47" s="7" t="n">
        <v>4.4E-009</v>
      </c>
      <c r="M47" s="1" t="n">
        <f aca="false">A47</f>
        <v>57</v>
      </c>
      <c r="N47" s="1" t="n">
        <f aca="false">B47+$K48</f>
        <v>0.3273000045</v>
      </c>
      <c r="O47" s="1" t="n">
        <f aca="false">C47+$K48</f>
        <v>233.2000000045</v>
      </c>
      <c r="P47" s="1" t="n">
        <f aca="false">D47+$K48</f>
        <v>0.3303000045</v>
      </c>
      <c r="Q47" s="1" t="n">
        <f aca="false">E47+$K48</f>
        <v>238.8000000045</v>
      </c>
      <c r="R47" s="1" t="n">
        <f aca="false">F47+$K48</f>
        <v>0.3311000045</v>
      </c>
      <c r="S47" s="1" t="n">
        <f aca="false">G47+$K48</f>
        <v>240.3000000045</v>
      </c>
      <c r="T47" s="1" t="n">
        <f aca="false">H47+$K48</f>
        <v>0.3399000045</v>
      </c>
      <c r="U47" s="1" t="n">
        <f aca="false">I47+$K48</f>
        <v>249.8000000045</v>
      </c>
    </row>
    <row r="48" customFormat="false" ht="13.8" hidden="false" customHeight="false" outlineLevel="0" collapsed="false">
      <c r="A48" s="6" t="n">
        <v>56</v>
      </c>
      <c r="B48" s="1" t="n">
        <f aca="false">0.3952</f>
        <v>0.3952</v>
      </c>
      <c r="C48" s="1" t="n">
        <v>248.1</v>
      </c>
      <c r="D48" s="1" t="n">
        <f aca="false">0.3972</f>
        <v>0.3972</v>
      </c>
      <c r="E48" s="1" t="n">
        <v>253.1</v>
      </c>
      <c r="F48" s="1" t="n">
        <f aca="false">0.3976</f>
        <v>0.3976</v>
      </c>
      <c r="G48" s="1" t="n">
        <v>254.4</v>
      </c>
      <c r="H48" s="1" t="n">
        <f aca="false">0.4055</f>
        <v>0.4055</v>
      </c>
      <c r="I48" s="1" t="n">
        <v>263.2</v>
      </c>
      <c r="K48" s="7" t="n">
        <v>4.5E-009</v>
      </c>
      <c r="M48" s="1" t="n">
        <f aca="false">A48</f>
        <v>56</v>
      </c>
      <c r="N48" s="1" t="n">
        <f aca="false">B48+$K49</f>
        <v>0.3952000046</v>
      </c>
      <c r="O48" s="1" t="n">
        <f aca="false">C48+$K49</f>
        <v>248.1000000046</v>
      </c>
      <c r="P48" s="1" t="n">
        <f aca="false">D48+$K49</f>
        <v>0.3972000046</v>
      </c>
      <c r="Q48" s="1" t="n">
        <f aca="false">E48+$K49</f>
        <v>253.1000000046</v>
      </c>
      <c r="R48" s="1" t="n">
        <f aca="false">F48+$K49</f>
        <v>0.3976000046</v>
      </c>
      <c r="S48" s="1" t="n">
        <f aca="false">G48+$K49</f>
        <v>254.4000000046</v>
      </c>
      <c r="T48" s="1" t="n">
        <f aca="false">H48+$K49</f>
        <v>0.4055000046</v>
      </c>
      <c r="U48" s="1" t="n">
        <f aca="false">I48+$K49</f>
        <v>263.2000000046</v>
      </c>
    </row>
    <row r="49" customFormat="false" ht="13.8" hidden="false" customHeight="false" outlineLevel="0" collapsed="false">
      <c r="A49" s="6" t="n">
        <v>55</v>
      </c>
      <c r="B49" s="1" t="n">
        <f aca="false">0.4715</f>
        <v>0.4715</v>
      </c>
      <c r="C49" s="1" t="n">
        <v>264</v>
      </c>
      <c r="D49" s="1" t="n">
        <f aca="false">0.4725</f>
        <v>0.4725</v>
      </c>
      <c r="E49" s="1" t="n">
        <v>267.9</v>
      </c>
      <c r="F49" s="1" t="n">
        <f aca="false">0.4727</f>
        <v>0.4727</v>
      </c>
      <c r="G49" s="1" t="n">
        <v>268.9</v>
      </c>
      <c r="H49" s="1" t="n">
        <f aca="false">0.4797</f>
        <v>0.4797</v>
      </c>
      <c r="I49" s="1" t="n">
        <v>276.3</v>
      </c>
      <c r="K49" s="1" t="n">
        <v>4.6E-009</v>
      </c>
      <c r="M49" s="1" t="n">
        <f aca="false">A49</f>
        <v>55</v>
      </c>
      <c r="N49" s="1" t="n">
        <f aca="false">B49+$K50</f>
        <v>0.4715000047</v>
      </c>
      <c r="O49" s="1" t="n">
        <f aca="false">C49+$K50</f>
        <v>264.0000000047</v>
      </c>
      <c r="P49" s="1" t="n">
        <f aca="false">D49+$K50</f>
        <v>0.4725000047</v>
      </c>
      <c r="Q49" s="1" t="n">
        <f aca="false">E49+$K50</f>
        <v>267.9000000047</v>
      </c>
      <c r="R49" s="1" t="n">
        <f aca="false">F49+$K50</f>
        <v>0.4727000047</v>
      </c>
      <c r="S49" s="1" t="n">
        <f aca="false">G49+$K50</f>
        <v>268.9000000047</v>
      </c>
      <c r="T49" s="1" t="n">
        <f aca="false">H49+$K50</f>
        <v>0.4797000047</v>
      </c>
      <c r="U49" s="1" t="n">
        <f aca="false">I49+$K50</f>
        <v>276.3000000047</v>
      </c>
    </row>
    <row r="50" customFormat="false" ht="13.8" hidden="false" customHeight="false" outlineLevel="0" collapsed="false">
      <c r="A50" s="6" t="n">
        <v>54</v>
      </c>
      <c r="B50" s="1" t="n">
        <f aca="false">0.557</f>
        <v>0.557</v>
      </c>
      <c r="C50" s="1" t="n">
        <v>279.1</v>
      </c>
      <c r="D50" s="1" t="n">
        <f aca="false">0.5571</f>
        <v>0.5571</v>
      </c>
      <c r="E50" s="1" t="n">
        <v>281.9</v>
      </c>
      <c r="F50" s="1" t="n">
        <f aca="false">0.557</f>
        <v>0.557</v>
      </c>
      <c r="G50" s="1" t="n">
        <v>282.7</v>
      </c>
      <c r="H50" s="1" t="n">
        <f aca="false">0.5631</f>
        <v>0.5631</v>
      </c>
      <c r="I50" s="1" t="n">
        <v>288.8</v>
      </c>
      <c r="K50" s="7" t="n">
        <v>4.7E-009</v>
      </c>
      <c r="M50" s="1" t="n">
        <f aca="false">A50</f>
        <v>54</v>
      </c>
      <c r="N50" s="1" t="n">
        <f aca="false">B50+$K51</f>
        <v>0.5570000048</v>
      </c>
      <c r="O50" s="1" t="n">
        <f aca="false">C50+$K51</f>
        <v>279.1000000048</v>
      </c>
      <c r="P50" s="1" t="n">
        <f aca="false">D50+$K51</f>
        <v>0.5571000048</v>
      </c>
      <c r="Q50" s="1" t="n">
        <f aca="false">E50+$K51</f>
        <v>281.9000000048</v>
      </c>
      <c r="R50" s="1" t="n">
        <f aca="false">F50+$K51</f>
        <v>0.5570000048</v>
      </c>
      <c r="S50" s="1" t="n">
        <f aca="false">G50+$K51</f>
        <v>282.7000000048</v>
      </c>
      <c r="T50" s="1" t="n">
        <f aca="false">H50+$K51</f>
        <v>0.5631000048</v>
      </c>
      <c r="U50" s="1" t="n">
        <f aca="false">I50+$K51</f>
        <v>288.8000000048</v>
      </c>
    </row>
    <row r="51" customFormat="false" ht="13.8" hidden="false" customHeight="false" outlineLevel="0" collapsed="false">
      <c r="A51" s="6" t="n">
        <v>53</v>
      </c>
      <c r="B51" s="1" t="n">
        <f aca="false">0.6525</f>
        <v>0.6525</v>
      </c>
      <c r="C51" s="1" t="n">
        <v>293.4</v>
      </c>
      <c r="D51" s="1" t="n">
        <f aca="false">0.6517</f>
        <v>0.6517</v>
      </c>
      <c r="E51" s="1" t="n">
        <v>295.3</v>
      </c>
      <c r="F51" s="1" t="n">
        <f aca="false">0.6514</f>
        <v>0.6514</v>
      </c>
      <c r="G51" s="1" t="n">
        <v>295.8</v>
      </c>
      <c r="H51" s="1" t="n">
        <f aca="false">0.6567</f>
        <v>0.6567</v>
      </c>
      <c r="I51" s="1" t="n">
        <v>300.7</v>
      </c>
      <c r="K51" s="7" t="n">
        <v>4.8E-009</v>
      </c>
      <c r="M51" s="1" t="n">
        <f aca="false">A51</f>
        <v>53</v>
      </c>
      <c r="N51" s="1" t="n">
        <f aca="false">B51+$K52</f>
        <v>0.6525000049</v>
      </c>
      <c r="O51" s="1" t="n">
        <f aca="false">C51+$K52</f>
        <v>293.4000000049</v>
      </c>
      <c r="P51" s="1" t="n">
        <f aca="false">D51+$K52</f>
        <v>0.6517000049</v>
      </c>
      <c r="Q51" s="1" t="n">
        <f aca="false">E51+$K52</f>
        <v>295.3000000049</v>
      </c>
      <c r="R51" s="1" t="n">
        <f aca="false">F51+$K52</f>
        <v>0.6514000049</v>
      </c>
      <c r="S51" s="1" t="n">
        <f aca="false">G51+$K52</f>
        <v>295.8000000049</v>
      </c>
      <c r="T51" s="1" t="n">
        <f aca="false">H51+$K52</f>
        <v>0.6567000049</v>
      </c>
      <c r="U51" s="1" t="n">
        <f aca="false">I51+$K52</f>
        <v>300.7000000049</v>
      </c>
    </row>
    <row r="52" customFormat="false" ht="13.8" hidden="false" customHeight="false" outlineLevel="0" collapsed="false">
      <c r="A52" s="6" t="n">
        <v>52</v>
      </c>
      <c r="B52" s="1" t="n">
        <f aca="false">0.7588</f>
        <v>0.7588</v>
      </c>
      <c r="C52" s="1" t="n">
        <v>307</v>
      </c>
      <c r="D52" s="1" t="n">
        <f aca="false">0.7574</f>
        <v>0.7574</v>
      </c>
      <c r="E52" s="1" t="n">
        <v>308.1</v>
      </c>
      <c r="F52" s="1" t="n">
        <f aca="false">0.757</f>
        <v>0.757</v>
      </c>
      <c r="G52" s="1" t="n">
        <v>308.4</v>
      </c>
      <c r="H52" s="1" t="n">
        <f aca="false">0.7615</f>
        <v>0.7615</v>
      </c>
      <c r="I52" s="1" t="n">
        <v>312.3</v>
      </c>
      <c r="K52" s="1" t="n">
        <v>4.9E-009</v>
      </c>
      <c r="M52" s="1" t="n">
        <f aca="false">A52</f>
        <v>52</v>
      </c>
      <c r="N52" s="1" t="n">
        <f aca="false">B52+$K53</f>
        <v>0.758800005</v>
      </c>
      <c r="O52" s="1" t="n">
        <f aca="false">C52+$K53</f>
        <v>307.000000005</v>
      </c>
      <c r="P52" s="1" t="n">
        <f aca="false">D52+$K53</f>
        <v>0.757400005</v>
      </c>
      <c r="Q52" s="1" t="n">
        <f aca="false">E52+$K53</f>
        <v>308.100000005</v>
      </c>
      <c r="R52" s="1" t="n">
        <f aca="false">F52+$K53</f>
        <v>0.757000005</v>
      </c>
      <c r="S52" s="1" t="n">
        <f aca="false">G52+$K53</f>
        <v>308.400000005</v>
      </c>
      <c r="T52" s="1" t="n">
        <f aca="false">H52+$K53</f>
        <v>0.761500005</v>
      </c>
      <c r="U52" s="1" t="n">
        <f aca="false">I52+$K53</f>
        <v>312.300000005</v>
      </c>
    </row>
    <row r="53" customFormat="false" ht="13.8" hidden="false" customHeight="false" outlineLevel="0" collapsed="false">
      <c r="A53" s="6" t="n">
        <v>51</v>
      </c>
      <c r="B53" s="1" t="n">
        <f aca="false">0.8768</f>
        <v>0.8768</v>
      </c>
      <c r="C53" s="1" t="n">
        <v>320.1</v>
      </c>
      <c r="D53" s="1" t="n">
        <f aca="false">0.875</f>
        <v>0.875</v>
      </c>
      <c r="E53" s="1" t="n">
        <v>320.4</v>
      </c>
      <c r="F53" s="1" t="n">
        <f aca="false">0.8744</f>
        <v>0.8744</v>
      </c>
      <c r="G53" s="1" t="n">
        <v>320.4</v>
      </c>
      <c r="H53" s="1" t="n">
        <f aca="false">0.8783</f>
        <v>0.8783</v>
      </c>
      <c r="I53" s="1" t="n">
        <v>323.4</v>
      </c>
      <c r="K53" s="7" t="n">
        <v>5E-009</v>
      </c>
      <c r="M53" s="1" t="n">
        <f aca="false">A53</f>
        <v>51</v>
      </c>
      <c r="N53" s="1" t="n">
        <f aca="false">B53+$K54</f>
        <v>0.8768000051</v>
      </c>
      <c r="O53" s="1" t="n">
        <f aca="false">C53+$K54</f>
        <v>320.1000000051</v>
      </c>
      <c r="P53" s="1" t="n">
        <f aca="false">D53+$K54</f>
        <v>0.8750000051</v>
      </c>
      <c r="Q53" s="1" t="n">
        <f aca="false">E53+$K54</f>
        <v>320.4000000051</v>
      </c>
      <c r="R53" s="1" t="n">
        <f aca="false">F53+$K54</f>
        <v>0.8744000051</v>
      </c>
      <c r="S53" s="1" t="n">
        <f aca="false">G53+$K54</f>
        <v>320.4000000051</v>
      </c>
      <c r="T53" s="1" t="n">
        <f aca="false">H53+$K54</f>
        <v>0.8783000051</v>
      </c>
      <c r="U53" s="1" t="n">
        <f aca="false">I53+$K54</f>
        <v>323.4000000051</v>
      </c>
    </row>
    <row r="54" customFormat="false" ht="13.8" hidden="false" customHeight="false" outlineLevel="0" collapsed="false">
      <c r="A54" s="6" t="n">
        <v>50</v>
      </c>
      <c r="B54" s="1" t="n">
        <f aca="false">1.007</f>
        <v>1.007</v>
      </c>
      <c r="C54" s="1" t="n">
        <v>332.6</v>
      </c>
      <c r="D54" s="1" t="n">
        <f aca="false">1.006</f>
        <v>1.006</v>
      </c>
      <c r="E54" s="1" t="n">
        <v>332.2</v>
      </c>
      <c r="F54" s="1" t="n">
        <f aca="false">1.005</f>
        <v>1.005</v>
      </c>
      <c r="G54" s="1" t="n">
        <v>332.1</v>
      </c>
      <c r="H54" s="1" t="n">
        <f aca="false">1.008</f>
        <v>1.008</v>
      </c>
      <c r="I54" s="1" t="n">
        <v>334.2</v>
      </c>
      <c r="K54" s="7" t="n">
        <v>5.1E-009</v>
      </c>
      <c r="M54" s="1" t="n">
        <f aca="false">A54</f>
        <v>50</v>
      </c>
      <c r="N54" s="1" t="n">
        <f aca="false">B54+$K55</f>
        <v>1.007</v>
      </c>
      <c r="O54" s="1" t="n">
        <f aca="false">C54+$K55</f>
        <v>332.6</v>
      </c>
      <c r="P54" s="1" t="n">
        <f aca="false">D54+$K55</f>
        <v>1.006</v>
      </c>
      <c r="Q54" s="1" t="n">
        <f aca="false">E54+$K55</f>
        <v>332.2</v>
      </c>
      <c r="R54" s="1" t="n">
        <f aca="false">F54+$K55</f>
        <v>1.005</v>
      </c>
      <c r="S54" s="1" t="n">
        <f aca="false">G54+$K55</f>
        <v>332.1</v>
      </c>
      <c r="T54" s="1" t="n">
        <f aca="false">H54+$K55</f>
        <v>1.008</v>
      </c>
      <c r="U54" s="1" t="n">
        <f aca="false">I54+$K55</f>
        <v>334.2</v>
      </c>
    </row>
    <row r="55" customFormat="false" ht="13.9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</row>
    <row r="56" customFormat="false" ht="13.9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</row>
    <row r="57" customFormat="false" ht="13.9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</row>
  </sheetData>
  <mergeCells count="2">
    <mergeCell ref="A2:A3"/>
    <mergeCell ref="M2:M3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7" activeCellId="0" sqref="H7"/>
    </sheetView>
  </sheetViews>
  <sheetFormatPr defaultRowHeight="13.8" zeroHeight="false" outlineLevelRow="0" outlineLevelCol="0"/>
  <cols>
    <col collapsed="false" customWidth="true" hidden="false" outlineLevel="0" max="9" min="1" style="1" width="10.61"/>
    <col collapsed="false" customWidth="true" hidden="false" outlineLevel="0" max="257" min="10" style="1" width="10.5"/>
    <col collapsed="false" customWidth="true" hidden="false" outlineLevel="0" max="1025" min="258" style="0" width="10.5"/>
  </cols>
  <sheetData>
    <row r="1" customFormat="false" ht="13.8" hidden="false" customHeight="false" outlineLevel="0" collapsed="false">
      <c r="A1" s="13"/>
      <c r="B1" s="13"/>
      <c r="C1" s="13"/>
      <c r="D1" s="13"/>
      <c r="E1" s="3" t="s">
        <v>22</v>
      </c>
      <c r="F1" s="3"/>
      <c r="G1" s="13"/>
      <c r="H1" s="13"/>
      <c r="I1" s="13"/>
      <c r="L1" s="0"/>
      <c r="M1" s="13"/>
      <c r="N1" s="13"/>
      <c r="O1" s="13"/>
      <c r="P1" s="13"/>
      <c r="Q1" s="3" t="s">
        <v>22</v>
      </c>
      <c r="R1" s="3"/>
      <c r="S1" s="13"/>
      <c r="T1" s="13"/>
      <c r="U1" s="13"/>
    </row>
    <row r="2" customFormat="false" ht="25.5" hidden="false" customHeight="true" outlineLevel="0" collapsed="false">
      <c r="A2" s="14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K2" s="0"/>
      <c r="L2" s="0"/>
      <c r="M2" s="14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customFormat="false" ht="13.8" hidden="false" customHeight="false" outlineLevel="0" collapsed="false">
      <c r="A3" s="14"/>
      <c r="B3" s="3" t="s">
        <v>6</v>
      </c>
      <c r="C3" s="3" t="s">
        <v>7</v>
      </c>
      <c r="D3" s="3" t="s">
        <v>6</v>
      </c>
      <c r="E3" s="3" t="s">
        <v>7</v>
      </c>
      <c r="F3" s="3" t="s">
        <v>6</v>
      </c>
      <c r="G3" s="3" t="s">
        <v>7</v>
      </c>
      <c r="H3" s="3" t="s">
        <v>6</v>
      </c>
      <c r="I3" s="3" t="s">
        <v>7</v>
      </c>
      <c r="K3" s="1" t="s">
        <v>8</v>
      </c>
      <c r="L3" s="0"/>
      <c r="M3" s="14"/>
      <c r="N3" s="3" t="s">
        <v>6</v>
      </c>
      <c r="O3" s="3" t="s">
        <v>7</v>
      </c>
      <c r="P3" s="3" t="s">
        <v>6</v>
      </c>
      <c r="Q3" s="3" t="s">
        <v>7</v>
      </c>
      <c r="R3" s="3" t="s">
        <v>6</v>
      </c>
      <c r="S3" s="3" t="s">
        <v>7</v>
      </c>
      <c r="T3" s="3" t="s">
        <v>6</v>
      </c>
      <c r="U3" s="3" t="s">
        <v>7</v>
      </c>
    </row>
    <row r="4" customFormat="false" ht="13.8" hidden="false" customHeight="false" outlineLevel="0" collapsed="false">
      <c r="A4" s="4" t="n">
        <v>100</v>
      </c>
      <c r="B4" s="11" t="n">
        <f aca="false">0.2682*10^-4</f>
        <v>2.682E-005</v>
      </c>
      <c r="C4" s="11" t="n">
        <f aca="false">168.3</f>
        <v>168.3</v>
      </c>
      <c r="D4" s="11" t="n">
        <f aca="false">0.2654*10^-4</f>
        <v>2.654E-005</v>
      </c>
      <c r="E4" s="11" t="n">
        <f aca="false">166.2</f>
        <v>166.2</v>
      </c>
      <c r="F4" s="11" t="n">
        <f aca="false">0.2699*10^-4</f>
        <v>2.699E-005</v>
      </c>
      <c r="G4" s="11" t="n">
        <f aca="false">167.1</f>
        <v>167.1</v>
      </c>
      <c r="H4" s="11" t="n">
        <f aca="false">0.2523*10^-4</f>
        <v>2.523E-005</v>
      </c>
      <c r="I4" s="11" t="n">
        <f aca="false">165.5</f>
        <v>165.5</v>
      </c>
      <c r="K4" s="1" t="n">
        <v>1E-010</v>
      </c>
      <c r="M4" s="1" t="n">
        <f aca="false">A4</f>
        <v>100</v>
      </c>
      <c r="N4" s="1" t="n">
        <f aca="false">B4+$K4</f>
        <v>2.68201E-005</v>
      </c>
      <c r="O4" s="1" t="n">
        <f aca="false">C4+$K4</f>
        <v>168.3000000001</v>
      </c>
      <c r="P4" s="1" t="n">
        <f aca="false">D4+$K4</f>
        <v>2.65401E-005</v>
      </c>
      <c r="Q4" s="1" t="n">
        <f aca="false">E4+$K4</f>
        <v>166.2000000001</v>
      </c>
      <c r="R4" s="1" t="n">
        <f aca="false">F4+$K4</f>
        <v>2.69901E-005</v>
      </c>
      <c r="S4" s="1" t="n">
        <f aca="false">G4+$K4</f>
        <v>167.1000000001</v>
      </c>
      <c r="T4" s="1" t="n">
        <f aca="false">H4+$K4</f>
        <v>2.52301E-005</v>
      </c>
      <c r="U4" s="1" t="n">
        <f aca="false">I4+$K4</f>
        <v>165.5000000001</v>
      </c>
    </row>
    <row r="5" customFormat="false" ht="13.8" hidden="false" customHeight="false" outlineLevel="0" collapsed="false">
      <c r="A5" s="6" t="n">
        <v>99</v>
      </c>
      <c r="B5" s="11" t="n">
        <f aca="false">0.3503*10^-4</f>
        <v>3.503E-005</v>
      </c>
      <c r="C5" s="11" t="n">
        <f aca="false">168.3</f>
        <v>168.3</v>
      </c>
      <c r="D5" s="11" t="n">
        <f aca="false">0.3477*10^-4</f>
        <v>3.477E-005</v>
      </c>
      <c r="E5" s="11" t="n">
        <f aca="false">166.4</f>
        <v>166.4</v>
      </c>
      <c r="F5" s="11" t="n">
        <f aca="false">0.3531*10^-4</f>
        <v>3.531E-005</v>
      </c>
      <c r="G5" s="11" t="n">
        <f aca="false">167.3</f>
        <v>167.3</v>
      </c>
      <c r="H5" s="11" t="n">
        <f aca="false">0.331*10^-4</f>
        <v>3.31E-005</v>
      </c>
      <c r="I5" s="11" t="n">
        <f aca="false">165.5</f>
        <v>165.5</v>
      </c>
      <c r="K5" s="7" t="n">
        <v>2E-010</v>
      </c>
      <c r="M5" s="1" t="n">
        <f aca="false">A5</f>
        <v>99</v>
      </c>
      <c r="N5" s="1" t="n">
        <f aca="false">B5+$K5</f>
        <v>3.50302E-005</v>
      </c>
      <c r="O5" s="1" t="n">
        <f aca="false">C5+$K5</f>
        <v>168.3000000002</v>
      </c>
      <c r="P5" s="1" t="n">
        <f aca="false">D5+$K5</f>
        <v>3.47702E-005</v>
      </c>
      <c r="Q5" s="1" t="n">
        <f aca="false">E5+$K5</f>
        <v>166.4000000002</v>
      </c>
      <c r="R5" s="1" t="n">
        <f aca="false">F5+$K5</f>
        <v>3.53102E-005</v>
      </c>
      <c r="S5" s="1" t="n">
        <f aca="false">G5+$K5</f>
        <v>167.3000000002</v>
      </c>
      <c r="T5" s="1" t="n">
        <f aca="false">H5+$K5</f>
        <v>3.31002E-005</v>
      </c>
      <c r="U5" s="1" t="n">
        <f aca="false">I5+$K5</f>
        <v>165.5000000002</v>
      </c>
    </row>
    <row r="6" customFormat="false" ht="13.8" hidden="false" customHeight="false" outlineLevel="0" collapsed="false">
      <c r="A6" s="6" t="n">
        <v>98</v>
      </c>
      <c r="B6" s="11" t="n">
        <f aca="false">0.4572*10^-4</f>
        <v>4.572E-005</v>
      </c>
      <c r="C6" s="11" t="n">
        <f aca="false">169.2</f>
        <v>169.2</v>
      </c>
      <c r="D6" s="11" t="n">
        <f aca="false">0.4551*10^-4</f>
        <v>4.551E-005</v>
      </c>
      <c r="E6" s="11" t="n">
        <f aca="false">167.4</f>
        <v>167.4</v>
      </c>
      <c r="F6" s="11" t="n">
        <f aca="false">0.4615*10^-4</f>
        <v>4.615E-005</v>
      </c>
      <c r="G6" s="11" t="n">
        <f aca="false">168.2</f>
        <v>168.2</v>
      </c>
      <c r="H6" s="11" t="n">
        <f aca="false">0.434*10^-4</f>
        <v>4.34E-005</v>
      </c>
      <c r="I6" s="11" t="n">
        <f aca="false">166.1</f>
        <v>166.1</v>
      </c>
      <c r="K6" s="7" t="n">
        <v>3E-010</v>
      </c>
      <c r="M6" s="1" t="n">
        <f aca="false">A6</f>
        <v>98</v>
      </c>
      <c r="N6" s="1" t="n">
        <f aca="false">B6+$K6</f>
        <v>4.57203E-005</v>
      </c>
      <c r="O6" s="1" t="n">
        <f aca="false">C6+$K6</f>
        <v>169.2000000003</v>
      </c>
      <c r="P6" s="1" t="n">
        <f aca="false">D6+$K6</f>
        <v>4.55103E-005</v>
      </c>
      <c r="Q6" s="1" t="n">
        <f aca="false">E6+$K6</f>
        <v>167.4000000003</v>
      </c>
      <c r="R6" s="1" t="n">
        <f aca="false">F6+$K6</f>
        <v>4.61503E-005</v>
      </c>
      <c r="S6" s="1" t="n">
        <f aca="false">G6+$K6</f>
        <v>168.2000000003</v>
      </c>
      <c r="T6" s="1" t="n">
        <f aca="false">H6+$K6</f>
        <v>4.34003E-005</v>
      </c>
      <c r="U6" s="1" t="n">
        <f aca="false">I6+$K6</f>
        <v>166.1000000003</v>
      </c>
    </row>
    <row r="7" customFormat="false" ht="13.8" hidden="false" customHeight="false" outlineLevel="0" collapsed="false">
      <c r="A7" s="6" t="n">
        <v>97</v>
      </c>
      <c r="B7" s="11" t="n">
        <f aca="false">0.5958*10^-4</f>
        <v>5.958E-005</v>
      </c>
      <c r="C7" s="11" t="n">
        <f aca="false">170.2</f>
        <v>170.2</v>
      </c>
      <c r="D7" s="11" t="n">
        <f aca="false">0.5946*10^-4</f>
        <v>5.946E-005</v>
      </c>
      <c r="E7" s="11" t="n">
        <f aca="false">168.7</f>
        <v>168.7</v>
      </c>
      <c r="F7" s="11" t="n">
        <f aca="false">0.6023*10^-4</f>
        <v>6.023E-005</v>
      </c>
      <c r="G7" s="11" t="n">
        <f aca="false">169.3</f>
        <v>169.3</v>
      </c>
      <c r="H7" s="11" t="n">
        <f aca="false">0.5685*10^-4</f>
        <v>5.685E-005</v>
      </c>
      <c r="I7" s="11" t="n">
        <f aca="false">166.9</f>
        <v>166.9</v>
      </c>
      <c r="K7" s="1" t="n">
        <v>4E-010</v>
      </c>
      <c r="M7" s="1" t="n">
        <f aca="false">A7</f>
        <v>97</v>
      </c>
      <c r="N7" s="1" t="n">
        <f aca="false">B7+$K7</f>
        <v>5.95804E-005</v>
      </c>
      <c r="O7" s="1" t="n">
        <f aca="false">C7+$K7</f>
        <v>170.2000000004</v>
      </c>
      <c r="P7" s="1" t="n">
        <f aca="false">D7+$K7</f>
        <v>5.94604E-005</v>
      </c>
      <c r="Q7" s="1" t="n">
        <f aca="false">E7+$K7</f>
        <v>168.7000000004</v>
      </c>
      <c r="R7" s="1" t="n">
        <f aca="false">F7+$K7</f>
        <v>6.02304E-005</v>
      </c>
      <c r="S7" s="1" t="n">
        <f aca="false">G7+$K7</f>
        <v>169.3000000004</v>
      </c>
      <c r="T7" s="1" t="n">
        <f aca="false">H7+$K7</f>
        <v>5.68504E-005</v>
      </c>
      <c r="U7" s="1" t="n">
        <f aca="false">I7+$K7</f>
        <v>166.9000000004</v>
      </c>
    </row>
    <row r="8" customFormat="false" ht="13.8" hidden="false" customHeight="false" outlineLevel="0" collapsed="false">
      <c r="A8" s="6" t="n">
        <v>96</v>
      </c>
      <c r="B8" s="11" t="n">
        <f aca="false">0.7753*10^-4</f>
        <v>7.753E-005</v>
      </c>
      <c r="C8" s="11" t="n">
        <f aca="false">171.2</f>
        <v>171.2</v>
      </c>
      <c r="D8" s="11" t="n">
        <f aca="false">0.7754*10^-4</f>
        <v>7.754E-005</v>
      </c>
      <c r="E8" s="11" t="n">
        <f aca="false">170</f>
        <v>170</v>
      </c>
      <c r="F8" s="11" t="n">
        <f aca="false">0.7847*10^-4</f>
        <v>7.847E-005</v>
      </c>
      <c r="G8" s="11" t="n">
        <f aca="false">170.4</f>
        <v>170.4</v>
      </c>
      <c r="H8" s="11" t="n">
        <f aca="false">0.7438*10^-4</f>
        <v>7.438E-005</v>
      </c>
      <c r="I8" s="11" t="n">
        <f aca="false">167.7</f>
        <v>167.7</v>
      </c>
      <c r="K8" s="7" t="n">
        <v>5E-010</v>
      </c>
      <c r="M8" s="1" t="n">
        <f aca="false">A8</f>
        <v>96</v>
      </c>
      <c r="N8" s="1" t="n">
        <f aca="false">B8+$K8</f>
        <v>7.75305E-005</v>
      </c>
      <c r="O8" s="1" t="n">
        <f aca="false">C8+$K8</f>
        <v>171.2000000005</v>
      </c>
      <c r="P8" s="1" t="n">
        <f aca="false">D8+$K8</f>
        <v>7.75405E-005</v>
      </c>
      <c r="Q8" s="1" t="n">
        <f aca="false">E8+$K8</f>
        <v>170.0000000005</v>
      </c>
      <c r="R8" s="1" t="n">
        <f aca="false">F8+$K8</f>
        <v>7.84705E-005</v>
      </c>
      <c r="S8" s="1" t="n">
        <f aca="false">G8+$K8</f>
        <v>170.4000000005</v>
      </c>
      <c r="T8" s="1" t="n">
        <f aca="false">H8+$K8</f>
        <v>7.43805E-005</v>
      </c>
      <c r="U8" s="1" t="n">
        <f aca="false">I8+$K8</f>
        <v>167.7000000005</v>
      </c>
    </row>
    <row r="9" customFormat="false" ht="13.8" hidden="false" customHeight="false" outlineLevel="0" collapsed="false">
      <c r="A9" s="6" t="n">
        <v>95</v>
      </c>
      <c r="B9" s="11" t="n">
        <f aca="false">0.1007*10^-3</f>
        <v>0.0001007</v>
      </c>
      <c r="C9" s="11" t="n">
        <f aca="false">172.5</f>
        <v>172.5</v>
      </c>
      <c r="D9" s="11" t="n">
        <f aca="false">0.1009*10^-3</f>
        <v>0.0001009</v>
      </c>
      <c r="E9" s="11" t="n">
        <f aca="false">171.5</f>
        <v>171.5</v>
      </c>
      <c r="F9" s="11" t="n">
        <f aca="false">0.1021*10^-3</f>
        <v>0.0001021</v>
      </c>
      <c r="G9" s="11" t="n">
        <f aca="false">171.7</f>
        <v>171.7</v>
      </c>
      <c r="H9" s="11" t="n">
        <f aca="false">0.9719*10^-4</f>
        <v>9.719E-005</v>
      </c>
      <c r="I9" s="11" t="n">
        <f aca="false">168.6</f>
        <v>168.6</v>
      </c>
      <c r="K9" s="7" t="n">
        <v>6E-010</v>
      </c>
      <c r="M9" s="1" t="n">
        <f aca="false">A9</f>
        <v>95</v>
      </c>
      <c r="N9" s="1" t="n">
        <f aca="false">B9+$K9</f>
        <v>0.0001007006</v>
      </c>
      <c r="O9" s="1" t="n">
        <f aca="false">C9+$K9</f>
        <v>172.5000000006</v>
      </c>
      <c r="P9" s="1" t="n">
        <f aca="false">D9+$K9</f>
        <v>0.0001009006</v>
      </c>
      <c r="Q9" s="1" t="n">
        <f aca="false">E9+$K9</f>
        <v>171.5000000006</v>
      </c>
      <c r="R9" s="1" t="n">
        <f aca="false">F9+$K9</f>
        <v>0.0001021006</v>
      </c>
      <c r="S9" s="1" t="n">
        <f aca="false">G9+$K9</f>
        <v>171.7000000006</v>
      </c>
      <c r="T9" s="1" t="n">
        <f aca="false">H9+$K9</f>
        <v>9.71906E-005</v>
      </c>
      <c r="U9" s="1" t="n">
        <f aca="false">I9+$K9</f>
        <v>168.6000000006</v>
      </c>
    </row>
    <row r="10" customFormat="false" ht="13.8" hidden="false" customHeight="false" outlineLevel="0" collapsed="false">
      <c r="A10" s="6" t="n">
        <v>94</v>
      </c>
      <c r="B10" s="11" t="n">
        <f aca="false">0.1305*10^-3</f>
        <v>0.0001305</v>
      </c>
      <c r="C10" s="11" t="n">
        <f aca="false">174.2</f>
        <v>174.2</v>
      </c>
      <c r="D10" s="11" t="n">
        <f aca="false">0.1309*10^-3</f>
        <v>0.0001309</v>
      </c>
      <c r="E10" s="11" t="n">
        <f aca="false">173.4</f>
        <v>173.4</v>
      </c>
      <c r="F10" s="11" t="n">
        <f aca="false">0.1325*10^-3</f>
        <v>0.0001325</v>
      </c>
      <c r="G10" s="11" t="n">
        <f aca="false">173.3</f>
        <v>173.3</v>
      </c>
      <c r="H10" s="11" t="n">
        <f aca="false">0.1268*10^-3</f>
        <v>0.0001268</v>
      </c>
      <c r="I10" s="11" t="n">
        <f aca="false">169.7</f>
        <v>169.7</v>
      </c>
      <c r="K10" s="1" t="n">
        <v>7E-010</v>
      </c>
      <c r="M10" s="1" t="n">
        <f aca="false">A10</f>
        <v>94</v>
      </c>
      <c r="N10" s="1" t="n">
        <f aca="false">B10+$K10</f>
        <v>0.0001305007</v>
      </c>
      <c r="O10" s="1" t="n">
        <f aca="false">C10+$K10</f>
        <v>174.2000000007</v>
      </c>
      <c r="P10" s="1" t="n">
        <f aca="false">D10+$K10</f>
        <v>0.0001309007</v>
      </c>
      <c r="Q10" s="1" t="n">
        <f aca="false">E10+$K10</f>
        <v>173.4000000007</v>
      </c>
      <c r="R10" s="1" t="n">
        <f aca="false">F10+$K10</f>
        <v>0.0001325007</v>
      </c>
      <c r="S10" s="1" t="n">
        <f aca="false">G10+$K10</f>
        <v>173.3000000007</v>
      </c>
      <c r="T10" s="1" t="n">
        <f aca="false">H10+$K10</f>
        <v>0.0001268007</v>
      </c>
      <c r="U10" s="1" t="n">
        <f aca="false">I10+$K10</f>
        <v>169.7000000007</v>
      </c>
    </row>
    <row r="11" customFormat="false" ht="13.8" hidden="false" customHeight="false" outlineLevel="0" collapsed="false">
      <c r="A11" s="6" t="n">
        <v>93</v>
      </c>
      <c r="B11" s="11" t="n">
        <f aca="false">0.1688*10^-3</f>
        <v>0.0001688</v>
      </c>
      <c r="C11" s="11" t="n">
        <f aca="false">176.1</f>
        <v>176.1</v>
      </c>
      <c r="D11" s="11" t="n">
        <f aca="false">0.1695*10^-3</f>
        <v>0.0001695</v>
      </c>
      <c r="E11" s="11" t="n">
        <f aca="false">175.3</f>
        <v>175.3</v>
      </c>
      <c r="F11" s="11" t="n">
        <f aca="false">0.1715*10^-3</f>
        <v>0.0001715</v>
      </c>
      <c r="G11" s="11" t="n">
        <f aca="false">175</f>
        <v>175</v>
      </c>
      <c r="H11" s="11" t="n">
        <f aca="false">0.1651*10^-3</f>
        <v>0.0001651</v>
      </c>
      <c r="I11" s="11" t="n">
        <f aca="false">171.1</f>
        <v>171.1</v>
      </c>
      <c r="K11" s="7" t="n">
        <v>8E-010</v>
      </c>
      <c r="M11" s="1" t="n">
        <f aca="false">A11</f>
        <v>93</v>
      </c>
      <c r="N11" s="1" t="n">
        <f aca="false">B11+$K11</f>
        <v>0.0001688008</v>
      </c>
      <c r="O11" s="1" t="n">
        <f aca="false">C11+$K11</f>
        <v>176.1000000008</v>
      </c>
      <c r="P11" s="1" t="n">
        <f aca="false">D11+$K11</f>
        <v>0.0001695008</v>
      </c>
      <c r="Q11" s="1" t="n">
        <f aca="false">E11+$K11</f>
        <v>175.3000000008</v>
      </c>
      <c r="R11" s="1" t="n">
        <f aca="false">F11+$K11</f>
        <v>0.0001715008</v>
      </c>
      <c r="S11" s="1" t="n">
        <f aca="false">G11+$K11</f>
        <v>175.0000000008</v>
      </c>
      <c r="T11" s="1" t="n">
        <f aca="false">H11+$K11</f>
        <v>0.0001651008</v>
      </c>
      <c r="U11" s="1" t="n">
        <f aca="false">I11+$K11</f>
        <v>171.1000000008</v>
      </c>
    </row>
    <row r="12" customFormat="false" ht="13.8" hidden="false" customHeight="false" outlineLevel="0" collapsed="false">
      <c r="A12" s="6" t="n">
        <v>92</v>
      </c>
      <c r="B12" s="11" t="n">
        <f aca="false">0.2176*10^-3</f>
        <v>0.0002176</v>
      </c>
      <c r="C12" s="11" t="n">
        <f aca="false">177.9</f>
        <v>177.9</v>
      </c>
      <c r="D12" s="11" t="n">
        <f aca="false">0.2188*10^-3</f>
        <v>0.0002188</v>
      </c>
      <c r="E12" s="11" t="n">
        <f aca="false">177.2</f>
        <v>177.2</v>
      </c>
      <c r="F12" s="11" t="n">
        <f aca="false">0.2215*10^-3</f>
        <v>0.0002215</v>
      </c>
      <c r="G12" s="11" t="n">
        <f aca="false">176.7</f>
        <v>176.7</v>
      </c>
      <c r="H12" s="11" t="n">
        <f aca="false">0.2145*10^-3</f>
        <v>0.0002145</v>
      </c>
      <c r="I12" s="11" t="n">
        <f aca="false">172.7</f>
        <v>172.7</v>
      </c>
      <c r="K12" s="7" t="n">
        <v>9E-010</v>
      </c>
      <c r="M12" s="1" t="n">
        <f aca="false">A12</f>
        <v>92</v>
      </c>
      <c r="N12" s="1" t="n">
        <f aca="false">B12+$K12</f>
        <v>0.0002176009</v>
      </c>
      <c r="O12" s="1" t="n">
        <f aca="false">C12+$K12</f>
        <v>177.9000000009</v>
      </c>
      <c r="P12" s="1" t="n">
        <f aca="false">D12+$K12</f>
        <v>0.0002188009</v>
      </c>
      <c r="Q12" s="1" t="n">
        <f aca="false">E12+$K12</f>
        <v>177.2000000009</v>
      </c>
      <c r="R12" s="1" t="n">
        <f aca="false">F12+$K12</f>
        <v>0.0002215009</v>
      </c>
      <c r="S12" s="1" t="n">
        <f aca="false">G12+$K12</f>
        <v>176.7000000009</v>
      </c>
      <c r="T12" s="1" t="n">
        <f aca="false">H12+$K12</f>
        <v>0.0002145009</v>
      </c>
      <c r="U12" s="1" t="n">
        <f aca="false">I12+$K12</f>
        <v>172.7000000009</v>
      </c>
    </row>
    <row r="13" customFormat="false" ht="13.8" hidden="false" customHeight="false" outlineLevel="0" collapsed="false">
      <c r="A13" s="6" t="n">
        <v>91</v>
      </c>
      <c r="B13" s="11" t="n">
        <f aca="false">0.2798*10^-3</f>
        <v>0.0002798</v>
      </c>
      <c r="C13" s="11" t="n">
        <f aca="false">179.8</f>
        <v>179.8</v>
      </c>
      <c r="D13" s="11" t="n">
        <f aca="false">0.2816*10^-3</f>
        <v>0.0002816</v>
      </c>
      <c r="E13" s="11" t="n">
        <f aca="false">179.2</f>
        <v>179.2</v>
      </c>
      <c r="F13" s="11" t="n">
        <f aca="false">0.2854*10^-3</f>
        <v>0.0002854</v>
      </c>
      <c r="G13" s="11" t="n">
        <f aca="false">178.5</f>
        <v>178.5</v>
      </c>
      <c r="H13" s="11" t="n">
        <f aca="false">0.278*10^-3</f>
        <v>0.000278</v>
      </c>
      <c r="I13" s="11" t="n">
        <f aca="false">174.3</f>
        <v>174.3</v>
      </c>
      <c r="K13" s="1" t="n">
        <v>1E-009</v>
      </c>
      <c r="M13" s="1" t="n">
        <f aca="false">A13</f>
        <v>91</v>
      </c>
      <c r="N13" s="1" t="n">
        <f aca="false">B13+$K13</f>
        <v>0.000279801</v>
      </c>
      <c r="O13" s="1" t="n">
        <f aca="false">C13+$K13</f>
        <v>179.800000001</v>
      </c>
      <c r="P13" s="1" t="n">
        <f aca="false">D13+$K13</f>
        <v>0.000281601</v>
      </c>
      <c r="Q13" s="1" t="n">
        <f aca="false">E13+$K13</f>
        <v>179.200000001</v>
      </c>
      <c r="R13" s="1" t="n">
        <f aca="false">F13+$K13</f>
        <v>0.000285401</v>
      </c>
      <c r="S13" s="1" t="n">
        <f aca="false">G13+$K13</f>
        <v>178.500000001</v>
      </c>
      <c r="T13" s="1" t="n">
        <f aca="false">H13+$K13</f>
        <v>0.000278001</v>
      </c>
      <c r="U13" s="1" t="n">
        <f aca="false">I13+$K13</f>
        <v>174.300000001</v>
      </c>
    </row>
    <row r="14" customFormat="false" ht="13.8" hidden="false" customHeight="false" outlineLevel="0" collapsed="false">
      <c r="A14" s="6" t="n">
        <v>90</v>
      </c>
      <c r="B14" s="11" t="n">
        <f aca="false">0.3589*10^-3</f>
        <v>0.0003589</v>
      </c>
      <c r="C14" s="11" t="n">
        <f aca="false">181.9</f>
        <v>181.9</v>
      </c>
      <c r="D14" s="11" t="n">
        <f aca="false">0.3615*10^-3</f>
        <v>0.0003615</v>
      </c>
      <c r="E14" s="11" t="n">
        <f aca="false">181.2</f>
        <v>181.2</v>
      </c>
      <c r="F14" s="11" t="n">
        <f aca="false">0.3667*10^-3</f>
        <v>0.0003667</v>
      </c>
      <c r="G14" s="11" t="n">
        <f aca="false">180.3</f>
        <v>180.3</v>
      </c>
      <c r="H14" s="11" t="n">
        <f aca="false">0.3595*10^-3</f>
        <v>0.0003595</v>
      </c>
      <c r="I14" s="11" t="n">
        <f aca="false">176</f>
        <v>176</v>
      </c>
      <c r="K14" s="7" t="n">
        <v>1.1E-009</v>
      </c>
      <c r="M14" s="1" t="n">
        <f aca="false">A14</f>
        <v>90</v>
      </c>
      <c r="N14" s="1" t="n">
        <f aca="false">B14+$K14</f>
        <v>0.0003589011</v>
      </c>
      <c r="O14" s="1" t="n">
        <f aca="false">C14+$K14</f>
        <v>181.9000000011</v>
      </c>
      <c r="P14" s="1" t="n">
        <f aca="false">D14+$K14</f>
        <v>0.0003615011</v>
      </c>
      <c r="Q14" s="1" t="n">
        <f aca="false">E14+$K14</f>
        <v>181.2000000011</v>
      </c>
      <c r="R14" s="1" t="n">
        <f aca="false">F14+$K14</f>
        <v>0.0003667011</v>
      </c>
      <c r="S14" s="1" t="n">
        <f aca="false">G14+$K14</f>
        <v>180.3000000011</v>
      </c>
      <c r="T14" s="1" t="n">
        <f aca="false">H14+$K14</f>
        <v>0.0003595011</v>
      </c>
      <c r="U14" s="1" t="n">
        <f aca="false">I14+$K14</f>
        <v>176.0000000011</v>
      </c>
    </row>
    <row r="15" customFormat="false" ht="13.8" hidden="false" customHeight="false" outlineLevel="0" collapsed="false">
      <c r="A15" s="6" t="n">
        <v>89</v>
      </c>
      <c r="B15" s="11" t="n">
        <f aca="false">0.459*10^-3</f>
        <v>0.000459</v>
      </c>
      <c r="C15" s="11" t="n">
        <f aca="false">184.2</f>
        <v>184.2</v>
      </c>
      <c r="D15" s="11" t="n">
        <f aca="false">0.4628*10^-3</f>
        <v>0.0004628</v>
      </c>
      <c r="E15" s="11" t="n">
        <f aca="false">183.6</f>
        <v>183.6</v>
      </c>
      <c r="F15" s="11" t="n">
        <f aca="false">0.47*10^-3</f>
        <v>0.00047</v>
      </c>
      <c r="G15" s="11" t="n">
        <f aca="false">182.6</f>
        <v>182.6</v>
      </c>
      <c r="H15" s="11" t="n">
        <f aca="false">0.4636*10^-3</f>
        <v>0.0004636</v>
      </c>
      <c r="I15" s="11" t="n">
        <f aca="false">178.1</f>
        <v>178.1</v>
      </c>
      <c r="K15" s="7" t="n">
        <v>1.2E-009</v>
      </c>
      <c r="M15" s="1" t="n">
        <f aca="false">A15</f>
        <v>89</v>
      </c>
      <c r="N15" s="1" t="n">
        <f aca="false">B15+$K15</f>
        <v>0.0004590012</v>
      </c>
      <c r="O15" s="1" t="n">
        <f aca="false">C15+$K15</f>
        <v>184.2000000012</v>
      </c>
      <c r="P15" s="1" t="n">
        <f aca="false">D15+$K15</f>
        <v>0.0004628012</v>
      </c>
      <c r="Q15" s="1" t="n">
        <f aca="false">E15+$K15</f>
        <v>183.6000000012</v>
      </c>
      <c r="R15" s="1" t="n">
        <f aca="false">F15+$K15</f>
        <v>0.0004700012</v>
      </c>
      <c r="S15" s="1" t="n">
        <f aca="false">G15+$K15</f>
        <v>182.6000000012</v>
      </c>
      <c r="T15" s="1" t="n">
        <f aca="false">H15+$K15</f>
        <v>0.0004636012</v>
      </c>
      <c r="U15" s="1" t="n">
        <f aca="false">I15+$K15</f>
        <v>178.1000000012</v>
      </c>
    </row>
    <row r="16" customFormat="false" ht="13.8" hidden="false" customHeight="false" outlineLevel="0" collapsed="false">
      <c r="A16" s="6" t="n">
        <v>88</v>
      </c>
      <c r="B16" s="11" t="n">
        <f aca="false">0.5849*10^-3</f>
        <v>0.0005849</v>
      </c>
      <c r="C16" s="11" t="n">
        <f aca="false">187.3</f>
        <v>187.3</v>
      </c>
      <c r="D16" s="11" t="n">
        <f aca="false">0.5902*10^-3</f>
        <v>0.0005902</v>
      </c>
      <c r="E16" s="11" t="n">
        <f aca="false">186.6</f>
        <v>186.6</v>
      </c>
      <c r="F16" s="11" t="n">
        <f aca="false">0.6003*10^-3</f>
        <v>0.0006003</v>
      </c>
      <c r="G16" s="11" t="n">
        <f aca="false">185.4</f>
        <v>185.4</v>
      </c>
      <c r="H16" s="11" t="n">
        <f aca="false">0.596*10^-3</f>
        <v>0.000596</v>
      </c>
      <c r="I16" s="11" t="n">
        <f aca="false">180.5</f>
        <v>180.5</v>
      </c>
      <c r="K16" s="1" t="n">
        <v>1.3E-009</v>
      </c>
      <c r="M16" s="1" t="n">
        <f aca="false">A16</f>
        <v>88</v>
      </c>
      <c r="N16" s="1" t="n">
        <f aca="false">B16+$K16</f>
        <v>0.0005849013</v>
      </c>
      <c r="O16" s="1" t="n">
        <f aca="false">C16+$K16</f>
        <v>187.3000000013</v>
      </c>
      <c r="P16" s="1" t="n">
        <f aca="false">D16+$K16</f>
        <v>0.0005902013</v>
      </c>
      <c r="Q16" s="1" t="n">
        <f aca="false">E16+$K16</f>
        <v>186.6000000013</v>
      </c>
      <c r="R16" s="1" t="n">
        <f aca="false">F16+$K16</f>
        <v>0.0006003013</v>
      </c>
      <c r="S16" s="1" t="n">
        <f aca="false">G16+$K16</f>
        <v>185.4000000013</v>
      </c>
      <c r="T16" s="1" t="n">
        <f aca="false">H16+$K16</f>
        <v>0.0005960013</v>
      </c>
      <c r="U16" s="1" t="n">
        <f aca="false">I16+$K16</f>
        <v>180.5000000013</v>
      </c>
    </row>
    <row r="17" customFormat="false" ht="13.8" hidden="false" customHeight="false" outlineLevel="0" collapsed="false">
      <c r="A17" s="6" t="n">
        <v>87</v>
      </c>
      <c r="B17" s="11" t="n">
        <f aca="false">0.7424*10^-3</f>
        <v>0.0007424</v>
      </c>
      <c r="C17" s="11" t="n">
        <f aca="false">190.6</f>
        <v>190.6</v>
      </c>
      <c r="D17" s="11" t="n">
        <f aca="false">0.7498*10^-3</f>
        <v>0.0007498</v>
      </c>
      <c r="E17" s="11" t="n">
        <f aca="false">189.7</f>
        <v>189.7</v>
      </c>
      <c r="F17" s="11" t="n">
        <f aca="false">0.7639*10^-3</f>
        <v>0.0007639</v>
      </c>
      <c r="G17" s="11" t="n">
        <f aca="false">188.5</f>
        <v>188.5</v>
      </c>
      <c r="H17" s="11" t="n">
        <f aca="false">0.7636*10^-3</f>
        <v>0.0007636</v>
      </c>
      <c r="I17" s="11" t="n">
        <f aca="false">183.1</f>
        <v>183.1</v>
      </c>
      <c r="K17" s="7" t="n">
        <v>1.4E-009</v>
      </c>
      <c r="M17" s="1" t="n">
        <f aca="false">A17</f>
        <v>87</v>
      </c>
      <c r="N17" s="1" t="n">
        <f aca="false">B17+$K17</f>
        <v>0.0007424014</v>
      </c>
      <c r="O17" s="1" t="n">
        <f aca="false">C17+$K17</f>
        <v>190.6000000014</v>
      </c>
      <c r="P17" s="1" t="n">
        <f aca="false">D17+$K17</f>
        <v>0.0007498014</v>
      </c>
      <c r="Q17" s="1" t="n">
        <f aca="false">E17+$K17</f>
        <v>189.7000000014</v>
      </c>
      <c r="R17" s="1" t="n">
        <f aca="false">F17+$K17</f>
        <v>0.0007639014</v>
      </c>
      <c r="S17" s="1" t="n">
        <f aca="false">G17+$K17</f>
        <v>188.5000000014</v>
      </c>
      <c r="T17" s="1" t="n">
        <f aca="false">H17+$K17</f>
        <v>0.0007636014</v>
      </c>
      <c r="U17" s="1" t="n">
        <f aca="false">I17+$K17</f>
        <v>183.1000000014</v>
      </c>
    </row>
    <row r="18" customFormat="false" ht="13.8" hidden="false" customHeight="false" outlineLevel="0" collapsed="false">
      <c r="A18" s="6" t="n">
        <v>86</v>
      </c>
      <c r="B18" s="11" t="n">
        <f aca="false">0.9383*10^-3</f>
        <v>0.0009383</v>
      </c>
      <c r="C18" s="11" t="n">
        <f aca="false">194</f>
        <v>194</v>
      </c>
      <c r="D18" s="11" t="n">
        <f aca="false">0.9487*10^-3</f>
        <v>0.0009487</v>
      </c>
      <c r="E18" s="11" t="n">
        <f aca="false">193.1</f>
        <v>193.1</v>
      </c>
      <c r="F18" s="11" t="n">
        <f aca="false">0.9681*10^-3</f>
        <v>0.0009681</v>
      </c>
      <c r="G18" s="11" t="n">
        <f aca="false">191.7</f>
        <v>191.7</v>
      </c>
      <c r="H18" s="11" t="n">
        <f aca="false">0.9748*10^-3</f>
        <v>0.0009748</v>
      </c>
      <c r="I18" s="11" t="n">
        <f aca="false">185.9</f>
        <v>185.9</v>
      </c>
      <c r="K18" s="7" t="n">
        <v>1.5E-009</v>
      </c>
      <c r="M18" s="1" t="n">
        <f aca="false">A18</f>
        <v>86</v>
      </c>
      <c r="N18" s="1" t="n">
        <f aca="false">B18+$K18</f>
        <v>0.0009383015</v>
      </c>
      <c r="O18" s="1" t="n">
        <f aca="false">C18+$K18</f>
        <v>194.0000000015</v>
      </c>
      <c r="P18" s="1" t="n">
        <f aca="false">D18+$K18</f>
        <v>0.0009487015</v>
      </c>
      <c r="Q18" s="1" t="n">
        <f aca="false">E18+$K18</f>
        <v>193.1000000015</v>
      </c>
      <c r="R18" s="1" t="n">
        <f aca="false">F18+$K18</f>
        <v>0.0009681015</v>
      </c>
      <c r="S18" s="1" t="n">
        <f aca="false">G18+$K18</f>
        <v>191.7000000015</v>
      </c>
      <c r="T18" s="1" t="n">
        <f aca="false">H18+$K18</f>
        <v>0.0009748015</v>
      </c>
      <c r="U18" s="1" t="n">
        <f aca="false">I18+$K18</f>
        <v>185.9000000015</v>
      </c>
    </row>
    <row r="19" customFormat="false" ht="13.8" hidden="false" customHeight="false" outlineLevel="0" collapsed="false">
      <c r="A19" s="6" t="n">
        <v>85</v>
      </c>
      <c r="B19" s="11" t="n">
        <f aca="false">0.1181*10^-2</f>
        <v>0.001181</v>
      </c>
      <c r="C19" s="11" t="n">
        <f aca="false">197.9</f>
        <v>197.9</v>
      </c>
      <c r="D19" s="11" t="n">
        <f aca="false">0.1195*10^-2</f>
        <v>0.001195</v>
      </c>
      <c r="E19" s="11" t="n">
        <f aca="false">196.8</f>
        <v>196.8</v>
      </c>
      <c r="F19" s="11" t="n">
        <f aca="false">0.1222*10^-2</f>
        <v>0.001222</v>
      </c>
      <c r="G19" s="11" t="n">
        <f aca="false">195.5</f>
        <v>195.5</v>
      </c>
      <c r="H19" s="11" t="n">
        <f aca="false">0.124*10^-2</f>
        <v>0.00124</v>
      </c>
      <c r="I19" s="11" t="n">
        <f aca="false">189.1</f>
        <v>189.1</v>
      </c>
      <c r="K19" s="1" t="n">
        <v>1.6E-009</v>
      </c>
      <c r="M19" s="1" t="n">
        <f aca="false">A19</f>
        <v>85</v>
      </c>
      <c r="N19" s="1" t="n">
        <f aca="false">B19+$K19</f>
        <v>0.0011810016</v>
      </c>
      <c r="O19" s="1" t="n">
        <f aca="false">C19+$K19</f>
        <v>197.9000000016</v>
      </c>
      <c r="P19" s="1" t="n">
        <f aca="false">D19+$K19</f>
        <v>0.0011950016</v>
      </c>
      <c r="Q19" s="1" t="n">
        <f aca="false">E19+$K19</f>
        <v>196.8000000016</v>
      </c>
      <c r="R19" s="1" t="n">
        <f aca="false">F19+$K19</f>
        <v>0.0012220016</v>
      </c>
      <c r="S19" s="1" t="n">
        <f aca="false">G19+$K19</f>
        <v>195.5000000016</v>
      </c>
      <c r="T19" s="1" t="n">
        <f aca="false">H19+$K19</f>
        <v>0.0012400016</v>
      </c>
      <c r="U19" s="1" t="n">
        <f aca="false">I19+$K19</f>
        <v>189.1000000016</v>
      </c>
    </row>
    <row r="20" customFormat="false" ht="13.8" hidden="false" customHeight="false" outlineLevel="0" collapsed="false">
      <c r="A20" s="6" t="n">
        <v>84</v>
      </c>
      <c r="B20" s="11" t="n">
        <f aca="false">0.1479*10^-2</f>
        <v>0.001479</v>
      </c>
      <c r="C20" s="11" t="n">
        <f aca="false">202.5</f>
        <v>202.5</v>
      </c>
      <c r="D20" s="11" t="n">
        <f aca="false">0.1499*10^-2</f>
        <v>0.001499</v>
      </c>
      <c r="E20" s="11" t="n">
        <f aca="false">201.1</f>
        <v>201.1</v>
      </c>
      <c r="F20" s="11" t="n">
        <f aca="false">0.1535*10^-2</f>
        <v>0.001535</v>
      </c>
      <c r="G20" s="11" t="n">
        <f aca="false">199.7</f>
        <v>199.7</v>
      </c>
      <c r="H20" s="11" t="n">
        <f aca="false">0.157*10^-2</f>
        <v>0.00157</v>
      </c>
      <c r="I20" s="11" t="n">
        <f aca="false">192.8</f>
        <v>192.8</v>
      </c>
      <c r="K20" s="7" t="n">
        <v>1.7E-009</v>
      </c>
      <c r="M20" s="1" t="n">
        <f aca="false">A20</f>
        <v>84</v>
      </c>
      <c r="N20" s="1" t="n">
        <f aca="false">B20+$K20</f>
        <v>0.0014790017</v>
      </c>
      <c r="O20" s="1" t="n">
        <f aca="false">C20+$K20</f>
        <v>202.5000000017</v>
      </c>
      <c r="P20" s="1" t="n">
        <f aca="false">D20+$K20</f>
        <v>0.0014990017</v>
      </c>
      <c r="Q20" s="1" t="n">
        <f aca="false">E20+$K20</f>
        <v>201.1000000017</v>
      </c>
      <c r="R20" s="1" t="n">
        <f aca="false">F20+$K20</f>
        <v>0.0015350017</v>
      </c>
      <c r="S20" s="1" t="n">
        <f aca="false">G20+$K20</f>
        <v>199.7000000017</v>
      </c>
      <c r="T20" s="1" t="n">
        <f aca="false">H20+$K20</f>
        <v>0.0015700017</v>
      </c>
      <c r="U20" s="1" t="n">
        <f aca="false">I20+$K20</f>
        <v>192.8000000017</v>
      </c>
    </row>
    <row r="21" customFormat="false" ht="13.8" hidden="false" customHeight="false" outlineLevel="0" collapsed="false">
      <c r="A21" s="6" t="n">
        <v>83</v>
      </c>
      <c r="B21" s="11" t="n">
        <f aca="false">0.1843*10^-2</f>
        <v>0.001843</v>
      </c>
      <c r="C21" s="11" t="n">
        <f aca="false">206.9</f>
        <v>206.9</v>
      </c>
      <c r="D21" s="11" t="n">
        <f aca="false">0.1871*10^-2</f>
        <v>0.001871</v>
      </c>
      <c r="E21" s="11" t="n">
        <f aca="false">205.3</f>
        <v>205.3</v>
      </c>
      <c r="F21" s="11" t="n">
        <f aca="false">0.1919*10^-2</f>
        <v>0.001919</v>
      </c>
      <c r="G21" s="11" t="n">
        <f aca="false">204</f>
        <v>204</v>
      </c>
      <c r="H21" s="11" t="n">
        <f aca="false">0.1978*10^-2</f>
        <v>0.001978</v>
      </c>
      <c r="I21" s="11" t="n">
        <f aca="false">196.8</f>
        <v>196.8</v>
      </c>
      <c r="K21" s="7" t="n">
        <v>1.8E-009</v>
      </c>
      <c r="M21" s="1" t="n">
        <f aca="false">A21</f>
        <v>83</v>
      </c>
      <c r="N21" s="1" t="n">
        <f aca="false">B21+$K21</f>
        <v>0.0018430018</v>
      </c>
      <c r="O21" s="1" t="n">
        <f aca="false">C21+$K21</f>
        <v>206.9000000018</v>
      </c>
      <c r="P21" s="1" t="n">
        <f aca="false">D21+$K21</f>
        <v>0.0018710018</v>
      </c>
      <c r="Q21" s="1" t="n">
        <f aca="false">E21+$K21</f>
        <v>205.3000000018</v>
      </c>
      <c r="R21" s="1" t="n">
        <f aca="false">F21+$K21</f>
        <v>0.0019190018</v>
      </c>
      <c r="S21" s="1" t="n">
        <f aca="false">G21+$K21</f>
        <v>204.0000000018</v>
      </c>
      <c r="T21" s="1" t="n">
        <f aca="false">H21+$K21</f>
        <v>0.0019780018</v>
      </c>
      <c r="U21" s="1" t="n">
        <f aca="false">I21+$K21</f>
        <v>196.8000000018</v>
      </c>
    </row>
    <row r="22" customFormat="false" ht="13.8" hidden="false" customHeight="false" outlineLevel="0" collapsed="false">
      <c r="A22" s="6" t="n">
        <v>82</v>
      </c>
      <c r="B22" s="11" t="n">
        <f aca="false">0.2287*10^-2</f>
        <v>0.002287</v>
      </c>
      <c r="C22" s="11" t="n">
        <f aca="false">211.1</f>
        <v>211.1</v>
      </c>
      <c r="D22" s="11" t="n">
        <f aca="false">0.2326*10^-2</f>
        <v>0.002326</v>
      </c>
      <c r="E22" s="11" t="n">
        <f aca="false">209.1</f>
        <v>209.1</v>
      </c>
      <c r="F22" s="11" t="n">
        <f aca="false">0.2388*10^-2</f>
        <v>0.002388</v>
      </c>
      <c r="G22" s="11" t="n">
        <f aca="false">207.9</f>
        <v>207.9</v>
      </c>
      <c r="H22" s="11" t="n">
        <f aca="false">0.2482*10^-2</f>
        <v>0.002482</v>
      </c>
      <c r="I22" s="11" t="n">
        <f aca="false">200.7</f>
        <v>200.7</v>
      </c>
      <c r="K22" s="1" t="n">
        <v>1.9E-009</v>
      </c>
      <c r="M22" s="1" t="n">
        <f aca="false">A22</f>
        <v>82</v>
      </c>
      <c r="N22" s="1" t="n">
        <f aca="false">B22+$K22</f>
        <v>0.0022870019</v>
      </c>
      <c r="O22" s="1" t="n">
        <f aca="false">C22+$K22</f>
        <v>211.1000000019</v>
      </c>
      <c r="P22" s="1" t="n">
        <f aca="false">D22+$K22</f>
        <v>0.0023260019</v>
      </c>
      <c r="Q22" s="1" t="n">
        <f aca="false">E22+$K22</f>
        <v>209.1000000019</v>
      </c>
      <c r="R22" s="1" t="n">
        <f aca="false">F22+$K22</f>
        <v>0.0023880019</v>
      </c>
      <c r="S22" s="1" t="n">
        <f aca="false">G22+$K22</f>
        <v>207.9000000019</v>
      </c>
      <c r="T22" s="1" t="n">
        <f aca="false">H22+$K22</f>
        <v>0.0024820019</v>
      </c>
      <c r="U22" s="1" t="n">
        <f aca="false">I22+$K22</f>
        <v>200.7000000019</v>
      </c>
    </row>
    <row r="23" customFormat="false" ht="13.8" hidden="false" customHeight="false" outlineLevel="0" collapsed="false">
      <c r="A23" s="6" t="n">
        <v>81</v>
      </c>
      <c r="B23" s="11" t="n">
        <f aca="false">0.2826*10^-2</f>
        <v>0.002826</v>
      </c>
      <c r="C23" s="11" t="n">
        <f aca="false">214.4</f>
        <v>214.4</v>
      </c>
      <c r="D23" s="11" t="n">
        <f aca="false">0.2882*10^-2</f>
        <v>0.002882</v>
      </c>
      <c r="E23" s="11" t="n">
        <f aca="false">212.2</f>
        <v>212.2</v>
      </c>
      <c r="F23" s="11" t="n">
        <f aca="false">0.2962*10^-2</f>
        <v>0.002962</v>
      </c>
      <c r="G23" s="11" t="n">
        <f aca="false">211.3</f>
        <v>211.3</v>
      </c>
      <c r="H23" s="11" t="n">
        <f aca="false">0.3101*10^-2</f>
        <v>0.003101</v>
      </c>
      <c r="I23" s="11" t="n">
        <f aca="false">204.3</f>
        <v>204.3</v>
      </c>
      <c r="K23" s="7" t="n">
        <v>2E-009</v>
      </c>
      <c r="M23" s="1" t="n">
        <f aca="false">A23</f>
        <v>81</v>
      </c>
      <c r="N23" s="1" t="n">
        <f aca="false">B23+$K23</f>
        <v>0.002826002</v>
      </c>
      <c r="O23" s="1" t="n">
        <f aca="false">C23+$K23</f>
        <v>214.400000002</v>
      </c>
      <c r="P23" s="1" t="n">
        <f aca="false">D23+$K23</f>
        <v>0.002882002</v>
      </c>
      <c r="Q23" s="1" t="n">
        <f aca="false">E23+$K23</f>
        <v>212.200000002</v>
      </c>
      <c r="R23" s="1" t="n">
        <f aca="false">F23+$K23</f>
        <v>0.002962002</v>
      </c>
      <c r="S23" s="1" t="n">
        <f aca="false">G23+$K23</f>
        <v>211.300000002</v>
      </c>
      <c r="T23" s="1" t="n">
        <f aca="false">H23+$K23</f>
        <v>0.003101002</v>
      </c>
      <c r="U23" s="1" t="n">
        <f aca="false">I23+$K23</f>
        <v>204.300000002</v>
      </c>
    </row>
    <row r="24" customFormat="false" ht="13.8" hidden="false" customHeight="false" outlineLevel="0" collapsed="false">
      <c r="A24" s="6" t="n">
        <v>80</v>
      </c>
      <c r="B24" s="11" t="n">
        <f aca="false">0.3484*10^-2</f>
        <v>0.003484</v>
      </c>
      <c r="C24" s="11" t="n">
        <f aca="false">217</f>
        <v>217</v>
      </c>
      <c r="D24" s="11" t="n">
        <f aca="false">0.356*10^-2</f>
        <v>0.00356</v>
      </c>
      <c r="E24" s="11" t="n">
        <f aca="false">214.6</f>
        <v>214.6</v>
      </c>
      <c r="F24" s="11" t="n">
        <f aca="false">0.3662*10^-2</f>
        <v>0.003662</v>
      </c>
      <c r="G24" s="11" t="n">
        <f aca="false">214.1</f>
        <v>214.1</v>
      </c>
      <c r="H24" s="11" t="n">
        <f aca="false">0.386*10^-2</f>
        <v>0.00386</v>
      </c>
      <c r="I24" s="11" t="n">
        <f aca="false">208.1</f>
        <v>208.1</v>
      </c>
      <c r="K24" s="7" t="n">
        <v>2.1E-009</v>
      </c>
      <c r="M24" s="1" t="n">
        <f aca="false">A24</f>
        <v>80</v>
      </c>
      <c r="N24" s="1" t="n">
        <f aca="false">B24+$K24</f>
        <v>0.0034840021</v>
      </c>
      <c r="O24" s="1" t="n">
        <f aca="false">C24+$K24</f>
        <v>217.0000000021</v>
      </c>
      <c r="P24" s="1" t="n">
        <f aca="false">D24+$K24</f>
        <v>0.0035600021</v>
      </c>
      <c r="Q24" s="1" t="n">
        <f aca="false">E24+$K24</f>
        <v>214.6000000021</v>
      </c>
      <c r="R24" s="1" t="n">
        <f aca="false">F24+$K24</f>
        <v>0.0036620021</v>
      </c>
      <c r="S24" s="1" t="n">
        <f aca="false">G24+$K24</f>
        <v>214.1000000021</v>
      </c>
      <c r="T24" s="1" t="n">
        <f aca="false">H24+$K24</f>
        <v>0.0038600021</v>
      </c>
      <c r="U24" s="1" t="n">
        <f aca="false">I24+$K24</f>
        <v>208.1000000021</v>
      </c>
    </row>
    <row r="25" customFormat="false" ht="13.8" hidden="false" customHeight="false" outlineLevel="0" collapsed="false">
      <c r="A25" s="6" t="n">
        <v>79</v>
      </c>
      <c r="B25" s="11" t="n">
        <f aca="false">0.4286*10^-2</f>
        <v>0.004286</v>
      </c>
      <c r="C25" s="11" t="n">
        <f aca="false">219.2</f>
        <v>219.2</v>
      </c>
      <c r="D25" s="11" t="n">
        <f aca="false">0.4389*10^-2</f>
        <v>0.004389</v>
      </c>
      <c r="E25" s="11" t="n">
        <f aca="false">216.9</f>
        <v>216.9</v>
      </c>
      <c r="F25" s="11" t="n">
        <f aca="false">0.4515*10^-2</f>
        <v>0.004515</v>
      </c>
      <c r="G25" s="11" t="n">
        <f aca="false">216.9</f>
        <v>216.9</v>
      </c>
      <c r="H25" s="11" t="n">
        <f aca="false">0.4785*10^-2</f>
        <v>0.004785</v>
      </c>
      <c r="I25" s="11" t="n">
        <f aca="false">211.9</f>
        <v>211.9</v>
      </c>
      <c r="K25" s="1" t="n">
        <v>2.2E-009</v>
      </c>
      <c r="M25" s="1" t="n">
        <f aca="false">A25</f>
        <v>79</v>
      </c>
      <c r="N25" s="1" t="n">
        <f aca="false">B25+$K25</f>
        <v>0.0042860022</v>
      </c>
      <c r="O25" s="1" t="n">
        <f aca="false">C25+$K25</f>
        <v>219.2000000022</v>
      </c>
      <c r="P25" s="1" t="n">
        <f aca="false">D25+$K25</f>
        <v>0.0043890022</v>
      </c>
      <c r="Q25" s="1" t="n">
        <f aca="false">E25+$K25</f>
        <v>216.9000000022</v>
      </c>
      <c r="R25" s="1" t="n">
        <f aca="false">F25+$K25</f>
        <v>0.0045150022</v>
      </c>
      <c r="S25" s="1" t="n">
        <f aca="false">G25+$K25</f>
        <v>216.9000000022</v>
      </c>
      <c r="T25" s="1" t="n">
        <f aca="false">H25+$K25</f>
        <v>0.0047850022</v>
      </c>
      <c r="U25" s="1" t="n">
        <f aca="false">I25+$K25</f>
        <v>211.9000000022</v>
      </c>
    </row>
    <row r="26" customFormat="false" ht="13.8" hidden="false" customHeight="false" outlineLevel="0" collapsed="false">
      <c r="A26" s="6" t="n">
        <v>78</v>
      </c>
      <c r="B26" s="11" t="n">
        <f aca="false">0.5262*10^-2</f>
        <v>0.005262</v>
      </c>
      <c r="C26" s="11" t="n">
        <f aca="false">221.3</f>
        <v>221.3</v>
      </c>
      <c r="D26" s="11" t="n">
        <f aca="false">0.54*10^-2</f>
        <v>0.0054</v>
      </c>
      <c r="E26" s="11" t="n">
        <f aca="false">219.3</f>
        <v>219.3</v>
      </c>
      <c r="F26" s="11" t="n">
        <f aca="false">0.5554*10^-2</f>
        <v>0.005554</v>
      </c>
      <c r="G26" s="11" t="n">
        <f aca="false">219.6</f>
        <v>219.6</v>
      </c>
      <c r="H26" s="11" t="n">
        <f aca="false">0.591*10^-2</f>
        <v>0.00591</v>
      </c>
      <c r="I26" s="11" t="n">
        <f aca="false">215.9</f>
        <v>215.9</v>
      </c>
      <c r="K26" s="7" t="n">
        <v>2.3E-009</v>
      </c>
      <c r="M26" s="1" t="n">
        <f aca="false">A26</f>
        <v>78</v>
      </c>
      <c r="N26" s="1" t="n">
        <f aca="false">B26+$K26</f>
        <v>0.0052620023</v>
      </c>
      <c r="O26" s="1" t="n">
        <f aca="false">C26+$K26</f>
        <v>221.3000000023</v>
      </c>
      <c r="P26" s="1" t="n">
        <f aca="false">D26+$K26</f>
        <v>0.0054000023</v>
      </c>
      <c r="Q26" s="1" t="n">
        <f aca="false">E26+$K26</f>
        <v>219.3000000023</v>
      </c>
      <c r="R26" s="1" t="n">
        <f aca="false">F26+$K26</f>
        <v>0.0055540023</v>
      </c>
      <c r="S26" s="1" t="n">
        <f aca="false">G26+$K26</f>
        <v>219.6000000023</v>
      </c>
      <c r="T26" s="1" t="n">
        <f aca="false">H26+$K26</f>
        <v>0.0059100023</v>
      </c>
      <c r="U26" s="1" t="n">
        <f aca="false">I26+$K26</f>
        <v>215.9000000023</v>
      </c>
    </row>
    <row r="27" customFormat="false" ht="13.8" hidden="false" customHeight="false" outlineLevel="0" collapsed="false">
      <c r="A27" s="6" t="n">
        <v>77</v>
      </c>
      <c r="B27" s="11" t="n">
        <f aca="false">0.6449*10^-2</f>
        <v>0.006449</v>
      </c>
      <c r="C27" s="11" t="n">
        <f aca="false">223.3</f>
        <v>223.3</v>
      </c>
      <c r="D27" s="11" t="n">
        <f aca="false">0.6628*10^-2</f>
        <v>0.006628</v>
      </c>
      <c r="E27" s="11" t="n">
        <f aca="false">221.6</f>
        <v>221.6</v>
      </c>
      <c r="F27" s="11" t="n">
        <f aca="false">0.6814*10^-2</f>
        <v>0.006814</v>
      </c>
      <c r="G27" s="11" t="n">
        <f aca="false">222.3</f>
        <v>222.3</v>
      </c>
      <c r="H27" s="11" t="n">
        <f aca="false">0.727*10^-2</f>
        <v>0.00727</v>
      </c>
      <c r="I27" s="11" t="n">
        <f aca="false">220.1</f>
        <v>220.1</v>
      </c>
      <c r="K27" s="7" t="n">
        <v>2.4E-009</v>
      </c>
      <c r="M27" s="1" t="n">
        <f aca="false">A27</f>
        <v>77</v>
      </c>
      <c r="N27" s="1" t="n">
        <f aca="false">B27+$K27</f>
        <v>0.0064490024</v>
      </c>
      <c r="O27" s="1" t="n">
        <f aca="false">C27+$K27</f>
        <v>223.3000000024</v>
      </c>
      <c r="P27" s="1" t="n">
        <f aca="false">D27+$K27</f>
        <v>0.0066280024</v>
      </c>
      <c r="Q27" s="1" t="n">
        <f aca="false">E27+$K27</f>
        <v>221.6000000024</v>
      </c>
      <c r="R27" s="1" t="n">
        <f aca="false">F27+$K27</f>
        <v>0.0068140024</v>
      </c>
      <c r="S27" s="1" t="n">
        <f aca="false">G27+$K27</f>
        <v>222.3000000024</v>
      </c>
      <c r="T27" s="1" t="n">
        <f aca="false">H27+$K27</f>
        <v>0.0072700024</v>
      </c>
      <c r="U27" s="1" t="n">
        <f aca="false">I27+$K27</f>
        <v>220.1000000024</v>
      </c>
    </row>
    <row r="28" customFormat="false" ht="13.8" hidden="false" customHeight="false" outlineLevel="0" collapsed="false">
      <c r="A28" s="6" t="n">
        <v>76</v>
      </c>
      <c r="B28" s="11" t="n">
        <f aca="false">0.7887*10^-2</f>
        <v>0.007887</v>
      </c>
      <c r="C28" s="11" t="n">
        <f aca="false">225.7</f>
        <v>225.7</v>
      </c>
      <c r="D28" s="11" t="n">
        <f aca="false">0.8119*10^-2</f>
        <v>0.008119</v>
      </c>
      <c r="E28" s="11" t="n">
        <f aca="false">224.2</f>
        <v>224.2</v>
      </c>
      <c r="F28" s="11" t="n">
        <f aca="false">0.8341*10^-2</f>
        <v>0.008341</v>
      </c>
      <c r="G28" s="11" t="n">
        <f aca="false">225</f>
        <v>225</v>
      </c>
      <c r="H28" s="11" t="n">
        <f aca="false">0.8911*10^-2</f>
        <v>0.008911</v>
      </c>
      <c r="I28" s="11" t="n">
        <f aca="false">223.9</f>
        <v>223.9</v>
      </c>
      <c r="K28" s="1" t="n">
        <v>2.5E-009</v>
      </c>
      <c r="M28" s="1" t="n">
        <f aca="false">A28</f>
        <v>76</v>
      </c>
      <c r="N28" s="1" t="n">
        <f aca="false">B28+$K28</f>
        <v>0.0078870025</v>
      </c>
      <c r="O28" s="1" t="n">
        <f aca="false">C28+$K28</f>
        <v>225.7000000025</v>
      </c>
      <c r="P28" s="1" t="n">
        <f aca="false">D28+$K28</f>
        <v>0.0081190025</v>
      </c>
      <c r="Q28" s="1" t="n">
        <f aca="false">E28+$K28</f>
        <v>224.2000000025</v>
      </c>
      <c r="R28" s="1" t="n">
        <f aca="false">F28+$K28</f>
        <v>0.0083410025</v>
      </c>
      <c r="S28" s="1" t="n">
        <f aca="false">G28+$K28</f>
        <v>225.0000000025</v>
      </c>
      <c r="T28" s="1" t="n">
        <f aca="false">H28+$K28</f>
        <v>0.0089110025</v>
      </c>
      <c r="U28" s="1" t="n">
        <f aca="false">I28+$K28</f>
        <v>223.9000000025</v>
      </c>
    </row>
    <row r="29" customFormat="false" ht="13.8" hidden="false" customHeight="false" outlineLevel="0" collapsed="false">
      <c r="A29" s="6" t="n">
        <v>75</v>
      </c>
      <c r="B29" s="11" t="n">
        <f aca="false">0.9626*10^-2</f>
        <v>0.009626</v>
      </c>
      <c r="C29" s="11" t="n">
        <f aca="false">228.3</f>
        <v>228.3</v>
      </c>
      <c r="D29" s="11" t="n">
        <f aca="false">0.9922*10^-2</f>
        <v>0.009922</v>
      </c>
      <c r="E29" s="11" t="n">
        <f aca="false">226.7</f>
        <v>226.7</v>
      </c>
      <c r="F29" s="11" t="n">
        <f aca="false">0.1019*10^-1</f>
        <v>0.01019</v>
      </c>
      <c r="G29" s="11" t="n">
        <f aca="false">227.5</f>
        <v>227.5</v>
      </c>
      <c r="H29" s="11" t="n">
        <f aca="false">0.1089*10^-1</f>
        <v>0.01089</v>
      </c>
      <c r="I29" s="11" t="n">
        <f aca="false">227.3</f>
        <v>227.3</v>
      </c>
      <c r="K29" s="7" t="n">
        <v>2.6E-009</v>
      </c>
      <c r="M29" s="1" t="n">
        <f aca="false">A29</f>
        <v>75</v>
      </c>
      <c r="N29" s="1" t="n">
        <f aca="false">B29+$K29</f>
        <v>0.0096260026</v>
      </c>
      <c r="O29" s="1" t="n">
        <f aca="false">C29+$K29</f>
        <v>228.3000000026</v>
      </c>
      <c r="P29" s="1" t="n">
        <f aca="false">D29+$K29</f>
        <v>0.0099220026</v>
      </c>
      <c r="Q29" s="1" t="n">
        <f aca="false">E29+$K29</f>
        <v>226.7000000026</v>
      </c>
      <c r="R29" s="1" t="n">
        <f aca="false">F29+$K29</f>
        <v>0.0101900026</v>
      </c>
      <c r="S29" s="1" t="n">
        <f aca="false">G29+$K29</f>
        <v>227.5000000026</v>
      </c>
      <c r="T29" s="1" t="n">
        <f aca="false">H29+$K29</f>
        <v>0.0108900026</v>
      </c>
      <c r="U29" s="1" t="n">
        <f aca="false">I29+$K29</f>
        <v>227.3000000026</v>
      </c>
    </row>
    <row r="30" customFormat="false" ht="13.8" hidden="false" customHeight="false" outlineLevel="0" collapsed="false">
      <c r="A30" s="6" t="n">
        <v>74</v>
      </c>
      <c r="B30" s="11" t="n">
        <f aca="false">0.1173*10^-1</f>
        <v>0.01173</v>
      </c>
      <c r="C30" s="11" t="n">
        <f aca="false">230</f>
        <v>230</v>
      </c>
      <c r="D30" s="11" t="n">
        <f aca="false">0.121*10^-1</f>
        <v>0.0121</v>
      </c>
      <c r="E30" s="11" t="n">
        <f aca="false">228.7</f>
        <v>228.7</v>
      </c>
      <c r="F30" s="11" t="n">
        <f aca="false">0.1241*10^-1</f>
        <v>0.01241</v>
      </c>
      <c r="G30" s="11" t="n">
        <f aca="false">229.6</f>
        <v>229.6</v>
      </c>
      <c r="H30" s="11" t="n">
        <f aca="false">0.1327*10^-1</f>
        <v>0.01327</v>
      </c>
      <c r="I30" s="11" t="n">
        <f aca="false">230</f>
        <v>230</v>
      </c>
      <c r="K30" s="7" t="n">
        <v>2.7E-009</v>
      </c>
      <c r="M30" s="1" t="n">
        <f aca="false">A30</f>
        <v>74</v>
      </c>
      <c r="N30" s="1" t="n">
        <f aca="false">B30+$K30</f>
        <v>0.0117300027</v>
      </c>
      <c r="O30" s="1" t="n">
        <f aca="false">C30+$K30</f>
        <v>230.0000000027</v>
      </c>
      <c r="P30" s="1" t="n">
        <f aca="false">D30+$K30</f>
        <v>0.0121000027</v>
      </c>
      <c r="Q30" s="1" t="n">
        <f aca="false">E30+$K30</f>
        <v>228.7000000027</v>
      </c>
      <c r="R30" s="1" t="n">
        <f aca="false">F30+$K30</f>
        <v>0.0124100027</v>
      </c>
      <c r="S30" s="1" t="n">
        <f aca="false">G30+$K30</f>
        <v>229.6000000027</v>
      </c>
      <c r="T30" s="1" t="n">
        <f aca="false">H30+$K30</f>
        <v>0.0132700027</v>
      </c>
      <c r="U30" s="1" t="n">
        <f aca="false">I30+$K30</f>
        <v>230.0000000027</v>
      </c>
    </row>
    <row r="31" customFormat="false" ht="13.8" hidden="false" customHeight="false" outlineLevel="0" collapsed="false">
      <c r="A31" s="6" t="n">
        <v>73</v>
      </c>
      <c r="B31" s="11" t="n">
        <f aca="false">0.1427*10^-1</f>
        <v>0.01427</v>
      </c>
      <c r="C31" s="11" t="n">
        <f aca="false">231.6</f>
        <v>231.6</v>
      </c>
      <c r="D31" s="11" t="n">
        <f aca="false">0.1474*10^-1</f>
        <v>0.01474</v>
      </c>
      <c r="E31" s="11" t="n">
        <f aca="false">230.6</f>
        <v>230.6</v>
      </c>
      <c r="F31" s="11" t="n">
        <f aca="false">0.1511*10^-1</f>
        <v>0.01511</v>
      </c>
      <c r="G31" s="11" t="n">
        <f aca="false">231.4</f>
        <v>231.4</v>
      </c>
      <c r="H31" s="11" t="n">
        <f aca="false">0.1614*10^-1</f>
        <v>0.01614</v>
      </c>
      <c r="I31" s="11" t="n">
        <f aca="false">232.4</f>
        <v>232.4</v>
      </c>
      <c r="K31" s="1" t="n">
        <v>2.8E-009</v>
      </c>
      <c r="M31" s="1" t="n">
        <f aca="false">A31</f>
        <v>73</v>
      </c>
      <c r="N31" s="1" t="n">
        <f aca="false">B31+$K31</f>
        <v>0.0142700028</v>
      </c>
      <c r="O31" s="1" t="n">
        <f aca="false">C31+$K31</f>
        <v>231.6000000028</v>
      </c>
      <c r="P31" s="1" t="n">
        <f aca="false">D31+$K31</f>
        <v>0.0147400028</v>
      </c>
      <c r="Q31" s="1" t="n">
        <f aca="false">E31+$K31</f>
        <v>230.6000000028</v>
      </c>
      <c r="R31" s="1" t="n">
        <f aca="false">F31+$K31</f>
        <v>0.0151100028</v>
      </c>
      <c r="S31" s="1" t="n">
        <f aca="false">G31+$K31</f>
        <v>231.4000000028</v>
      </c>
      <c r="T31" s="1" t="n">
        <f aca="false">H31+$K31</f>
        <v>0.0161400028</v>
      </c>
      <c r="U31" s="1" t="n">
        <f aca="false">I31+$K31</f>
        <v>232.4000000028</v>
      </c>
    </row>
    <row r="32" customFormat="false" ht="13.8" hidden="false" customHeight="false" outlineLevel="0" collapsed="false">
      <c r="A32" s="6" t="n">
        <v>72</v>
      </c>
      <c r="B32" s="11" t="n">
        <f aca="false">0.1734*10^-1</f>
        <v>0.01734</v>
      </c>
      <c r="C32" s="11" t="n">
        <f aca="false">232.7</f>
        <v>232.7</v>
      </c>
      <c r="D32" s="11" t="n">
        <f aca="false">0.1793*10^-1</f>
        <v>0.01793</v>
      </c>
      <c r="E32" s="11" t="n">
        <f aca="false">232.2</f>
        <v>232.2</v>
      </c>
      <c r="F32" s="11" t="n">
        <f aca="false">0.1836*10^-1</f>
        <v>0.01836</v>
      </c>
      <c r="G32" s="11" t="n">
        <f aca="false">233.2</f>
        <v>233.2</v>
      </c>
      <c r="H32" s="11" t="n">
        <f aca="false">0.1959*10^-1</f>
        <v>0.01959</v>
      </c>
      <c r="I32" s="11" t="n">
        <f aca="false">234.9</f>
        <v>234.9</v>
      </c>
      <c r="K32" s="7" t="n">
        <v>2.9E-009</v>
      </c>
      <c r="M32" s="1" t="n">
        <f aca="false">A32</f>
        <v>72</v>
      </c>
      <c r="N32" s="1" t="n">
        <f aca="false">B32+$K32</f>
        <v>0.0173400029</v>
      </c>
      <c r="O32" s="1" t="n">
        <f aca="false">C32+$K32</f>
        <v>232.7000000029</v>
      </c>
      <c r="P32" s="1" t="n">
        <f aca="false">D32+$K32</f>
        <v>0.0179300029</v>
      </c>
      <c r="Q32" s="1" t="n">
        <f aca="false">E32+$K32</f>
        <v>232.2000000029</v>
      </c>
      <c r="R32" s="1" t="n">
        <f aca="false">F32+$K32</f>
        <v>0.0183600029</v>
      </c>
      <c r="S32" s="1" t="n">
        <f aca="false">G32+$K32</f>
        <v>233.2000000029</v>
      </c>
      <c r="T32" s="1" t="n">
        <f aca="false">H32+$K32</f>
        <v>0.0195900029</v>
      </c>
      <c r="U32" s="1" t="n">
        <f aca="false">I32+$K32</f>
        <v>234.9000000029</v>
      </c>
    </row>
    <row r="33" customFormat="false" ht="13.8" hidden="false" customHeight="false" outlineLevel="0" collapsed="false">
      <c r="A33" s="6" t="n">
        <v>71</v>
      </c>
      <c r="B33" s="11" t="n">
        <f aca="false">0.2106*10^-1</f>
        <v>0.02106</v>
      </c>
      <c r="C33" s="11" t="n">
        <f aca="false">234.1</f>
        <v>234.1</v>
      </c>
      <c r="D33" s="11" t="n">
        <f aca="false">0.2177*10^-1</f>
        <v>0.02177</v>
      </c>
      <c r="E33" s="11" t="n">
        <f aca="false">234.2</f>
        <v>234.2</v>
      </c>
      <c r="F33" s="11" t="n">
        <f aca="false">0.2228*10^-1</f>
        <v>0.02228</v>
      </c>
      <c r="G33" s="11" t="n">
        <f aca="false">235.2</f>
        <v>235.2</v>
      </c>
      <c r="H33" s="11" t="n">
        <f aca="false">0.2373*10^-1</f>
        <v>0.02373</v>
      </c>
      <c r="I33" s="11" t="n">
        <f aca="false">237.1</f>
        <v>237.1</v>
      </c>
      <c r="K33" s="7" t="n">
        <v>3E-009</v>
      </c>
      <c r="M33" s="1" t="n">
        <f aca="false">A33</f>
        <v>71</v>
      </c>
      <c r="N33" s="1" t="n">
        <f aca="false">B33+$K33</f>
        <v>0.021060003</v>
      </c>
      <c r="O33" s="1" t="n">
        <f aca="false">C33+$K33</f>
        <v>234.100000003</v>
      </c>
      <c r="P33" s="1" t="n">
        <f aca="false">D33+$K33</f>
        <v>0.021770003</v>
      </c>
      <c r="Q33" s="1" t="n">
        <f aca="false">E33+$K33</f>
        <v>234.200000003</v>
      </c>
      <c r="R33" s="1" t="n">
        <f aca="false">F33+$K33</f>
        <v>0.022280003</v>
      </c>
      <c r="S33" s="1" t="n">
        <f aca="false">G33+$K33</f>
        <v>235.200000003</v>
      </c>
      <c r="T33" s="1" t="n">
        <f aca="false">H33+$K33</f>
        <v>0.023730003</v>
      </c>
      <c r="U33" s="1" t="n">
        <f aca="false">I33+$K33</f>
        <v>237.100000003</v>
      </c>
    </row>
    <row r="34" customFormat="false" ht="13.8" hidden="false" customHeight="false" outlineLevel="0" collapsed="false">
      <c r="A34" s="6" t="n">
        <v>70</v>
      </c>
      <c r="B34" s="11" t="n">
        <f aca="false">0.2554*10^-1</f>
        <v>0.02554</v>
      </c>
      <c r="C34" s="11" t="n">
        <f aca="false">235.6</f>
        <v>235.6</v>
      </c>
      <c r="D34" s="11" t="n">
        <f aca="false">0.2639*10^-1</f>
        <v>0.02639</v>
      </c>
      <c r="E34" s="11" t="n">
        <f aca="false">236.3</f>
        <v>236.3</v>
      </c>
      <c r="F34" s="11" t="n">
        <f aca="false">0.2699*10^-1</f>
        <v>0.02699</v>
      </c>
      <c r="G34" s="11" t="n">
        <f aca="false">237.2</f>
        <v>237.2</v>
      </c>
      <c r="H34" s="11" t="n">
        <f aca="false">0.287*10^-1</f>
        <v>0.0287</v>
      </c>
      <c r="I34" s="11" t="n">
        <f aca="false">239.5</f>
        <v>239.5</v>
      </c>
      <c r="K34" s="1" t="n">
        <v>3.1E-009</v>
      </c>
      <c r="M34" s="1" t="n">
        <f aca="false">A34</f>
        <v>70</v>
      </c>
      <c r="N34" s="1" t="n">
        <f aca="false">B34+$K34</f>
        <v>0.0255400031</v>
      </c>
      <c r="O34" s="1" t="n">
        <f aca="false">C34+$K34</f>
        <v>235.6000000031</v>
      </c>
      <c r="P34" s="1" t="n">
        <f aca="false">D34+$K34</f>
        <v>0.0263900031</v>
      </c>
      <c r="Q34" s="1" t="n">
        <f aca="false">E34+$K34</f>
        <v>236.3000000031</v>
      </c>
      <c r="R34" s="1" t="n">
        <f aca="false">F34+$K34</f>
        <v>0.0269900031</v>
      </c>
      <c r="S34" s="1" t="n">
        <f aca="false">G34+$K34</f>
        <v>237.2000000031</v>
      </c>
      <c r="T34" s="1" t="n">
        <f aca="false">H34+$K34</f>
        <v>0.0287000031</v>
      </c>
      <c r="U34" s="1" t="n">
        <f aca="false">I34+$K34</f>
        <v>239.5000000031</v>
      </c>
    </row>
    <row r="35" customFormat="false" ht="13.8" hidden="false" customHeight="false" outlineLevel="0" collapsed="false">
      <c r="A35" s="6" t="n">
        <v>69</v>
      </c>
      <c r="B35" s="11" t="n">
        <f aca="false">0.3094*10^-1</f>
        <v>0.03094</v>
      </c>
      <c r="C35" s="11" t="n">
        <f aca="false">237.1</f>
        <v>237.1</v>
      </c>
      <c r="D35" s="11" t="n">
        <f aca="false">0.3194*10^-1</f>
        <v>0.03194</v>
      </c>
      <c r="E35" s="11" t="n">
        <f aca="false">238.4</f>
        <v>238.4</v>
      </c>
      <c r="F35" s="11" t="n">
        <f aca="false">0.3264*10^-1</f>
        <v>0.03264</v>
      </c>
      <c r="G35" s="11" t="n">
        <f aca="false">239.3</f>
        <v>239.3</v>
      </c>
      <c r="H35" s="11" t="n">
        <f aca="false">0.3464*10^-1</f>
        <v>0.03464</v>
      </c>
      <c r="I35" s="11" t="n">
        <f aca="false">241.8</f>
        <v>241.8</v>
      </c>
      <c r="K35" s="7" t="n">
        <v>3.2E-009</v>
      </c>
      <c r="M35" s="1" t="n">
        <f aca="false">A35</f>
        <v>69</v>
      </c>
      <c r="N35" s="1" t="n">
        <f aca="false">B35+$K35</f>
        <v>0.0309400032</v>
      </c>
      <c r="O35" s="1" t="n">
        <f aca="false">C35+$K35</f>
        <v>237.1000000032</v>
      </c>
      <c r="P35" s="1" t="n">
        <f aca="false">D35+$K35</f>
        <v>0.0319400032</v>
      </c>
      <c r="Q35" s="1" t="n">
        <f aca="false">E35+$K35</f>
        <v>238.4000000032</v>
      </c>
      <c r="R35" s="1" t="n">
        <f aca="false">F35+$K35</f>
        <v>0.0326400032</v>
      </c>
      <c r="S35" s="1" t="n">
        <f aca="false">G35+$K35</f>
        <v>239.3000000032</v>
      </c>
      <c r="T35" s="1" t="n">
        <f aca="false">H35+$K35</f>
        <v>0.0346400032</v>
      </c>
      <c r="U35" s="1" t="n">
        <f aca="false">I35+$K35</f>
        <v>241.8000000032</v>
      </c>
    </row>
    <row r="36" customFormat="false" ht="13.8" hidden="false" customHeight="false" outlineLevel="0" collapsed="false">
      <c r="A36" s="6" t="n">
        <v>68</v>
      </c>
      <c r="B36" s="11" t="n">
        <f aca="false">0.3745*10^-1</f>
        <v>0.03745</v>
      </c>
      <c r="C36" s="11" t="n">
        <f aca="false">237.9</f>
        <v>237.9</v>
      </c>
      <c r="D36" s="11" t="n">
        <f aca="false">0.3861*10^-1</f>
        <v>0.03861</v>
      </c>
      <c r="E36" s="11" t="n">
        <f aca="false">239.7</f>
        <v>239.7</v>
      </c>
      <c r="F36" s="11" t="n">
        <f aca="false">0.3943*10^-1</f>
        <v>0.03943</v>
      </c>
      <c r="G36" s="11" t="n">
        <f aca="false">240.5</f>
        <v>240.5</v>
      </c>
      <c r="H36" s="11" t="n">
        <f aca="false">0.4177*10^-1</f>
        <v>0.04177</v>
      </c>
      <c r="I36" s="11" t="n">
        <f aca="false">243.1</f>
        <v>243.1</v>
      </c>
      <c r="K36" s="7" t="n">
        <v>3.3E-009</v>
      </c>
      <c r="M36" s="1" t="n">
        <f aca="false">A36</f>
        <v>68</v>
      </c>
      <c r="N36" s="1" t="n">
        <f aca="false">B36+$K36</f>
        <v>0.0374500033</v>
      </c>
      <c r="O36" s="1" t="n">
        <f aca="false">C36+$K36</f>
        <v>237.9000000033</v>
      </c>
      <c r="P36" s="1" t="n">
        <f aca="false">D36+$K36</f>
        <v>0.0386100033</v>
      </c>
      <c r="Q36" s="1" t="n">
        <f aca="false">E36+$K36</f>
        <v>239.7000000033</v>
      </c>
      <c r="R36" s="1" t="n">
        <f aca="false">F36+$K36</f>
        <v>0.0394300033</v>
      </c>
      <c r="S36" s="1" t="n">
        <f aca="false">G36+$K36</f>
        <v>240.5000000033</v>
      </c>
      <c r="T36" s="1" t="n">
        <f aca="false">H36+$K36</f>
        <v>0.0417700033</v>
      </c>
      <c r="U36" s="1" t="n">
        <f aca="false">I36+$K36</f>
        <v>243.1000000033</v>
      </c>
    </row>
    <row r="37" customFormat="false" ht="13.8" hidden="false" customHeight="false" outlineLevel="0" collapsed="false">
      <c r="A37" s="6" t="n">
        <v>67</v>
      </c>
      <c r="B37" s="11" t="n">
        <f aca="false">0.4533*10^-1</f>
        <v>0.04533</v>
      </c>
      <c r="C37" s="11" t="n">
        <f aca="false">237.5</f>
        <v>237.5</v>
      </c>
      <c r="D37" s="11" t="n">
        <f aca="false">0.4666*10^-1</f>
        <v>0.04666</v>
      </c>
      <c r="E37" s="11" t="n">
        <f aca="false">239.5</f>
        <v>239.5</v>
      </c>
      <c r="F37" s="11" t="n">
        <f aca="false">0.4762*10^-1</f>
        <v>0.04762</v>
      </c>
      <c r="G37" s="11" t="n">
        <f aca="false">240.4</f>
        <v>240.4</v>
      </c>
      <c r="H37" s="11" t="n">
        <f aca="false">0.5033*10^-1</f>
        <v>0.05033</v>
      </c>
      <c r="I37" s="11" t="n">
        <f aca="false">243.4</f>
        <v>243.4</v>
      </c>
      <c r="K37" s="1" t="n">
        <v>3.4E-009</v>
      </c>
      <c r="M37" s="1" t="n">
        <f aca="false">A37</f>
        <v>67</v>
      </c>
      <c r="N37" s="1" t="n">
        <f aca="false">B37+$K37</f>
        <v>0.0453300034</v>
      </c>
      <c r="O37" s="1" t="n">
        <f aca="false">C37+$K37</f>
        <v>237.5000000034</v>
      </c>
      <c r="P37" s="1" t="n">
        <f aca="false">D37+$K37</f>
        <v>0.0466600034</v>
      </c>
      <c r="Q37" s="1" t="n">
        <f aca="false">E37+$K37</f>
        <v>239.5000000034</v>
      </c>
      <c r="R37" s="1" t="n">
        <f aca="false">F37+$K37</f>
        <v>0.0476200034</v>
      </c>
      <c r="S37" s="1" t="n">
        <f aca="false">G37+$K37</f>
        <v>240.4000000034</v>
      </c>
      <c r="T37" s="1" t="n">
        <f aca="false">H37+$K37</f>
        <v>0.0503300034</v>
      </c>
      <c r="U37" s="1" t="n">
        <f aca="false">I37+$K37</f>
        <v>243.4000000034</v>
      </c>
    </row>
    <row r="38" customFormat="false" ht="13.8" hidden="false" customHeight="false" outlineLevel="0" collapsed="false">
      <c r="A38" s="6" t="n">
        <v>66</v>
      </c>
      <c r="B38" s="11" t="n">
        <f aca="false">0.5493*10^-1</f>
        <v>0.05493</v>
      </c>
      <c r="C38" s="11" t="n">
        <f aca="false">235.5</f>
        <v>235.5</v>
      </c>
      <c r="D38" s="11" t="n">
        <f aca="false">0.5643*10^-1</f>
        <v>0.05643</v>
      </c>
      <c r="E38" s="11" t="n">
        <f aca="false">238.2</f>
        <v>238.2</v>
      </c>
      <c r="F38" s="11" t="n">
        <f aca="false">0.5755*10^-1</f>
        <v>0.05755</v>
      </c>
      <c r="G38" s="11" t="n">
        <f aca="false">239.3</f>
        <v>239.3</v>
      </c>
      <c r="H38" s="11" t="n">
        <f aca="false">0.6066*10^-1</f>
        <v>0.06066</v>
      </c>
      <c r="I38" s="11" t="n">
        <f aca="false">243.4</f>
        <v>243.4</v>
      </c>
      <c r="K38" s="7" t="n">
        <v>3.5E-009</v>
      </c>
      <c r="M38" s="1" t="n">
        <f aca="false">A38</f>
        <v>66</v>
      </c>
      <c r="N38" s="1" t="n">
        <f aca="false">B38+$K38</f>
        <v>0.0549300035</v>
      </c>
      <c r="O38" s="1" t="n">
        <f aca="false">C38+$K38</f>
        <v>235.5000000035</v>
      </c>
      <c r="P38" s="1" t="n">
        <f aca="false">D38+$K38</f>
        <v>0.0564300035</v>
      </c>
      <c r="Q38" s="1" t="n">
        <f aca="false">E38+$K38</f>
        <v>238.2000000035</v>
      </c>
      <c r="R38" s="1" t="n">
        <f aca="false">F38+$K38</f>
        <v>0.0575500035</v>
      </c>
      <c r="S38" s="1" t="n">
        <f aca="false">G38+$K38</f>
        <v>239.3000000035</v>
      </c>
      <c r="T38" s="1" t="n">
        <f aca="false">H38+$K38</f>
        <v>0.0606600035</v>
      </c>
      <c r="U38" s="1" t="n">
        <f aca="false">I38+$K38</f>
        <v>243.4000000035</v>
      </c>
    </row>
    <row r="39" customFormat="false" ht="13.8" hidden="false" customHeight="false" outlineLevel="0" collapsed="false">
      <c r="A39" s="6" t="n">
        <v>65</v>
      </c>
      <c r="B39" s="11" t="n">
        <f aca="false">0.6668*10^-1</f>
        <v>0.06668</v>
      </c>
      <c r="C39" s="11" t="n">
        <f aca="false">234</f>
        <v>234</v>
      </c>
      <c r="D39" s="11" t="n">
        <f aca="false">0.6832*10^-1</f>
        <v>0.06832</v>
      </c>
      <c r="E39" s="11" t="n">
        <f aca="false">237.6</f>
        <v>237.6</v>
      </c>
      <c r="F39" s="11" t="n">
        <f aca="false">0.696*10^-1</f>
        <v>0.0696</v>
      </c>
      <c r="G39" s="11" t="n">
        <f aca="false">239</f>
        <v>239</v>
      </c>
      <c r="H39" s="11" t="n">
        <f aca="false">0.7309*10^-1</f>
        <v>0.07309</v>
      </c>
      <c r="I39" s="11" t="n">
        <f aca="false">243.8</f>
        <v>243.8</v>
      </c>
      <c r="K39" s="7" t="n">
        <v>3.6E-009</v>
      </c>
      <c r="M39" s="1" t="n">
        <f aca="false">A39</f>
        <v>65</v>
      </c>
      <c r="N39" s="1" t="n">
        <f aca="false">B39+$K39</f>
        <v>0.0666800036</v>
      </c>
      <c r="O39" s="1" t="n">
        <f aca="false">C39+$K39</f>
        <v>234.0000000036</v>
      </c>
      <c r="P39" s="1" t="n">
        <f aca="false">D39+$K39</f>
        <v>0.0683200036</v>
      </c>
      <c r="Q39" s="1" t="n">
        <f aca="false">E39+$K39</f>
        <v>237.6000000036</v>
      </c>
      <c r="R39" s="1" t="n">
        <f aca="false">F39+$K39</f>
        <v>0.0696000036</v>
      </c>
      <c r="S39" s="1" t="n">
        <f aca="false">G39+$K39</f>
        <v>239.0000000036</v>
      </c>
      <c r="T39" s="1" t="n">
        <f aca="false">H39+$K39</f>
        <v>0.0730900036</v>
      </c>
      <c r="U39" s="1" t="n">
        <f aca="false">I39+$K39</f>
        <v>243.8000000036</v>
      </c>
    </row>
    <row r="40" customFormat="false" ht="13.8" hidden="false" customHeight="false" outlineLevel="0" collapsed="false">
      <c r="A40" s="6" t="n">
        <v>64</v>
      </c>
      <c r="B40" s="11" t="n">
        <f aca="false">0.8099*10^-1</f>
        <v>0.08099</v>
      </c>
      <c r="C40" s="11" t="n">
        <f aca="false">233.4</f>
        <v>233.4</v>
      </c>
      <c r="D40" s="11" t="n">
        <f aca="false">0.8271*10^-1</f>
        <v>0.08271</v>
      </c>
      <c r="E40" s="11" t="n">
        <f aca="false">237.8</f>
        <v>237.8</v>
      </c>
      <c r="F40" s="11" t="n">
        <f aca="false">0.8417*10^-1</f>
        <v>0.08417</v>
      </c>
      <c r="G40" s="11" t="n">
        <f aca="false">239.3</f>
        <v>239.3</v>
      </c>
      <c r="H40" s="11" t="n">
        <f aca="false">0.8803*10^-1</f>
        <v>0.08803</v>
      </c>
      <c r="I40" s="11" t="n">
        <f aca="false">244.8</f>
        <v>244.8</v>
      </c>
      <c r="K40" s="1" t="n">
        <v>3.7E-009</v>
      </c>
      <c r="M40" s="1" t="n">
        <f aca="false">A40</f>
        <v>64</v>
      </c>
      <c r="N40" s="1" t="n">
        <f aca="false">B40+$K40</f>
        <v>0.0809900037</v>
      </c>
      <c r="O40" s="1" t="n">
        <f aca="false">C40+$K40</f>
        <v>233.4000000037</v>
      </c>
      <c r="P40" s="1" t="n">
        <f aca="false">D40+$K40</f>
        <v>0.0827100037</v>
      </c>
      <c r="Q40" s="1" t="n">
        <f aca="false">E40+$K40</f>
        <v>237.8000000037</v>
      </c>
      <c r="R40" s="1" t="n">
        <f aca="false">F40+$K40</f>
        <v>0.0841700037</v>
      </c>
      <c r="S40" s="1" t="n">
        <f aca="false">G40+$K40</f>
        <v>239.3000000037</v>
      </c>
      <c r="T40" s="1" t="n">
        <f aca="false">H40+$K40</f>
        <v>0.0880300037</v>
      </c>
      <c r="U40" s="1" t="n">
        <f aca="false">I40+$K40</f>
        <v>244.8000000037</v>
      </c>
    </row>
    <row r="41" customFormat="false" ht="13.8" hidden="false" customHeight="false" outlineLevel="0" collapsed="false">
      <c r="A41" s="6" t="n">
        <v>63</v>
      </c>
      <c r="B41" s="11" t="n">
        <f aca="false">0.9841*10^-1</f>
        <v>0.09841</v>
      </c>
      <c r="C41" s="11" t="n">
        <f aca="false">233.5</f>
        <v>233.5</v>
      </c>
      <c r="D41" s="11" t="n">
        <f aca="false">0.1001</f>
        <v>0.1001</v>
      </c>
      <c r="E41" s="11" t="n">
        <f aca="false">238.5</f>
        <v>238.5</v>
      </c>
      <c r="F41" s="11" t="n">
        <f aca="false">0.1017</f>
        <v>0.1017</v>
      </c>
      <c r="G41" s="11" t="n">
        <f aca="false">240.2</f>
        <v>240.2</v>
      </c>
      <c r="H41" s="11" t="n">
        <f aca="false">0.1059</f>
        <v>0.1059</v>
      </c>
      <c r="I41" s="11" t="n">
        <f aca="false">245.8</f>
        <v>245.8</v>
      </c>
      <c r="K41" s="7" t="n">
        <v>3.8E-009</v>
      </c>
      <c r="M41" s="1" t="n">
        <f aca="false">A41</f>
        <v>63</v>
      </c>
      <c r="N41" s="1" t="n">
        <f aca="false">B41+$K41</f>
        <v>0.0984100038</v>
      </c>
      <c r="O41" s="1" t="n">
        <f aca="false">C41+$K41</f>
        <v>233.5000000038</v>
      </c>
      <c r="P41" s="1" t="n">
        <f aca="false">D41+$K41</f>
        <v>0.1001000038</v>
      </c>
      <c r="Q41" s="1" t="n">
        <f aca="false">E41+$K41</f>
        <v>238.5000000038</v>
      </c>
      <c r="R41" s="1" t="n">
        <f aca="false">F41+$K41</f>
        <v>0.1017000038</v>
      </c>
      <c r="S41" s="1" t="n">
        <f aca="false">G41+$K41</f>
        <v>240.2000000038</v>
      </c>
      <c r="T41" s="1" t="n">
        <f aca="false">H41+$K41</f>
        <v>0.1059000038</v>
      </c>
      <c r="U41" s="1" t="n">
        <f aca="false">I41+$K41</f>
        <v>245.8000000038</v>
      </c>
    </row>
    <row r="42" customFormat="false" ht="13.8" hidden="false" customHeight="false" outlineLevel="0" collapsed="false">
      <c r="A42" s="6" t="n">
        <v>62</v>
      </c>
      <c r="B42" s="11" t="n">
        <f aca="false">0.1195</f>
        <v>0.1195</v>
      </c>
      <c r="C42" s="11" t="n">
        <f aca="false">234.5</f>
        <v>234.5</v>
      </c>
      <c r="D42" s="11" t="n">
        <f aca="false">0.1211</f>
        <v>0.1211</v>
      </c>
      <c r="E42" s="11" t="n">
        <f aca="false">239.7</f>
        <v>239.7</v>
      </c>
      <c r="F42" s="11" t="n">
        <f aca="false">0.1229</f>
        <v>0.1229</v>
      </c>
      <c r="G42" s="11" t="n">
        <f aca="false">241</f>
        <v>241</v>
      </c>
      <c r="H42" s="11" t="n">
        <f aca="false">0.1275</f>
        <v>0.1275</v>
      </c>
      <c r="I42" s="11" t="n">
        <f aca="false">245.7</f>
        <v>245.7</v>
      </c>
      <c r="K42" s="7" t="n">
        <v>3.9E-009</v>
      </c>
      <c r="M42" s="1" t="n">
        <f aca="false">A42</f>
        <v>62</v>
      </c>
      <c r="N42" s="1" t="n">
        <f aca="false">B42+$K42</f>
        <v>0.1195000039</v>
      </c>
      <c r="O42" s="1" t="n">
        <f aca="false">C42+$K42</f>
        <v>234.5000000039</v>
      </c>
      <c r="P42" s="1" t="n">
        <f aca="false">D42+$K42</f>
        <v>0.1211000039</v>
      </c>
      <c r="Q42" s="1" t="n">
        <f aca="false">E42+$K42</f>
        <v>239.7000000039</v>
      </c>
      <c r="R42" s="1" t="n">
        <f aca="false">F42+$K42</f>
        <v>0.1229000039</v>
      </c>
      <c r="S42" s="1" t="n">
        <f aca="false">G42+$K42</f>
        <v>241.0000000039</v>
      </c>
      <c r="T42" s="1" t="n">
        <f aca="false">H42+$K42</f>
        <v>0.1275000039</v>
      </c>
      <c r="U42" s="1" t="n">
        <f aca="false">I42+$K42</f>
        <v>245.7000000039</v>
      </c>
    </row>
    <row r="43" customFormat="false" ht="13.8" hidden="false" customHeight="false" outlineLevel="0" collapsed="false">
      <c r="A43" s="6" t="n">
        <v>61</v>
      </c>
      <c r="B43" s="11" t="n">
        <f aca="false">0.1451</f>
        <v>0.1451</v>
      </c>
      <c r="C43" s="11" t="n">
        <f aca="false">233.9</f>
        <v>233.9</v>
      </c>
      <c r="D43" s="11" t="n">
        <f aca="false">0.1464</f>
        <v>0.1464</v>
      </c>
      <c r="E43" s="11" t="n">
        <f aca="false">238.7</f>
        <v>238.7</v>
      </c>
      <c r="F43" s="11" t="n">
        <f aca="false">0.1485</f>
        <v>0.1485</v>
      </c>
      <c r="G43" s="11" t="n">
        <f aca="false">239.9</f>
        <v>239.9</v>
      </c>
      <c r="H43" s="11" t="n">
        <f aca="false">0.1534</f>
        <v>0.1534</v>
      </c>
      <c r="I43" s="11" t="n">
        <f aca="false">244.8</f>
        <v>244.8</v>
      </c>
      <c r="K43" s="1" t="n">
        <v>4E-009</v>
      </c>
      <c r="M43" s="1" t="n">
        <f aca="false">A43</f>
        <v>61</v>
      </c>
      <c r="N43" s="1" t="n">
        <f aca="false">B43+$K43</f>
        <v>0.145100004</v>
      </c>
      <c r="O43" s="1" t="n">
        <f aca="false">C43+$K43</f>
        <v>233.900000004</v>
      </c>
      <c r="P43" s="1" t="n">
        <f aca="false">D43+$K43</f>
        <v>0.146400004</v>
      </c>
      <c r="Q43" s="1" t="n">
        <f aca="false">E43+$K43</f>
        <v>238.700000004</v>
      </c>
      <c r="R43" s="1" t="n">
        <f aca="false">F43+$K43</f>
        <v>0.148500004</v>
      </c>
      <c r="S43" s="1" t="n">
        <f aca="false">G43+$K43</f>
        <v>239.900000004</v>
      </c>
      <c r="T43" s="1" t="n">
        <f aca="false">H43+$K43</f>
        <v>0.153400004</v>
      </c>
      <c r="U43" s="1" t="n">
        <f aca="false">I43+$K43</f>
        <v>244.800000004</v>
      </c>
    </row>
    <row r="44" customFormat="false" ht="13.8" hidden="false" customHeight="false" outlineLevel="0" collapsed="false">
      <c r="A44" s="6" t="n">
        <v>60</v>
      </c>
      <c r="B44" s="11" t="n">
        <f aca="false">0.1763</f>
        <v>0.1763</v>
      </c>
      <c r="C44" s="11" t="n">
        <f aca="false">233.4</f>
        <v>233.4</v>
      </c>
      <c r="D44" s="11" t="n">
        <f aca="false">0.1773</f>
        <v>0.1773</v>
      </c>
      <c r="E44" s="11" t="n">
        <f aca="false">237.5</f>
        <v>237.5</v>
      </c>
      <c r="F44" s="11" t="n">
        <f aca="false">0.1796</f>
        <v>0.1796</v>
      </c>
      <c r="G44" s="11" t="n">
        <f aca="false">238.8</f>
        <v>238.8</v>
      </c>
      <c r="H44" s="11" t="n">
        <f aca="false">0.1849</f>
        <v>0.1849</v>
      </c>
      <c r="I44" s="11" t="n">
        <f aca="false">243.4</f>
        <v>243.4</v>
      </c>
      <c r="K44" s="7" t="n">
        <v>4.1E-009</v>
      </c>
      <c r="M44" s="1" t="n">
        <f aca="false">A44</f>
        <v>60</v>
      </c>
      <c r="N44" s="1" t="n">
        <f aca="false">B44+$K44</f>
        <v>0.1763000041</v>
      </c>
      <c r="O44" s="1" t="n">
        <f aca="false">C44+$K44</f>
        <v>233.4000000041</v>
      </c>
      <c r="P44" s="1" t="n">
        <f aca="false">D44+$K44</f>
        <v>0.1773000041</v>
      </c>
      <c r="Q44" s="1" t="n">
        <f aca="false">E44+$K44</f>
        <v>237.5000000041</v>
      </c>
      <c r="R44" s="1" t="n">
        <f aca="false">F44+$K44</f>
        <v>0.1796000041</v>
      </c>
      <c r="S44" s="1" t="n">
        <f aca="false">G44+$K44</f>
        <v>238.8000000041</v>
      </c>
      <c r="T44" s="1" t="n">
        <f aca="false">H44+$K44</f>
        <v>0.1849000041</v>
      </c>
      <c r="U44" s="1" t="n">
        <f aca="false">I44+$K44</f>
        <v>243.4000000041</v>
      </c>
    </row>
    <row r="45" customFormat="false" ht="13.8" hidden="false" customHeight="false" outlineLevel="0" collapsed="false">
      <c r="A45" s="6" t="n">
        <v>59</v>
      </c>
      <c r="B45" s="11" t="n">
        <f aca="false">0.2141</f>
        <v>0.2141</v>
      </c>
      <c r="C45" s="11" t="n">
        <f aca="false">235.1</f>
        <v>235.1</v>
      </c>
      <c r="D45" s="11" t="n">
        <f aca="false">0.2147</f>
        <v>0.2147</v>
      </c>
      <c r="E45" s="11" t="n">
        <f aca="false">238.2</f>
        <v>238.2</v>
      </c>
      <c r="F45" s="11" t="n">
        <f aca="false">0.2173</f>
        <v>0.2173</v>
      </c>
      <c r="G45" s="11" t="n">
        <f aca="false">239.3</f>
        <v>239.3</v>
      </c>
      <c r="H45" s="11" t="n">
        <f aca="false">0.223</f>
        <v>0.223</v>
      </c>
      <c r="I45" s="11" t="n">
        <f aca="false">243</f>
        <v>243</v>
      </c>
      <c r="K45" s="7" t="n">
        <v>4.2E-009</v>
      </c>
      <c r="M45" s="1" t="n">
        <f aca="false">A45</f>
        <v>59</v>
      </c>
      <c r="N45" s="1" t="n">
        <f aca="false">B45+$K45</f>
        <v>0.2141000042</v>
      </c>
      <c r="O45" s="1" t="n">
        <f aca="false">C45+$K45</f>
        <v>235.1000000042</v>
      </c>
      <c r="P45" s="1" t="n">
        <f aca="false">D45+$K45</f>
        <v>0.2147000042</v>
      </c>
      <c r="Q45" s="1" t="n">
        <f aca="false">E45+$K45</f>
        <v>238.2000000042</v>
      </c>
      <c r="R45" s="1" t="n">
        <f aca="false">F45+$K45</f>
        <v>0.2173000042</v>
      </c>
      <c r="S45" s="1" t="n">
        <f aca="false">G45+$K45</f>
        <v>239.3000000042</v>
      </c>
      <c r="T45" s="1" t="n">
        <f aca="false">H45+$K45</f>
        <v>0.2230000042</v>
      </c>
      <c r="U45" s="1" t="n">
        <f aca="false">I45+$K45</f>
        <v>243.0000000042</v>
      </c>
    </row>
    <row r="46" customFormat="false" ht="13.8" hidden="false" customHeight="false" outlineLevel="0" collapsed="false">
      <c r="A46" s="6" t="n">
        <v>58</v>
      </c>
      <c r="B46" s="11" t="n">
        <f aca="false">0.2597</f>
        <v>0.2597</v>
      </c>
      <c r="C46" s="11" t="n">
        <f aca="false">236.5</f>
        <v>236.5</v>
      </c>
      <c r="D46" s="11" t="n">
        <f aca="false">0.2597</f>
        <v>0.2597</v>
      </c>
      <c r="E46" s="11" t="n">
        <f aca="false">239.5</f>
        <v>239.5</v>
      </c>
      <c r="F46" s="11" t="n">
        <f aca="false">0.2626</f>
        <v>0.2626</v>
      </c>
      <c r="G46" s="11" t="n">
        <f aca="false">240.6</f>
        <v>240.6</v>
      </c>
      <c r="H46" s="11" t="n">
        <f aca="false">0.2688</f>
        <v>0.2688</v>
      </c>
      <c r="I46" s="11" t="n">
        <f aca="false">244.6</f>
        <v>244.6</v>
      </c>
      <c r="K46" s="1" t="n">
        <v>4.3E-009</v>
      </c>
      <c r="M46" s="1" t="n">
        <f aca="false">A46</f>
        <v>58</v>
      </c>
      <c r="N46" s="1" t="n">
        <f aca="false">B46+$K46</f>
        <v>0.2597000043</v>
      </c>
      <c r="O46" s="1" t="n">
        <f aca="false">C46+$K46</f>
        <v>236.5000000043</v>
      </c>
      <c r="P46" s="1" t="n">
        <f aca="false">D46+$K46</f>
        <v>0.2597000043</v>
      </c>
      <c r="Q46" s="1" t="n">
        <f aca="false">E46+$K46</f>
        <v>239.5000000043</v>
      </c>
      <c r="R46" s="1" t="n">
        <f aca="false">F46+$K46</f>
        <v>0.2626000043</v>
      </c>
      <c r="S46" s="1" t="n">
        <f aca="false">G46+$K46</f>
        <v>240.6000000043</v>
      </c>
      <c r="T46" s="1" t="n">
        <f aca="false">H46+$K46</f>
        <v>0.2688000043</v>
      </c>
      <c r="U46" s="1" t="n">
        <f aca="false">I46+$K46</f>
        <v>244.6000000043</v>
      </c>
    </row>
    <row r="47" customFormat="false" ht="13.8" hidden="false" customHeight="false" outlineLevel="0" collapsed="false">
      <c r="A47" s="6" t="n">
        <v>57</v>
      </c>
      <c r="B47" s="11" t="n">
        <f aca="false">0.3145</f>
        <v>0.3145</v>
      </c>
      <c r="C47" s="11" t="n">
        <f aca="false">238.6</f>
        <v>238.6</v>
      </c>
      <c r="D47" s="11" t="n">
        <f aca="false">0.3138</f>
        <v>0.3138</v>
      </c>
      <c r="E47" s="11" t="n">
        <f aca="false">241.5</f>
        <v>241.5</v>
      </c>
      <c r="F47" s="11" t="n">
        <f aca="false">0.317</f>
        <v>0.317</v>
      </c>
      <c r="G47" s="11" t="n">
        <f aca="false">242.7</f>
        <v>242.7</v>
      </c>
      <c r="H47" s="11" t="n">
        <f aca="false">0.3236</f>
        <v>0.3236</v>
      </c>
      <c r="I47" s="11" t="n">
        <f aca="false">245.7</f>
        <v>245.7</v>
      </c>
      <c r="K47" s="7" t="n">
        <v>4.4E-009</v>
      </c>
      <c r="M47" s="1" t="n">
        <f aca="false">A47</f>
        <v>57</v>
      </c>
      <c r="N47" s="1" t="n">
        <f aca="false">B47+$K47</f>
        <v>0.3145000044</v>
      </c>
      <c r="O47" s="1" t="n">
        <f aca="false">C47+$K47</f>
        <v>238.6000000044</v>
      </c>
      <c r="P47" s="1" t="n">
        <f aca="false">D47+$K47</f>
        <v>0.3138000044</v>
      </c>
      <c r="Q47" s="1" t="n">
        <f aca="false">E47+$K47</f>
        <v>241.5000000044</v>
      </c>
      <c r="R47" s="1" t="n">
        <f aca="false">F47+$K47</f>
        <v>0.3170000044</v>
      </c>
      <c r="S47" s="1" t="n">
        <f aca="false">G47+$K47</f>
        <v>242.7000000044</v>
      </c>
      <c r="T47" s="1" t="n">
        <f aca="false">H47+$K47</f>
        <v>0.3236000044</v>
      </c>
      <c r="U47" s="1" t="n">
        <f aca="false">I47+$K47</f>
        <v>245.7000000044</v>
      </c>
    </row>
    <row r="48" customFormat="false" ht="13.8" hidden="false" customHeight="false" outlineLevel="0" collapsed="false">
      <c r="A48" s="6" t="n">
        <v>56</v>
      </c>
      <c r="B48" s="11" t="n">
        <f aca="false">0.3806</f>
        <v>0.3806</v>
      </c>
      <c r="C48" s="11" t="n">
        <f aca="false">240.7</f>
        <v>240.7</v>
      </c>
      <c r="D48" s="11" t="n">
        <f aca="false">0.3791</f>
        <v>0.3791</v>
      </c>
      <c r="E48" s="11" t="n">
        <f aca="false">242.3</f>
        <v>242.3</v>
      </c>
      <c r="F48" s="11" t="n">
        <f aca="false">0.3824</f>
        <v>0.3824</v>
      </c>
      <c r="G48" s="11" t="n">
        <f aca="false">244.8</f>
        <v>244.8</v>
      </c>
      <c r="H48" s="11" t="n">
        <f aca="false">0.389</f>
        <v>0.389</v>
      </c>
      <c r="I48" s="11" t="n">
        <f aca="false">250.9</f>
        <v>250.9</v>
      </c>
      <c r="K48" s="7" t="n">
        <v>4.5E-009</v>
      </c>
      <c r="M48" s="1" t="n">
        <f aca="false">A48</f>
        <v>56</v>
      </c>
      <c r="N48" s="1" t="n">
        <f aca="false">B48+$K48</f>
        <v>0.3806000045</v>
      </c>
      <c r="O48" s="1" t="n">
        <f aca="false">C48+$K48</f>
        <v>240.7000000045</v>
      </c>
      <c r="P48" s="1" t="n">
        <f aca="false">D48+$K48</f>
        <v>0.3791000045</v>
      </c>
      <c r="Q48" s="1" t="n">
        <f aca="false">E48+$K48</f>
        <v>242.3000000045</v>
      </c>
      <c r="R48" s="1" t="n">
        <f aca="false">F48+$K48</f>
        <v>0.3824000045</v>
      </c>
      <c r="S48" s="1" t="n">
        <f aca="false">G48+$K48</f>
        <v>244.8000000045</v>
      </c>
      <c r="T48" s="1" t="n">
        <f aca="false">H48+$K48</f>
        <v>0.3890000045</v>
      </c>
      <c r="U48" s="1" t="n">
        <f aca="false">I48+$K48</f>
        <v>250.9000000045</v>
      </c>
    </row>
    <row r="49" customFormat="false" ht="13.8" hidden="false" customHeight="false" outlineLevel="0" collapsed="false">
      <c r="A49" s="6" t="n">
        <v>55</v>
      </c>
      <c r="B49" s="11" t="n">
        <f aca="false">0.4565</f>
        <v>0.4565</v>
      </c>
      <c r="C49" s="11" t="n">
        <f aca="false">256.8</f>
        <v>256.8</v>
      </c>
      <c r="D49" s="11" t="n">
        <f aca="false">0.4543</f>
        <v>0.4543</v>
      </c>
      <c r="E49" s="11" t="n">
        <f aca="false">257.6</f>
        <v>257.6</v>
      </c>
      <c r="F49" s="11" t="n">
        <f aca="false">0.4575</f>
        <v>0.4575</v>
      </c>
      <c r="G49" s="11" t="n">
        <f aca="false">259.9</f>
        <v>259.9</v>
      </c>
      <c r="H49" s="11" t="n">
        <f aca="false">0.4635</f>
        <v>0.4635</v>
      </c>
      <c r="I49" s="11" t="n">
        <f aca="false">265.3</f>
        <v>265.3</v>
      </c>
      <c r="K49" s="1" t="n">
        <v>4.6E-009</v>
      </c>
      <c r="M49" s="1" t="n">
        <f aca="false">A49</f>
        <v>55</v>
      </c>
      <c r="N49" s="1" t="n">
        <f aca="false">B49+$K49</f>
        <v>0.4565000046</v>
      </c>
      <c r="O49" s="1" t="n">
        <f aca="false">C49+$K49</f>
        <v>256.8000000046</v>
      </c>
      <c r="P49" s="1" t="n">
        <f aca="false">D49+$K49</f>
        <v>0.4543000046</v>
      </c>
      <c r="Q49" s="1" t="n">
        <f aca="false">E49+$K49</f>
        <v>257.6000000046</v>
      </c>
      <c r="R49" s="1" t="n">
        <f aca="false">F49+$K49</f>
        <v>0.4575000046</v>
      </c>
      <c r="S49" s="1" t="n">
        <f aca="false">G49+$K49</f>
        <v>259.9000000046</v>
      </c>
      <c r="T49" s="1" t="n">
        <f aca="false">H49+$K49</f>
        <v>0.4635000046</v>
      </c>
      <c r="U49" s="1" t="n">
        <f aca="false">I49+$K49</f>
        <v>265.3000000046</v>
      </c>
    </row>
    <row r="50" customFormat="false" ht="13.8" hidden="false" customHeight="false" outlineLevel="0" collapsed="false">
      <c r="A50" s="6" t="n">
        <v>54</v>
      </c>
      <c r="B50" s="11" t="n">
        <f aca="false">0.5416</f>
        <v>0.5416</v>
      </c>
      <c r="C50" s="11" t="n">
        <f aca="false">272</f>
        <v>272</v>
      </c>
      <c r="D50" s="11" t="n">
        <f aca="false">0.539</f>
        <v>0.539</v>
      </c>
      <c r="E50" s="11" t="n">
        <f aca="false">272.1</f>
        <v>272.1</v>
      </c>
      <c r="F50" s="11" t="n">
        <f aca="false">0.542</f>
        <v>0.542</v>
      </c>
      <c r="G50" s="11" t="n">
        <f aca="false">274.2</f>
        <v>274.2</v>
      </c>
      <c r="H50" s="11" t="n">
        <f aca="false">0.5474</f>
        <v>0.5474</v>
      </c>
      <c r="I50" s="11" t="n">
        <f aca="false">278.9</f>
        <v>278.9</v>
      </c>
      <c r="K50" s="7" t="n">
        <v>4.7E-009</v>
      </c>
      <c r="M50" s="1" t="n">
        <f aca="false">A50</f>
        <v>54</v>
      </c>
      <c r="N50" s="1" t="n">
        <f aca="false">B50+$K50</f>
        <v>0.5416000047</v>
      </c>
      <c r="O50" s="1" t="n">
        <f aca="false">C50+$K50</f>
        <v>272.0000000047</v>
      </c>
      <c r="P50" s="1" t="n">
        <f aca="false">D50+$K50</f>
        <v>0.5390000047</v>
      </c>
      <c r="Q50" s="1" t="n">
        <f aca="false">E50+$K50</f>
        <v>272.1000000047</v>
      </c>
      <c r="R50" s="1" t="n">
        <f aca="false">F50+$K50</f>
        <v>0.5420000047</v>
      </c>
      <c r="S50" s="1" t="n">
        <f aca="false">G50+$K50</f>
        <v>274.2000000047</v>
      </c>
      <c r="T50" s="1" t="n">
        <f aca="false">H50+$K50</f>
        <v>0.5474000047</v>
      </c>
      <c r="U50" s="1" t="n">
        <f aca="false">I50+$K50</f>
        <v>278.9000000047</v>
      </c>
    </row>
    <row r="51" customFormat="false" ht="13.8" hidden="false" customHeight="false" outlineLevel="0" collapsed="false">
      <c r="A51" s="6" t="n">
        <v>53</v>
      </c>
      <c r="B51" s="11" t="n">
        <f aca="false">0.637</f>
        <v>0.637</v>
      </c>
      <c r="C51" s="11" t="n">
        <f aca="false">286.4</f>
        <v>286.4</v>
      </c>
      <c r="D51" s="11" t="n">
        <f aca="false">0.634</f>
        <v>0.634</v>
      </c>
      <c r="E51" s="11" t="n">
        <f aca="false">285.8</f>
        <v>285.8</v>
      </c>
      <c r="F51" s="11" t="n">
        <f aca="false">0.6368</f>
        <v>0.6368</v>
      </c>
      <c r="G51" s="11" t="n">
        <f aca="false">287.9</f>
        <v>287.9</v>
      </c>
      <c r="H51" s="11" t="n">
        <f aca="false">0.6416</f>
        <v>0.6416</v>
      </c>
      <c r="I51" s="11" t="n">
        <f aca="false">291.9</f>
        <v>291.9</v>
      </c>
      <c r="K51" s="7" t="n">
        <v>4.8E-009</v>
      </c>
      <c r="M51" s="1" t="n">
        <f aca="false">A51</f>
        <v>53</v>
      </c>
      <c r="N51" s="1" t="n">
        <f aca="false">B51+$K51</f>
        <v>0.6370000048</v>
      </c>
      <c r="O51" s="1" t="n">
        <f aca="false">C51+$K51</f>
        <v>286.4000000048</v>
      </c>
      <c r="P51" s="1" t="n">
        <f aca="false">D51+$K51</f>
        <v>0.6340000048</v>
      </c>
      <c r="Q51" s="1" t="n">
        <f aca="false">E51+$K51</f>
        <v>285.8000000048</v>
      </c>
      <c r="R51" s="1" t="n">
        <f aca="false">F51+$K51</f>
        <v>0.6368000048</v>
      </c>
      <c r="S51" s="1" t="n">
        <f aca="false">G51+$K51</f>
        <v>287.9000000048</v>
      </c>
      <c r="T51" s="1" t="n">
        <f aca="false">H51+$K51</f>
        <v>0.6416000048</v>
      </c>
      <c r="U51" s="1" t="n">
        <f aca="false">I51+$K51</f>
        <v>291.9000000048</v>
      </c>
    </row>
    <row r="52" customFormat="false" ht="13.8" hidden="false" customHeight="false" outlineLevel="0" collapsed="false">
      <c r="A52" s="6" t="n">
        <v>52</v>
      </c>
      <c r="B52" s="11" t="n">
        <f aca="false">0.7434</f>
        <v>0.7434</v>
      </c>
      <c r="C52" s="11" t="n">
        <f aca="false">300.1</f>
        <v>300.1</v>
      </c>
      <c r="D52" s="11" t="n">
        <f aca="false">0.7402</f>
        <v>0.7402</v>
      </c>
      <c r="E52" s="11" t="n">
        <f aca="false">299</f>
        <v>299</v>
      </c>
      <c r="F52" s="11" t="n">
        <f aca="false">0.7427</f>
        <v>0.7427</v>
      </c>
      <c r="G52" s="11" t="n">
        <f aca="false">300.8</f>
        <v>300.8</v>
      </c>
      <c r="H52" s="11" t="n">
        <f aca="false">0.7469</f>
        <v>0.7469</v>
      </c>
      <c r="I52" s="11" t="n">
        <f aca="false">304.4</f>
        <v>304.4</v>
      </c>
      <c r="K52" s="1" t="n">
        <v>4.9E-009</v>
      </c>
      <c r="M52" s="1" t="n">
        <f aca="false">A52</f>
        <v>52</v>
      </c>
      <c r="N52" s="1" t="n">
        <f aca="false">B52+$K52</f>
        <v>0.7434000049</v>
      </c>
      <c r="O52" s="1" t="n">
        <f aca="false">C52+$K52</f>
        <v>300.1000000049</v>
      </c>
      <c r="P52" s="1" t="n">
        <f aca="false">D52+$K52</f>
        <v>0.7402000049</v>
      </c>
      <c r="Q52" s="1" t="n">
        <f aca="false">E52+$K52</f>
        <v>299.0000000049</v>
      </c>
      <c r="R52" s="1" t="n">
        <f aca="false">F52+$K52</f>
        <v>0.7427000049</v>
      </c>
      <c r="S52" s="1" t="n">
        <f aca="false">G52+$K52</f>
        <v>300.8000000049</v>
      </c>
      <c r="T52" s="1" t="n">
        <f aca="false">H52+$K52</f>
        <v>0.7469000049</v>
      </c>
      <c r="U52" s="1" t="n">
        <f aca="false">I52+$K52</f>
        <v>304.4000000049</v>
      </c>
    </row>
    <row r="53" customFormat="false" ht="13.8" hidden="false" customHeight="false" outlineLevel="0" collapsed="false">
      <c r="A53" s="6" t="n">
        <v>51</v>
      </c>
      <c r="B53" s="11" t="n">
        <f aca="false">0.8619</f>
        <v>0.8619</v>
      </c>
      <c r="C53" s="11" t="n">
        <f aca="false">313.2</f>
        <v>313.2</v>
      </c>
      <c r="D53" s="11" t="n">
        <f aca="false">0.8588</f>
        <v>0.8588</v>
      </c>
      <c r="E53" s="11" t="n">
        <f aca="false">311.6</f>
        <v>311.6</v>
      </c>
      <c r="F53" s="11" t="n">
        <f aca="false">0.861</f>
        <v>0.861</v>
      </c>
      <c r="G53" s="11" t="n">
        <f aca="false">313.3</f>
        <v>313.3</v>
      </c>
      <c r="H53" s="11" t="n">
        <f aca="false">0.8645</f>
        <v>0.8645</v>
      </c>
      <c r="I53" s="11" t="n">
        <f aca="false">316.4</f>
        <v>316.4</v>
      </c>
      <c r="K53" s="7" t="n">
        <v>5E-009</v>
      </c>
      <c r="M53" s="1" t="n">
        <f aca="false">A53</f>
        <v>51</v>
      </c>
      <c r="N53" s="1" t="n">
        <f aca="false">B53+$K53</f>
        <v>0.861900005</v>
      </c>
      <c r="O53" s="1" t="n">
        <f aca="false">C53+$K53</f>
        <v>313.200000005</v>
      </c>
      <c r="P53" s="1" t="n">
        <f aca="false">D53+$K53</f>
        <v>0.858800005</v>
      </c>
      <c r="Q53" s="1" t="n">
        <f aca="false">E53+$K53</f>
        <v>311.600000005</v>
      </c>
      <c r="R53" s="1" t="n">
        <f aca="false">F53+$K53</f>
        <v>0.861000005</v>
      </c>
      <c r="S53" s="1" t="n">
        <f aca="false">G53+$K53</f>
        <v>313.300000005</v>
      </c>
      <c r="T53" s="1" t="n">
        <f aca="false">H53+$K53</f>
        <v>0.864500005</v>
      </c>
      <c r="U53" s="1" t="n">
        <f aca="false">I53+$K53</f>
        <v>316.400000005</v>
      </c>
    </row>
    <row r="54" customFormat="false" ht="13.8" hidden="false" customHeight="false" outlineLevel="0" collapsed="false">
      <c r="A54" s="6" t="n">
        <v>50</v>
      </c>
      <c r="B54" s="11" t="n">
        <f aca="false">0.9934</f>
        <v>0.9934</v>
      </c>
      <c r="C54" s="11" t="n">
        <f aca="false">325.7</f>
        <v>325.7</v>
      </c>
      <c r="D54" s="11" t="n">
        <f aca="false">0.9906</f>
        <v>0.9906</v>
      </c>
      <c r="E54" s="11" t="n">
        <f aca="false">323.8</f>
        <v>323.8</v>
      </c>
      <c r="F54" s="11" t="n">
        <f aca="false">0.9924</f>
        <v>0.9924</v>
      </c>
      <c r="G54" s="11" t="n">
        <f aca="false">325.3</f>
        <v>325.3</v>
      </c>
      <c r="H54" s="11" t="n">
        <f aca="false">0.9953</f>
        <v>0.9953</v>
      </c>
      <c r="I54" s="11" t="n">
        <f aca="false">327.9</f>
        <v>327.9</v>
      </c>
      <c r="K54" s="7" t="n">
        <v>5.1E-009</v>
      </c>
      <c r="M54" s="1" t="n">
        <f aca="false">A54</f>
        <v>50</v>
      </c>
      <c r="N54" s="1" t="n">
        <f aca="false">B54+$K54</f>
        <v>0.9934000051</v>
      </c>
      <c r="O54" s="1" t="n">
        <f aca="false">C54+$K54</f>
        <v>325.7000000051</v>
      </c>
      <c r="P54" s="1" t="n">
        <f aca="false">D54+$K54</f>
        <v>0.9906000051</v>
      </c>
      <c r="Q54" s="1" t="n">
        <f aca="false">E54+$K54</f>
        <v>323.8000000051</v>
      </c>
      <c r="R54" s="1" t="n">
        <f aca="false">F54+$K54</f>
        <v>0.9924000051</v>
      </c>
      <c r="S54" s="1" t="n">
        <f aca="false">G54+$K54</f>
        <v>325.3000000051</v>
      </c>
      <c r="T54" s="1" t="n">
        <f aca="false">H54+$K54</f>
        <v>0.9953000051</v>
      </c>
      <c r="U54" s="1" t="n">
        <f aca="false">I54+$K54</f>
        <v>327.9000000051</v>
      </c>
    </row>
  </sheetData>
  <mergeCells count="2">
    <mergeCell ref="A2:A3"/>
    <mergeCell ref="M2:M3"/>
  </mergeCells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8" activeCellId="0" sqref="H18"/>
    </sheetView>
  </sheetViews>
  <sheetFormatPr defaultRowHeight="13.8" zeroHeight="false" outlineLevelRow="0" outlineLevelCol="0"/>
  <cols>
    <col collapsed="false" customWidth="true" hidden="false" outlineLevel="0" max="3" min="1" style="0" width="10.47"/>
    <col collapsed="false" customWidth="true" hidden="false" outlineLevel="0" max="4" min="4" style="0" width="32.07"/>
    <col collapsed="false" customWidth="true" hidden="false" outlineLevel="0" max="5" min="5" style="0" width="10.8"/>
    <col collapsed="false" customWidth="true" hidden="false" outlineLevel="0" max="9" min="6" style="0" width="10.47"/>
    <col collapsed="false" customWidth="true" hidden="false" outlineLevel="0" max="1025" min="10" style="0" width="10.5"/>
  </cols>
  <sheetData>
    <row r="1" customFormat="false" ht="13.8" hidden="false" customHeight="false" outlineLevel="0" collapsed="false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</row>
    <row r="2" customFormat="false" ht="13.8" hidden="false" customHeight="false" outlineLevel="0" collapsed="false">
      <c r="A2" s="15" t="s">
        <v>28</v>
      </c>
      <c r="B2" s="15" t="s">
        <v>29</v>
      </c>
      <c r="C2" s="15" t="s">
        <v>30</v>
      </c>
      <c r="D2" s="15" t="s">
        <v>31</v>
      </c>
      <c r="E2" s="15" t="s">
        <v>32</v>
      </c>
      <c r="G2" s="10" t="s">
        <v>8</v>
      </c>
    </row>
    <row r="3" customFormat="false" ht="14.9" hidden="false" customHeight="false" outlineLevel="0" collapsed="false">
      <c r="A3" s="15" t="n">
        <v>0</v>
      </c>
      <c r="B3" s="15" t="n">
        <f aca="false">6.47*10^-2</f>
        <v>0.0647</v>
      </c>
      <c r="C3" s="15" t="n">
        <f aca="false">43.531</f>
        <v>43.531</v>
      </c>
      <c r="D3" s="16" t="n">
        <f aca="false">1.09*10^21</f>
        <v>1.09E+021</v>
      </c>
      <c r="E3" s="17" t="n">
        <f aca="false">3.24*10^-5</f>
        <v>3.24E-005</v>
      </c>
      <c r="G3" s="1" t="n">
        <v>1E-018</v>
      </c>
    </row>
    <row r="4" customFormat="false" ht="14.9" hidden="false" customHeight="false" outlineLevel="0" collapsed="false">
      <c r="A4" s="15" t="n">
        <v>4</v>
      </c>
      <c r="B4" s="15" t="n">
        <f aca="false">5.27*10^-2</f>
        <v>0.0527</v>
      </c>
      <c r="C4" s="15" t="n">
        <f aca="false">43.531</f>
        <v>43.531</v>
      </c>
      <c r="D4" s="16" t="n">
        <f aca="false">8.95*10^20</f>
        <v>8.95E+020</v>
      </c>
      <c r="E4" s="17" t="n">
        <f aca="false">3.15*10^-5</f>
        <v>3.15E-005</v>
      </c>
      <c r="G4" s="7" t="n">
        <v>2E-018</v>
      </c>
      <c r="M4" s="0" t="n">
        <f aca="false">A4</f>
        <v>4</v>
      </c>
      <c r="N4" s="0" t="n">
        <f aca="false">B4+K4</f>
        <v>0.0527</v>
      </c>
      <c r="O4" s="0" t="n">
        <f aca="false">C4+L4</f>
        <v>43.531</v>
      </c>
      <c r="P4" s="0" t="n">
        <f aca="false">D4+M4</f>
        <v>8.95E+020</v>
      </c>
      <c r="Q4" s="0" t="n">
        <f aca="false">E4+N4</f>
        <v>0.0527315</v>
      </c>
      <c r="R4" s="0" t="n">
        <f aca="false">F4+O4</f>
        <v>43.531</v>
      </c>
      <c r="S4" s="0" t="n">
        <f aca="false">G4+P4</f>
        <v>8.95E+020</v>
      </c>
      <c r="T4" s="0" t="n">
        <f aca="false">H4+Q4</f>
        <v>0.0527315</v>
      </c>
      <c r="U4" s="0" t="n">
        <f aca="false">I4+R4</f>
        <v>43.531</v>
      </c>
    </row>
    <row r="5" customFormat="false" ht="14.9" hidden="false" customHeight="false" outlineLevel="0" collapsed="false">
      <c r="A5" s="15" t="n">
        <v>8</v>
      </c>
      <c r="B5" s="15" t="n">
        <f aca="false">4.25*10^-2</f>
        <v>0.0425</v>
      </c>
      <c r="C5" s="15" t="n">
        <f aca="false">43.531</f>
        <v>43.531</v>
      </c>
      <c r="D5" s="16" t="n">
        <f aca="false">7.29*10^20</f>
        <v>7.29E+020</v>
      </c>
      <c r="E5" s="17" t="n">
        <f aca="false">3.06*10^-5</f>
        <v>3.06E-005</v>
      </c>
      <c r="G5" s="7" t="n">
        <v>3E-018</v>
      </c>
      <c r="M5" s="0" t="n">
        <f aca="false">A5</f>
        <v>8</v>
      </c>
      <c r="N5" s="0" t="n">
        <f aca="false">B5+K5</f>
        <v>0.0425</v>
      </c>
      <c r="O5" s="0" t="n">
        <f aca="false">C5+L5</f>
        <v>43.531</v>
      </c>
      <c r="P5" s="0" t="n">
        <f aca="false">D5+M5</f>
        <v>7.29E+020</v>
      </c>
      <c r="Q5" s="0" t="n">
        <f aca="false">E5+N5</f>
        <v>0.0425306</v>
      </c>
      <c r="R5" s="0" t="n">
        <f aca="false">F5+O5</f>
        <v>43.531</v>
      </c>
      <c r="S5" s="0" t="n">
        <f aca="false">G5+P5</f>
        <v>7.29E+020</v>
      </c>
      <c r="T5" s="0" t="n">
        <f aca="false">H5+Q5</f>
        <v>0.0425306</v>
      </c>
      <c r="U5" s="0" t="n">
        <f aca="false">I5+R5</f>
        <v>43.531</v>
      </c>
    </row>
    <row r="6" customFormat="false" ht="14.9" hidden="false" customHeight="false" outlineLevel="0" collapsed="false">
      <c r="A6" s="15" t="n">
        <v>12</v>
      </c>
      <c r="B6" s="15" t="n">
        <f aca="false">3.4*10^-2</f>
        <v>0.034</v>
      </c>
      <c r="C6" s="15" t="n">
        <f aca="false">43.531</f>
        <v>43.531</v>
      </c>
      <c r="D6" s="16" t="n">
        <f aca="false">5.88*10^20</f>
        <v>5.88E+020</v>
      </c>
      <c r="E6" s="17" t="n">
        <f aca="false">2.96*10^-5</f>
        <v>2.96E-005</v>
      </c>
      <c r="G6" s="7" t="n">
        <v>4E-018</v>
      </c>
      <c r="M6" s="0" t="n">
        <f aca="false">A6</f>
        <v>12</v>
      </c>
      <c r="N6" s="0" t="n">
        <f aca="false">B6+K6</f>
        <v>0.034</v>
      </c>
      <c r="O6" s="0" t="n">
        <f aca="false">C6+L6</f>
        <v>43.531</v>
      </c>
      <c r="P6" s="0" t="n">
        <f aca="false">D6+M6</f>
        <v>5.88E+020</v>
      </c>
      <c r="Q6" s="0" t="n">
        <f aca="false">E6+N6</f>
        <v>0.0340296</v>
      </c>
      <c r="R6" s="0" t="n">
        <f aca="false">F6+O6</f>
        <v>43.531</v>
      </c>
      <c r="S6" s="0" t="n">
        <f aca="false">G6+P6</f>
        <v>5.88E+020</v>
      </c>
      <c r="T6" s="0" t="n">
        <f aca="false">H6+Q6</f>
        <v>0.0340296</v>
      </c>
      <c r="U6" s="0" t="n">
        <f aca="false">I6+R6</f>
        <v>43.531</v>
      </c>
    </row>
    <row r="7" customFormat="false" ht="14.9" hidden="false" customHeight="false" outlineLevel="0" collapsed="false">
      <c r="A7" s="15" t="n">
        <v>16</v>
      </c>
      <c r="B7" s="15" t="n">
        <f aca="false">2.7*10^-2</f>
        <v>0.027</v>
      </c>
      <c r="C7" s="15" t="n">
        <f aca="false">43.531</f>
        <v>43.531</v>
      </c>
      <c r="D7" s="16" t="n">
        <f aca="false">4.71*10^20</f>
        <v>4.71E+020</v>
      </c>
      <c r="E7" s="17" t="n">
        <f aca="false">2.85*10^-5</f>
        <v>2.85E-005</v>
      </c>
      <c r="G7" s="1" t="n">
        <v>5E-018</v>
      </c>
      <c r="M7" s="0" t="n">
        <f aca="false">A7</f>
        <v>16</v>
      </c>
      <c r="N7" s="0" t="n">
        <f aca="false">B7+K7</f>
        <v>0.027</v>
      </c>
      <c r="O7" s="0" t="n">
        <f aca="false">C7+L7</f>
        <v>43.531</v>
      </c>
      <c r="P7" s="0" t="n">
        <f aca="false">D7+M7</f>
        <v>4.71E+020</v>
      </c>
      <c r="Q7" s="0" t="n">
        <f aca="false">E7+N7</f>
        <v>0.0270285</v>
      </c>
      <c r="R7" s="0" t="n">
        <f aca="false">F7+O7</f>
        <v>43.531</v>
      </c>
      <c r="S7" s="0" t="n">
        <f aca="false">G7+P7</f>
        <v>4.71E+020</v>
      </c>
      <c r="T7" s="0" t="n">
        <f aca="false">H7+Q7</f>
        <v>0.0270285</v>
      </c>
      <c r="U7" s="0" t="n">
        <f aca="false">I7+R7</f>
        <v>43.531</v>
      </c>
    </row>
    <row r="8" customFormat="false" ht="14.9" hidden="false" customHeight="false" outlineLevel="0" collapsed="false">
      <c r="A8" s="15" t="n">
        <v>20</v>
      </c>
      <c r="B8" s="15" t="n">
        <f aca="false">2.11*10^-2</f>
        <v>0.0211</v>
      </c>
      <c r="C8" s="15" t="n">
        <f aca="false">43.531</f>
        <v>43.531</v>
      </c>
      <c r="D8" s="16" t="n">
        <f aca="false">3.73*10^20</f>
        <v>3.73E+020</v>
      </c>
      <c r="E8" s="17" t="n">
        <f aca="false">2.74*10^-5</f>
        <v>2.74E-005</v>
      </c>
      <c r="G8" s="7" t="n">
        <v>6E-018</v>
      </c>
      <c r="M8" s="0" t="n">
        <f aca="false">A8</f>
        <v>20</v>
      </c>
      <c r="N8" s="0" t="n">
        <f aca="false">B8+K8</f>
        <v>0.0211</v>
      </c>
      <c r="O8" s="0" t="n">
        <f aca="false">C8+L8</f>
        <v>43.531</v>
      </c>
      <c r="P8" s="0" t="n">
        <f aca="false">D8+M8</f>
        <v>3.73E+020</v>
      </c>
      <c r="Q8" s="0" t="n">
        <f aca="false">E8+N8</f>
        <v>0.0211274</v>
      </c>
      <c r="R8" s="0" t="n">
        <f aca="false">F8+O8</f>
        <v>43.531</v>
      </c>
      <c r="S8" s="0" t="n">
        <f aca="false">G8+P8</f>
        <v>3.73E+020</v>
      </c>
      <c r="T8" s="0" t="n">
        <f aca="false">H8+Q8</f>
        <v>0.0211274</v>
      </c>
      <c r="U8" s="0" t="n">
        <f aca="false">I8+R8</f>
        <v>43.531</v>
      </c>
    </row>
    <row r="9" customFormat="false" ht="14.9" hidden="false" customHeight="false" outlineLevel="0" collapsed="false">
      <c r="A9" s="15" t="n">
        <v>24</v>
      </c>
      <c r="B9" s="15" t="n">
        <f aca="false">1.64*10^-2</f>
        <v>0.0164</v>
      </c>
      <c r="C9" s="15" t="n">
        <f aca="false">43.531</f>
        <v>43.531</v>
      </c>
      <c r="D9" s="16" t="n">
        <f aca="false">2.93*10^20</f>
        <v>2.93E+020</v>
      </c>
      <c r="E9" s="17" t="n">
        <f aca="false">2.62*10^-5</f>
        <v>2.62E-005</v>
      </c>
      <c r="G9" s="7" t="n">
        <v>7E-018</v>
      </c>
      <c r="M9" s="0" t="n">
        <f aca="false">A9</f>
        <v>24</v>
      </c>
      <c r="N9" s="0" t="n">
        <f aca="false">B9+K9</f>
        <v>0.0164</v>
      </c>
      <c r="O9" s="0" t="n">
        <f aca="false">C9+L9</f>
        <v>43.531</v>
      </c>
      <c r="P9" s="0" t="n">
        <f aca="false">D9+M9</f>
        <v>2.93E+020</v>
      </c>
      <c r="Q9" s="0" t="n">
        <f aca="false">E9+N9</f>
        <v>0.0164262</v>
      </c>
      <c r="R9" s="0" t="n">
        <f aca="false">F9+O9</f>
        <v>43.531</v>
      </c>
      <c r="S9" s="0" t="n">
        <f aca="false">G9+P9</f>
        <v>2.93E+020</v>
      </c>
      <c r="T9" s="0" t="n">
        <f aca="false">H9+Q9</f>
        <v>0.0164262</v>
      </c>
      <c r="U9" s="0" t="n">
        <f aca="false">I9+R9</f>
        <v>43.531</v>
      </c>
    </row>
    <row r="10" customFormat="false" ht="14.9" hidden="false" customHeight="false" outlineLevel="0" collapsed="false">
      <c r="A10" s="15" t="n">
        <v>28</v>
      </c>
      <c r="B10" s="15" t="n">
        <f aca="false">1.25*10^-2</f>
        <v>0.0125</v>
      </c>
      <c r="C10" s="15" t="n">
        <f aca="false">43.531</f>
        <v>43.531</v>
      </c>
      <c r="D10" s="16" t="n">
        <f aca="false">2.27*10^20</f>
        <v>2.27E+020</v>
      </c>
      <c r="E10" s="17" t="n">
        <f aca="false">2.51*10^-5</f>
        <v>2.51E-005</v>
      </c>
      <c r="G10" s="7" t="n">
        <v>8E-018</v>
      </c>
      <c r="M10" s="0" t="n">
        <f aca="false">A10</f>
        <v>28</v>
      </c>
      <c r="N10" s="0" t="n">
        <f aca="false">B10+K10</f>
        <v>0.0125</v>
      </c>
      <c r="O10" s="0" t="n">
        <f aca="false">C10+L10</f>
        <v>43.531</v>
      </c>
      <c r="P10" s="0" t="n">
        <f aca="false">D10+M10</f>
        <v>2.27E+020</v>
      </c>
      <c r="Q10" s="0" t="n">
        <f aca="false">E10+N10</f>
        <v>0.0125251</v>
      </c>
      <c r="R10" s="0" t="n">
        <f aca="false">F10+O10</f>
        <v>43.531</v>
      </c>
      <c r="S10" s="0" t="n">
        <f aca="false">G10+P10</f>
        <v>2.27E+020</v>
      </c>
      <c r="T10" s="0" t="n">
        <f aca="false">H10+Q10</f>
        <v>0.0125251</v>
      </c>
      <c r="U10" s="0" t="n">
        <f aca="false">I10+R10</f>
        <v>43.531</v>
      </c>
    </row>
    <row r="11" customFormat="false" ht="14.9" hidden="false" customHeight="false" outlineLevel="0" collapsed="false">
      <c r="A11" s="15" t="n">
        <v>32</v>
      </c>
      <c r="B11" s="15" t="n">
        <f aca="false">9.4*10^-3</f>
        <v>0.0094</v>
      </c>
      <c r="C11" s="15" t="n">
        <f aca="false">43.531</f>
        <v>43.531</v>
      </c>
      <c r="D11" s="16" t="n">
        <f aca="false">1.73*10^20</f>
        <v>1.73E+020</v>
      </c>
      <c r="E11" s="17" t="n">
        <f aca="false">2.39*10^-5</f>
        <v>2.39E-005</v>
      </c>
      <c r="G11" s="1" t="n">
        <v>9E-018</v>
      </c>
      <c r="M11" s="0" t="n">
        <f aca="false">A11</f>
        <v>32</v>
      </c>
      <c r="N11" s="0" t="n">
        <f aca="false">B11+K11</f>
        <v>0.0094</v>
      </c>
      <c r="O11" s="0" t="n">
        <f aca="false">C11+L11</f>
        <v>43.531</v>
      </c>
      <c r="P11" s="0" t="n">
        <f aca="false">D11+M11</f>
        <v>1.73E+020</v>
      </c>
      <c r="Q11" s="0" t="n">
        <f aca="false">E11+N11</f>
        <v>0.0094239</v>
      </c>
      <c r="R11" s="0" t="n">
        <f aca="false">F11+O11</f>
        <v>43.531</v>
      </c>
      <c r="S11" s="0" t="n">
        <f aca="false">G11+P11</f>
        <v>1.73E+020</v>
      </c>
      <c r="T11" s="0" t="n">
        <f aca="false">H11+Q11</f>
        <v>0.0094239</v>
      </c>
      <c r="U11" s="0" t="n">
        <f aca="false">I11+R11</f>
        <v>43.531</v>
      </c>
    </row>
    <row r="12" customFormat="false" ht="14.9" hidden="false" customHeight="false" outlineLevel="0" collapsed="false">
      <c r="A12" s="15" t="n">
        <v>36</v>
      </c>
      <c r="B12" s="15" t="n">
        <f aca="false">6.94*10^-3</f>
        <v>0.00694</v>
      </c>
      <c r="C12" s="15" t="n">
        <f aca="false">43.531</f>
        <v>43.531</v>
      </c>
      <c r="D12" s="16" t="n">
        <f aca="false">1.3*10^20</f>
        <v>1.3E+020</v>
      </c>
      <c r="E12" s="17" t="n">
        <f aca="false">2.25*10^-5</f>
        <v>2.25E-005</v>
      </c>
      <c r="G12" s="7" t="n">
        <v>1E-017</v>
      </c>
      <c r="M12" s="0" t="n">
        <f aca="false">A12</f>
        <v>36</v>
      </c>
      <c r="N12" s="0" t="n">
        <f aca="false">B12+K12</f>
        <v>0.00694</v>
      </c>
      <c r="O12" s="0" t="n">
        <f aca="false">C12+L12</f>
        <v>43.531</v>
      </c>
      <c r="P12" s="0" t="n">
        <f aca="false">D12+M12</f>
        <v>1.3E+020</v>
      </c>
      <c r="Q12" s="0" t="n">
        <f aca="false">E12+N12</f>
        <v>0.0069625</v>
      </c>
      <c r="R12" s="0" t="n">
        <f aca="false">F12+O12</f>
        <v>43.531</v>
      </c>
      <c r="S12" s="0" t="n">
        <f aca="false">G12+P12</f>
        <v>1.3E+020</v>
      </c>
      <c r="T12" s="0" t="n">
        <f aca="false">H12+Q12</f>
        <v>0.0069625</v>
      </c>
      <c r="U12" s="0" t="n">
        <f aca="false">I12+R12</f>
        <v>43.531</v>
      </c>
    </row>
    <row r="13" customFormat="false" ht="14.9" hidden="false" customHeight="false" outlineLevel="0" collapsed="false">
      <c r="A13" s="15" t="n">
        <v>40</v>
      </c>
      <c r="B13" s="15" t="n">
        <f aca="false">5.03*10^-3</f>
        <v>0.00503</v>
      </c>
      <c r="C13" s="15" t="n">
        <f aca="false">43.531</f>
        <v>43.531</v>
      </c>
      <c r="D13" s="16" t="n">
        <f aca="false">9.61*10^19</f>
        <v>9.61E+019</v>
      </c>
      <c r="E13" s="17" t="n">
        <f aca="false">2.09*10^-5</f>
        <v>2.09E-005</v>
      </c>
      <c r="G13" s="7" t="n">
        <v>1.1E-017</v>
      </c>
      <c r="M13" s="0" t="n">
        <f aca="false">A13</f>
        <v>40</v>
      </c>
      <c r="N13" s="0" t="n">
        <f aca="false">B13+K13</f>
        <v>0.00503</v>
      </c>
      <c r="O13" s="0" t="n">
        <f aca="false">C13+L13</f>
        <v>43.531</v>
      </c>
      <c r="P13" s="0" t="n">
        <f aca="false">D13+M13</f>
        <v>9.61E+019</v>
      </c>
      <c r="Q13" s="0" t="n">
        <f aca="false">E13+N13</f>
        <v>0.0050509</v>
      </c>
      <c r="R13" s="0" t="n">
        <f aca="false">F13+O13</f>
        <v>43.531</v>
      </c>
      <c r="S13" s="0" t="n">
        <f aca="false">G13+P13</f>
        <v>9.61E+019</v>
      </c>
      <c r="T13" s="0" t="n">
        <f aca="false">H13+Q13</f>
        <v>0.0050509</v>
      </c>
      <c r="U13" s="0" t="n">
        <f aca="false">I13+R13</f>
        <v>43.531</v>
      </c>
    </row>
    <row r="14" customFormat="false" ht="14.9" hidden="false" customHeight="false" outlineLevel="0" collapsed="false">
      <c r="A14" s="15" t="n">
        <v>44</v>
      </c>
      <c r="B14" s="15" t="n">
        <f aca="false">3.52*10^-3</f>
        <v>0.00352</v>
      </c>
      <c r="C14" s="15" t="n">
        <f aca="false">43.531</f>
        <v>43.531</v>
      </c>
      <c r="D14" s="16" t="n">
        <f aca="false">6.97*10^19</f>
        <v>6.97E+019</v>
      </c>
      <c r="E14" s="17" t="n">
        <f aca="false">1.95*10^-5</f>
        <v>1.95E-005</v>
      </c>
      <c r="G14" s="7" t="n">
        <v>1.2E-017</v>
      </c>
      <c r="M14" s="0" t="n">
        <f aca="false">A14</f>
        <v>44</v>
      </c>
      <c r="N14" s="0" t="n">
        <f aca="false">B14+K14</f>
        <v>0.00352</v>
      </c>
      <c r="O14" s="0" t="n">
        <f aca="false">C14+L14</f>
        <v>43.531</v>
      </c>
      <c r="P14" s="0" t="n">
        <f aca="false">D14+M14</f>
        <v>6.97E+019</v>
      </c>
      <c r="Q14" s="0" t="n">
        <f aca="false">E14+N14</f>
        <v>0.0035395</v>
      </c>
      <c r="R14" s="0" t="n">
        <f aca="false">F14+O14</f>
        <v>43.531</v>
      </c>
      <c r="S14" s="0" t="n">
        <f aca="false">G14+P14</f>
        <v>6.97E+019</v>
      </c>
      <c r="T14" s="0" t="n">
        <f aca="false">H14+Q14</f>
        <v>0.0035395</v>
      </c>
      <c r="U14" s="0" t="n">
        <f aca="false">I14+R14</f>
        <v>43.531</v>
      </c>
    </row>
    <row r="15" customFormat="false" ht="14.9" hidden="false" customHeight="false" outlineLevel="0" collapsed="false">
      <c r="A15" s="15" t="n">
        <v>48</v>
      </c>
      <c r="B15" s="15" t="n">
        <f aca="false">2.34*10^-3</f>
        <v>0.00234</v>
      </c>
      <c r="C15" s="15" t="n">
        <f aca="false">43.531</f>
        <v>43.531</v>
      </c>
      <c r="D15" s="16" t="n">
        <f aca="false">4.87*10^19</f>
        <v>4.87E+019</v>
      </c>
      <c r="E15" s="17" t="n">
        <f aca="false">1.82*10^-5</f>
        <v>1.82E-005</v>
      </c>
      <c r="G15" s="1" t="n">
        <v>1.3E-017</v>
      </c>
      <c r="M15" s="0" t="n">
        <f aca="false">A15</f>
        <v>48</v>
      </c>
      <c r="N15" s="0" t="n">
        <f aca="false">B15+K15</f>
        <v>0.00234</v>
      </c>
      <c r="O15" s="0" t="n">
        <f aca="false">C15+L15</f>
        <v>43.531</v>
      </c>
      <c r="P15" s="0" t="n">
        <f aca="false">D15+M15</f>
        <v>4.87E+019</v>
      </c>
      <c r="Q15" s="0" t="n">
        <f aca="false">E15+N15</f>
        <v>0.0023582</v>
      </c>
      <c r="R15" s="0" t="n">
        <f aca="false">F15+O15</f>
        <v>43.531</v>
      </c>
      <c r="S15" s="0" t="n">
        <f aca="false">G15+P15</f>
        <v>4.87E+019</v>
      </c>
      <c r="T15" s="0" t="n">
        <f aca="false">H15+Q15</f>
        <v>0.0023582</v>
      </c>
      <c r="U15" s="0" t="n">
        <f aca="false">I15+R15</f>
        <v>43.531</v>
      </c>
    </row>
    <row r="16" customFormat="false" ht="14.9" hidden="false" customHeight="false" outlineLevel="0" collapsed="false">
      <c r="A16" s="15" t="n">
        <v>52</v>
      </c>
      <c r="B16" s="15" t="n">
        <f aca="false">1.54*10^-3</f>
        <v>0.00154</v>
      </c>
      <c r="C16" s="15" t="n">
        <f aca="false">43.531</f>
        <v>43.531</v>
      </c>
      <c r="D16" s="16" t="n">
        <f aca="false">3.23*10^19</f>
        <v>3.23E+019</v>
      </c>
      <c r="E16" s="17" t="n">
        <f aca="false">1.65*10^-5</f>
        <v>1.65E-005</v>
      </c>
      <c r="G16" s="7" t="n">
        <v>1.4E-017</v>
      </c>
      <c r="M16" s="0" t="n">
        <f aca="false">A16</f>
        <v>52</v>
      </c>
      <c r="N16" s="0" t="n">
        <f aca="false">B16+K16</f>
        <v>0.00154</v>
      </c>
      <c r="O16" s="0" t="n">
        <f aca="false">C16+L16</f>
        <v>43.531</v>
      </c>
      <c r="P16" s="0" t="n">
        <f aca="false">D16+M16</f>
        <v>3.23E+019</v>
      </c>
      <c r="Q16" s="0" t="n">
        <f aca="false">E16+N16</f>
        <v>0.0015565</v>
      </c>
      <c r="R16" s="0" t="n">
        <f aca="false">F16+O16</f>
        <v>43.531</v>
      </c>
      <c r="S16" s="0" t="n">
        <f aca="false">G16+P16</f>
        <v>3.23E+019</v>
      </c>
      <c r="T16" s="0" t="n">
        <f aca="false">H16+Q16</f>
        <v>0.0015565</v>
      </c>
      <c r="U16" s="0" t="n">
        <f aca="false">I16+R16</f>
        <v>43.531</v>
      </c>
    </row>
    <row r="17" customFormat="false" ht="14.9" hidden="false" customHeight="false" outlineLevel="0" collapsed="false">
      <c r="A17" s="15" t="n">
        <v>56</v>
      </c>
      <c r="B17" s="15" t="n">
        <f aca="false">9.74*10^-4</f>
        <v>0.000974</v>
      </c>
      <c r="C17" s="15" t="n">
        <f aca="false">43.531</f>
        <v>43.531</v>
      </c>
      <c r="D17" s="16" t="n">
        <f aca="false">2.13*10^19</f>
        <v>2.13E+019</v>
      </c>
      <c r="E17" s="17" t="n">
        <f aca="false">1.49*10^-5</f>
        <v>1.49E-005</v>
      </c>
      <c r="G17" s="7" t="n">
        <v>1.5E-017</v>
      </c>
      <c r="M17" s="0" t="n">
        <f aca="false">A17</f>
        <v>56</v>
      </c>
      <c r="N17" s="0" t="n">
        <f aca="false">B17+K17</f>
        <v>0.000974</v>
      </c>
      <c r="O17" s="0" t="n">
        <f aca="false">C17+L17</f>
        <v>43.531</v>
      </c>
      <c r="P17" s="0" t="n">
        <f aca="false">D17+M17</f>
        <v>2.13E+019</v>
      </c>
      <c r="Q17" s="0" t="n">
        <f aca="false">E17+N17</f>
        <v>0.0009889</v>
      </c>
      <c r="R17" s="0" t="n">
        <f aca="false">F17+O17</f>
        <v>43.531</v>
      </c>
      <c r="S17" s="0" t="n">
        <f aca="false">G17+P17</f>
        <v>2.13E+019</v>
      </c>
      <c r="T17" s="0" t="n">
        <f aca="false">H17+Q17</f>
        <v>0.0009889</v>
      </c>
      <c r="U17" s="0" t="n">
        <f aca="false">I17+R17</f>
        <v>43.531</v>
      </c>
    </row>
    <row r="18" customFormat="false" ht="14.9" hidden="false" customHeight="false" outlineLevel="0" collapsed="false">
      <c r="A18" s="15" t="n">
        <v>60</v>
      </c>
      <c r="B18" s="15" t="n">
        <f aca="false">5.72*10^-4</f>
        <v>0.000572</v>
      </c>
      <c r="C18" s="15" t="n">
        <f aca="false">43.531</f>
        <v>43.531</v>
      </c>
      <c r="D18" s="16" t="n">
        <f aca="false">1.35*10^19</f>
        <v>1.35E+019</v>
      </c>
      <c r="E18" s="17" t="n">
        <f aca="false">1.33*10^-5</f>
        <v>1.33E-005</v>
      </c>
      <c r="G18" s="7" t="n">
        <v>1.6E-017</v>
      </c>
      <c r="M18" s="0" t="n">
        <f aca="false">A18</f>
        <v>60</v>
      </c>
      <c r="N18" s="0" t="n">
        <f aca="false">B18+K18</f>
        <v>0.000572</v>
      </c>
      <c r="O18" s="0" t="n">
        <f aca="false">C18+L18</f>
        <v>43.531</v>
      </c>
      <c r="P18" s="0" t="n">
        <f aca="false">D18+M18</f>
        <v>1.35E+019</v>
      </c>
      <c r="Q18" s="0" t="n">
        <f aca="false">E18+N18</f>
        <v>0.0005853</v>
      </c>
      <c r="R18" s="0" t="n">
        <f aca="false">F18+O18</f>
        <v>43.531</v>
      </c>
      <c r="S18" s="0" t="n">
        <f aca="false">G18+P18</f>
        <v>1.35E+019</v>
      </c>
      <c r="T18" s="0" t="n">
        <f aca="false">H18+Q18</f>
        <v>0.0005853</v>
      </c>
      <c r="U18" s="0" t="n">
        <f aca="false">I18+R18</f>
        <v>43.531</v>
      </c>
    </row>
    <row r="19" customFormat="false" ht="13.8" hidden="false" customHeight="false" outlineLevel="0" collapsed="false">
      <c r="A19" s="15" t="n">
        <v>64</v>
      </c>
      <c r="B19" s="15" t="n">
        <f aca="false">3.06*10^-4</f>
        <v>0.000306</v>
      </c>
      <c r="C19" s="15" t="n">
        <f aca="false">43.531</f>
        <v>43.531</v>
      </c>
      <c r="D19" s="17" t="n">
        <f aca="false">4.24*10^18</f>
        <v>4.24E+018</v>
      </c>
      <c r="E19" s="17" t="n">
        <f aca="false">1.23*10^-5</f>
        <v>1.23E-005</v>
      </c>
      <c r="G19" s="1" t="n">
        <v>1.7E-017</v>
      </c>
      <c r="M19" s="0" t="n">
        <f aca="false">A19</f>
        <v>64</v>
      </c>
      <c r="N19" s="0" t="n">
        <f aca="false">B19+K19</f>
        <v>0.000306</v>
      </c>
      <c r="O19" s="0" t="n">
        <f aca="false">C19+L19</f>
        <v>43.531</v>
      </c>
      <c r="P19" s="0" t="n">
        <f aca="false">D19+M19</f>
        <v>4.24E+018</v>
      </c>
      <c r="Q19" s="0" t="n">
        <f aca="false">E19+N19</f>
        <v>0.0003183</v>
      </c>
      <c r="R19" s="0" t="n">
        <f aca="false">F19+O19</f>
        <v>43.531</v>
      </c>
      <c r="S19" s="0" t="n">
        <f aca="false">G19+P19</f>
        <v>4.24E+018</v>
      </c>
      <c r="T19" s="0" t="n">
        <f aca="false">H19+Q19</f>
        <v>0.0003183</v>
      </c>
      <c r="U19" s="0" t="n">
        <f aca="false">I19+R19</f>
        <v>43.531</v>
      </c>
    </row>
    <row r="20" customFormat="false" ht="13.8" hidden="false" customHeight="false" outlineLevel="0" collapsed="false">
      <c r="A20" s="15" t="n">
        <v>68</v>
      </c>
      <c r="B20" s="15" t="n">
        <f aca="false">1.51*10^-4</f>
        <v>0.000151</v>
      </c>
      <c r="C20" s="15" t="n">
        <f aca="false">43.531</f>
        <v>43.531</v>
      </c>
      <c r="D20" s="17" t="n">
        <f aca="false">2.1*10^18</f>
        <v>2.1E+018</v>
      </c>
      <c r="E20" s="17" t="n">
        <f aca="false">1.16*10^-5</f>
        <v>1.16E-005</v>
      </c>
      <c r="G20" s="7" t="n">
        <v>1.8E-017</v>
      </c>
      <c r="M20" s="0" t="n">
        <f aca="false">A20</f>
        <v>68</v>
      </c>
      <c r="N20" s="0" t="n">
        <f aca="false">B20+K20</f>
        <v>0.000151</v>
      </c>
      <c r="O20" s="0" t="n">
        <f aca="false">C20+L20</f>
        <v>43.531</v>
      </c>
      <c r="P20" s="0" t="n">
        <f aca="false">D20+M20</f>
        <v>2.1E+018</v>
      </c>
      <c r="Q20" s="0" t="n">
        <f aca="false">E20+N20</f>
        <v>0.0001626</v>
      </c>
      <c r="R20" s="0" t="n">
        <f aca="false">F20+O20</f>
        <v>43.531</v>
      </c>
      <c r="S20" s="0" t="n">
        <f aca="false">G20+P20</f>
        <v>2.1E+018</v>
      </c>
      <c r="T20" s="0" t="n">
        <f aca="false">H20+Q20</f>
        <v>0.0001626</v>
      </c>
      <c r="U20" s="0" t="n">
        <f aca="false">I20+R20</f>
        <v>43.531</v>
      </c>
    </row>
    <row r="21" customFormat="false" ht="13.8" hidden="false" customHeight="false" outlineLevel="0" collapsed="false">
      <c r="A21" s="15" t="n">
        <v>72</v>
      </c>
      <c r="B21" s="15" t="n">
        <f aca="false">7.22*10^-5</f>
        <v>7.22E-005</v>
      </c>
      <c r="C21" s="15" t="n">
        <f aca="false">43.531</f>
        <v>43.531</v>
      </c>
      <c r="D21" s="17" t="n">
        <f aca="false">9.99*10^17</f>
        <v>9.99E+017</v>
      </c>
      <c r="E21" s="17" t="n">
        <f aca="false">1.1*10^-5</f>
        <v>1.1E-005</v>
      </c>
      <c r="G21" s="7" t="n">
        <v>1.9E-017</v>
      </c>
      <c r="M21" s="0" t="n">
        <f aca="false">A21</f>
        <v>72</v>
      </c>
      <c r="N21" s="0" t="n">
        <f aca="false">B21+K21</f>
        <v>7.22E-005</v>
      </c>
      <c r="O21" s="0" t="n">
        <f aca="false">C21+L21</f>
        <v>43.531</v>
      </c>
      <c r="P21" s="0" t="n">
        <f aca="false">D21+M21</f>
        <v>9.99E+017</v>
      </c>
      <c r="Q21" s="0" t="n">
        <f aca="false">E21+N21</f>
        <v>8.32E-005</v>
      </c>
      <c r="R21" s="0" t="n">
        <f aca="false">F21+O21</f>
        <v>43.531</v>
      </c>
      <c r="S21" s="0" t="n">
        <f aca="false">G21+P21</f>
        <v>9.99E+017</v>
      </c>
      <c r="T21" s="0" t="n">
        <f aca="false">H21+Q21</f>
        <v>8.32E-005</v>
      </c>
      <c r="U21" s="0" t="n">
        <f aca="false">I21+R21</f>
        <v>43.531</v>
      </c>
    </row>
    <row r="22" customFormat="false" ht="13.8" hidden="false" customHeight="false" outlineLevel="0" collapsed="false">
      <c r="A22" s="15" t="n">
        <v>76</v>
      </c>
      <c r="B22" s="15" t="n">
        <f aca="false">3.27*10^-5</f>
        <v>3.27E-005</v>
      </c>
      <c r="C22" s="15" t="n">
        <f aca="false">43.531</f>
        <v>43.531</v>
      </c>
      <c r="D22" s="17" t="n">
        <f aca="false">4.53*10^17</f>
        <v>4.53E+017</v>
      </c>
      <c r="E22" s="17" t="n">
        <f aca="false">1.03*10^-5</f>
        <v>1.03E-005</v>
      </c>
      <c r="G22" s="7" t="n">
        <v>2E-017</v>
      </c>
      <c r="M22" s="0" t="n">
        <f aca="false">A22</f>
        <v>76</v>
      </c>
      <c r="N22" s="0" t="n">
        <f aca="false">B22+K22</f>
        <v>3.27E-005</v>
      </c>
      <c r="O22" s="0" t="n">
        <f aca="false">C22+L22</f>
        <v>43.531</v>
      </c>
      <c r="P22" s="0" t="n">
        <f aca="false">D22+M22</f>
        <v>4.53E+017</v>
      </c>
      <c r="Q22" s="0" t="n">
        <f aca="false">E22+N22</f>
        <v>4.3E-005</v>
      </c>
      <c r="R22" s="0" t="n">
        <f aca="false">F22+O22</f>
        <v>43.531</v>
      </c>
      <c r="S22" s="0" t="n">
        <f aca="false">G22+P22</f>
        <v>4.53E+017</v>
      </c>
      <c r="T22" s="0" t="n">
        <f aca="false">H22+Q22</f>
        <v>4.3E-005</v>
      </c>
      <c r="U22" s="0" t="n">
        <f aca="false">I22+R22</f>
        <v>43.531</v>
      </c>
    </row>
    <row r="23" customFormat="false" ht="13.8" hidden="false" customHeight="false" outlineLevel="0" collapsed="false">
      <c r="A23" s="15" t="n">
        <v>80</v>
      </c>
      <c r="B23" s="15" t="n">
        <f aca="false">1.37*10^-5</f>
        <v>1.37E-005</v>
      </c>
      <c r="C23" s="15" t="n">
        <f aca="false">43.531</f>
        <v>43.531</v>
      </c>
      <c r="D23" s="17" t="n">
        <f aca="false">1.9*10^17</f>
        <v>1.9E+017</v>
      </c>
      <c r="E23" s="17" t="n">
        <f aca="false">0.94*10^-5</f>
        <v>9.4E-006</v>
      </c>
      <c r="G23" s="1" t="n">
        <v>2.1E-017</v>
      </c>
      <c r="M23" s="0" t="n">
        <f aca="false">A23</f>
        <v>80</v>
      </c>
      <c r="N23" s="0" t="n">
        <f aca="false">B23+K23</f>
        <v>1.37E-005</v>
      </c>
      <c r="O23" s="0" t="n">
        <f aca="false">C23+L23</f>
        <v>43.531</v>
      </c>
      <c r="P23" s="0" t="n">
        <f aca="false">D23+M23</f>
        <v>1.9E+017</v>
      </c>
      <c r="Q23" s="0" t="n">
        <f aca="false">E23+N23</f>
        <v>2.31E-005</v>
      </c>
      <c r="R23" s="0" t="n">
        <f aca="false">F23+O23</f>
        <v>43.531</v>
      </c>
      <c r="S23" s="0" t="n">
        <f aca="false">G23+P23</f>
        <v>1.9E+017</v>
      </c>
      <c r="T23" s="0" t="n">
        <f aca="false">H23+Q23</f>
        <v>2.31E-005</v>
      </c>
      <c r="U23" s="0" t="n">
        <f aca="false">I23+R23</f>
        <v>43.531</v>
      </c>
    </row>
    <row r="24" customFormat="false" ht="13.8" hidden="false" customHeight="false" outlineLevel="0" collapsed="false">
      <c r="A24" s="15" t="n">
        <v>84</v>
      </c>
      <c r="B24" s="15" t="n">
        <f aca="false">5.35*10^-6</f>
        <v>5.35E-006</v>
      </c>
      <c r="C24" s="15" t="n">
        <f aca="false">43.531</f>
        <v>43.531</v>
      </c>
      <c r="D24" s="17" t="n">
        <f aca="false">7.4*10^16</f>
        <v>74000000000000000</v>
      </c>
      <c r="E24" s="17" t="n">
        <f aca="false">0.89*10^-5</f>
        <v>8.9E-006</v>
      </c>
      <c r="G24" s="7" t="n">
        <v>2.2E-017</v>
      </c>
      <c r="M24" s="0" t="n">
        <f aca="false">A24</f>
        <v>84</v>
      </c>
      <c r="N24" s="0" t="n">
        <f aca="false">B24+K24</f>
        <v>5.35E-006</v>
      </c>
      <c r="O24" s="0" t="n">
        <f aca="false">C24+L24</f>
        <v>43.531</v>
      </c>
      <c r="P24" s="0" t="n">
        <f aca="false">D24+M24</f>
        <v>74000000000000100</v>
      </c>
      <c r="Q24" s="0" t="n">
        <f aca="false">E24+N24</f>
        <v>1.425E-005</v>
      </c>
      <c r="R24" s="0" t="n">
        <f aca="false">F24+O24</f>
        <v>43.531</v>
      </c>
      <c r="S24" s="0" t="n">
        <f aca="false">G24+P24</f>
        <v>74000000000000100</v>
      </c>
      <c r="T24" s="0" t="n">
        <f aca="false">H24+Q24</f>
        <v>1.425E-005</v>
      </c>
      <c r="U24" s="0" t="n">
        <f aca="false">I24+R24</f>
        <v>43.531</v>
      </c>
    </row>
    <row r="25" customFormat="false" ht="13.8" hidden="false" customHeight="false" outlineLevel="0" collapsed="false">
      <c r="A25" s="15" t="n">
        <v>88</v>
      </c>
      <c r="B25" s="15" t="n">
        <f aca="false">1.99*10^-6</f>
        <v>1.99E-006</v>
      </c>
      <c r="C25" s="15" t="n">
        <f aca="false">43.531</f>
        <v>43.531</v>
      </c>
      <c r="D25" s="17" t="n">
        <f aca="false">2.75*10^16</f>
        <v>27500000000000000</v>
      </c>
      <c r="E25" s="17" t="n">
        <f aca="false">0.86*10^-5</f>
        <v>8.6E-006</v>
      </c>
      <c r="G25" s="7" t="n">
        <v>2.3E-017</v>
      </c>
      <c r="M25" s="0" t="n">
        <f aca="false">A25</f>
        <v>88</v>
      </c>
      <c r="N25" s="0" t="n">
        <f aca="false">B25+K25</f>
        <v>1.99E-006</v>
      </c>
      <c r="O25" s="0" t="n">
        <f aca="false">C25+L25</f>
        <v>43.531</v>
      </c>
      <c r="P25" s="0" t="n">
        <f aca="false">D25+M25</f>
        <v>27500000000000100</v>
      </c>
      <c r="Q25" s="0" t="n">
        <f aca="false">E25+N25</f>
        <v>1.059E-005</v>
      </c>
      <c r="R25" s="0" t="n">
        <f aca="false">F25+O25</f>
        <v>43.531</v>
      </c>
      <c r="S25" s="0" t="n">
        <f aca="false">G25+P25</f>
        <v>27500000000000100</v>
      </c>
      <c r="T25" s="0" t="n">
        <f aca="false">H25+Q25</f>
        <v>1.059E-005</v>
      </c>
      <c r="U25" s="0" t="n">
        <f aca="false">I25+R25</f>
        <v>43.531</v>
      </c>
    </row>
    <row r="26" customFormat="false" ht="13.8" hidden="false" customHeight="false" outlineLevel="0" collapsed="false">
      <c r="A26" s="15" t="n">
        <v>92</v>
      </c>
      <c r="B26" s="15" t="n">
        <f aca="false">7.16*10^-7</f>
        <v>7.16E-007</v>
      </c>
      <c r="C26" s="15" t="n">
        <f aca="false">43.531</f>
        <v>43.531</v>
      </c>
      <c r="D26" s="17" t="n">
        <f aca="false">9.91*10^15</f>
        <v>9910000000000000</v>
      </c>
      <c r="E26" s="17" t="n">
        <f aca="false">0.83*10^-5</f>
        <v>8.3E-006</v>
      </c>
      <c r="G26" s="7" t="n">
        <v>2.4E-017</v>
      </c>
      <c r="M26" s="0" t="n">
        <f aca="false">A26</f>
        <v>92</v>
      </c>
      <c r="N26" s="0" t="n">
        <f aca="false">B26+K26</f>
        <v>7.16E-007</v>
      </c>
      <c r="O26" s="0" t="n">
        <f aca="false">C26+L26</f>
        <v>43.531</v>
      </c>
      <c r="P26" s="0" t="n">
        <f aca="false">D26+M26</f>
        <v>9910000000000090</v>
      </c>
      <c r="Q26" s="0" t="n">
        <f aca="false">E26+N26</f>
        <v>9.016E-006</v>
      </c>
      <c r="R26" s="0" t="n">
        <f aca="false">F26+O26</f>
        <v>43.531</v>
      </c>
      <c r="S26" s="0" t="n">
        <f aca="false">G26+P26</f>
        <v>9910000000000090</v>
      </c>
      <c r="T26" s="0" t="n">
        <f aca="false">H26+Q26</f>
        <v>9.016E-006</v>
      </c>
      <c r="U26" s="0" t="n">
        <f aca="false">I26+R26</f>
        <v>43.531</v>
      </c>
    </row>
    <row r="27" customFormat="false" ht="13.8" hidden="false" customHeight="false" outlineLevel="0" collapsed="false">
      <c r="A27" s="15" t="n">
        <v>96</v>
      </c>
      <c r="B27" s="15" t="n">
        <f aca="false">2.52*10^-7</f>
        <v>2.52E-007</v>
      </c>
      <c r="C27" s="15" t="n">
        <f aca="false">43.531</f>
        <v>43.531</v>
      </c>
      <c r="D27" s="17" t="n">
        <f aca="false">3.49*10^15</f>
        <v>3490000000000000</v>
      </c>
      <c r="E27" s="17" t="n">
        <f aca="false">0.81*10^-5</f>
        <v>8.1E-006</v>
      </c>
      <c r="G27" s="1" t="n">
        <v>2.5E-017</v>
      </c>
      <c r="M27" s="0" t="n">
        <f aca="false">A27</f>
        <v>96</v>
      </c>
      <c r="N27" s="0" t="n">
        <f aca="false">B27+K27</f>
        <v>2.52E-007</v>
      </c>
      <c r="O27" s="0" t="n">
        <f aca="false">C27+L27</f>
        <v>43.531</v>
      </c>
      <c r="P27" s="0" t="n">
        <f aca="false">D27+M27</f>
        <v>3490000000000100</v>
      </c>
      <c r="Q27" s="0" t="n">
        <f aca="false">E27+N27</f>
        <v>8.352E-006</v>
      </c>
      <c r="R27" s="0" t="n">
        <f aca="false">F27+O27</f>
        <v>43.531</v>
      </c>
      <c r="S27" s="0" t="n">
        <f aca="false">G27+P27</f>
        <v>3490000000000100</v>
      </c>
      <c r="T27" s="0" t="n">
        <f aca="false">H27+Q27</f>
        <v>8.352E-006</v>
      </c>
      <c r="U27" s="0" t="n">
        <f aca="false">I27+R27</f>
        <v>43.531</v>
      </c>
    </row>
    <row r="28" customFormat="false" ht="13.8" hidden="false" customHeight="false" outlineLevel="0" collapsed="false">
      <c r="A28" s="15" t="n">
        <v>100</v>
      </c>
      <c r="B28" s="15" t="n">
        <f aca="false">8.7*10^-0</f>
        <v>8.7</v>
      </c>
      <c r="C28" s="15" t="n">
        <f aca="false">43.531</f>
        <v>43.531</v>
      </c>
      <c r="D28" s="17" t="n">
        <f aca="false">1.2*10^15</f>
        <v>1200000000000000</v>
      </c>
      <c r="E28" s="17" t="n">
        <f aca="false">0.8*10^-5</f>
        <v>8E-006</v>
      </c>
      <c r="G28" s="7" t="n">
        <v>2.6E-017</v>
      </c>
      <c r="M28" s="0" t="n">
        <f aca="false">A28</f>
        <v>100</v>
      </c>
      <c r="N28" s="0" t="n">
        <f aca="false">B28+K28</f>
        <v>8.7</v>
      </c>
      <c r="O28" s="0" t="n">
        <f aca="false">C28+L28</f>
        <v>43.531</v>
      </c>
      <c r="P28" s="0" t="n">
        <f aca="false">D28+M28</f>
        <v>1200000000000100</v>
      </c>
      <c r="Q28" s="0" t="n">
        <f aca="false">E28+N28</f>
        <v>8.700008</v>
      </c>
      <c r="R28" s="0" t="n">
        <f aca="false">F28+O28</f>
        <v>43.531</v>
      </c>
      <c r="S28" s="0" t="n">
        <f aca="false">G28+P28</f>
        <v>1200000000000100</v>
      </c>
      <c r="T28" s="0" t="n">
        <f aca="false">H28+Q28</f>
        <v>8.700008</v>
      </c>
      <c r="U28" s="0" t="n">
        <f aca="false">I28+R28</f>
        <v>43.531</v>
      </c>
    </row>
    <row r="29" customFormat="false" ht="13.8" hidden="false" customHeight="false" outlineLevel="0" collapsed="false">
      <c r="G29" s="7"/>
      <c r="M29" s="0" t="n">
        <f aca="false">A29</f>
        <v>0</v>
      </c>
      <c r="N29" s="0" t="n">
        <f aca="false">B29+K29</f>
        <v>0</v>
      </c>
      <c r="O29" s="0" t="n">
        <f aca="false">C29+L29</f>
        <v>0</v>
      </c>
      <c r="P29" s="0" t="n">
        <f aca="false">D29+M29</f>
        <v>0</v>
      </c>
      <c r="Q29" s="0" t="n">
        <f aca="false">E29+N29</f>
        <v>0</v>
      </c>
      <c r="R29" s="0" t="n">
        <f aca="false">F29+O29</f>
        <v>0</v>
      </c>
      <c r="S29" s="0" t="n">
        <f aca="false">G29+P29</f>
        <v>0</v>
      </c>
      <c r="T29" s="0" t="n">
        <f aca="false">H29+Q29</f>
        <v>0</v>
      </c>
      <c r="U29" s="0" t="n">
        <f aca="false">I29+R29</f>
        <v>0</v>
      </c>
    </row>
    <row r="30" customFormat="false" ht="13.8" hidden="false" customHeight="false" outlineLevel="0" collapsed="false">
      <c r="G30" s="7"/>
      <c r="M30" s="0" t="n">
        <f aca="false">A30</f>
        <v>0</v>
      </c>
      <c r="N30" s="0" t="n">
        <f aca="false">B30+K30</f>
        <v>0</v>
      </c>
      <c r="O30" s="0" t="n">
        <f aca="false">C30+L30</f>
        <v>0</v>
      </c>
      <c r="P30" s="0" t="n">
        <f aca="false">D30+M30</f>
        <v>0</v>
      </c>
      <c r="Q30" s="0" t="n">
        <f aca="false">E30+N30</f>
        <v>0</v>
      </c>
      <c r="R30" s="0" t="n">
        <f aca="false">F30+O30</f>
        <v>0</v>
      </c>
      <c r="S30" s="0" t="n">
        <f aca="false">G30+P30</f>
        <v>0</v>
      </c>
      <c r="T30" s="0" t="n">
        <f aca="false">H30+Q30</f>
        <v>0</v>
      </c>
      <c r="U30" s="0" t="n">
        <f aca="false">I30+R30</f>
        <v>0</v>
      </c>
    </row>
    <row r="31" customFormat="false" ht="13.8" hidden="false" customHeight="false" outlineLevel="0" collapsed="false">
      <c r="G31" s="1"/>
      <c r="M31" s="0" t="n">
        <f aca="false">A31</f>
        <v>0</v>
      </c>
      <c r="N31" s="0" t="n">
        <f aca="false">B31+K31</f>
        <v>0</v>
      </c>
      <c r="O31" s="0" t="n">
        <f aca="false">C31+L31</f>
        <v>0</v>
      </c>
      <c r="P31" s="0" t="n">
        <f aca="false">D31+M31</f>
        <v>0</v>
      </c>
      <c r="Q31" s="0" t="n">
        <f aca="false">E31+N31</f>
        <v>0</v>
      </c>
      <c r="R31" s="0" t="n">
        <f aca="false">F31+O31</f>
        <v>0</v>
      </c>
      <c r="S31" s="0" t="n">
        <f aca="false">G31+P31</f>
        <v>0</v>
      </c>
      <c r="T31" s="0" t="n">
        <f aca="false">H31+Q31</f>
        <v>0</v>
      </c>
      <c r="U31" s="0" t="n">
        <f aca="false">I31+R31</f>
        <v>0</v>
      </c>
    </row>
    <row r="32" customFormat="false" ht="13.8" hidden="false" customHeight="false" outlineLevel="0" collapsed="false">
      <c r="G32" s="7"/>
      <c r="M32" s="0" t="n">
        <f aca="false">A32</f>
        <v>0</v>
      </c>
      <c r="N32" s="0" t="n">
        <f aca="false">B32+K32</f>
        <v>0</v>
      </c>
      <c r="O32" s="0" t="n">
        <f aca="false">C32+L32</f>
        <v>0</v>
      </c>
      <c r="P32" s="0" t="n">
        <f aca="false">D32+M32</f>
        <v>0</v>
      </c>
      <c r="Q32" s="0" t="n">
        <f aca="false">E32+N32</f>
        <v>0</v>
      </c>
      <c r="R32" s="0" t="n">
        <f aca="false">F32+O32</f>
        <v>0</v>
      </c>
      <c r="S32" s="0" t="n">
        <f aca="false">G32+P32</f>
        <v>0</v>
      </c>
      <c r="T32" s="0" t="n">
        <f aca="false">H32+Q32</f>
        <v>0</v>
      </c>
      <c r="U32" s="0" t="n">
        <f aca="false">I32+R32</f>
        <v>0</v>
      </c>
    </row>
    <row r="33" customFormat="false" ht="13.8" hidden="false" customHeight="false" outlineLevel="0" collapsed="false">
      <c r="G33" s="7"/>
      <c r="M33" s="0" t="n">
        <f aca="false">A33</f>
        <v>0</v>
      </c>
      <c r="N33" s="0" t="n">
        <f aca="false">B33+K33</f>
        <v>0</v>
      </c>
      <c r="O33" s="0" t="n">
        <f aca="false">C33+L33</f>
        <v>0</v>
      </c>
      <c r="P33" s="0" t="n">
        <f aca="false">D33+M33</f>
        <v>0</v>
      </c>
      <c r="Q33" s="0" t="n">
        <f aca="false">E33+N33</f>
        <v>0</v>
      </c>
      <c r="R33" s="0" t="n">
        <f aca="false">F33+O33</f>
        <v>0</v>
      </c>
      <c r="S33" s="0" t="n">
        <f aca="false">G33+P33</f>
        <v>0</v>
      </c>
      <c r="T33" s="0" t="n">
        <f aca="false">H33+Q33</f>
        <v>0</v>
      </c>
      <c r="U33" s="0" t="n">
        <f aca="false">I33+R33</f>
        <v>0</v>
      </c>
    </row>
    <row r="34" customFormat="false" ht="13.8" hidden="false" customHeight="false" outlineLevel="0" collapsed="false">
      <c r="G34" s="7"/>
      <c r="M34" s="0" t="n">
        <f aca="false">A34</f>
        <v>0</v>
      </c>
      <c r="N34" s="0" t="n">
        <f aca="false">B34+K34</f>
        <v>0</v>
      </c>
      <c r="O34" s="0" t="n">
        <f aca="false">C34+L34</f>
        <v>0</v>
      </c>
      <c r="P34" s="0" t="n">
        <f aca="false">D34+M34</f>
        <v>0</v>
      </c>
      <c r="Q34" s="0" t="n">
        <f aca="false">E34+N34</f>
        <v>0</v>
      </c>
      <c r="R34" s="0" t="n">
        <f aca="false">F34+O34</f>
        <v>0</v>
      </c>
      <c r="S34" s="0" t="n">
        <f aca="false">G34+P34</f>
        <v>0</v>
      </c>
      <c r="T34" s="0" t="n">
        <f aca="false">H34+Q34</f>
        <v>0</v>
      </c>
      <c r="U34" s="0" t="n">
        <f aca="false">I34+R34</f>
        <v>0</v>
      </c>
    </row>
    <row r="35" customFormat="false" ht="13.8" hidden="false" customHeight="false" outlineLevel="0" collapsed="false">
      <c r="G35" s="1"/>
      <c r="M35" s="0" t="n">
        <f aca="false">A35</f>
        <v>0</v>
      </c>
      <c r="N35" s="0" t="n">
        <f aca="false">B35+K35</f>
        <v>0</v>
      </c>
      <c r="O35" s="0" t="n">
        <f aca="false">C35+L35</f>
        <v>0</v>
      </c>
      <c r="P35" s="0" t="n">
        <f aca="false">D35+M35</f>
        <v>0</v>
      </c>
      <c r="Q35" s="0" t="n">
        <f aca="false">E35+N35</f>
        <v>0</v>
      </c>
      <c r="R35" s="0" t="n">
        <f aca="false">F35+O35</f>
        <v>0</v>
      </c>
      <c r="S35" s="0" t="n">
        <f aca="false">G35+P35</f>
        <v>0</v>
      </c>
      <c r="T35" s="0" t="n">
        <f aca="false">H35+Q35</f>
        <v>0</v>
      </c>
      <c r="U35" s="0" t="n">
        <f aca="false">I35+R35</f>
        <v>0</v>
      </c>
    </row>
    <row r="36" customFormat="false" ht="13.8" hidden="false" customHeight="false" outlineLevel="0" collapsed="false">
      <c r="G36" s="7"/>
      <c r="M36" s="0" t="n">
        <f aca="false">A36</f>
        <v>0</v>
      </c>
      <c r="N36" s="0" t="n">
        <f aca="false">B36+K36</f>
        <v>0</v>
      </c>
      <c r="O36" s="0" t="n">
        <f aca="false">C36+L36</f>
        <v>0</v>
      </c>
      <c r="P36" s="0" t="n">
        <f aca="false">D36+M36</f>
        <v>0</v>
      </c>
      <c r="Q36" s="0" t="n">
        <f aca="false">E36+N36</f>
        <v>0</v>
      </c>
      <c r="R36" s="0" t="n">
        <f aca="false">F36+O36</f>
        <v>0</v>
      </c>
      <c r="S36" s="0" t="n">
        <f aca="false">G36+P36</f>
        <v>0</v>
      </c>
      <c r="T36" s="0" t="n">
        <f aca="false">H36+Q36</f>
        <v>0</v>
      </c>
      <c r="U36" s="0" t="n">
        <f aca="false">I36+R36</f>
        <v>0</v>
      </c>
    </row>
    <row r="37" customFormat="false" ht="13.8" hidden="false" customHeight="false" outlineLevel="0" collapsed="false">
      <c r="G37" s="7"/>
      <c r="M37" s="0" t="n">
        <f aca="false">A37</f>
        <v>0</v>
      </c>
      <c r="N37" s="0" t="n">
        <f aca="false">B37+K37</f>
        <v>0</v>
      </c>
      <c r="O37" s="0" t="n">
        <f aca="false">C37+L37</f>
        <v>0</v>
      </c>
      <c r="P37" s="0" t="n">
        <f aca="false">D37+M37</f>
        <v>0</v>
      </c>
      <c r="Q37" s="0" t="n">
        <f aca="false">E37+N37</f>
        <v>0</v>
      </c>
      <c r="R37" s="0" t="n">
        <f aca="false">F37+O37</f>
        <v>0</v>
      </c>
      <c r="S37" s="0" t="n">
        <f aca="false">G37+P37</f>
        <v>0</v>
      </c>
      <c r="T37" s="0" t="n">
        <f aca="false">H37+Q37</f>
        <v>0</v>
      </c>
      <c r="U37" s="0" t="n">
        <f aca="false">I37+R37</f>
        <v>0</v>
      </c>
    </row>
    <row r="38" customFormat="false" ht="13.8" hidden="false" customHeight="false" outlineLevel="0" collapsed="false">
      <c r="G38" s="7"/>
      <c r="M38" s="0" t="n">
        <f aca="false">A38</f>
        <v>0</v>
      </c>
      <c r="N38" s="0" t="n">
        <f aca="false">B38+K38</f>
        <v>0</v>
      </c>
      <c r="O38" s="0" t="n">
        <f aca="false">C38+L38</f>
        <v>0</v>
      </c>
      <c r="P38" s="0" t="n">
        <f aca="false">D38+M38</f>
        <v>0</v>
      </c>
      <c r="Q38" s="0" t="n">
        <f aca="false">E38+N38</f>
        <v>0</v>
      </c>
      <c r="R38" s="0" t="n">
        <f aca="false">F38+O38</f>
        <v>0</v>
      </c>
      <c r="S38" s="0" t="n">
        <f aca="false">G38+P38</f>
        <v>0</v>
      </c>
      <c r="T38" s="0" t="n">
        <f aca="false">H38+Q38</f>
        <v>0</v>
      </c>
      <c r="U38" s="0" t="n">
        <f aca="false">I38+R38</f>
        <v>0</v>
      </c>
    </row>
    <row r="39" customFormat="false" ht="13.8" hidden="false" customHeight="false" outlineLevel="0" collapsed="false">
      <c r="G39" s="1"/>
      <c r="M39" s="0" t="n">
        <f aca="false">A39</f>
        <v>0</v>
      </c>
      <c r="N39" s="0" t="n">
        <f aca="false">B39+K39</f>
        <v>0</v>
      </c>
      <c r="O39" s="0" t="n">
        <f aca="false">C39+L39</f>
        <v>0</v>
      </c>
      <c r="P39" s="0" t="n">
        <f aca="false">D39+M39</f>
        <v>0</v>
      </c>
      <c r="Q39" s="0" t="n">
        <f aca="false">E39+N39</f>
        <v>0</v>
      </c>
      <c r="R39" s="0" t="n">
        <f aca="false">F39+O39</f>
        <v>0</v>
      </c>
      <c r="S39" s="0" t="n">
        <f aca="false">G39+P39</f>
        <v>0</v>
      </c>
      <c r="T39" s="0" t="n">
        <f aca="false">H39+Q39</f>
        <v>0</v>
      </c>
      <c r="U39" s="0" t="n">
        <f aca="false">I39+R39</f>
        <v>0</v>
      </c>
    </row>
    <row r="40" customFormat="false" ht="13.8" hidden="false" customHeight="false" outlineLevel="0" collapsed="false">
      <c r="G40" s="7"/>
      <c r="M40" s="0" t="n">
        <f aca="false">A40</f>
        <v>0</v>
      </c>
      <c r="N40" s="0" t="n">
        <f aca="false">B40+K40</f>
        <v>0</v>
      </c>
      <c r="O40" s="0" t="n">
        <f aca="false">C40+L40</f>
        <v>0</v>
      </c>
      <c r="P40" s="0" t="n">
        <f aca="false">D40+M40</f>
        <v>0</v>
      </c>
      <c r="Q40" s="0" t="n">
        <f aca="false">E40+N40</f>
        <v>0</v>
      </c>
      <c r="R40" s="0" t="n">
        <f aca="false">F40+O40</f>
        <v>0</v>
      </c>
      <c r="S40" s="0" t="n">
        <f aca="false">G40+P40</f>
        <v>0</v>
      </c>
      <c r="T40" s="0" t="n">
        <f aca="false">H40+Q40</f>
        <v>0</v>
      </c>
      <c r="U40" s="0" t="n">
        <f aca="false">I40+R40</f>
        <v>0</v>
      </c>
    </row>
    <row r="41" customFormat="false" ht="13.8" hidden="false" customHeight="false" outlineLevel="0" collapsed="false">
      <c r="G41" s="7"/>
      <c r="M41" s="0" t="n">
        <f aca="false">A41</f>
        <v>0</v>
      </c>
      <c r="N41" s="0" t="n">
        <f aca="false">B41+K41</f>
        <v>0</v>
      </c>
      <c r="O41" s="0" t="n">
        <f aca="false">C41+L41</f>
        <v>0</v>
      </c>
      <c r="P41" s="0" t="n">
        <f aca="false">D41+M41</f>
        <v>0</v>
      </c>
      <c r="Q41" s="0" t="n">
        <f aca="false">E41+N41</f>
        <v>0</v>
      </c>
      <c r="R41" s="0" t="n">
        <f aca="false">F41+O41</f>
        <v>0</v>
      </c>
      <c r="S41" s="0" t="n">
        <f aca="false">G41+P41</f>
        <v>0</v>
      </c>
      <c r="T41" s="0" t="n">
        <f aca="false">H41+Q41</f>
        <v>0</v>
      </c>
      <c r="U41" s="0" t="n">
        <f aca="false">I41+R41</f>
        <v>0</v>
      </c>
    </row>
    <row r="42" customFormat="false" ht="13.8" hidden="false" customHeight="false" outlineLevel="0" collapsed="false">
      <c r="G42" s="7"/>
      <c r="M42" s="0" t="n">
        <f aca="false">A42</f>
        <v>0</v>
      </c>
      <c r="N42" s="0" t="n">
        <f aca="false">B42+K42</f>
        <v>0</v>
      </c>
      <c r="O42" s="0" t="n">
        <f aca="false">C42+L42</f>
        <v>0</v>
      </c>
      <c r="P42" s="0" t="n">
        <f aca="false">D42+M42</f>
        <v>0</v>
      </c>
      <c r="Q42" s="0" t="n">
        <f aca="false">E42+N42</f>
        <v>0</v>
      </c>
      <c r="R42" s="0" t="n">
        <f aca="false">F42+O42</f>
        <v>0</v>
      </c>
      <c r="S42" s="0" t="n">
        <f aca="false">G42+P42</f>
        <v>0</v>
      </c>
      <c r="T42" s="0" t="n">
        <f aca="false">H42+Q42</f>
        <v>0</v>
      </c>
      <c r="U42" s="0" t="n">
        <f aca="false">I42+R42</f>
        <v>0</v>
      </c>
    </row>
    <row r="43" customFormat="false" ht="13.8" hidden="false" customHeight="false" outlineLevel="0" collapsed="false">
      <c r="G43" s="1"/>
      <c r="M43" s="0" t="n">
        <f aca="false">A43</f>
        <v>0</v>
      </c>
      <c r="N43" s="0" t="n">
        <f aca="false">B43+K43</f>
        <v>0</v>
      </c>
      <c r="O43" s="0" t="n">
        <f aca="false">C43+L43</f>
        <v>0</v>
      </c>
      <c r="P43" s="0" t="n">
        <f aca="false">D43+M43</f>
        <v>0</v>
      </c>
      <c r="Q43" s="0" t="n">
        <f aca="false">E43+N43</f>
        <v>0</v>
      </c>
      <c r="R43" s="0" t="n">
        <f aca="false">F43+O43</f>
        <v>0</v>
      </c>
      <c r="S43" s="0" t="n">
        <f aca="false">G43+P43</f>
        <v>0</v>
      </c>
      <c r="T43" s="0" t="n">
        <f aca="false">H43+Q43</f>
        <v>0</v>
      </c>
      <c r="U43" s="0" t="n">
        <f aca="false">I43+R43</f>
        <v>0</v>
      </c>
    </row>
    <row r="44" customFormat="false" ht="13.8" hidden="false" customHeight="false" outlineLevel="0" collapsed="false">
      <c r="G44" s="7"/>
      <c r="M44" s="0" t="n">
        <f aca="false">A44</f>
        <v>0</v>
      </c>
      <c r="N44" s="0" t="n">
        <f aca="false">B44+K44</f>
        <v>0</v>
      </c>
      <c r="O44" s="0" t="n">
        <f aca="false">C44+L44</f>
        <v>0</v>
      </c>
      <c r="P44" s="0" t="n">
        <f aca="false">D44+M44</f>
        <v>0</v>
      </c>
      <c r="Q44" s="0" t="n">
        <f aca="false">E44+N44</f>
        <v>0</v>
      </c>
      <c r="R44" s="0" t="n">
        <f aca="false">F44+O44</f>
        <v>0</v>
      </c>
      <c r="S44" s="0" t="n">
        <f aca="false">G44+P44</f>
        <v>0</v>
      </c>
      <c r="T44" s="0" t="n">
        <f aca="false">H44+Q44</f>
        <v>0</v>
      </c>
      <c r="U44" s="0" t="n">
        <f aca="false">I44+R44</f>
        <v>0</v>
      </c>
    </row>
    <row r="45" customFormat="false" ht="13.8" hidden="false" customHeight="false" outlineLevel="0" collapsed="false">
      <c r="G45" s="7"/>
      <c r="M45" s="0" t="n">
        <f aca="false">A45</f>
        <v>0</v>
      </c>
      <c r="N45" s="0" t="n">
        <f aca="false">B45+K45</f>
        <v>0</v>
      </c>
      <c r="O45" s="0" t="n">
        <f aca="false">C45+L45</f>
        <v>0</v>
      </c>
      <c r="P45" s="0" t="n">
        <f aca="false">D45+M45</f>
        <v>0</v>
      </c>
      <c r="Q45" s="0" t="n">
        <f aca="false">E45+N45</f>
        <v>0</v>
      </c>
      <c r="R45" s="0" t="n">
        <f aca="false">F45+O45</f>
        <v>0</v>
      </c>
      <c r="S45" s="0" t="n">
        <f aca="false">G45+P45</f>
        <v>0</v>
      </c>
      <c r="T45" s="0" t="n">
        <f aca="false">H45+Q45</f>
        <v>0</v>
      </c>
      <c r="U45" s="0" t="n">
        <f aca="false">I45+R45</f>
        <v>0</v>
      </c>
    </row>
    <row r="46" customFormat="false" ht="13.8" hidden="false" customHeight="false" outlineLevel="0" collapsed="false">
      <c r="G46" s="7"/>
      <c r="M46" s="0" t="n">
        <f aca="false">A46</f>
        <v>0</v>
      </c>
      <c r="N46" s="0" t="n">
        <f aca="false">B46+K46</f>
        <v>0</v>
      </c>
      <c r="O46" s="0" t="n">
        <f aca="false">C46+L46</f>
        <v>0</v>
      </c>
      <c r="P46" s="0" t="n">
        <f aca="false">D46+M46</f>
        <v>0</v>
      </c>
      <c r="Q46" s="0" t="n">
        <f aca="false">E46+N46</f>
        <v>0</v>
      </c>
      <c r="R46" s="0" t="n">
        <f aca="false">F46+O46</f>
        <v>0</v>
      </c>
      <c r="S46" s="0" t="n">
        <f aca="false">G46+P46</f>
        <v>0</v>
      </c>
      <c r="T46" s="0" t="n">
        <f aca="false">H46+Q46</f>
        <v>0</v>
      </c>
      <c r="U46" s="0" t="n">
        <f aca="false">I46+R46</f>
        <v>0</v>
      </c>
    </row>
    <row r="47" customFormat="false" ht="13.8" hidden="false" customHeight="false" outlineLevel="0" collapsed="false">
      <c r="G47" s="1"/>
      <c r="M47" s="0" t="n">
        <f aca="false">A47</f>
        <v>0</v>
      </c>
      <c r="N47" s="0" t="n">
        <f aca="false">B47+K47</f>
        <v>0</v>
      </c>
      <c r="O47" s="0" t="n">
        <f aca="false">C47+L47</f>
        <v>0</v>
      </c>
      <c r="P47" s="0" t="n">
        <f aca="false">D47+M47</f>
        <v>0</v>
      </c>
      <c r="Q47" s="0" t="n">
        <f aca="false">E47+N47</f>
        <v>0</v>
      </c>
      <c r="R47" s="0" t="n">
        <f aca="false">F47+O47</f>
        <v>0</v>
      </c>
      <c r="S47" s="0" t="n">
        <f aca="false">G47+P47</f>
        <v>0</v>
      </c>
      <c r="T47" s="0" t="n">
        <f aca="false">H47+Q47</f>
        <v>0</v>
      </c>
      <c r="U47" s="0" t="n">
        <f aca="false">I47+R47</f>
        <v>0</v>
      </c>
    </row>
    <row r="48" customFormat="false" ht="13.8" hidden="false" customHeight="false" outlineLevel="0" collapsed="false">
      <c r="G48" s="7"/>
      <c r="M48" s="0" t="n">
        <f aca="false">A48</f>
        <v>0</v>
      </c>
      <c r="N48" s="0" t="n">
        <f aca="false">B48+K48</f>
        <v>0</v>
      </c>
      <c r="O48" s="0" t="n">
        <f aca="false">C48+L48</f>
        <v>0</v>
      </c>
      <c r="P48" s="0" t="n">
        <f aca="false">D48+M48</f>
        <v>0</v>
      </c>
      <c r="Q48" s="0" t="n">
        <f aca="false">E48+N48</f>
        <v>0</v>
      </c>
      <c r="R48" s="0" t="n">
        <f aca="false">F48+O48</f>
        <v>0</v>
      </c>
      <c r="S48" s="0" t="n">
        <f aca="false">G48+P48</f>
        <v>0</v>
      </c>
      <c r="T48" s="0" t="n">
        <f aca="false">H48+Q48</f>
        <v>0</v>
      </c>
      <c r="U48" s="0" t="n">
        <f aca="false">I48+R48</f>
        <v>0</v>
      </c>
    </row>
    <row r="49" customFormat="false" ht="13.8" hidden="false" customHeight="false" outlineLevel="0" collapsed="false">
      <c r="G49" s="7"/>
      <c r="M49" s="0" t="n">
        <f aca="false">A49</f>
        <v>0</v>
      </c>
      <c r="N49" s="0" t="n">
        <f aca="false">B49+K49</f>
        <v>0</v>
      </c>
      <c r="O49" s="0" t="n">
        <f aca="false">C49+L49</f>
        <v>0</v>
      </c>
      <c r="P49" s="0" t="n">
        <f aca="false">D49+M49</f>
        <v>0</v>
      </c>
      <c r="Q49" s="0" t="n">
        <f aca="false">E49+N49</f>
        <v>0</v>
      </c>
      <c r="R49" s="0" t="n">
        <f aca="false">F49+O49</f>
        <v>0</v>
      </c>
      <c r="S49" s="0" t="n">
        <f aca="false">G49+P49</f>
        <v>0</v>
      </c>
      <c r="T49" s="0" t="n">
        <f aca="false">H49+Q49</f>
        <v>0</v>
      </c>
      <c r="U49" s="0" t="n">
        <f aca="false">I49+R49</f>
        <v>0</v>
      </c>
    </row>
    <row r="50" customFormat="false" ht="13.8" hidden="false" customHeight="false" outlineLevel="0" collapsed="false">
      <c r="G50" s="7"/>
      <c r="M50" s="0" t="n">
        <f aca="false">A50</f>
        <v>0</v>
      </c>
      <c r="N50" s="0" t="n">
        <f aca="false">B50+K50</f>
        <v>0</v>
      </c>
      <c r="O50" s="0" t="n">
        <f aca="false">C50+L50</f>
        <v>0</v>
      </c>
      <c r="P50" s="0" t="n">
        <f aca="false">D50+M50</f>
        <v>0</v>
      </c>
      <c r="Q50" s="0" t="n">
        <f aca="false">E50+N50</f>
        <v>0</v>
      </c>
      <c r="R50" s="0" t="n">
        <f aca="false">F50+O50</f>
        <v>0</v>
      </c>
      <c r="S50" s="0" t="n">
        <f aca="false">G50+P50</f>
        <v>0</v>
      </c>
      <c r="T50" s="0" t="n">
        <f aca="false">H50+Q50</f>
        <v>0</v>
      </c>
      <c r="U50" s="0" t="n">
        <f aca="false">I50+R50</f>
        <v>0</v>
      </c>
    </row>
    <row r="51" customFormat="false" ht="13.8" hidden="false" customHeight="false" outlineLevel="0" collapsed="false">
      <c r="G51" s="1"/>
      <c r="M51" s="0" t="n">
        <f aca="false">A51</f>
        <v>0</v>
      </c>
      <c r="N51" s="0" t="n">
        <f aca="false">B51+K51</f>
        <v>0</v>
      </c>
      <c r="O51" s="0" t="n">
        <f aca="false">C51+L51</f>
        <v>0</v>
      </c>
      <c r="P51" s="0" t="n">
        <f aca="false">D51+M51</f>
        <v>0</v>
      </c>
      <c r="Q51" s="0" t="n">
        <f aca="false">E51+N51</f>
        <v>0</v>
      </c>
      <c r="R51" s="0" t="n">
        <f aca="false">F51+O51</f>
        <v>0</v>
      </c>
      <c r="S51" s="0" t="n">
        <f aca="false">G51+P51</f>
        <v>0</v>
      </c>
      <c r="T51" s="0" t="n">
        <f aca="false">H51+Q51</f>
        <v>0</v>
      </c>
      <c r="U51" s="0" t="n">
        <f aca="false">I51+R51</f>
        <v>0</v>
      </c>
    </row>
    <row r="52" customFormat="false" ht="13.8" hidden="false" customHeight="false" outlineLevel="0" collapsed="false">
      <c r="G52" s="7"/>
      <c r="M52" s="0" t="n">
        <f aca="false">A52</f>
        <v>0</v>
      </c>
      <c r="N52" s="0" t="n">
        <f aca="false">B52+K52</f>
        <v>0</v>
      </c>
      <c r="O52" s="0" t="n">
        <f aca="false">C52+L52</f>
        <v>0</v>
      </c>
      <c r="P52" s="0" t="n">
        <f aca="false">D52+M52</f>
        <v>0</v>
      </c>
      <c r="Q52" s="0" t="n">
        <f aca="false">E52+N52</f>
        <v>0</v>
      </c>
      <c r="R52" s="0" t="n">
        <f aca="false">F52+O52</f>
        <v>0</v>
      </c>
      <c r="S52" s="0" t="n">
        <f aca="false">G52+P52</f>
        <v>0</v>
      </c>
      <c r="T52" s="0" t="n">
        <f aca="false">H52+Q52</f>
        <v>0</v>
      </c>
      <c r="U52" s="0" t="n">
        <f aca="false">I52+R52</f>
        <v>0</v>
      </c>
    </row>
    <row r="53" customFormat="false" ht="13.8" hidden="false" customHeight="false" outlineLevel="0" collapsed="false">
      <c r="G53" s="7"/>
      <c r="M53" s="0" t="n">
        <f aca="false">A53</f>
        <v>0</v>
      </c>
      <c r="N53" s="0" t="n">
        <f aca="false">B53+K53</f>
        <v>0</v>
      </c>
      <c r="O53" s="0" t="n">
        <f aca="false">C53+L53</f>
        <v>0</v>
      </c>
      <c r="P53" s="0" t="n">
        <f aca="false">D53+M53</f>
        <v>0</v>
      </c>
      <c r="Q53" s="0" t="n">
        <f aca="false">E53+N53</f>
        <v>0</v>
      </c>
      <c r="R53" s="0" t="n">
        <f aca="false">F53+O53</f>
        <v>0</v>
      </c>
      <c r="S53" s="0" t="n">
        <f aca="false">G53+P53</f>
        <v>0</v>
      </c>
      <c r="T53" s="0" t="n">
        <f aca="false">H53+Q53</f>
        <v>0</v>
      </c>
      <c r="U53" s="0" t="n">
        <f aca="false">I53+R53</f>
        <v>0</v>
      </c>
    </row>
    <row r="54" customFormat="false" ht="13.8" hidden="false" customHeight="false" outlineLevel="0" collapsed="false">
      <c r="M54" s="0" t="n">
        <f aca="false">A54</f>
        <v>0</v>
      </c>
      <c r="N54" s="0" t="n">
        <f aca="false">B54+K54</f>
        <v>0</v>
      </c>
      <c r="O54" s="0" t="n">
        <f aca="false">C54+L54</f>
        <v>0</v>
      </c>
      <c r="P54" s="0" t="n">
        <f aca="false">D54+M54</f>
        <v>0</v>
      </c>
      <c r="Q54" s="0" t="n">
        <f aca="false">E54+N54</f>
        <v>0</v>
      </c>
      <c r="R54" s="0" t="n">
        <f aca="false">F54+O54</f>
        <v>0</v>
      </c>
      <c r="S54" s="0" t="n">
        <f aca="false">G54+P54</f>
        <v>0</v>
      </c>
      <c r="T54" s="0" t="n">
        <f aca="false">H54+Q54</f>
        <v>0</v>
      </c>
      <c r="U54" s="0" t="n">
        <f aca="false">I54+R54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47"/>
  </cols>
  <sheetData>
    <row r="1" customFormat="false" ht="15.8" hidden="false" customHeight="false" outlineLevel="0" collapsed="false"/>
    <row r="2" customFormat="false" ht="104.45" hidden="false" customHeight="false" outlineLevel="0" collapsed="false"/>
    <row r="3" customFormat="false" ht="104.45" hidden="false" customHeight="false" outlineLevel="0" collapsed="false"/>
    <row r="4" customFormat="false" ht="104.45" hidden="false" customHeight="false" outlineLevel="0" collapsed="false"/>
    <row r="5" customFormat="false" ht="104.45" hidden="false" customHeight="false" outlineLevel="0" collapsed="false"/>
    <row r="6" customFormat="false" ht="104.45" hidden="false" customHeight="false" outlineLevel="0" collapsed="false"/>
    <row r="7" customFormat="false" ht="104.45" hidden="false" customHeight="false" outlineLevel="0" collapsed="false"/>
    <row r="8" customFormat="false" ht="104.45" hidden="false" customHeight="false" outlineLevel="0" collapsed="false"/>
    <row r="9" customFormat="false" ht="104.45" hidden="false" customHeight="false" outlineLevel="0" collapsed="false"/>
    <row r="10" customFormat="false" ht="104.45" hidden="false" customHeight="false" outlineLevel="0" collapsed="false"/>
    <row r="11" customFormat="false" ht="104.45" hidden="false" customHeight="false" outlineLevel="0" collapsed="false"/>
    <row r="12" customFormat="false" ht="104.45" hidden="false" customHeight="false" outlineLevel="0" collapsed="false"/>
    <row r="13" customFormat="false" ht="104.45" hidden="false" customHeight="false" outlineLevel="0" collapsed="false"/>
    <row r="14" customFormat="false" ht="104.45" hidden="false" customHeight="false" outlineLevel="0" collapsed="false"/>
    <row r="15" customFormat="false" ht="104.45" hidden="false" customHeight="false" outlineLevel="0" collapsed="false"/>
    <row r="16" customFormat="false" ht="104.45" hidden="false" customHeight="false" outlineLevel="0" collapsed="false"/>
    <row r="17" customFormat="false" ht="104.45" hidden="false" customHeight="false" outlineLevel="0" collapsed="false"/>
    <row r="18" customFormat="false" ht="104.45" hidden="false" customHeight="false" outlineLevel="0" collapsed="false"/>
    <row r="19" customFormat="false" ht="104.45" hidden="false" customHeight="false" outlineLevel="0" collapsed="false"/>
    <row r="20" customFormat="false" ht="104.45" hidden="false" customHeight="false" outlineLevel="0" collapsed="false"/>
    <row r="21" customFormat="false" ht="104.45" hidden="false" customHeight="false" outlineLevel="0" collapsed="false"/>
    <row r="22" customFormat="false" ht="104.45" hidden="false" customHeight="false" outlineLevel="0" collapsed="false"/>
    <row r="23" customFormat="false" ht="104.45" hidden="false" customHeight="false" outlineLevel="0" collapsed="false"/>
    <row r="24" customFormat="false" ht="104.45" hidden="false" customHeight="false" outlineLevel="0" collapsed="false"/>
    <row r="25" customFormat="false" ht="104.45" hidden="false" customHeight="false" outlineLevel="0" collapsed="false"/>
    <row r="26" customFormat="false" ht="104.45" hidden="false" customHeight="false" outlineLevel="0" collapsed="false"/>
    <row r="27" customFormat="false" ht="104.45" hidden="false" customHeight="false" outlineLevel="0" collapsed="false"/>
    <row r="28" customFormat="false" ht="104.45" hidden="false" customHeight="false" outlineLevel="0" collapsed="false"/>
    <row r="29" customFormat="false" ht="104.45" hidden="false" customHeight="false" outlineLevel="0" collapsed="false"/>
    <row r="30" customFormat="false" ht="104.45" hidden="false" customHeight="false" outlineLevel="0" collapsed="false"/>
    <row r="31" customFormat="false" ht="104.45" hidden="false" customHeight="false" outlineLevel="0" collapsed="false"/>
    <row r="32" customFormat="false" ht="104.45" hidden="false" customHeight="false" outlineLevel="0" collapsed="false"/>
    <row r="33" customFormat="false" ht="104.45" hidden="false" customHeight="false" outlineLevel="0" collapsed="false"/>
    <row r="34" customFormat="false" ht="104.45" hidden="false" customHeight="false" outlineLevel="0" collapsed="false"/>
    <row r="35" customFormat="false" ht="104.45" hidden="false" customHeight="false" outlineLevel="0" collapsed="false"/>
    <row r="36" customFormat="false" ht="104.45" hidden="false" customHeight="false" outlineLevel="0" collapsed="false"/>
    <row r="37" customFormat="false" ht="104.45" hidden="false" customHeight="false" outlineLevel="0" collapsed="false"/>
    <row r="38" customFormat="false" ht="104.45" hidden="false" customHeight="false" outlineLevel="0" collapsed="false"/>
    <row r="39" customFormat="false" ht="104.45" hidden="false" customHeight="false" outlineLevel="0" collapsed="false"/>
    <row r="40" customFormat="false" ht="104.45" hidden="false" customHeight="false" outlineLevel="0" collapsed="false"/>
    <row r="41" customFormat="false" ht="104.45" hidden="false" customHeight="false" outlineLevel="0" collapsed="false"/>
    <row r="42" customFormat="false" ht="104.45" hidden="false" customHeight="false" outlineLevel="0" collapsed="false"/>
    <row r="43" customFormat="false" ht="104.45" hidden="false" customHeight="false" outlineLevel="0" collapsed="false"/>
    <row r="44" customFormat="false" ht="104.45" hidden="false" customHeight="false" outlineLevel="0" collapsed="false"/>
    <row r="45" customFormat="false" ht="104.45" hidden="false" customHeight="false" outlineLevel="0" collapsed="false"/>
    <row r="46" customFormat="false" ht="104.45" hidden="false" customHeight="false" outlineLevel="0" collapsed="false"/>
    <row r="47" customFormat="false" ht="104.45" hidden="false" customHeight="false" outlineLevel="0" collapsed="false"/>
    <row r="48" customFormat="false" ht="104.45" hidden="false" customHeight="false" outlineLevel="0" collapsed="false"/>
    <row r="49" customFormat="false" ht="104.45" hidden="false" customHeight="false" outlineLevel="0" collapsed="false"/>
    <row r="50" customFormat="false" ht="104.45" hidden="false" customHeight="false" outlineLevel="0" collapsed="false"/>
    <row r="51" customFormat="false" ht="66.4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2019-09-23T11:38:29Z</dcterms:created>
  <dc:creator>Sarah Nguyen</dc:creator>
  <dc:description/>
  <dc:language>en-US</dc:language>
  <cp:lastModifiedBy/>
  <dcterms:modified xsi:type="dcterms:W3CDTF">2019-11-01T02:21:11Z</dcterms:modified>
  <cp:revision>12</cp:revision>
  <dc:subject/>
  <dc:title/>
</cp:coreProperties>
</file>