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_Material\Energy_Economics&amp;Finance\"/>
    </mc:Choice>
  </mc:AlternateContent>
  <xr:revisionPtr revIDLastSave="0" documentId="13_ncr:1_{56E2721B-49A9-461F-BB7B-E9B47CED6A15}" xr6:coauthVersionLast="43" xr6:coauthVersionMax="43" xr10:uidLastSave="{00000000-0000-0000-0000-000000000000}"/>
  <bookViews>
    <workbookView xWindow="-108" yWindow="-108" windowWidth="23256" windowHeight="12576" activeTab="4" xr2:uid="{8407989E-8154-4844-9716-68E4387040F4}"/>
  </bookViews>
  <sheets>
    <sheet name="Sheet1" sheetId="1" r:id="rId1"/>
    <sheet name="Cash_Flow_Analysis" sheetId="4" r:id="rId2"/>
    <sheet name="Bonds" sheetId="2" r:id="rId3"/>
    <sheet name="Solar_Production_Modelling" sheetId="3" r:id="rId4"/>
    <sheet name="LCO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5" l="1"/>
  <c r="E21" i="5"/>
  <c r="E25" i="5"/>
  <c r="E29" i="5"/>
  <c r="E33" i="5"/>
  <c r="E37" i="5"/>
  <c r="D14" i="5"/>
  <c r="E14" i="5" s="1"/>
  <c r="D15" i="5"/>
  <c r="E15" i="5" s="1"/>
  <c r="D16" i="5"/>
  <c r="E16" i="5" s="1"/>
  <c r="D17" i="5"/>
  <c r="D18" i="5"/>
  <c r="E18" i="5" s="1"/>
  <c r="D19" i="5"/>
  <c r="E19" i="5" s="1"/>
  <c r="D20" i="5"/>
  <c r="E20" i="5" s="1"/>
  <c r="D21" i="5"/>
  <c r="D22" i="5"/>
  <c r="E22" i="5" s="1"/>
  <c r="D23" i="5"/>
  <c r="E23" i="5" s="1"/>
  <c r="D24" i="5"/>
  <c r="E24" i="5" s="1"/>
  <c r="D25" i="5"/>
  <c r="D26" i="5"/>
  <c r="E26" i="5" s="1"/>
  <c r="D27" i="5"/>
  <c r="E27" i="5" s="1"/>
  <c r="D28" i="5"/>
  <c r="E28" i="5" s="1"/>
  <c r="D29" i="5"/>
  <c r="D30" i="5"/>
  <c r="E30" i="5" s="1"/>
  <c r="D31" i="5"/>
  <c r="E31" i="5" s="1"/>
  <c r="D32" i="5"/>
  <c r="E32" i="5" s="1"/>
  <c r="D33" i="5"/>
  <c r="D34" i="5"/>
  <c r="E34" i="5" s="1"/>
  <c r="D35" i="5"/>
  <c r="E35" i="5" s="1"/>
  <c r="D36" i="5"/>
  <c r="E36" i="5" s="1"/>
  <c r="D37" i="5"/>
  <c r="D13" i="5"/>
  <c r="E13" i="5" s="1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12" i="5"/>
  <c r="B29" i="5"/>
  <c r="B30" i="5"/>
  <c r="B31" i="5"/>
  <c r="B32" i="5"/>
  <c r="B33" i="5"/>
  <c r="B34" i="5"/>
  <c r="B35" i="5"/>
  <c r="B36" i="5"/>
  <c r="B37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13" i="5"/>
  <c r="B12" i="5"/>
  <c r="C39" i="5" l="1"/>
  <c r="C40" i="5"/>
  <c r="C41" i="5" s="1"/>
  <c r="E34" i="4"/>
  <c r="B34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C36" i="4"/>
  <c r="D36" i="4"/>
  <c r="B36" i="4"/>
  <c r="B33" i="4"/>
  <c r="I30" i="4"/>
  <c r="J30" i="4" s="1"/>
  <c r="K30" i="4" s="1"/>
  <c r="L30" i="4" s="1"/>
  <c r="M30" i="4" s="1"/>
  <c r="N30" i="4" s="1"/>
  <c r="O30" i="4" s="1"/>
  <c r="P30" i="4" s="1"/>
  <c r="Q30" i="4" s="1"/>
  <c r="R30" i="4" s="1"/>
  <c r="S30" i="4" s="1"/>
  <c r="T30" i="4" s="1"/>
  <c r="U30" i="4" s="1"/>
  <c r="V30" i="4" s="1"/>
  <c r="W30" i="4" s="1"/>
  <c r="X30" i="4" s="1"/>
  <c r="Y30" i="4" s="1"/>
  <c r="Z30" i="4" s="1"/>
  <c r="AA30" i="4" s="1"/>
  <c r="AB30" i="4" s="1"/>
  <c r="AC30" i="4" s="1"/>
  <c r="AD30" i="4" s="1"/>
  <c r="AE30" i="4" s="1"/>
  <c r="AF30" i="4" s="1"/>
  <c r="F30" i="4"/>
  <c r="G30" i="4" s="1"/>
  <c r="H30" i="4" s="1"/>
  <c r="F29" i="4"/>
  <c r="G29" i="4" s="1"/>
  <c r="G31" i="4" s="1"/>
  <c r="F27" i="4"/>
  <c r="F28" i="4" s="1"/>
  <c r="F25" i="4"/>
  <c r="F26" i="4" s="1"/>
  <c r="F24" i="4"/>
  <c r="E30" i="4"/>
  <c r="E29" i="4"/>
  <c r="E31" i="4" s="1"/>
  <c r="E25" i="4"/>
  <c r="E26" i="4" s="1"/>
  <c r="E24" i="4"/>
  <c r="E27" i="4" s="1"/>
  <c r="E28" i="4" s="1"/>
  <c r="E32" i="4" s="1"/>
  <c r="D30" i="4"/>
  <c r="D31" i="4"/>
  <c r="D32" i="4" s="1"/>
  <c r="D29" i="4"/>
  <c r="D28" i="4"/>
  <c r="D27" i="4"/>
  <c r="C27" i="4"/>
  <c r="D26" i="4"/>
  <c r="D25" i="4"/>
  <c r="D24" i="4"/>
  <c r="C31" i="4"/>
  <c r="C30" i="4"/>
  <c r="C29" i="4"/>
  <c r="C28" i="4"/>
  <c r="C32" i="4" s="1"/>
  <c r="C26" i="4"/>
  <c r="C25" i="4"/>
  <c r="C24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32" i="4"/>
  <c r="B23" i="4"/>
  <c r="B26" i="4"/>
  <c r="B16" i="4"/>
  <c r="B15" i="4"/>
  <c r="B12" i="4"/>
  <c r="C10" i="4"/>
  <c r="B10" i="4"/>
  <c r="B9" i="4"/>
  <c r="B8" i="4"/>
  <c r="B5" i="4"/>
  <c r="G24" i="4" l="1"/>
  <c r="H29" i="4"/>
  <c r="F31" i="4"/>
  <c r="F32" i="4" s="1"/>
  <c r="C30" i="3"/>
  <c r="D30" i="3" s="1"/>
  <c r="E30" i="3" s="1"/>
  <c r="E20" i="3"/>
  <c r="E21" i="3"/>
  <c r="E22" i="3"/>
  <c r="E23" i="3"/>
  <c r="E24" i="3"/>
  <c r="E25" i="3"/>
  <c r="E26" i="3"/>
  <c r="E27" i="3"/>
  <c r="E28" i="3"/>
  <c r="E29" i="3"/>
  <c r="E31" i="3"/>
  <c r="E32" i="3"/>
  <c r="E33" i="3"/>
  <c r="E34" i="3"/>
  <c r="E35" i="3"/>
  <c r="E36" i="3"/>
  <c r="E37" i="3"/>
  <c r="E38" i="3"/>
  <c r="E39" i="3"/>
  <c r="D21" i="3"/>
  <c r="D22" i="3"/>
  <c r="D23" i="3"/>
  <c r="D24" i="3"/>
  <c r="D25" i="3"/>
  <c r="D26" i="3"/>
  <c r="D27" i="3"/>
  <c r="D28" i="3"/>
  <c r="D29" i="3"/>
  <c r="D31" i="3"/>
  <c r="D32" i="3"/>
  <c r="D33" i="3"/>
  <c r="D34" i="3"/>
  <c r="D35" i="3"/>
  <c r="D36" i="3"/>
  <c r="D37" i="3"/>
  <c r="D38" i="3"/>
  <c r="D39" i="3"/>
  <c r="C22" i="3"/>
  <c r="C23" i="3"/>
  <c r="C24" i="3"/>
  <c r="C25" i="3"/>
  <c r="C26" i="3"/>
  <c r="C27" i="3"/>
  <c r="C28" i="3"/>
  <c r="C29" i="3"/>
  <c r="C31" i="3"/>
  <c r="C32" i="3"/>
  <c r="C33" i="3"/>
  <c r="C34" i="3"/>
  <c r="C35" i="3"/>
  <c r="C36" i="3"/>
  <c r="C37" i="3"/>
  <c r="C38" i="3"/>
  <c r="C39" i="3"/>
  <c r="C21" i="3"/>
  <c r="C20" i="3"/>
  <c r="E19" i="3"/>
  <c r="D19" i="3"/>
  <c r="B14" i="3"/>
  <c r="J16" i="3"/>
  <c r="J15" i="3"/>
  <c r="J14" i="3"/>
  <c r="J12" i="3"/>
  <c r="J10" i="3"/>
  <c r="J7" i="3"/>
  <c r="H31" i="4" l="1"/>
  <c r="I29" i="4"/>
  <c r="G25" i="4"/>
  <c r="G26" i="4" s="1"/>
  <c r="G27" i="4"/>
  <c r="G28" i="4" s="1"/>
  <c r="G32" i="4" s="1"/>
  <c r="D20" i="3"/>
  <c r="L15" i="2"/>
  <c r="G3" i="2"/>
  <c r="E13" i="2"/>
  <c r="E7" i="2"/>
  <c r="E8" i="2"/>
  <c r="E9" i="2"/>
  <c r="E10" i="2"/>
  <c r="E11" i="2"/>
  <c r="E6" i="2"/>
  <c r="F43" i="1"/>
  <c r="D64" i="1"/>
  <c r="D57" i="1"/>
  <c r="D58" i="1"/>
  <c r="D59" i="1"/>
  <c r="D60" i="1"/>
  <c r="D61" i="1"/>
  <c r="D62" i="1"/>
  <c r="D56" i="1"/>
  <c r="D53" i="1"/>
  <c r="D46" i="1"/>
  <c r="D47" i="1"/>
  <c r="D48" i="1"/>
  <c r="D49" i="1"/>
  <c r="D50" i="1"/>
  <c r="D51" i="1"/>
  <c r="D45" i="1"/>
  <c r="I31" i="4" l="1"/>
  <c r="J29" i="4"/>
  <c r="H24" i="4"/>
  <c r="D20" i="1"/>
  <c r="D21" i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E20" i="1"/>
  <c r="F20" i="1" s="1"/>
  <c r="E19" i="1"/>
  <c r="D13" i="1"/>
  <c r="D7" i="1"/>
  <c r="D8" i="1"/>
  <c r="D9" i="1"/>
  <c r="D10" i="1"/>
  <c r="D11" i="1"/>
  <c r="D6" i="1"/>
  <c r="H25" i="4" l="1"/>
  <c r="H26" i="4" s="1"/>
  <c r="H27" i="4"/>
  <c r="H28" i="4" s="1"/>
  <c r="H32" i="4" s="1"/>
  <c r="K29" i="4"/>
  <c r="J31" i="4"/>
  <c r="E21" i="1"/>
  <c r="F21" i="1" s="1"/>
  <c r="E23" i="1"/>
  <c r="F23" i="1" s="1"/>
  <c r="E22" i="1"/>
  <c r="F22" i="1" s="1"/>
  <c r="F19" i="1"/>
  <c r="K31" i="4" l="1"/>
  <c r="L29" i="4"/>
  <c r="I24" i="4"/>
  <c r="E24" i="1"/>
  <c r="F24" i="1" s="1"/>
  <c r="I27" i="4" l="1"/>
  <c r="I28" i="4" s="1"/>
  <c r="I32" i="4" s="1"/>
  <c r="I25" i="4"/>
  <c r="I26" i="4" s="1"/>
  <c r="L31" i="4"/>
  <c r="M29" i="4"/>
  <c r="E25" i="1"/>
  <c r="F25" i="1" s="1"/>
  <c r="M31" i="4" l="1"/>
  <c r="N29" i="4"/>
  <c r="J24" i="4"/>
  <c r="E26" i="1"/>
  <c r="J27" i="4" l="1"/>
  <c r="J28" i="4" s="1"/>
  <c r="J32" i="4" s="1"/>
  <c r="J25" i="4"/>
  <c r="J26" i="4" s="1"/>
  <c r="O29" i="4"/>
  <c r="N31" i="4"/>
  <c r="F26" i="1"/>
  <c r="E27" i="1"/>
  <c r="F27" i="1" s="1"/>
  <c r="P29" i="4" l="1"/>
  <c r="O31" i="4"/>
  <c r="K24" i="4"/>
  <c r="E28" i="1"/>
  <c r="P31" i="4" l="1"/>
  <c r="Q29" i="4"/>
  <c r="K25" i="4"/>
  <c r="K26" i="4" s="1"/>
  <c r="K27" i="4"/>
  <c r="K28" i="4" s="1"/>
  <c r="K32" i="4" s="1"/>
  <c r="F28" i="1"/>
  <c r="E29" i="1"/>
  <c r="F29" i="1" s="1"/>
  <c r="L24" i="4" l="1"/>
  <c r="Q31" i="4"/>
  <c r="R29" i="4"/>
  <c r="E30" i="1"/>
  <c r="S29" i="4" l="1"/>
  <c r="R31" i="4"/>
  <c r="L25" i="4"/>
  <c r="L26" i="4" s="1"/>
  <c r="L27" i="4"/>
  <c r="L28" i="4" s="1"/>
  <c r="L32" i="4" s="1"/>
  <c r="F30" i="1"/>
  <c r="E31" i="1"/>
  <c r="F31" i="1" s="1"/>
  <c r="M24" i="4" l="1"/>
  <c r="S31" i="4"/>
  <c r="T29" i="4"/>
  <c r="E32" i="1"/>
  <c r="M27" i="4" l="1"/>
  <c r="M28" i="4" s="1"/>
  <c r="M32" i="4" s="1"/>
  <c r="M25" i="4"/>
  <c r="M26" i="4" s="1"/>
  <c r="T31" i="4"/>
  <c r="U29" i="4"/>
  <c r="F32" i="1"/>
  <c r="E33" i="1"/>
  <c r="F33" i="1" s="1"/>
  <c r="N24" i="4" l="1"/>
  <c r="U31" i="4"/>
  <c r="V29" i="4"/>
  <c r="E34" i="1"/>
  <c r="F34" i="1" s="1"/>
  <c r="N27" i="4" l="1"/>
  <c r="N28" i="4" s="1"/>
  <c r="N32" i="4" s="1"/>
  <c r="N25" i="4"/>
  <c r="N26" i="4" s="1"/>
  <c r="W29" i="4"/>
  <c r="V31" i="4"/>
  <c r="E35" i="1"/>
  <c r="F35" i="1" s="1"/>
  <c r="O24" i="4" l="1"/>
  <c r="X29" i="4"/>
  <c r="W31" i="4"/>
  <c r="E36" i="1"/>
  <c r="F36" i="1" s="1"/>
  <c r="X31" i="4" l="1"/>
  <c r="Y29" i="4"/>
  <c r="O25" i="4"/>
  <c r="O26" i="4" s="1"/>
  <c r="O27" i="4"/>
  <c r="O28" i="4" s="1"/>
  <c r="O32" i="4" s="1"/>
  <c r="E37" i="1"/>
  <c r="F37" i="1" s="1"/>
  <c r="P24" i="4" l="1"/>
  <c r="Y31" i="4"/>
  <c r="Z29" i="4"/>
  <c r="E39" i="1"/>
  <c r="E38" i="1"/>
  <c r="F38" i="1" s="1"/>
  <c r="AA29" i="4" l="1"/>
  <c r="Z31" i="4"/>
  <c r="P27" i="4"/>
  <c r="P28" i="4" s="1"/>
  <c r="P32" i="4" s="1"/>
  <c r="P25" i="4"/>
  <c r="P26" i="4" s="1"/>
  <c r="F39" i="1"/>
  <c r="D41" i="1" s="1"/>
  <c r="F16" i="1"/>
  <c r="Q24" i="4" l="1"/>
  <c r="AA31" i="4"/>
  <c r="AB29" i="4"/>
  <c r="AB31" i="4" l="1"/>
  <c r="AC29" i="4"/>
  <c r="Q27" i="4"/>
  <c r="Q28" i="4" s="1"/>
  <c r="Q32" i="4" s="1"/>
  <c r="Q25" i="4"/>
  <c r="Q26" i="4" s="1"/>
  <c r="R24" i="4" l="1"/>
  <c r="AC31" i="4"/>
  <c r="AD29" i="4"/>
  <c r="AE29" i="4" l="1"/>
  <c r="AD31" i="4"/>
  <c r="R27" i="4"/>
  <c r="R28" i="4" s="1"/>
  <c r="R32" i="4" s="1"/>
  <c r="R25" i="4"/>
  <c r="R26" i="4" s="1"/>
  <c r="S24" i="4" l="1"/>
  <c r="AF29" i="4"/>
  <c r="AF31" i="4" s="1"/>
  <c r="AE31" i="4"/>
  <c r="S25" i="4" l="1"/>
  <c r="S26" i="4" s="1"/>
  <c r="S27" i="4"/>
  <c r="S28" i="4" s="1"/>
  <c r="S32" i="4" s="1"/>
  <c r="T24" i="4" l="1"/>
  <c r="T27" i="4" l="1"/>
  <c r="T28" i="4" s="1"/>
  <c r="T32" i="4" s="1"/>
  <c r="T25" i="4"/>
  <c r="T26" i="4" s="1"/>
  <c r="U24" i="4" l="1"/>
  <c r="U27" i="4" l="1"/>
  <c r="U28" i="4" s="1"/>
  <c r="U32" i="4" s="1"/>
  <c r="U25" i="4"/>
  <c r="U26" i="4" s="1"/>
  <c r="V24" i="4" l="1"/>
  <c r="V27" i="4" l="1"/>
  <c r="V28" i="4" s="1"/>
  <c r="V32" i="4" s="1"/>
  <c r="V25" i="4"/>
  <c r="V26" i="4" s="1"/>
  <c r="W24" i="4" l="1"/>
  <c r="W25" i="4" l="1"/>
  <c r="W26" i="4" s="1"/>
  <c r="W27" i="4"/>
  <c r="W28" i="4" s="1"/>
  <c r="W32" i="4" s="1"/>
  <c r="X24" i="4" l="1"/>
  <c r="X27" i="4" l="1"/>
  <c r="X28" i="4" s="1"/>
  <c r="X32" i="4" s="1"/>
  <c r="X25" i="4"/>
  <c r="X26" i="4" s="1"/>
  <c r="Y24" i="4" l="1"/>
  <c r="Y27" i="4" l="1"/>
  <c r="Y28" i="4" s="1"/>
  <c r="Y32" i="4" s="1"/>
  <c r="Y25" i="4"/>
  <c r="Y26" i="4" s="1"/>
  <c r="Z24" i="4" l="1"/>
  <c r="Z27" i="4" l="1"/>
  <c r="Z28" i="4" s="1"/>
  <c r="Z32" i="4" s="1"/>
  <c r="Z25" i="4"/>
  <c r="Z26" i="4" s="1"/>
  <c r="AA24" i="4" l="1"/>
  <c r="AA25" i="4" l="1"/>
  <c r="AA26" i="4" s="1"/>
  <c r="AA27" i="4"/>
  <c r="AA28" i="4" s="1"/>
  <c r="AA32" i="4" s="1"/>
  <c r="AB24" i="4" l="1"/>
  <c r="AB25" i="4" l="1"/>
  <c r="AB26" i="4" s="1"/>
  <c r="AB27" i="4"/>
  <c r="AB28" i="4" s="1"/>
  <c r="AB32" i="4" s="1"/>
  <c r="AC24" i="4" l="1"/>
  <c r="AC27" i="4" l="1"/>
  <c r="AC28" i="4" s="1"/>
  <c r="AC32" i="4" s="1"/>
  <c r="AC25" i="4"/>
  <c r="AC26" i="4" s="1"/>
  <c r="AD24" i="4" l="1"/>
  <c r="AD27" i="4" l="1"/>
  <c r="AD28" i="4" s="1"/>
  <c r="AD32" i="4" s="1"/>
  <c r="AD25" i="4"/>
  <c r="AD26" i="4" s="1"/>
  <c r="AE24" i="4" l="1"/>
  <c r="AE25" i="4" l="1"/>
  <c r="AE26" i="4" s="1"/>
  <c r="AE27" i="4"/>
  <c r="AE28" i="4" s="1"/>
  <c r="AE32" i="4" s="1"/>
  <c r="AF24" i="4" l="1"/>
  <c r="AF27" i="4" l="1"/>
  <c r="AF28" i="4" s="1"/>
  <c r="AF32" i="4" s="1"/>
  <c r="AF25" i="4"/>
  <c r="AF26" i="4" s="1"/>
</calcChain>
</file>

<file path=xl/sharedStrings.xml><?xml version="1.0" encoding="utf-8"?>
<sst xmlns="http://schemas.openxmlformats.org/spreadsheetml/2006/main" count="102" uniqueCount="84">
  <si>
    <t>Discount Rate</t>
  </si>
  <si>
    <t>Period</t>
  </si>
  <si>
    <t>Net Cash Flow</t>
  </si>
  <si>
    <t>Present value for period</t>
  </si>
  <si>
    <t>NPV: Sum of all present values</t>
  </si>
  <si>
    <t>Discount rate</t>
  </si>
  <si>
    <t xml:space="preserve">Period </t>
  </si>
  <si>
    <t>Investment ( - cash flow)</t>
  </si>
  <si>
    <t>Payments (savings)</t>
  </si>
  <si>
    <t>Present Value</t>
  </si>
  <si>
    <t>NPV:Sum of all present values</t>
  </si>
  <si>
    <t>IRR</t>
  </si>
  <si>
    <t>Oil Inflation rate</t>
  </si>
  <si>
    <t>Year</t>
  </si>
  <si>
    <t>Machine income stream</t>
  </si>
  <si>
    <t>Disocunt rate</t>
  </si>
  <si>
    <t>Bank account income stream</t>
  </si>
  <si>
    <t>Present value</t>
  </si>
  <si>
    <t>$1000 5 year bond paying 1% interest annual, selling at $800</t>
  </si>
  <si>
    <t>Income stream</t>
  </si>
  <si>
    <t>NPV</t>
  </si>
  <si>
    <t>Operations and Maintenance costs/$-watt</t>
  </si>
  <si>
    <t>Est. Power Production Yr. (kWh)</t>
  </si>
  <si>
    <t>Electric rate value</t>
  </si>
  <si>
    <t>Solar power value</t>
  </si>
  <si>
    <t>Energy inflation rate</t>
  </si>
  <si>
    <t>SREC value</t>
  </si>
  <si>
    <t>SREC Yearly value (only 10 years)</t>
  </si>
  <si>
    <t>Calculating Net Installed costs for residential</t>
  </si>
  <si>
    <t>Installation cost/watt</t>
  </si>
  <si>
    <t>System size DC</t>
  </si>
  <si>
    <t>Structural/service?</t>
  </si>
  <si>
    <t>Gross installed costs</t>
  </si>
  <si>
    <t>Federal ITC</t>
  </si>
  <si>
    <t>Federal ITC value</t>
  </si>
  <si>
    <t>Comm Solar Rebate per watt</t>
  </si>
  <si>
    <t>Total Comm Solar value</t>
  </si>
  <si>
    <t xml:space="preserve">Total rebates </t>
  </si>
  <si>
    <t>Net Installed costs</t>
  </si>
  <si>
    <t>Net installed Per watt</t>
  </si>
  <si>
    <t>Investment</t>
  </si>
  <si>
    <t>Payments</t>
  </si>
  <si>
    <t xml:space="preserve">Net cash flow for period </t>
  </si>
  <si>
    <t>Rated DC power (kW)</t>
  </si>
  <si>
    <t>Insolation (h/d)</t>
  </si>
  <si>
    <t>Derating</t>
  </si>
  <si>
    <t>First year production (kWh/yr)</t>
  </si>
  <si>
    <t>System degradation (%/yr)</t>
  </si>
  <si>
    <t>Cost before incentives ($/Wp)</t>
  </si>
  <si>
    <t>System cost</t>
  </si>
  <si>
    <t>Rebates (30% default)</t>
  </si>
  <si>
    <t>Final cost ($) and ($/Wp)</t>
  </si>
  <si>
    <t>Down payment</t>
  </si>
  <si>
    <t>Loan principle</t>
  </si>
  <si>
    <t>Loan interest (%/year)</t>
  </si>
  <si>
    <t>Loan term (yr)</t>
  </si>
  <si>
    <t>CRF (i,n)/yr</t>
  </si>
  <si>
    <t>Annual payments ($/yr)</t>
  </si>
  <si>
    <t>Marginal tax bracket (MTB)</t>
  </si>
  <si>
    <t xml:space="preserve">Nominal discount rate </t>
  </si>
  <si>
    <t>First year utility price ($/kWh)</t>
  </si>
  <si>
    <t xml:space="preserve">Utility </t>
  </si>
  <si>
    <t>Payment ($/yr)</t>
  </si>
  <si>
    <t>Interest ($/yr)</t>
  </si>
  <si>
    <t>Delta balance</t>
  </si>
  <si>
    <t>Loan balance</t>
  </si>
  <si>
    <t>Tax savings on interest ($/yr)</t>
  </si>
  <si>
    <t>Net cost of PV</t>
  </si>
  <si>
    <t>PV kWh generated (kWh/yr)</t>
  </si>
  <si>
    <t>Utility price ($/kWh)</t>
  </si>
  <si>
    <t>Utility cost without PVs</t>
  </si>
  <si>
    <t>Net cash flow ($/yr)</t>
  </si>
  <si>
    <t>200 kW wind generating system</t>
  </si>
  <si>
    <t>Initial investment</t>
  </si>
  <si>
    <t>Annual maintenance costs starting year 1</t>
  </si>
  <si>
    <t>Capacity factor</t>
  </si>
  <si>
    <t>Project period (years)</t>
  </si>
  <si>
    <t>Interest rate</t>
  </si>
  <si>
    <t>PV</t>
  </si>
  <si>
    <t>PV (cost)</t>
  </si>
  <si>
    <t>Quantity of electricity produced (kWh)</t>
  </si>
  <si>
    <t>PV (quantity)</t>
  </si>
  <si>
    <t>PV of quantity</t>
  </si>
  <si>
    <t>LCOE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</si>
</sst>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164" formatCode="&quot;$&quot;#,##0.00"/>
    <numFmt numFmtId="165" formatCode="0.000%"/>
    <numFmt numFmtId="166" formatCode="&quot;$&quot;#,##0"/>
    <numFmt numFmtId="167" formatCode="0.00000"/>
    <numFmt numFmtId="168" formatCode="&quot;$&quot;#,##0.000"/>
    <numFmt numFmtId="169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8" fontId="0" fillId="0" borderId="0" xfId="0" applyNumberFormat="1"/>
    <xf numFmtId="0" fontId="1" fillId="0" borderId="0" xfId="0" applyFont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5517-0966-4965-ADAC-0C48BAF20CD1}">
  <dimension ref="B3:F64"/>
  <sheetViews>
    <sheetView topLeftCell="A44" workbookViewId="0">
      <selection activeCell="D56" sqref="D56"/>
    </sheetView>
  </sheetViews>
  <sheetFormatPr defaultRowHeight="14.4" x14ac:dyDescent="0.3"/>
  <cols>
    <col min="2" max="2" width="12.33203125" bestFit="1" customWidth="1"/>
    <col min="3" max="3" width="26" bestFit="1" customWidth="1"/>
    <col min="4" max="4" width="20.6640625" bestFit="1" customWidth="1"/>
    <col min="5" max="5" width="12.6640625" bestFit="1" customWidth="1"/>
    <col min="6" max="6" width="12.109375" bestFit="1" customWidth="1"/>
  </cols>
  <sheetData>
    <row r="3" spans="2:6" x14ac:dyDescent="0.3">
      <c r="B3" t="s">
        <v>0</v>
      </c>
      <c r="C3" s="1">
        <v>0.05</v>
      </c>
    </row>
    <row r="5" spans="2:6" x14ac:dyDescent="0.3">
      <c r="B5" t="s">
        <v>1</v>
      </c>
      <c r="C5" t="s">
        <v>2</v>
      </c>
      <c r="D5" t="s">
        <v>3</v>
      </c>
    </row>
    <row r="6" spans="2:6" x14ac:dyDescent="0.3">
      <c r="B6">
        <v>0</v>
      </c>
      <c r="C6">
        <v>-500</v>
      </c>
      <c r="D6" s="2">
        <f>C6/(1+$C$3)^B6</f>
        <v>-500</v>
      </c>
    </row>
    <row r="7" spans="2:6" x14ac:dyDescent="0.3">
      <c r="B7">
        <v>1</v>
      </c>
      <c r="C7">
        <v>50</v>
      </c>
      <c r="D7" s="2">
        <f t="shared" ref="D7:D11" si="0">C7/(1+$C$3)^B7</f>
        <v>47.61904761904762</v>
      </c>
    </row>
    <row r="8" spans="2:6" x14ac:dyDescent="0.3">
      <c r="B8">
        <v>2</v>
      </c>
      <c r="C8">
        <v>200</v>
      </c>
      <c r="D8" s="2">
        <f t="shared" si="0"/>
        <v>181.40589569160997</v>
      </c>
    </row>
    <row r="9" spans="2:6" x14ac:dyDescent="0.3">
      <c r="B9">
        <v>3</v>
      </c>
      <c r="C9">
        <v>200</v>
      </c>
      <c r="D9" s="2">
        <f t="shared" si="0"/>
        <v>172.76751970629519</v>
      </c>
    </row>
    <row r="10" spans="2:6" x14ac:dyDescent="0.3">
      <c r="B10">
        <v>4</v>
      </c>
      <c r="C10">
        <v>300</v>
      </c>
      <c r="D10" s="2">
        <f t="shared" si="0"/>
        <v>246.81074243756458</v>
      </c>
    </row>
    <row r="11" spans="2:6" x14ac:dyDescent="0.3">
      <c r="B11">
        <v>5</v>
      </c>
      <c r="C11">
        <v>300</v>
      </c>
      <c r="D11" s="2">
        <f t="shared" si="0"/>
        <v>235.05784994053769</v>
      </c>
    </row>
    <row r="13" spans="2:6" x14ac:dyDescent="0.3">
      <c r="C13" t="s">
        <v>4</v>
      </c>
      <c r="D13" s="2">
        <f>SUM(D6:D11)</f>
        <v>383.66105539505509</v>
      </c>
    </row>
    <row r="16" spans="2:6" x14ac:dyDescent="0.3">
      <c r="B16" t="s">
        <v>5</v>
      </c>
      <c r="C16" s="1">
        <v>4.4999999999999998E-2</v>
      </c>
      <c r="E16" t="s">
        <v>11</v>
      </c>
      <c r="F16" s="1">
        <f>IRR(E19:E39)</f>
        <v>0.1505633433859126</v>
      </c>
    </row>
    <row r="17" spans="2:6" x14ac:dyDescent="0.3">
      <c r="E17" t="s">
        <v>12</v>
      </c>
      <c r="F17" s="1">
        <v>0.06</v>
      </c>
    </row>
    <row r="18" spans="2:6" x14ac:dyDescent="0.3">
      <c r="B18" t="s">
        <v>6</v>
      </c>
      <c r="C18" t="s">
        <v>7</v>
      </c>
      <c r="D18" t="s">
        <v>8</v>
      </c>
      <c r="E18" t="s">
        <v>2</v>
      </c>
      <c r="F18" t="s">
        <v>9</v>
      </c>
    </row>
    <row r="19" spans="2:6" x14ac:dyDescent="0.3">
      <c r="B19">
        <v>0</v>
      </c>
      <c r="C19">
        <v>-4000</v>
      </c>
      <c r="D19">
        <v>0</v>
      </c>
      <c r="E19">
        <f>C19</f>
        <v>-4000</v>
      </c>
      <c r="F19">
        <f>E19/(1+$C$16)^B19</f>
        <v>-4000</v>
      </c>
    </row>
    <row r="20" spans="2:6" x14ac:dyDescent="0.3">
      <c r="B20">
        <v>1</v>
      </c>
      <c r="C20">
        <v>0</v>
      </c>
      <c r="D20">
        <f>3.5*130</f>
        <v>455</v>
      </c>
      <c r="E20">
        <f>D20-C20</f>
        <v>455</v>
      </c>
      <c r="F20">
        <f t="shared" ref="F20:F39" si="1">E20/(1+$C$16)^B20</f>
        <v>435.40669856459334</v>
      </c>
    </row>
    <row r="21" spans="2:6" x14ac:dyDescent="0.3">
      <c r="B21">
        <v>2</v>
      </c>
      <c r="C21">
        <v>0</v>
      </c>
      <c r="D21">
        <f>D20*(1+$F$17)</f>
        <v>482.3</v>
      </c>
      <c r="E21">
        <f t="shared" ref="E21:E39" si="2">D21-C21</f>
        <v>482.3</v>
      </c>
      <c r="F21">
        <f t="shared" si="1"/>
        <v>441.65655548178853</v>
      </c>
    </row>
    <row r="22" spans="2:6" x14ac:dyDescent="0.3">
      <c r="B22">
        <v>3</v>
      </c>
      <c r="C22">
        <v>0</v>
      </c>
      <c r="D22">
        <f t="shared" ref="D22:D39" si="3">D21*(1+$F$17)</f>
        <v>511.23800000000006</v>
      </c>
      <c r="E22">
        <f t="shared" si="2"/>
        <v>511.23800000000006</v>
      </c>
      <c r="F22">
        <f t="shared" si="1"/>
        <v>447.99612326382379</v>
      </c>
    </row>
    <row r="23" spans="2:6" x14ac:dyDescent="0.3">
      <c r="B23">
        <v>4</v>
      </c>
      <c r="C23">
        <v>0</v>
      </c>
      <c r="D23">
        <f t="shared" si="3"/>
        <v>541.91228000000012</v>
      </c>
      <c r="E23">
        <f t="shared" si="2"/>
        <v>541.91228000000012</v>
      </c>
      <c r="F23">
        <f t="shared" si="1"/>
        <v>454.42668962646258</v>
      </c>
    </row>
    <row r="24" spans="2:6" x14ac:dyDescent="0.3">
      <c r="B24">
        <v>5</v>
      </c>
      <c r="C24">
        <v>0</v>
      </c>
      <c r="D24">
        <f t="shared" si="3"/>
        <v>574.42701680000016</v>
      </c>
      <c r="E24">
        <f t="shared" si="2"/>
        <v>574.42701680000016</v>
      </c>
      <c r="F24">
        <f t="shared" si="1"/>
        <v>460.94956076942617</v>
      </c>
    </row>
    <row r="25" spans="2:6" x14ac:dyDescent="0.3">
      <c r="B25">
        <v>6</v>
      </c>
      <c r="C25">
        <v>0</v>
      </c>
      <c r="D25">
        <f t="shared" si="3"/>
        <v>608.89263780800025</v>
      </c>
      <c r="E25">
        <f t="shared" si="2"/>
        <v>608.89263780800025</v>
      </c>
      <c r="F25">
        <f t="shared" si="1"/>
        <v>467.56606164171478</v>
      </c>
    </row>
    <row r="26" spans="2:6" x14ac:dyDescent="0.3">
      <c r="B26">
        <v>7</v>
      </c>
      <c r="C26">
        <v>0</v>
      </c>
      <c r="D26">
        <f t="shared" si="3"/>
        <v>645.42619607648032</v>
      </c>
      <c r="E26">
        <f t="shared" si="2"/>
        <v>645.42619607648032</v>
      </c>
      <c r="F26">
        <f t="shared" si="1"/>
        <v>474.27753621073458</v>
      </c>
    </row>
    <row r="27" spans="2:6" x14ac:dyDescent="0.3">
      <c r="B27">
        <v>8</v>
      </c>
      <c r="C27">
        <v>0</v>
      </c>
      <c r="D27">
        <f t="shared" si="3"/>
        <v>684.15176784106916</v>
      </c>
      <c r="E27">
        <f t="shared" si="2"/>
        <v>684.15176784106916</v>
      </c>
      <c r="F27">
        <f t="shared" si="1"/>
        <v>481.08534773529078</v>
      </c>
    </row>
    <row r="28" spans="2:6" x14ac:dyDescent="0.3">
      <c r="B28">
        <v>9</v>
      </c>
      <c r="C28">
        <v>0</v>
      </c>
      <c r="D28">
        <f t="shared" si="3"/>
        <v>725.20087391153334</v>
      </c>
      <c r="E28">
        <f t="shared" si="2"/>
        <v>725.20087391153334</v>
      </c>
      <c r="F28">
        <f t="shared" si="1"/>
        <v>487.99087904249592</v>
      </c>
    </row>
    <row r="29" spans="2:6" x14ac:dyDescent="0.3">
      <c r="B29">
        <v>10</v>
      </c>
      <c r="C29">
        <v>200</v>
      </c>
      <c r="D29">
        <f t="shared" si="3"/>
        <v>768.71292634622534</v>
      </c>
      <c r="E29">
        <f t="shared" si="2"/>
        <v>568.71292634622534</v>
      </c>
      <c r="F29">
        <f t="shared" si="1"/>
        <v>366.20999640264762</v>
      </c>
    </row>
    <row r="30" spans="2:6" x14ac:dyDescent="0.3">
      <c r="B30">
        <v>11</v>
      </c>
      <c r="C30">
        <v>0</v>
      </c>
      <c r="D30">
        <f t="shared" si="3"/>
        <v>814.83570192699892</v>
      </c>
      <c r="E30">
        <f t="shared" si="2"/>
        <v>814.83570192699892</v>
      </c>
      <c r="F30">
        <f t="shared" si="1"/>
        <v>502.10073184418724</v>
      </c>
    </row>
    <row r="31" spans="2:6" x14ac:dyDescent="0.3">
      <c r="B31">
        <v>12</v>
      </c>
      <c r="C31">
        <v>0</v>
      </c>
      <c r="D31">
        <f t="shared" si="3"/>
        <v>863.72584404261886</v>
      </c>
      <c r="E31">
        <f t="shared" si="2"/>
        <v>863.72584404261886</v>
      </c>
      <c r="F31">
        <f t="shared" si="1"/>
        <v>509.3079193826207</v>
      </c>
    </row>
    <row r="32" spans="2:6" x14ac:dyDescent="0.3">
      <c r="B32">
        <v>13</v>
      </c>
      <c r="C32">
        <v>0</v>
      </c>
      <c r="D32">
        <f t="shared" si="3"/>
        <v>915.54939468517603</v>
      </c>
      <c r="E32">
        <f t="shared" si="2"/>
        <v>915.54939468517603</v>
      </c>
      <c r="F32">
        <f t="shared" si="1"/>
        <v>516.61855937375879</v>
      </c>
    </row>
    <row r="33" spans="2:6" x14ac:dyDescent="0.3">
      <c r="B33">
        <v>14</v>
      </c>
      <c r="C33">
        <v>0</v>
      </c>
      <c r="D33">
        <f t="shared" si="3"/>
        <v>970.48235836628669</v>
      </c>
      <c r="E33">
        <f t="shared" si="2"/>
        <v>970.48235836628669</v>
      </c>
      <c r="F33">
        <f t="shared" si="1"/>
        <v>524.03413678103777</v>
      </c>
    </row>
    <row r="34" spans="2:6" x14ac:dyDescent="0.3">
      <c r="B34">
        <v>15</v>
      </c>
      <c r="C34">
        <v>0</v>
      </c>
      <c r="D34">
        <f t="shared" si="3"/>
        <v>1028.7112998682639</v>
      </c>
      <c r="E34">
        <f t="shared" si="2"/>
        <v>1028.7112998682639</v>
      </c>
      <c r="F34">
        <f t="shared" si="1"/>
        <v>531.55615788315788</v>
      </c>
    </row>
    <row r="35" spans="2:6" x14ac:dyDescent="0.3">
      <c r="B35">
        <v>16</v>
      </c>
      <c r="C35">
        <v>0</v>
      </c>
      <c r="D35">
        <f t="shared" si="3"/>
        <v>1090.4339778603598</v>
      </c>
      <c r="E35">
        <f t="shared" si="2"/>
        <v>1090.4339778603598</v>
      </c>
      <c r="F35">
        <f t="shared" si="1"/>
        <v>539.18615058004559</v>
      </c>
    </row>
    <row r="36" spans="2:6" x14ac:dyDescent="0.3">
      <c r="B36">
        <v>17</v>
      </c>
      <c r="C36">
        <v>0</v>
      </c>
      <c r="D36">
        <f t="shared" si="3"/>
        <v>1155.8600165319815</v>
      </c>
      <c r="E36">
        <f t="shared" si="2"/>
        <v>1155.8600165319815</v>
      </c>
      <c r="F36">
        <f t="shared" si="1"/>
        <v>546.92566470320423</v>
      </c>
    </row>
    <row r="37" spans="2:6" x14ac:dyDescent="0.3">
      <c r="B37">
        <v>18</v>
      </c>
      <c r="C37">
        <v>0</v>
      </c>
      <c r="D37">
        <f t="shared" si="3"/>
        <v>1225.2116175239005</v>
      </c>
      <c r="E37">
        <f t="shared" si="2"/>
        <v>1225.2116175239005</v>
      </c>
      <c r="F37">
        <f t="shared" si="1"/>
        <v>554.77627233052306</v>
      </c>
    </row>
    <row r="38" spans="2:6" x14ac:dyDescent="0.3">
      <c r="B38">
        <v>19</v>
      </c>
      <c r="C38">
        <v>0</v>
      </c>
      <c r="D38">
        <f t="shared" si="3"/>
        <v>1298.7243145753346</v>
      </c>
      <c r="E38">
        <f t="shared" si="2"/>
        <v>1298.7243145753346</v>
      </c>
      <c r="F38">
        <f t="shared" si="1"/>
        <v>562.73956810560242</v>
      </c>
    </row>
    <row r="39" spans="2:6" x14ac:dyDescent="0.3">
      <c r="B39">
        <v>20</v>
      </c>
      <c r="C39">
        <v>0</v>
      </c>
      <c r="D39">
        <f t="shared" si="3"/>
        <v>1376.6477734498546</v>
      </c>
      <c r="E39">
        <f t="shared" si="2"/>
        <v>1376.6477734498546</v>
      </c>
      <c r="F39">
        <f t="shared" si="1"/>
        <v>570.81716956166383</v>
      </c>
    </row>
    <row r="41" spans="2:6" x14ac:dyDescent="0.3">
      <c r="C41" t="s">
        <v>10</v>
      </c>
      <c r="D41">
        <f>SUM(F19:F39)</f>
        <v>5875.6277792847795</v>
      </c>
    </row>
    <row r="43" spans="2:6" x14ac:dyDescent="0.3">
      <c r="C43" t="s">
        <v>15</v>
      </c>
      <c r="D43" s="1">
        <v>0.05</v>
      </c>
      <c r="F43" s="1">
        <f>IRR(C45:C51)</f>
        <v>5.471792502353745E-2</v>
      </c>
    </row>
    <row r="44" spans="2:6" x14ac:dyDescent="0.3">
      <c r="B44" t="s">
        <v>13</v>
      </c>
      <c r="C44" t="s">
        <v>14</v>
      </c>
      <c r="D44" t="s">
        <v>9</v>
      </c>
    </row>
    <row r="45" spans="2:6" x14ac:dyDescent="0.3">
      <c r="B45">
        <v>0</v>
      </c>
      <c r="C45">
        <v>-1000</v>
      </c>
      <c r="D45">
        <f>C45/(1+$D$43)^B45</f>
        <v>-1000</v>
      </c>
    </row>
    <row r="46" spans="2:6" x14ac:dyDescent="0.3">
      <c r="B46">
        <v>1</v>
      </c>
      <c r="C46">
        <v>200</v>
      </c>
      <c r="D46">
        <f t="shared" ref="D46:D51" si="4">C46/(1+$D$43)^B46</f>
        <v>190.47619047619048</v>
      </c>
    </row>
    <row r="47" spans="2:6" x14ac:dyDescent="0.3">
      <c r="B47">
        <v>2</v>
      </c>
      <c r="C47">
        <v>200</v>
      </c>
      <c r="D47">
        <f t="shared" si="4"/>
        <v>181.40589569160997</v>
      </c>
    </row>
    <row r="48" spans="2:6" x14ac:dyDescent="0.3">
      <c r="B48">
        <v>3</v>
      </c>
      <c r="C48">
        <v>200</v>
      </c>
      <c r="D48">
        <f t="shared" si="4"/>
        <v>172.76751970629519</v>
      </c>
    </row>
    <row r="49" spans="2:6" x14ac:dyDescent="0.3">
      <c r="B49">
        <v>4</v>
      </c>
      <c r="C49">
        <v>200</v>
      </c>
      <c r="D49">
        <f t="shared" si="4"/>
        <v>164.5404949583764</v>
      </c>
    </row>
    <row r="50" spans="2:6" x14ac:dyDescent="0.3">
      <c r="B50">
        <v>5</v>
      </c>
      <c r="C50">
        <v>200</v>
      </c>
      <c r="D50">
        <f t="shared" si="4"/>
        <v>156.70523329369178</v>
      </c>
    </row>
    <row r="51" spans="2:6" x14ac:dyDescent="0.3">
      <c r="B51">
        <v>6</v>
      </c>
      <c r="C51">
        <v>200</v>
      </c>
      <c r="D51">
        <f t="shared" si="4"/>
        <v>149.24307932732555</v>
      </c>
    </row>
    <row r="53" spans="2:6" x14ac:dyDescent="0.3">
      <c r="C53" t="s">
        <v>10</v>
      </c>
      <c r="D53">
        <f>SUM(D45:D51)</f>
        <v>15.138413453489335</v>
      </c>
    </row>
    <row r="55" spans="2:6" x14ac:dyDescent="0.3">
      <c r="B55" t="s">
        <v>13</v>
      </c>
      <c r="C55" t="s">
        <v>16</v>
      </c>
      <c r="D55" t="s">
        <v>17</v>
      </c>
      <c r="F55" s="3"/>
    </row>
    <row r="56" spans="2:6" x14ac:dyDescent="0.3">
      <c r="B56">
        <v>0</v>
      </c>
      <c r="C56">
        <v>-1000</v>
      </c>
      <c r="D56">
        <f>C56/(1+$D$43)^B56</f>
        <v>-1000</v>
      </c>
    </row>
    <row r="57" spans="2:6" x14ac:dyDescent="0.3">
      <c r="B57">
        <v>1</v>
      </c>
      <c r="C57">
        <v>50</v>
      </c>
      <c r="D57">
        <f t="shared" ref="D57:D62" si="5">C57/(1+$D$43)^B57</f>
        <v>47.61904761904762</v>
      </c>
    </row>
    <row r="58" spans="2:6" x14ac:dyDescent="0.3">
      <c r="B58">
        <v>2</v>
      </c>
      <c r="C58">
        <v>50</v>
      </c>
      <c r="D58">
        <f t="shared" si="5"/>
        <v>45.351473922902493</v>
      </c>
    </row>
    <row r="59" spans="2:6" x14ac:dyDescent="0.3">
      <c r="B59">
        <v>3</v>
      </c>
      <c r="C59">
        <v>50</v>
      </c>
      <c r="D59">
        <f t="shared" si="5"/>
        <v>43.191879926573797</v>
      </c>
    </row>
    <row r="60" spans="2:6" x14ac:dyDescent="0.3">
      <c r="B60">
        <v>4</v>
      </c>
      <c r="C60">
        <v>50</v>
      </c>
      <c r="D60">
        <f t="shared" si="5"/>
        <v>41.1351237395941</v>
      </c>
    </row>
    <row r="61" spans="2:6" x14ac:dyDescent="0.3">
      <c r="B61">
        <v>5</v>
      </c>
      <c r="C61">
        <v>50</v>
      </c>
      <c r="D61">
        <f t="shared" si="5"/>
        <v>39.176308323422944</v>
      </c>
    </row>
    <row r="62" spans="2:6" x14ac:dyDescent="0.3">
      <c r="B62">
        <v>6</v>
      </c>
      <c r="C62">
        <v>1050</v>
      </c>
      <c r="D62">
        <f t="shared" si="5"/>
        <v>783.526166468459</v>
      </c>
    </row>
    <row r="64" spans="2:6" x14ac:dyDescent="0.3">
      <c r="C64" t="s">
        <v>10</v>
      </c>
      <c r="D64">
        <f>SUM(D56:D62)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EC60-7690-43CA-B62C-43292A1E8E8D}">
  <dimension ref="A2:AF36"/>
  <sheetViews>
    <sheetView topLeftCell="A11" workbookViewId="0">
      <selection activeCell="B15" sqref="B15"/>
    </sheetView>
  </sheetViews>
  <sheetFormatPr defaultRowHeight="14.4" x14ac:dyDescent="0.3"/>
  <cols>
    <col min="1" max="1" width="25.77734375" bestFit="1" customWidth="1"/>
    <col min="2" max="2" width="10.5546875" bestFit="1" customWidth="1"/>
    <col min="3" max="4" width="10" bestFit="1" customWidth="1"/>
    <col min="5" max="11" width="12" bestFit="1" customWidth="1"/>
  </cols>
  <sheetData>
    <row r="2" spans="1:3" x14ac:dyDescent="0.3">
      <c r="A2" t="s">
        <v>43</v>
      </c>
      <c r="B2">
        <v>3.36</v>
      </c>
    </row>
    <row r="3" spans="1:3" x14ac:dyDescent="0.3">
      <c r="A3" t="s">
        <v>44</v>
      </c>
      <c r="B3">
        <v>5.32</v>
      </c>
    </row>
    <row r="4" spans="1:3" x14ac:dyDescent="0.3">
      <c r="A4" t="s">
        <v>45</v>
      </c>
      <c r="B4">
        <v>0.75749999999999995</v>
      </c>
    </row>
    <row r="5" spans="1:3" x14ac:dyDescent="0.3">
      <c r="A5" t="s">
        <v>46</v>
      </c>
      <c r="B5">
        <f>B2*B3*B4*365</f>
        <v>4942.2693599999993</v>
      </c>
    </row>
    <row r="6" spans="1:3" x14ac:dyDescent="0.3">
      <c r="A6" t="s">
        <v>47</v>
      </c>
      <c r="B6" s="1">
        <v>5.0000000000000001E-3</v>
      </c>
    </row>
    <row r="7" spans="1:3" x14ac:dyDescent="0.3">
      <c r="A7" t="s">
        <v>48</v>
      </c>
      <c r="B7">
        <v>5.71</v>
      </c>
    </row>
    <row r="8" spans="1:3" x14ac:dyDescent="0.3">
      <c r="A8" t="s">
        <v>49</v>
      </c>
      <c r="B8" s="2">
        <f>B7*B2*1000</f>
        <v>19185.600000000002</v>
      </c>
    </row>
    <row r="9" spans="1:3" x14ac:dyDescent="0.3">
      <c r="A9" t="s">
        <v>50</v>
      </c>
      <c r="B9" s="2">
        <f>0.3*B8</f>
        <v>5755.68</v>
      </c>
    </row>
    <row r="10" spans="1:3" x14ac:dyDescent="0.3">
      <c r="A10" t="s">
        <v>51</v>
      </c>
      <c r="B10" s="2">
        <f>B8-B9</f>
        <v>13429.920000000002</v>
      </c>
      <c r="C10" s="2">
        <f>B10/(B2*1000)</f>
        <v>3.9970000000000008</v>
      </c>
    </row>
    <row r="11" spans="1:3" x14ac:dyDescent="0.3">
      <c r="A11" t="s">
        <v>52</v>
      </c>
      <c r="B11" s="2">
        <v>1000</v>
      </c>
    </row>
    <row r="12" spans="1:3" x14ac:dyDescent="0.3">
      <c r="A12" t="s">
        <v>53</v>
      </c>
      <c r="B12" s="2">
        <f>B10-B11</f>
        <v>12429.920000000002</v>
      </c>
    </row>
    <row r="13" spans="1:3" x14ac:dyDescent="0.3">
      <c r="A13" t="s">
        <v>54</v>
      </c>
      <c r="B13" s="1">
        <v>4.4999999999999998E-2</v>
      </c>
    </row>
    <row r="14" spans="1:3" x14ac:dyDescent="0.3">
      <c r="A14" t="s">
        <v>55</v>
      </c>
      <c r="B14">
        <v>30</v>
      </c>
    </row>
    <row r="15" spans="1:3" x14ac:dyDescent="0.3">
      <c r="A15" t="s">
        <v>56</v>
      </c>
      <c r="B15" s="6">
        <f>B13*((1+B13)^B14)/((1+B13)^B14-1)</f>
        <v>6.1391542908593236E-2</v>
      </c>
    </row>
    <row r="16" spans="1:3" x14ac:dyDescent="0.3">
      <c r="A16" t="s">
        <v>57</v>
      </c>
      <c r="B16" s="2">
        <f>B15*B12</f>
        <v>763.0919670303814</v>
      </c>
    </row>
    <row r="17" spans="1:32" x14ac:dyDescent="0.3">
      <c r="A17" t="s">
        <v>58</v>
      </c>
      <c r="B17" s="3">
        <v>0.25</v>
      </c>
    </row>
    <row r="18" spans="1:32" x14ac:dyDescent="0.3">
      <c r="A18" t="s">
        <v>59</v>
      </c>
      <c r="B18" s="3">
        <v>0.05</v>
      </c>
    </row>
    <row r="19" spans="1:32" x14ac:dyDescent="0.3">
      <c r="A19" t="s">
        <v>60</v>
      </c>
      <c r="B19" s="7">
        <v>0.11600000000000001</v>
      </c>
    </row>
    <row r="20" spans="1:32" x14ac:dyDescent="0.3">
      <c r="A20" t="s">
        <v>61</v>
      </c>
      <c r="B20" s="1">
        <v>0.03</v>
      </c>
    </row>
    <row r="22" spans="1:32" x14ac:dyDescent="0.3">
      <c r="A22" t="s">
        <v>13</v>
      </c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</row>
    <row r="23" spans="1:32" x14ac:dyDescent="0.3">
      <c r="A23" t="s">
        <v>62</v>
      </c>
      <c r="B23" s="2">
        <f>B11</f>
        <v>1000</v>
      </c>
      <c r="C23" s="2">
        <f>$B$16</f>
        <v>763.0919670303814</v>
      </c>
      <c r="D23" s="2">
        <f t="shared" ref="D23:AF23" si="0">$B$16</f>
        <v>763.0919670303814</v>
      </c>
      <c r="E23" s="2">
        <f t="shared" si="0"/>
        <v>763.0919670303814</v>
      </c>
      <c r="F23" s="2">
        <f t="shared" si="0"/>
        <v>763.0919670303814</v>
      </c>
      <c r="G23" s="2">
        <f t="shared" si="0"/>
        <v>763.0919670303814</v>
      </c>
      <c r="H23" s="2">
        <f t="shared" si="0"/>
        <v>763.0919670303814</v>
      </c>
      <c r="I23" s="2">
        <f t="shared" si="0"/>
        <v>763.0919670303814</v>
      </c>
      <c r="J23" s="2">
        <f t="shared" si="0"/>
        <v>763.0919670303814</v>
      </c>
      <c r="K23" s="2">
        <f t="shared" si="0"/>
        <v>763.0919670303814</v>
      </c>
      <c r="L23" s="2">
        <f t="shared" si="0"/>
        <v>763.0919670303814</v>
      </c>
      <c r="M23" s="2">
        <f t="shared" si="0"/>
        <v>763.0919670303814</v>
      </c>
      <c r="N23" s="2">
        <f t="shared" si="0"/>
        <v>763.0919670303814</v>
      </c>
      <c r="O23" s="2">
        <f t="shared" si="0"/>
        <v>763.0919670303814</v>
      </c>
      <c r="P23" s="2">
        <f t="shared" si="0"/>
        <v>763.0919670303814</v>
      </c>
      <c r="Q23" s="2">
        <f t="shared" si="0"/>
        <v>763.0919670303814</v>
      </c>
      <c r="R23" s="2">
        <f t="shared" si="0"/>
        <v>763.0919670303814</v>
      </c>
      <c r="S23" s="2">
        <f t="shared" si="0"/>
        <v>763.0919670303814</v>
      </c>
      <c r="T23" s="2">
        <f t="shared" si="0"/>
        <v>763.0919670303814</v>
      </c>
      <c r="U23" s="2">
        <f t="shared" si="0"/>
        <v>763.0919670303814</v>
      </c>
      <c r="V23" s="2">
        <f t="shared" si="0"/>
        <v>763.0919670303814</v>
      </c>
      <c r="W23" s="2">
        <f t="shared" si="0"/>
        <v>763.0919670303814</v>
      </c>
      <c r="X23" s="2">
        <f t="shared" si="0"/>
        <v>763.0919670303814</v>
      </c>
      <c r="Y23" s="2">
        <f t="shared" si="0"/>
        <v>763.0919670303814</v>
      </c>
      <c r="Z23" s="2">
        <f t="shared" si="0"/>
        <v>763.0919670303814</v>
      </c>
      <c r="AA23" s="2">
        <f t="shared" si="0"/>
        <v>763.0919670303814</v>
      </c>
      <c r="AB23" s="2">
        <f t="shared" si="0"/>
        <v>763.0919670303814</v>
      </c>
      <c r="AC23" s="2">
        <f t="shared" si="0"/>
        <v>763.0919670303814</v>
      </c>
      <c r="AD23" s="2">
        <f t="shared" si="0"/>
        <v>763.0919670303814</v>
      </c>
      <c r="AE23" s="2">
        <f t="shared" si="0"/>
        <v>763.0919670303814</v>
      </c>
      <c r="AF23" s="2">
        <f t="shared" si="0"/>
        <v>763.0919670303814</v>
      </c>
    </row>
    <row r="24" spans="1:32" x14ac:dyDescent="0.3">
      <c r="A24" t="s">
        <v>63</v>
      </c>
      <c r="C24" s="2">
        <f>B13*B12</f>
        <v>559.34640000000002</v>
      </c>
      <c r="D24" s="2">
        <f>$B$13*C26</f>
        <v>550.17784948363294</v>
      </c>
      <c r="E24" s="2">
        <f>$B$13*D26</f>
        <v>540.59671419402923</v>
      </c>
      <c r="F24" s="2">
        <f t="shared" ref="F24:AF24" si="1">$B$13*E26</f>
        <v>530.58442781639337</v>
      </c>
      <c r="G24" s="2">
        <f t="shared" si="1"/>
        <v>520.12158855176392</v>
      </c>
      <c r="H24" s="2">
        <f t="shared" si="1"/>
        <v>509.18792152022615</v>
      </c>
      <c r="I24" s="2">
        <f t="shared" si="1"/>
        <v>497.76223947226919</v>
      </c>
      <c r="J24" s="2">
        <f t="shared" si="1"/>
        <v>485.82240173215416</v>
      </c>
      <c r="K24" s="2">
        <f t="shared" si="1"/>
        <v>473.3452712937339</v>
      </c>
      <c r="L24" s="2">
        <f t="shared" si="1"/>
        <v>460.30666998558479</v>
      </c>
      <c r="M24" s="2">
        <f t="shared" si="1"/>
        <v>446.68133161856895</v>
      </c>
      <c r="N24" s="2">
        <f t="shared" si="1"/>
        <v>432.44285302503744</v>
      </c>
      <c r="O24" s="2">
        <f t="shared" si="1"/>
        <v>417.56364289479694</v>
      </c>
      <c r="P24" s="2">
        <f t="shared" si="1"/>
        <v>402.01486830869561</v>
      </c>
      <c r="Q24" s="2">
        <f t="shared" si="1"/>
        <v>385.76639886621979</v>
      </c>
      <c r="R24" s="2">
        <f t="shared" si="1"/>
        <v>368.78674829883249</v>
      </c>
      <c r="S24" s="2">
        <f t="shared" si="1"/>
        <v>351.04301345591279</v>
      </c>
      <c r="T24" s="2">
        <f t="shared" si="1"/>
        <v>332.50081054506171</v>
      </c>
      <c r="U24" s="2">
        <f t="shared" si="1"/>
        <v>313.12420850322235</v>
      </c>
      <c r="V24" s="2">
        <f t="shared" si="1"/>
        <v>292.87565936950017</v>
      </c>
      <c r="W24" s="2">
        <f t="shared" si="1"/>
        <v>271.71592552476051</v>
      </c>
      <c r="X24" s="2">
        <f t="shared" si="1"/>
        <v>249.60400365700755</v>
      </c>
      <c r="Y24" s="2">
        <f t="shared" si="1"/>
        <v>226.49704530520575</v>
      </c>
      <c r="Z24" s="2">
        <f t="shared" si="1"/>
        <v>202.35027382757286</v>
      </c>
      <c r="AA24" s="2">
        <f t="shared" si="1"/>
        <v>177.11689763344646</v>
      </c>
      <c r="AB24" s="2">
        <f t="shared" si="1"/>
        <v>150.74801951058438</v>
      </c>
      <c r="AC24" s="2">
        <f t="shared" si="1"/>
        <v>123.19254187219353</v>
      </c>
      <c r="AD24" s="2">
        <f t="shared" si="1"/>
        <v>94.397067740075073</v>
      </c>
      <c r="AE24" s="2">
        <f t="shared" si="1"/>
        <v>64.30579727201129</v>
      </c>
      <c r="AF24" s="2">
        <f t="shared" si="1"/>
        <v>32.860419632884643</v>
      </c>
    </row>
    <row r="25" spans="1:32" x14ac:dyDescent="0.3">
      <c r="A25" t="s">
        <v>64</v>
      </c>
      <c r="C25" s="2">
        <f>C23-C24</f>
        <v>203.74556703038138</v>
      </c>
      <c r="D25" s="2">
        <f>D23-D24</f>
        <v>212.91411754674846</v>
      </c>
      <c r="E25" s="2">
        <f>E23-E24</f>
        <v>222.49525283635217</v>
      </c>
      <c r="F25" s="2">
        <f t="shared" ref="F25:AF25" si="2">F23-F24</f>
        <v>232.50753921398803</v>
      </c>
      <c r="G25" s="2">
        <f t="shared" si="2"/>
        <v>242.97037847861748</v>
      </c>
      <c r="H25" s="2">
        <f t="shared" si="2"/>
        <v>253.90404551015524</v>
      </c>
      <c r="I25" s="2">
        <f t="shared" si="2"/>
        <v>265.32972755811221</v>
      </c>
      <c r="J25" s="2">
        <f t="shared" si="2"/>
        <v>277.26956529822723</v>
      </c>
      <c r="K25" s="2">
        <f t="shared" si="2"/>
        <v>289.7466957366475</v>
      </c>
      <c r="L25" s="2">
        <f t="shared" si="2"/>
        <v>302.78529704479661</v>
      </c>
      <c r="M25" s="2">
        <f t="shared" si="2"/>
        <v>316.41063541181245</v>
      </c>
      <c r="N25" s="2">
        <f t="shared" si="2"/>
        <v>330.64911400534396</v>
      </c>
      <c r="O25" s="2">
        <f t="shared" si="2"/>
        <v>345.52832413558446</v>
      </c>
      <c r="P25" s="2">
        <f t="shared" si="2"/>
        <v>361.07709872168579</v>
      </c>
      <c r="Q25" s="2">
        <f t="shared" si="2"/>
        <v>377.32556816416161</v>
      </c>
      <c r="R25" s="2">
        <f t="shared" si="2"/>
        <v>394.3052187315489</v>
      </c>
      <c r="S25" s="2">
        <f t="shared" si="2"/>
        <v>412.04895357446861</v>
      </c>
      <c r="T25" s="2">
        <f t="shared" si="2"/>
        <v>430.59115648531969</v>
      </c>
      <c r="U25" s="2">
        <f t="shared" si="2"/>
        <v>449.96775852715905</v>
      </c>
      <c r="V25" s="2">
        <f t="shared" si="2"/>
        <v>470.21630766088123</v>
      </c>
      <c r="W25" s="2">
        <f t="shared" si="2"/>
        <v>491.37604150562089</v>
      </c>
      <c r="X25" s="2">
        <f t="shared" si="2"/>
        <v>513.48796337337387</v>
      </c>
      <c r="Y25" s="2">
        <f t="shared" si="2"/>
        <v>536.59492172517571</v>
      </c>
      <c r="Z25" s="2">
        <f t="shared" si="2"/>
        <v>560.74169320280851</v>
      </c>
      <c r="AA25" s="2">
        <f t="shared" si="2"/>
        <v>585.97506939693494</v>
      </c>
      <c r="AB25" s="2">
        <f t="shared" si="2"/>
        <v>612.34394751979698</v>
      </c>
      <c r="AC25" s="2">
        <f t="shared" si="2"/>
        <v>639.89942515818791</v>
      </c>
      <c r="AD25" s="2">
        <f t="shared" si="2"/>
        <v>668.69489929030635</v>
      </c>
      <c r="AE25" s="2">
        <f t="shared" si="2"/>
        <v>698.78616975837008</v>
      </c>
      <c r="AF25" s="2">
        <f t="shared" si="2"/>
        <v>730.2315473974968</v>
      </c>
    </row>
    <row r="26" spans="1:32" x14ac:dyDescent="0.3">
      <c r="A26" t="s">
        <v>65</v>
      </c>
      <c r="B26" s="2">
        <f>B12</f>
        <v>12429.920000000002</v>
      </c>
      <c r="C26" s="2">
        <f>B26-C25</f>
        <v>12226.174432969621</v>
      </c>
      <c r="D26" s="2">
        <f>C26-D25</f>
        <v>12013.260315422873</v>
      </c>
      <c r="E26" s="2">
        <f>D26-E25</f>
        <v>11790.765062586521</v>
      </c>
      <c r="F26" s="2">
        <f t="shared" ref="F26:AF26" si="3">E26-F25</f>
        <v>11558.257523372533</v>
      </c>
      <c r="G26" s="2">
        <f t="shared" si="3"/>
        <v>11315.287144893915</v>
      </c>
      <c r="H26" s="2">
        <f t="shared" si="3"/>
        <v>11061.38309938376</v>
      </c>
      <c r="I26" s="2">
        <f t="shared" si="3"/>
        <v>10796.053371825648</v>
      </c>
      <c r="J26" s="2">
        <f t="shared" si="3"/>
        <v>10518.783806527421</v>
      </c>
      <c r="K26" s="2">
        <f t="shared" si="3"/>
        <v>10229.037110790774</v>
      </c>
      <c r="L26" s="2">
        <f t="shared" si="3"/>
        <v>9926.2518137459774</v>
      </c>
      <c r="M26" s="2">
        <f t="shared" si="3"/>
        <v>9609.8411783341653</v>
      </c>
      <c r="N26" s="2">
        <f t="shared" si="3"/>
        <v>9279.1920643288213</v>
      </c>
      <c r="O26" s="2">
        <f t="shared" si="3"/>
        <v>8933.6637401932367</v>
      </c>
      <c r="P26" s="2">
        <f t="shared" si="3"/>
        <v>8572.586641471551</v>
      </c>
      <c r="Q26" s="2">
        <f t="shared" si="3"/>
        <v>8195.2610733073889</v>
      </c>
      <c r="R26" s="2">
        <f t="shared" si="3"/>
        <v>7800.95585457584</v>
      </c>
      <c r="S26" s="2">
        <f t="shared" si="3"/>
        <v>7388.9069010013718</v>
      </c>
      <c r="T26" s="2">
        <f t="shared" si="3"/>
        <v>6958.3157445160523</v>
      </c>
      <c r="U26" s="2">
        <f t="shared" si="3"/>
        <v>6508.347985988893</v>
      </c>
      <c r="V26" s="2">
        <f t="shared" si="3"/>
        <v>6038.1316783280117</v>
      </c>
      <c r="W26" s="2">
        <f t="shared" si="3"/>
        <v>5546.7556368223904</v>
      </c>
      <c r="X26" s="2">
        <f t="shared" si="3"/>
        <v>5033.2676734490169</v>
      </c>
      <c r="Y26" s="2">
        <f t="shared" si="3"/>
        <v>4496.6727517238414</v>
      </c>
      <c r="Z26" s="2">
        <f t="shared" si="3"/>
        <v>3935.9310585210328</v>
      </c>
      <c r="AA26" s="2">
        <f t="shared" si="3"/>
        <v>3349.9559891240979</v>
      </c>
      <c r="AB26" s="2">
        <f t="shared" si="3"/>
        <v>2737.6120416043009</v>
      </c>
      <c r="AC26" s="2">
        <f t="shared" si="3"/>
        <v>2097.7126164461129</v>
      </c>
      <c r="AD26" s="2">
        <f t="shared" si="3"/>
        <v>1429.0177171558066</v>
      </c>
      <c r="AE26" s="2">
        <f t="shared" si="3"/>
        <v>730.23154739743654</v>
      </c>
      <c r="AF26" s="2">
        <f t="shared" si="3"/>
        <v>-6.0254023992456496E-11</v>
      </c>
    </row>
    <row r="27" spans="1:32" x14ac:dyDescent="0.3">
      <c r="A27" t="s">
        <v>66</v>
      </c>
      <c r="C27" s="2">
        <f>$B$17*C24</f>
        <v>139.8366</v>
      </c>
      <c r="D27" s="2">
        <f>$B$17*D24</f>
        <v>137.54446237090824</v>
      </c>
      <c r="E27" s="2">
        <f>$B$17*E24</f>
        <v>135.14917854850731</v>
      </c>
      <c r="F27" s="2">
        <f t="shared" ref="F27:AF27" si="4">$B$17*F24</f>
        <v>132.64610695409834</v>
      </c>
      <c r="G27" s="2">
        <f t="shared" si="4"/>
        <v>130.03039713794098</v>
      </c>
      <c r="H27" s="2">
        <f t="shared" si="4"/>
        <v>127.29698038005654</v>
      </c>
      <c r="I27" s="2">
        <f t="shared" si="4"/>
        <v>124.4405598680673</v>
      </c>
      <c r="J27" s="2">
        <f t="shared" si="4"/>
        <v>121.45560043303854</v>
      </c>
      <c r="K27" s="2">
        <f t="shared" si="4"/>
        <v>118.33631782343348</v>
      </c>
      <c r="L27" s="2">
        <f t="shared" si="4"/>
        <v>115.0766674963962</v>
      </c>
      <c r="M27" s="2">
        <f t="shared" si="4"/>
        <v>111.67033290464224</v>
      </c>
      <c r="N27" s="2">
        <f t="shared" si="4"/>
        <v>108.11071325625936</v>
      </c>
      <c r="O27" s="2">
        <f t="shared" si="4"/>
        <v>104.39091072369924</v>
      </c>
      <c r="P27" s="2">
        <f t="shared" si="4"/>
        <v>100.5037170771739</v>
      </c>
      <c r="Q27" s="2">
        <f t="shared" si="4"/>
        <v>96.441599716554947</v>
      </c>
      <c r="R27" s="2">
        <f t="shared" si="4"/>
        <v>92.196687074708123</v>
      </c>
      <c r="S27" s="2">
        <f t="shared" si="4"/>
        <v>87.760753363978196</v>
      </c>
      <c r="T27" s="2">
        <f t="shared" si="4"/>
        <v>83.125202636265428</v>
      </c>
      <c r="U27" s="2">
        <f t="shared" si="4"/>
        <v>78.281052125805587</v>
      </c>
      <c r="V27" s="2">
        <f t="shared" si="4"/>
        <v>73.218914842375042</v>
      </c>
      <c r="W27" s="2">
        <f t="shared" si="4"/>
        <v>67.928981381190127</v>
      </c>
      <c r="X27" s="2">
        <f t="shared" si="4"/>
        <v>62.401000914251888</v>
      </c>
      <c r="Y27" s="2">
        <f t="shared" si="4"/>
        <v>56.624261326301436</v>
      </c>
      <c r="Z27" s="2">
        <f t="shared" si="4"/>
        <v>50.587568456893216</v>
      </c>
      <c r="AA27" s="2">
        <f t="shared" si="4"/>
        <v>44.279224408361614</v>
      </c>
      <c r="AB27" s="2">
        <f t="shared" si="4"/>
        <v>37.687004877646096</v>
      </c>
      <c r="AC27" s="2">
        <f t="shared" si="4"/>
        <v>30.798135468048383</v>
      </c>
      <c r="AD27" s="2">
        <f t="shared" si="4"/>
        <v>23.599266935018768</v>
      </c>
      <c r="AE27" s="2">
        <f t="shared" si="4"/>
        <v>16.076449318002823</v>
      </c>
      <c r="AF27" s="2">
        <f t="shared" si="4"/>
        <v>8.2151049082211607</v>
      </c>
    </row>
    <row r="28" spans="1:32" x14ac:dyDescent="0.3">
      <c r="A28" t="s">
        <v>67</v>
      </c>
      <c r="C28" s="2">
        <f>C23-C27</f>
        <v>623.25536703038142</v>
      </c>
      <c r="D28" s="2">
        <f>D23-D27</f>
        <v>625.54750465947313</v>
      </c>
      <c r="E28" s="2">
        <f>E23-E27</f>
        <v>627.94278848187412</v>
      </c>
      <c r="F28" s="2">
        <f t="shared" ref="F28:AF28" si="5">F23-F27</f>
        <v>630.445860076283</v>
      </c>
      <c r="G28" s="2">
        <f t="shared" si="5"/>
        <v>633.06156989244039</v>
      </c>
      <c r="H28" s="2">
        <f t="shared" si="5"/>
        <v>635.79498665032486</v>
      </c>
      <c r="I28" s="2">
        <f t="shared" si="5"/>
        <v>638.65140716231406</v>
      </c>
      <c r="J28" s="2">
        <f t="shared" si="5"/>
        <v>641.63636659734289</v>
      </c>
      <c r="K28" s="2">
        <f t="shared" si="5"/>
        <v>644.75564920694796</v>
      </c>
      <c r="L28" s="2">
        <f t="shared" si="5"/>
        <v>648.01529953398517</v>
      </c>
      <c r="M28" s="2">
        <f t="shared" si="5"/>
        <v>651.42163412573916</v>
      </c>
      <c r="N28" s="2">
        <f t="shared" si="5"/>
        <v>654.98125377412202</v>
      </c>
      <c r="O28" s="2">
        <f t="shared" si="5"/>
        <v>658.70105630668218</v>
      </c>
      <c r="P28" s="2">
        <f t="shared" si="5"/>
        <v>662.58824995320754</v>
      </c>
      <c r="Q28" s="2">
        <f t="shared" si="5"/>
        <v>666.65036731382645</v>
      </c>
      <c r="R28" s="2">
        <f t="shared" si="5"/>
        <v>670.89527995567323</v>
      </c>
      <c r="S28" s="2">
        <f t="shared" si="5"/>
        <v>675.33121366640319</v>
      </c>
      <c r="T28" s="2">
        <f t="shared" si="5"/>
        <v>679.96676439411601</v>
      </c>
      <c r="U28" s="2">
        <f t="shared" si="5"/>
        <v>684.81091490457584</v>
      </c>
      <c r="V28" s="2">
        <f t="shared" si="5"/>
        <v>689.87305218800634</v>
      </c>
      <c r="W28" s="2">
        <f t="shared" si="5"/>
        <v>695.16298564919123</v>
      </c>
      <c r="X28" s="2">
        <f t="shared" si="5"/>
        <v>700.69096611612952</v>
      </c>
      <c r="Y28" s="2">
        <f t="shared" si="5"/>
        <v>706.46770570408</v>
      </c>
      <c r="Z28" s="2">
        <f t="shared" si="5"/>
        <v>712.50439857348817</v>
      </c>
      <c r="AA28" s="2">
        <f t="shared" si="5"/>
        <v>718.81274262201975</v>
      </c>
      <c r="AB28" s="2">
        <f t="shared" si="5"/>
        <v>725.40496215273527</v>
      </c>
      <c r="AC28" s="2">
        <f t="shared" si="5"/>
        <v>732.29383156233303</v>
      </c>
      <c r="AD28" s="2">
        <f t="shared" si="5"/>
        <v>739.49270009536258</v>
      </c>
      <c r="AE28" s="2">
        <f t="shared" si="5"/>
        <v>747.0155177123786</v>
      </c>
      <c r="AF28" s="2">
        <f t="shared" si="5"/>
        <v>754.87686212216022</v>
      </c>
    </row>
    <row r="29" spans="1:32" x14ac:dyDescent="0.3">
      <c r="A29" t="s">
        <v>68</v>
      </c>
      <c r="C29">
        <f>B5</f>
        <v>4942.2693599999993</v>
      </c>
      <c r="D29">
        <f>(1-$B$6)*C29</f>
        <v>4917.5580131999996</v>
      </c>
      <c r="E29">
        <f>(1-$B$6)*D29</f>
        <v>4892.9702231339998</v>
      </c>
      <c r="F29">
        <f t="shared" ref="F29:AF29" si="6">(1-$B$6)*E29</f>
        <v>4868.5053720183296</v>
      </c>
      <c r="G29">
        <f t="shared" si="6"/>
        <v>4844.1628451582383</v>
      </c>
      <c r="H29">
        <f t="shared" si="6"/>
        <v>4819.9420309324469</v>
      </c>
      <c r="I29">
        <f t="shared" si="6"/>
        <v>4795.8423207777851</v>
      </c>
      <c r="J29">
        <f t="shared" si="6"/>
        <v>4771.8631091738962</v>
      </c>
      <c r="K29">
        <f t="shared" si="6"/>
        <v>4748.0037936280269</v>
      </c>
      <c r="L29">
        <f t="shared" si="6"/>
        <v>4724.2637746598866</v>
      </c>
      <c r="M29">
        <f t="shared" si="6"/>
        <v>4700.6424557865876</v>
      </c>
      <c r="N29">
        <f t="shared" si="6"/>
        <v>4677.139243507655</v>
      </c>
      <c r="O29">
        <f t="shared" si="6"/>
        <v>4653.7535472901163</v>
      </c>
      <c r="P29">
        <f t="shared" si="6"/>
        <v>4630.4847795536662</v>
      </c>
      <c r="Q29">
        <f t="shared" si="6"/>
        <v>4607.332355655898</v>
      </c>
      <c r="R29">
        <f t="shared" si="6"/>
        <v>4584.2956938776188</v>
      </c>
      <c r="S29">
        <f t="shared" si="6"/>
        <v>4561.3742154082311</v>
      </c>
      <c r="T29">
        <f t="shared" si="6"/>
        <v>4538.5673443311898</v>
      </c>
      <c r="U29">
        <f t="shared" si="6"/>
        <v>4515.8745076095338</v>
      </c>
      <c r="V29">
        <f t="shared" si="6"/>
        <v>4493.2951350714857</v>
      </c>
      <c r="W29">
        <f t="shared" si="6"/>
        <v>4470.8286593961284</v>
      </c>
      <c r="X29">
        <f t="shared" si="6"/>
        <v>4448.4745160991479</v>
      </c>
      <c r="Y29">
        <f t="shared" si="6"/>
        <v>4426.2321435186523</v>
      </c>
      <c r="Z29">
        <f t="shared" si="6"/>
        <v>4404.1009828010592</v>
      </c>
      <c r="AA29">
        <f t="shared" si="6"/>
        <v>4382.0804778870543</v>
      </c>
      <c r="AB29">
        <f t="shared" si="6"/>
        <v>4360.1700754976191</v>
      </c>
      <c r="AC29">
        <f t="shared" si="6"/>
        <v>4338.369225120131</v>
      </c>
      <c r="AD29">
        <f t="shared" si="6"/>
        <v>4316.67737899453</v>
      </c>
      <c r="AE29">
        <f t="shared" si="6"/>
        <v>4295.093992099557</v>
      </c>
      <c r="AF29">
        <f t="shared" si="6"/>
        <v>4273.6185221390588</v>
      </c>
    </row>
    <row r="30" spans="1:32" x14ac:dyDescent="0.3">
      <c r="A30" t="s">
        <v>69</v>
      </c>
      <c r="C30" s="7">
        <f>B19</f>
        <v>0.11600000000000001</v>
      </c>
      <c r="D30" s="7">
        <f>C30*(1+$B$20)</f>
        <v>0.11948</v>
      </c>
      <c r="E30" s="7">
        <f>D30*(1+$B$20)</f>
        <v>0.1230644</v>
      </c>
      <c r="F30" s="7">
        <f t="shared" ref="F30:AF30" si="7">E30*(1+$B$20)</f>
        <v>0.126756332</v>
      </c>
      <c r="G30" s="7">
        <f t="shared" si="7"/>
        <v>0.13055902195999999</v>
      </c>
      <c r="H30" s="7">
        <f t="shared" si="7"/>
        <v>0.13447579261879999</v>
      </c>
      <c r="I30" s="7">
        <f t="shared" si="7"/>
        <v>0.13851006639736399</v>
      </c>
      <c r="J30" s="7">
        <f t="shared" si="7"/>
        <v>0.14266536838928492</v>
      </c>
      <c r="K30" s="7">
        <f t="shared" si="7"/>
        <v>0.14694532944096347</v>
      </c>
      <c r="L30" s="7">
        <f t="shared" si="7"/>
        <v>0.15135368932419238</v>
      </c>
      <c r="M30" s="7">
        <f t="shared" si="7"/>
        <v>0.15589430000391816</v>
      </c>
      <c r="N30" s="7">
        <f t="shared" si="7"/>
        <v>0.1605711290040357</v>
      </c>
      <c r="O30" s="7">
        <f t="shared" si="7"/>
        <v>0.16538826287415678</v>
      </c>
      <c r="P30" s="7">
        <f t="shared" si="7"/>
        <v>0.1703499107603815</v>
      </c>
      <c r="Q30" s="7">
        <f t="shared" si="7"/>
        <v>0.17546040808319294</v>
      </c>
      <c r="R30" s="7">
        <f t="shared" si="7"/>
        <v>0.18072422032568872</v>
      </c>
      <c r="S30" s="7">
        <f t="shared" si="7"/>
        <v>0.18614594693545938</v>
      </c>
      <c r="T30" s="7">
        <f t="shared" si="7"/>
        <v>0.19173032534352316</v>
      </c>
      <c r="U30" s="7">
        <f t="shared" si="7"/>
        <v>0.19748223510382887</v>
      </c>
      <c r="V30" s="7">
        <f t="shared" si="7"/>
        <v>0.20340670215694373</v>
      </c>
      <c r="W30" s="7">
        <f t="shared" si="7"/>
        <v>0.20950890322165205</v>
      </c>
      <c r="X30" s="7">
        <f t="shared" si="7"/>
        <v>0.21579417031830161</v>
      </c>
      <c r="Y30" s="7">
        <f t="shared" si="7"/>
        <v>0.22226799542785067</v>
      </c>
      <c r="Z30" s="7">
        <f t="shared" si="7"/>
        <v>0.22893603529068621</v>
      </c>
      <c r="AA30" s="7">
        <f t="shared" si="7"/>
        <v>0.23580411634940679</v>
      </c>
      <c r="AB30" s="7">
        <f t="shared" si="7"/>
        <v>0.24287823983988899</v>
      </c>
      <c r="AC30" s="7">
        <f t="shared" si="7"/>
        <v>0.25016458703508565</v>
      </c>
      <c r="AD30" s="7">
        <f t="shared" si="7"/>
        <v>0.25766952464613824</v>
      </c>
      <c r="AE30" s="7">
        <f t="shared" si="7"/>
        <v>0.2653996103855224</v>
      </c>
      <c r="AF30" s="7">
        <f t="shared" si="7"/>
        <v>0.27336159869708809</v>
      </c>
    </row>
    <row r="31" spans="1:32" x14ac:dyDescent="0.3">
      <c r="A31" t="s">
        <v>70</v>
      </c>
      <c r="C31" s="2">
        <f>C29*C30</f>
        <v>573.30324575999998</v>
      </c>
      <c r="D31" s="2">
        <f>D29*D30</f>
        <v>587.54983141713592</v>
      </c>
      <c r="E31" s="2">
        <f>E29*E30</f>
        <v>602.15044472785178</v>
      </c>
      <c r="F31" s="2">
        <f t="shared" ref="F31:AF31" si="8">F29*F30</f>
        <v>617.11388327933889</v>
      </c>
      <c r="G31" s="2">
        <f t="shared" si="8"/>
        <v>632.4491632788305</v>
      </c>
      <c r="H31" s="2">
        <f t="shared" si="8"/>
        <v>648.16552498630938</v>
      </c>
      <c r="I31" s="2">
        <f t="shared" si="8"/>
        <v>664.27243828221924</v>
      </c>
      <c r="J31" s="2">
        <f t="shared" si="8"/>
        <v>680.77960837353248</v>
      </c>
      <c r="K31" s="2">
        <f t="shared" si="8"/>
        <v>697.6969816416148</v>
      </c>
      <c r="L31" s="2">
        <f t="shared" si="8"/>
        <v>715.03475163540884</v>
      </c>
      <c r="M31" s="2">
        <f t="shared" si="8"/>
        <v>732.80336521354889</v>
      </c>
      <c r="N31" s="2">
        <f t="shared" si="8"/>
        <v>751.01352883910556</v>
      </c>
      <c r="O31" s="2">
        <f t="shared" si="8"/>
        <v>769.67621503075736</v>
      </c>
      <c r="P31" s="2">
        <f t="shared" si="8"/>
        <v>788.8026689742718</v>
      </c>
      <c r="Q31" s="2">
        <f t="shared" si="8"/>
        <v>808.40441529828252</v>
      </c>
      <c r="R31" s="2">
        <f t="shared" si="8"/>
        <v>828.49326501844484</v>
      </c>
      <c r="S31" s="2">
        <f t="shared" si="8"/>
        <v>849.08132265415327</v>
      </c>
      <c r="T31" s="2">
        <f t="shared" si="8"/>
        <v>870.18099352210891</v>
      </c>
      <c r="U31" s="2">
        <f t="shared" si="8"/>
        <v>891.80499121113337</v>
      </c>
      <c r="V31" s="2">
        <f t="shared" si="8"/>
        <v>913.96634524272997</v>
      </c>
      <c r="W31" s="2">
        <f t="shared" si="8"/>
        <v>936.67840892201184</v>
      </c>
      <c r="X31" s="2">
        <f t="shared" si="8"/>
        <v>959.95486738372392</v>
      </c>
      <c r="Y31" s="2">
        <f t="shared" si="8"/>
        <v>983.80974583820944</v>
      </c>
      <c r="Z31" s="2">
        <f t="shared" si="8"/>
        <v>1008.2574180222891</v>
      </c>
      <c r="AA31" s="2">
        <f t="shared" si="8"/>
        <v>1033.312614860143</v>
      </c>
      <c r="AB31" s="2">
        <f t="shared" si="8"/>
        <v>1058.9904333394177</v>
      </c>
      <c r="AC31" s="2">
        <f t="shared" si="8"/>
        <v>1085.3063456079021</v>
      </c>
      <c r="AD31" s="2">
        <f t="shared" si="8"/>
        <v>1112.2762082962586</v>
      </c>
      <c r="AE31" s="2">
        <f t="shared" si="8"/>
        <v>1139.9162720724205</v>
      </c>
      <c r="AF31" s="2">
        <f t="shared" si="8"/>
        <v>1168.2431914334202</v>
      </c>
    </row>
    <row r="32" spans="1:32" x14ac:dyDescent="0.3">
      <c r="A32" t="s">
        <v>71</v>
      </c>
      <c r="B32" s="2">
        <f>-B23</f>
        <v>-1000</v>
      </c>
      <c r="C32" s="2">
        <f>-C28+C31</f>
        <v>-49.95212127038144</v>
      </c>
      <c r="D32" s="2">
        <f>-D28+D31</f>
        <v>-37.997673242337214</v>
      </c>
      <c r="E32" s="2">
        <f>-E28+E31</f>
        <v>-25.79234375402234</v>
      </c>
      <c r="F32" s="2">
        <f t="shared" ref="F32:AF32" si="9">-F28+F31</f>
        <v>-13.331976796944105</v>
      </c>
      <c r="G32" s="2">
        <f t="shared" si="9"/>
        <v>-0.61240661360989179</v>
      </c>
      <c r="H32" s="2">
        <f t="shared" si="9"/>
        <v>12.37053833598452</v>
      </c>
      <c r="I32" s="2">
        <f t="shared" si="9"/>
        <v>25.621031119905183</v>
      </c>
      <c r="J32" s="2">
        <f t="shared" si="9"/>
        <v>39.143241776189598</v>
      </c>
      <c r="K32" s="2">
        <f t="shared" si="9"/>
        <v>52.941332434666833</v>
      </c>
      <c r="L32" s="2">
        <f t="shared" si="9"/>
        <v>67.019452101423667</v>
      </c>
      <c r="M32" s="2">
        <f t="shared" si="9"/>
        <v>81.381731087809726</v>
      </c>
      <c r="N32" s="2">
        <f t="shared" si="9"/>
        <v>96.032275064983537</v>
      </c>
      <c r="O32" s="2">
        <f t="shared" si="9"/>
        <v>110.97515872407519</v>
      </c>
      <c r="P32" s="2">
        <f t="shared" si="9"/>
        <v>126.21441902106426</v>
      </c>
      <c r="Q32" s="2">
        <f t="shared" si="9"/>
        <v>141.75404798445607</v>
      </c>
      <c r="R32" s="2">
        <f t="shared" si="9"/>
        <v>157.59798506277161</v>
      </c>
      <c r="S32" s="2">
        <f t="shared" si="9"/>
        <v>173.75010898775008</v>
      </c>
      <c r="T32" s="2">
        <f t="shared" si="9"/>
        <v>190.21422912799289</v>
      </c>
      <c r="U32" s="2">
        <f t="shared" si="9"/>
        <v>206.99407630655753</v>
      </c>
      <c r="V32" s="2">
        <f t="shared" si="9"/>
        <v>224.09329305472363</v>
      </c>
      <c r="W32" s="2">
        <f t="shared" si="9"/>
        <v>241.51542327282061</v>
      </c>
      <c r="X32" s="2">
        <f t="shared" si="9"/>
        <v>259.26390126759441</v>
      </c>
      <c r="Y32" s="2">
        <f t="shared" si="9"/>
        <v>277.34204013412943</v>
      </c>
      <c r="Z32" s="2">
        <f t="shared" si="9"/>
        <v>295.75301944880096</v>
      </c>
      <c r="AA32" s="2">
        <f t="shared" si="9"/>
        <v>314.4998722381232</v>
      </c>
      <c r="AB32" s="2">
        <f t="shared" si="9"/>
        <v>333.58547118668241</v>
      </c>
      <c r="AC32" s="2">
        <f t="shared" si="9"/>
        <v>353.01251404556911</v>
      </c>
      <c r="AD32" s="2">
        <f t="shared" si="9"/>
        <v>372.78350820089599</v>
      </c>
      <c r="AE32" s="2">
        <f t="shared" si="9"/>
        <v>392.9007543600419</v>
      </c>
      <c r="AF32" s="2">
        <f t="shared" si="9"/>
        <v>413.36632931125996</v>
      </c>
    </row>
    <row r="33" spans="1:32" x14ac:dyDescent="0.3">
      <c r="A33" t="s">
        <v>11</v>
      </c>
      <c r="B33" s="4">
        <f>IRR(B32:AF32)</f>
        <v>7.3690802328405081E-2</v>
      </c>
    </row>
    <row r="34" spans="1:32" x14ac:dyDescent="0.3">
      <c r="A34" t="s">
        <v>20</v>
      </c>
      <c r="B34" s="8">
        <f>SUM(B36:AF36)</f>
        <v>623.44787266738047</v>
      </c>
      <c r="E34" s="8">
        <f>NPV(B18,B32:AF32)</f>
        <v>593.75987873083716</v>
      </c>
    </row>
    <row r="36" spans="1:32" x14ac:dyDescent="0.3">
      <c r="A36" t="s">
        <v>9</v>
      </c>
      <c r="B36" s="2">
        <f>B32/(1+$B$18)^B22</f>
        <v>-1000</v>
      </c>
      <c r="C36" s="2">
        <f t="shared" ref="C36:AF36" si="10">C32/(1+$B$18)^C22</f>
        <v>-47.573448828934701</v>
      </c>
      <c r="D36" s="2">
        <f t="shared" si="10"/>
        <v>-34.46500974361652</v>
      </c>
      <c r="E36" s="2">
        <f t="shared" si="10"/>
        <v>-22.280396288972973</v>
      </c>
      <c r="F36" s="2">
        <f t="shared" si="10"/>
        <v>-10.968250304713862</v>
      </c>
      <c r="G36" s="2">
        <f t="shared" si="10"/>
        <v>-0.47983660628168928</v>
      </c>
      <c r="H36" s="2">
        <f t="shared" si="10"/>
        <v>9.2310861709952974</v>
      </c>
      <c r="I36" s="2">
        <f t="shared" si="10"/>
        <v>18.208388475599449</v>
      </c>
      <c r="J36" s="2">
        <f t="shared" si="10"/>
        <v>26.493686791530823</v>
      </c>
      <c r="K36" s="2">
        <f t="shared" si="10"/>
        <v>34.126454923836704</v>
      </c>
      <c r="L36" s="2">
        <f t="shared" si="10"/>
        <v>41.144129890104082</v>
      </c>
      <c r="M36" s="2">
        <f t="shared" si="10"/>
        <v>47.582212677044211</v>
      </c>
      <c r="N36" s="2">
        <f t="shared" si="10"/>
        <v>53.474364108902655</v>
      </c>
      <c r="O36" s="2">
        <f t="shared" si="10"/>
        <v>58.852496062627509</v>
      </c>
      <c r="P36" s="2">
        <f t="shared" si="10"/>
        <v>63.746858253487602</v>
      </c>
      <c r="Q36" s="2">
        <f t="shared" si="10"/>
        <v>68.186120804131193</v>
      </c>
      <c r="R36" s="2">
        <f t="shared" si="10"/>
        <v>72.19745279988426</v>
      </c>
      <c r="S36" s="2">
        <f t="shared" si="10"/>
        <v>75.806597023380803</v>
      </c>
      <c r="T36" s="2">
        <f t="shared" si="10"/>
        <v>79.037941052377093</v>
      </c>
      <c r="U36" s="2">
        <f t="shared" si="10"/>
        <v>81.91458489580053</v>
      </c>
      <c r="V36" s="2">
        <f t="shared" si="10"/>
        <v>84.458405334702562</v>
      </c>
      <c r="W36" s="2">
        <f t="shared" si="10"/>
        <v>86.690117126806868</v>
      </c>
      <c r="X36" s="2">
        <f t="shared" si="10"/>
        <v>88.629331225741808</v>
      </c>
      <c r="Y36" s="2">
        <f t="shared" si="10"/>
        <v>90.294610158812233</v>
      </c>
      <c r="Z36" s="2">
        <f t="shared" si="10"/>
        <v>91.703520700273714</v>
      </c>
      <c r="AA36" s="2">
        <f t="shared" si="10"/>
        <v>92.87268397050984</v>
      </c>
      <c r="AB36" s="2">
        <f t="shared" si="10"/>
        <v>93.817823085267875</v>
      </c>
      <c r="AC36" s="2">
        <f t="shared" si="10"/>
        <v>94.553808473153481</v>
      </c>
      <c r="AD36" s="2">
        <f t="shared" si="10"/>
        <v>95.094700973925072</v>
      </c>
      <c r="AE36" s="2">
        <f t="shared" si="10"/>
        <v>95.453792824727913</v>
      </c>
      <c r="AF36" s="2">
        <f t="shared" si="10"/>
        <v>95.6436466362766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D674-AB92-4DEF-A9C4-57F3096A9533}">
  <dimension ref="B2:L22"/>
  <sheetViews>
    <sheetView topLeftCell="A6" workbookViewId="0">
      <selection activeCell="E13" sqref="E13"/>
    </sheetView>
  </sheetViews>
  <sheetFormatPr defaultRowHeight="14.4" x14ac:dyDescent="0.3"/>
  <cols>
    <col min="2" max="2" width="50.6640625" bestFit="1" customWidth="1"/>
    <col min="4" max="4" width="13.33203125" bestFit="1" customWidth="1"/>
    <col min="5" max="5" width="11.88671875" bestFit="1" customWidth="1"/>
  </cols>
  <sheetData>
    <row r="2" spans="2:12" x14ac:dyDescent="0.3">
      <c r="B2" t="s">
        <v>18</v>
      </c>
    </row>
    <row r="3" spans="2:12" x14ac:dyDescent="0.3">
      <c r="E3" s="1">
        <v>0.01</v>
      </c>
      <c r="G3" s="1">
        <f>IRR(D6:D11)</f>
        <v>5.7106105617473979E-2</v>
      </c>
    </row>
    <row r="5" spans="2:12" x14ac:dyDescent="0.3">
      <c r="C5" t="s">
        <v>13</v>
      </c>
      <c r="D5" t="s">
        <v>19</v>
      </c>
      <c r="E5" t="s">
        <v>17</v>
      </c>
    </row>
    <row r="6" spans="2:12" x14ac:dyDescent="0.3">
      <c r="C6">
        <v>0</v>
      </c>
      <c r="D6">
        <v>-800</v>
      </c>
      <c r="E6">
        <f>D6/(1+$E$3)^C6</f>
        <v>-800</v>
      </c>
    </row>
    <row r="7" spans="2:12" x14ac:dyDescent="0.3">
      <c r="C7">
        <v>1</v>
      </c>
      <c r="D7">
        <v>10</v>
      </c>
      <c r="E7">
        <f t="shared" ref="E7:E11" si="0">D7/(1+$E$3)^C7</f>
        <v>9.9009900990099009</v>
      </c>
    </row>
    <row r="8" spans="2:12" x14ac:dyDescent="0.3">
      <c r="C8">
        <v>2</v>
      </c>
      <c r="D8">
        <v>10</v>
      </c>
      <c r="E8">
        <f t="shared" si="0"/>
        <v>9.8029604940692092</v>
      </c>
    </row>
    <row r="9" spans="2:12" x14ac:dyDescent="0.3">
      <c r="C9">
        <v>3</v>
      </c>
      <c r="D9">
        <v>10</v>
      </c>
      <c r="E9">
        <f t="shared" si="0"/>
        <v>9.7059014792764451</v>
      </c>
    </row>
    <row r="10" spans="2:12" x14ac:dyDescent="0.3">
      <c r="C10">
        <v>4</v>
      </c>
      <c r="D10">
        <v>10</v>
      </c>
      <c r="E10">
        <f t="shared" si="0"/>
        <v>9.6098034448281631</v>
      </c>
    </row>
    <row r="11" spans="2:12" x14ac:dyDescent="0.3">
      <c r="C11">
        <v>5</v>
      </c>
      <c r="D11">
        <v>1010</v>
      </c>
      <c r="E11">
        <f t="shared" si="0"/>
        <v>960.98034448281635</v>
      </c>
    </row>
    <row r="13" spans="2:12" x14ac:dyDescent="0.3">
      <c r="D13" t="s">
        <v>20</v>
      </c>
      <c r="E13">
        <f>SUM(E6:E11)</f>
        <v>200</v>
      </c>
    </row>
    <row r="15" spans="2:12" x14ac:dyDescent="0.3">
      <c r="J15">
        <v>-1000</v>
      </c>
      <c r="L15" s="4">
        <f>IRR(J15:J22)</f>
        <v>4.1916739917145618E-2</v>
      </c>
    </row>
    <row r="16" spans="2:12" x14ac:dyDescent="0.3">
      <c r="J16">
        <v>0</v>
      </c>
    </row>
    <row r="17" spans="10:10" x14ac:dyDescent="0.3">
      <c r="J17">
        <v>200</v>
      </c>
    </row>
    <row r="18" spans="10:10" x14ac:dyDescent="0.3">
      <c r="J18">
        <v>200</v>
      </c>
    </row>
    <row r="19" spans="10:10" x14ac:dyDescent="0.3">
      <c r="J19">
        <v>200</v>
      </c>
    </row>
    <row r="20" spans="10:10" x14ac:dyDescent="0.3">
      <c r="J20">
        <v>200</v>
      </c>
    </row>
    <row r="21" spans="10:10" x14ac:dyDescent="0.3">
      <c r="J21">
        <v>200</v>
      </c>
    </row>
    <row r="22" spans="10:10" x14ac:dyDescent="0.3">
      <c r="J22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EC5A-1018-4BDF-A3D0-76F669914630}">
  <dimension ref="A2:L39"/>
  <sheetViews>
    <sheetView workbookViewId="0">
      <selection activeCell="C21" sqref="C21"/>
    </sheetView>
  </sheetViews>
  <sheetFormatPr defaultRowHeight="14.4" x14ac:dyDescent="0.3"/>
  <cols>
    <col min="1" max="1" width="36.109375" bestFit="1" customWidth="1"/>
    <col min="2" max="2" width="10.109375" bestFit="1" customWidth="1"/>
    <col min="3" max="3" width="8.88671875" bestFit="1" customWidth="1"/>
    <col min="4" max="4" width="21.5546875" bestFit="1" customWidth="1"/>
    <col min="5" max="5" width="11.88671875" bestFit="1" customWidth="1"/>
    <col min="9" max="9" width="24.77734375" bestFit="1" customWidth="1"/>
    <col min="10" max="10" width="10" bestFit="1" customWidth="1"/>
    <col min="12" max="12" width="12.6640625" customWidth="1"/>
  </cols>
  <sheetData>
    <row r="2" spans="1:12" x14ac:dyDescent="0.3">
      <c r="A2" t="s">
        <v>5</v>
      </c>
      <c r="B2" s="1">
        <v>4.4999999999999998E-2</v>
      </c>
    </row>
    <row r="3" spans="1:12" x14ac:dyDescent="0.3">
      <c r="A3" t="s">
        <v>20</v>
      </c>
      <c r="I3" s="9" t="s">
        <v>28</v>
      </c>
      <c r="J3" s="9"/>
      <c r="K3" s="9"/>
      <c r="L3" s="9"/>
    </row>
    <row r="4" spans="1:12" x14ac:dyDescent="0.3">
      <c r="A4" t="s">
        <v>11</v>
      </c>
      <c r="B4" s="1"/>
      <c r="I4" t="s">
        <v>29</v>
      </c>
      <c r="J4" s="2">
        <v>5</v>
      </c>
    </row>
    <row r="5" spans="1:12" x14ac:dyDescent="0.3">
      <c r="I5" t="s">
        <v>30</v>
      </c>
      <c r="J5">
        <v>4000</v>
      </c>
    </row>
    <row r="6" spans="1:12" x14ac:dyDescent="0.3">
      <c r="A6" t="s">
        <v>21</v>
      </c>
      <c r="B6" s="5">
        <v>20</v>
      </c>
      <c r="I6" t="s">
        <v>31</v>
      </c>
      <c r="J6">
        <v>3000</v>
      </c>
    </row>
    <row r="7" spans="1:12" x14ac:dyDescent="0.3">
      <c r="I7" t="s">
        <v>32</v>
      </c>
      <c r="J7" s="2">
        <f>(J4*J5) +J6</f>
        <v>23000</v>
      </c>
    </row>
    <row r="8" spans="1:12" x14ac:dyDescent="0.3">
      <c r="A8" t="s">
        <v>22</v>
      </c>
      <c r="B8">
        <v>3982</v>
      </c>
    </row>
    <row r="9" spans="1:12" x14ac:dyDescent="0.3">
      <c r="A9" t="s">
        <v>23</v>
      </c>
      <c r="B9">
        <v>0.15</v>
      </c>
      <c r="I9" t="s">
        <v>33</v>
      </c>
      <c r="J9" s="3">
        <v>0.3</v>
      </c>
    </row>
    <row r="10" spans="1:12" x14ac:dyDescent="0.3">
      <c r="A10" t="s">
        <v>24</v>
      </c>
      <c r="B10">
        <v>597.29999999999995</v>
      </c>
      <c r="I10" t="s">
        <v>34</v>
      </c>
      <c r="J10" s="2">
        <f>J9*J7</f>
        <v>6900</v>
      </c>
    </row>
    <row r="11" spans="1:12" x14ac:dyDescent="0.3">
      <c r="A11" t="s">
        <v>25</v>
      </c>
      <c r="B11">
        <v>0.03</v>
      </c>
      <c r="I11" t="s">
        <v>35</v>
      </c>
      <c r="J11">
        <v>0.4</v>
      </c>
    </row>
    <row r="12" spans="1:12" x14ac:dyDescent="0.3">
      <c r="I12" t="s">
        <v>36</v>
      </c>
      <c r="J12" s="2">
        <f>J11*J5</f>
        <v>1600</v>
      </c>
    </row>
    <row r="13" spans="1:12" x14ac:dyDescent="0.3">
      <c r="A13" t="s">
        <v>26</v>
      </c>
      <c r="B13">
        <v>0.28499999999999998</v>
      </c>
    </row>
    <row r="14" spans="1:12" x14ac:dyDescent="0.3">
      <c r="A14" t="s">
        <v>27</v>
      </c>
      <c r="B14">
        <f>B13*B8</f>
        <v>1134.8699999999999</v>
      </c>
      <c r="I14" t="s">
        <v>37</v>
      </c>
      <c r="J14" s="2">
        <f>J12+J10</f>
        <v>8500</v>
      </c>
    </row>
    <row r="15" spans="1:12" x14ac:dyDescent="0.3">
      <c r="I15" t="s">
        <v>38</v>
      </c>
      <c r="J15" s="2">
        <f>J7-J14</f>
        <v>14500</v>
      </c>
    </row>
    <row r="16" spans="1:12" x14ac:dyDescent="0.3">
      <c r="I16" t="s">
        <v>39</v>
      </c>
      <c r="J16">
        <f>J15/J5</f>
        <v>3.625</v>
      </c>
    </row>
    <row r="18" spans="1:5" x14ac:dyDescent="0.3">
      <c r="A18" t="s">
        <v>1</v>
      </c>
      <c r="B18" t="s">
        <v>40</v>
      </c>
      <c r="C18" t="s">
        <v>41</v>
      </c>
      <c r="D18" t="s">
        <v>42</v>
      </c>
      <c r="E18" t="s">
        <v>17</v>
      </c>
    </row>
    <row r="19" spans="1:5" x14ac:dyDescent="0.3">
      <c r="A19">
        <v>0</v>
      </c>
      <c r="B19">
        <v>-14500</v>
      </c>
      <c r="C19">
        <v>0</v>
      </c>
      <c r="D19">
        <f>B19</f>
        <v>-14500</v>
      </c>
      <c r="E19">
        <f>D19/(1+$B$2)^A19</f>
        <v>-14500</v>
      </c>
    </row>
    <row r="20" spans="1:5" x14ac:dyDescent="0.3">
      <c r="A20">
        <v>1</v>
      </c>
      <c r="B20">
        <v>-80</v>
      </c>
      <c r="C20">
        <f>$B$14+($B$10*(1+$B$11)^A19)</f>
        <v>1732.1699999999998</v>
      </c>
      <c r="D20">
        <f>B20+C20</f>
        <v>1652.1699999999998</v>
      </c>
      <c r="E20">
        <f t="shared" ref="E20:E39" si="0">D20/(1+$B$2)^A20</f>
        <v>1581.0239234449759</v>
      </c>
    </row>
    <row r="21" spans="1:5" x14ac:dyDescent="0.3">
      <c r="A21">
        <v>2</v>
      </c>
      <c r="B21">
        <v>-80</v>
      </c>
      <c r="C21">
        <f>$B$14+($B$10*(1+$B$11)^A20)</f>
        <v>1750.0889999999999</v>
      </c>
      <c r="D21">
        <f t="shared" ref="D21:D39" si="1">B21+C21</f>
        <v>1670.0889999999999</v>
      </c>
      <c r="E21">
        <f t="shared" si="0"/>
        <v>1529.3505185320851</v>
      </c>
    </row>
    <row r="22" spans="1:5" x14ac:dyDescent="0.3">
      <c r="A22">
        <v>3</v>
      </c>
      <c r="B22">
        <v>-80</v>
      </c>
      <c r="C22">
        <f t="shared" ref="C22:C39" si="2">$B$14+($B$10*(1+$B$11)^A21)</f>
        <v>1768.5455699999998</v>
      </c>
      <c r="D22">
        <f t="shared" si="1"/>
        <v>1688.5455699999998</v>
      </c>
      <c r="E22">
        <f t="shared" si="0"/>
        <v>1479.6667487829609</v>
      </c>
    </row>
    <row r="23" spans="1:5" x14ac:dyDescent="0.3">
      <c r="A23">
        <v>4</v>
      </c>
      <c r="B23">
        <v>-80</v>
      </c>
      <c r="C23">
        <f t="shared" si="2"/>
        <v>1787.5558370999997</v>
      </c>
      <c r="D23">
        <f t="shared" si="1"/>
        <v>1707.5558370999997</v>
      </c>
      <c r="E23">
        <f t="shared" si="0"/>
        <v>1431.8903170190126</v>
      </c>
    </row>
    <row r="24" spans="1:5" x14ac:dyDescent="0.3">
      <c r="A24">
        <v>5</v>
      </c>
      <c r="B24">
        <v>-80</v>
      </c>
      <c r="C24">
        <f t="shared" si="2"/>
        <v>1807.1364122129999</v>
      </c>
      <c r="D24">
        <f t="shared" si="1"/>
        <v>1727.1364122129999</v>
      </c>
      <c r="E24">
        <f t="shared" si="0"/>
        <v>1385.9424214297587</v>
      </c>
    </row>
    <row r="25" spans="1:5" x14ac:dyDescent="0.3">
      <c r="A25">
        <v>6</v>
      </c>
      <c r="B25">
        <v>-80</v>
      </c>
      <c r="C25">
        <f t="shared" si="2"/>
        <v>1827.3044045793897</v>
      </c>
      <c r="D25">
        <f t="shared" si="1"/>
        <v>1747.3044045793897</v>
      </c>
      <c r="E25">
        <f t="shared" si="0"/>
        <v>1341.7476057511831</v>
      </c>
    </row>
    <row r="26" spans="1:5" x14ac:dyDescent="0.3">
      <c r="A26">
        <v>7</v>
      </c>
      <c r="B26">
        <v>-80</v>
      </c>
      <c r="C26">
        <f t="shared" si="2"/>
        <v>1848.0774367167714</v>
      </c>
      <c r="D26">
        <f t="shared" si="1"/>
        <v>1768.0774367167714</v>
      </c>
      <c r="E26">
        <f t="shared" si="0"/>
        <v>1299.2336158857358</v>
      </c>
    </row>
    <row r="27" spans="1:5" x14ac:dyDescent="0.3">
      <c r="A27">
        <v>8</v>
      </c>
      <c r="B27">
        <v>-80</v>
      </c>
      <c r="C27">
        <f t="shared" si="2"/>
        <v>1869.4736598182747</v>
      </c>
      <c r="D27">
        <f t="shared" si="1"/>
        <v>1789.4736598182747</v>
      </c>
      <c r="E27">
        <f t="shared" si="0"/>
        <v>1258.3312626867403</v>
      </c>
    </row>
    <row r="28" spans="1:5" x14ac:dyDescent="0.3">
      <c r="A28">
        <v>9</v>
      </c>
      <c r="B28">
        <v>-80</v>
      </c>
      <c r="C28">
        <f t="shared" si="2"/>
        <v>1891.5117696128227</v>
      </c>
      <c r="D28">
        <f t="shared" si="1"/>
        <v>1811.5117696128227</v>
      </c>
      <c r="E28">
        <f t="shared" si="0"/>
        <v>1218.9742906418883</v>
      </c>
    </row>
    <row r="29" spans="1:5" x14ac:dyDescent="0.3">
      <c r="A29">
        <v>10</v>
      </c>
      <c r="B29">
        <v>-80</v>
      </c>
      <c r="C29">
        <f t="shared" si="2"/>
        <v>1914.2110227012076</v>
      </c>
      <c r="D29">
        <f t="shared" si="1"/>
        <v>1834.2110227012076</v>
      </c>
      <c r="E29">
        <f t="shared" si="0"/>
        <v>1181.0992522019437</v>
      </c>
    </row>
    <row r="30" spans="1:5" x14ac:dyDescent="0.3">
      <c r="A30">
        <v>11</v>
      </c>
      <c r="B30">
        <v>-80</v>
      </c>
      <c r="C30">
        <f>C29-$B$14</f>
        <v>779.34102270120775</v>
      </c>
      <c r="D30">
        <f t="shared" si="1"/>
        <v>699.34102270120775</v>
      </c>
      <c r="E30">
        <f t="shared" si="0"/>
        <v>430.93305616890774</v>
      </c>
    </row>
    <row r="31" spans="1:5" x14ac:dyDescent="0.3">
      <c r="A31">
        <v>12</v>
      </c>
      <c r="B31">
        <v>-80</v>
      </c>
      <c r="C31">
        <f t="shared" si="2"/>
        <v>1961.6728909837111</v>
      </c>
      <c r="D31">
        <f t="shared" si="1"/>
        <v>1881.6728909837111</v>
      </c>
      <c r="E31">
        <f t="shared" si="0"/>
        <v>1109.5545093106034</v>
      </c>
    </row>
    <row r="32" spans="1:5" x14ac:dyDescent="0.3">
      <c r="A32">
        <v>13</v>
      </c>
      <c r="B32">
        <v>-80</v>
      </c>
      <c r="C32">
        <f t="shared" si="2"/>
        <v>1986.4769777132224</v>
      </c>
      <c r="D32">
        <f t="shared" si="1"/>
        <v>1906.4769777132224</v>
      </c>
      <c r="E32">
        <f t="shared" si="0"/>
        <v>1075.7708927808542</v>
      </c>
    </row>
    <row r="33" spans="1:5" x14ac:dyDescent="0.3">
      <c r="A33">
        <v>14</v>
      </c>
      <c r="B33">
        <v>-80</v>
      </c>
      <c r="C33">
        <f t="shared" si="2"/>
        <v>2012.0251870446191</v>
      </c>
      <c r="D33">
        <f t="shared" si="1"/>
        <v>1932.0251870446191</v>
      </c>
      <c r="E33">
        <f t="shared" si="0"/>
        <v>1043.2411701295705</v>
      </c>
    </row>
    <row r="34" spans="1:5" x14ac:dyDescent="0.3">
      <c r="A34">
        <v>15</v>
      </c>
      <c r="B34">
        <v>-80</v>
      </c>
      <c r="C34">
        <f t="shared" si="2"/>
        <v>2038.3398426559577</v>
      </c>
      <c r="D34">
        <f t="shared" si="1"/>
        <v>1958.3398426559577</v>
      </c>
      <c r="E34">
        <f t="shared" si="0"/>
        <v>1011.9142297017778</v>
      </c>
    </row>
    <row r="35" spans="1:5" x14ac:dyDescent="0.3">
      <c r="A35">
        <v>16</v>
      </c>
      <c r="B35">
        <v>-80</v>
      </c>
      <c r="C35">
        <f t="shared" si="2"/>
        <v>2065.4439379356363</v>
      </c>
      <c r="D35">
        <f t="shared" si="1"/>
        <v>1985.4439379356363</v>
      </c>
      <c r="E35">
        <f t="shared" si="0"/>
        <v>981.74111942895934</v>
      </c>
    </row>
    <row r="36" spans="1:5" x14ac:dyDescent="0.3">
      <c r="A36">
        <v>17</v>
      </c>
      <c r="B36">
        <v>-80</v>
      </c>
      <c r="C36">
        <f t="shared" si="2"/>
        <v>2093.3611560737054</v>
      </c>
      <c r="D36">
        <f t="shared" si="1"/>
        <v>2013.3611560737054</v>
      </c>
      <c r="E36">
        <f t="shared" si="0"/>
        <v>952.67495442667644</v>
      </c>
    </row>
    <row r="37" spans="1:5" x14ac:dyDescent="0.3">
      <c r="A37">
        <v>18</v>
      </c>
      <c r="B37">
        <v>-80</v>
      </c>
      <c r="C37">
        <f t="shared" si="2"/>
        <v>2122.1158907559166</v>
      </c>
      <c r="D37">
        <f t="shared" si="1"/>
        <v>2042.1158907559166</v>
      </c>
      <c r="E37">
        <f t="shared" si="0"/>
        <v>924.67082856271804</v>
      </c>
    </row>
    <row r="38" spans="1:5" x14ac:dyDescent="0.3">
      <c r="A38">
        <v>19</v>
      </c>
      <c r="B38">
        <v>-80</v>
      </c>
      <c r="C38">
        <f t="shared" si="2"/>
        <v>2151.7332674785939</v>
      </c>
      <c r="D38">
        <f t="shared" si="1"/>
        <v>2071.7332674785939</v>
      </c>
      <c r="E38">
        <f t="shared" si="0"/>
        <v>897.68572982490787</v>
      </c>
    </row>
    <row r="39" spans="1:5" x14ac:dyDescent="0.3">
      <c r="A39">
        <v>20</v>
      </c>
      <c r="B39">
        <v>-80</v>
      </c>
      <c r="C39">
        <f t="shared" si="2"/>
        <v>2182.2391655029519</v>
      </c>
      <c r="D39">
        <f t="shared" si="1"/>
        <v>2102.2391655029519</v>
      </c>
      <c r="E39">
        <f t="shared" si="0"/>
        <v>871.67845932507862</v>
      </c>
    </row>
  </sheetData>
  <mergeCells count="1">
    <mergeCell ref="I3:L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51B9-2399-49BB-AF38-AC9AD1E8AC42}">
  <dimension ref="A2:E41"/>
  <sheetViews>
    <sheetView tabSelected="1" workbookViewId="0">
      <selection activeCell="D7" sqref="D7"/>
    </sheetView>
  </sheetViews>
  <sheetFormatPr defaultRowHeight="14.4" x14ac:dyDescent="0.3"/>
  <cols>
    <col min="2" max="2" width="34.88671875" bestFit="1" customWidth="1"/>
    <col min="3" max="3" width="11" bestFit="1" customWidth="1"/>
    <col min="4" max="4" width="32.5546875" bestFit="1" customWidth="1"/>
    <col min="5" max="5" width="12.44140625" bestFit="1" customWidth="1"/>
  </cols>
  <sheetData>
    <row r="2" spans="1:5" x14ac:dyDescent="0.3">
      <c r="B2" t="s">
        <v>72</v>
      </c>
    </row>
    <row r="3" spans="1:5" x14ac:dyDescent="0.3">
      <c r="B3" t="s">
        <v>73</v>
      </c>
      <c r="C3" s="2">
        <v>400000</v>
      </c>
    </row>
    <row r="4" spans="1:5" x14ac:dyDescent="0.3">
      <c r="B4" t="s">
        <v>74</v>
      </c>
      <c r="C4" s="2">
        <v>10000</v>
      </c>
    </row>
    <row r="5" spans="1:5" x14ac:dyDescent="0.3">
      <c r="B5" t="s">
        <v>75</v>
      </c>
      <c r="C5" s="1">
        <v>0.3</v>
      </c>
    </row>
    <row r="6" spans="1:5" x14ac:dyDescent="0.3">
      <c r="B6" t="s">
        <v>76</v>
      </c>
      <c r="C6">
        <v>25</v>
      </c>
    </row>
    <row r="7" spans="1:5" x14ac:dyDescent="0.3">
      <c r="B7" t="s">
        <v>77</v>
      </c>
      <c r="C7" s="1">
        <v>0.1</v>
      </c>
    </row>
    <row r="11" spans="1:5" x14ac:dyDescent="0.3">
      <c r="A11" t="s">
        <v>1</v>
      </c>
      <c r="B11" t="s">
        <v>40</v>
      </c>
      <c r="C11" t="s">
        <v>78</v>
      </c>
      <c r="D11" t="s">
        <v>80</v>
      </c>
      <c r="E11" t="s">
        <v>82</v>
      </c>
    </row>
    <row r="12" spans="1:5" x14ac:dyDescent="0.3">
      <c r="A12">
        <v>0</v>
      </c>
      <c r="B12" s="2">
        <f>C3</f>
        <v>400000</v>
      </c>
      <c r="C12" s="2">
        <f>B12/(1+$C$7)^A12</f>
        <v>400000</v>
      </c>
      <c r="D12">
        <v>0</v>
      </c>
      <c r="E12">
        <v>0</v>
      </c>
    </row>
    <row r="13" spans="1:5" x14ac:dyDescent="0.3">
      <c r="A13">
        <v>1</v>
      </c>
      <c r="B13" s="2">
        <f>$C$4</f>
        <v>10000</v>
      </c>
      <c r="C13" s="2">
        <f t="shared" ref="C13:C37" si="0">B13/(1+$C$7)^A13</f>
        <v>9090.9090909090901</v>
      </c>
      <c r="D13">
        <f>200 * $C$5*8760</f>
        <v>525600</v>
      </c>
      <c r="E13">
        <f>D13/(1+$C$7)^A13</f>
        <v>477818.18181818177</v>
      </c>
    </row>
    <row r="14" spans="1:5" x14ac:dyDescent="0.3">
      <c r="A14">
        <v>2</v>
      </c>
      <c r="B14" s="2">
        <f t="shared" ref="B14:B37" si="1">$C$4</f>
        <v>10000</v>
      </c>
      <c r="C14" s="2">
        <f t="shared" si="0"/>
        <v>8264.4628099173533</v>
      </c>
      <c r="D14">
        <f t="shared" ref="D14:D37" si="2">200 * $C$5*8760</f>
        <v>525600</v>
      </c>
      <c r="E14">
        <f t="shared" ref="E14:E37" si="3">D14/(1+$C$7)^A14</f>
        <v>434380.16528925614</v>
      </c>
    </row>
    <row r="15" spans="1:5" x14ac:dyDescent="0.3">
      <c r="A15">
        <v>3</v>
      </c>
      <c r="B15" s="2">
        <f t="shared" si="1"/>
        <v>10000</v>
      </c>
      <c r="C15" s="2">
        <f t="shared" si="0"/>
        <v>7513.1480090157756</v>
      </c>
      <c r="D15">
        <f t="shared" si="2"/>
        <v>525600</v>
      </c>
      <c r="E15">
        <f t="shared" si="3"/>
        <v>394891.05935386918</v>
      </c>
    </row>
    <row r="16" spans="1:5" x14ac:dyDescent="0.3">
      <c r="A16">
        <v>4</v>
      </c>
      <c r="B16" s="2">
        <f t="shared" si="1"/>
        <v>10000</v>
      </c>
      <c r="C16" s="2">
        <f t="shared" si="0"/>
        <v>6830.1345536507051</v>
      </c>
      <c r="D16">
        <f t="shared" si="2"/>
        <v>525600</v>
      </c>
      <c r="E16">
        <f t="shared" si="3"/>
        <v>358991.87213988107</v>
      </c>
    </row>
    <row r="17" spans="1:5" x14ac:dyDescent="0.3">
      <c r="A17">
        <v>5</v>
      </c>
      <c r="B17" s="2">
        <f t="shared" si="1"/>
        <v>10000</v>
      </c>
      <c r="C17" s="2">
        <f t="shared" si="0"/>
        <v>6209.2132305915493</v>
      </c>
      <c r="D17">
        <f t="shared" si="2"/>
        <v>525600</v>
      </c>
      <c r="E17">
        <f t="shared" si="3"/>
        <v>326356.24739989184</v>
      </c>
    </row>
    <row r="18" spans="1:5" x14ac:dyDescent="0.3">
      <c r="A18">
        <v>6</v>
      </c>
      <c r="B18" s="2">
        <f t="shared" si="1"/>
        <v>10000</v>
      </c>
      <c r="C18" s="2">
        <f t="shared" si="0"/>
        <v>5644.7393005377717</v>
      </c>
      <c r="D18">
        <f t="shared" si="2"/>
        <v>525600</v>
      </c>
      <c r="E18">
        <f t="shared" si="3"/>
        <v>296687.4976362653</v>
      </c>
    </row>
    <row r="19" spans="1:5" x14ac:dyDescent="0.3">
      <c r="A19">
        <v>7</v>
      </c>
      <c r="B19" s="2">
        <f t="shared" si="1"/>
        <v>10000</v>
      </c>
      <c r="C19" s="2">
        <f t="shared" si="0"/>
        <v>5131.5811823070644</v>
      </c>
      <c r="D19">
        <f t="shared" si="2"/>
        <v>525600</v>
      </c>
      <c r="E19">
        <f t="shared" si="3"/>
        <v>269715.90694205929</v>
      </c>
    </row>
    <row r="20" spans="1:5" x14ac:dyDescent="0.3">
      <c r="A20">
        <v>8</v>
      </c>
      <c r="B20" s="2">
        <f t="shared" si="1"/>
        <v>10000</v>
      </c>
      <c r="C20" s="2">
        <f t="shared" si="0"/>
        <v>4665.0738020973313</v>
      </c>
      <c r="D20">
        <f t="shared" si="2"/>
        <v>525600</v>
      </c>
      <c r="E20">
        <f t="shared" si="3"/>
        <v>245196.27903823575</v>
      </c>
    </row>
    <row r="21" spans="1:5" x14ac:dyDescent="0.3">
      <c r="A21">
        <v>9</v>
      </c>
      <c r="B21" s="2">
        <f t="shared" si="1"/>
        <v>10000</v>
      </c>
      <c r="C21" s="2">
        <f t="shared" si="0"/>
        <v>4240.976183724847</v>
      </c>
      <c r="D21">
        <f t="shared" si="2"/>
        <v>525600</v>
      </c>
      <c r="E21">
        <f t="shared" si="3"/>
        <v>222905.70821657794</v>
      </c>
    </row>
    <row r="22" spans="1:5" x14ac:dyDescent="0.3">
      <c r="A22">
        <v>10</v>
      </c>
      <c r="B22" s="2">
        <f t="shared" si="1"/>
        <v>10000</v>
      </c>
      <c r="C22" s="2">
        <f t="shared" si="0"/>
        <v>3855.4328942953148</v>
      </c>
      <c r="D22">
        <f t="shared" si="2"/>
        <v>525600</v>
      </c>
      <c r="E22">
        <f t="shared" si="3"/>
        <v>202641.55292416175</v>
      </c>
    </row>
    <row r="23" spans="1:5" x14ac:dyDescent="0.3">
      <c r="A23">
        <v>11</v>
      </c>
      <c r="B23" s="2">
        <f t="shared" si="1"/>
        <v>10000</v>
      </c>
      <c r="C23" s="2">
        <f t="shared" si="0"/>
        <v>3504.9389948139219</v>
      </c>
      <c r="D23">
        <f t="shared" si="2"/>
        <v>525600</v>
      </c>
      <c r="E23">
        <f t="shared" si="3"/>
        <v>184219.59356741974</v>
      </c>
    </row>
    <row r="24" spans="1:5" x14ac:dyDescent="0.3">
      <c r="A24">
        <v>12</v>
      </c>
      <c r="B24" s="2">
        <f t="shared" si="1"/>
        <v>10000</v>
      </c>
      <c r="C24" s="2">
        <f t="shared" si="0"/>
        <v>3186.3081771035654</v>
      </c>
      <c r="D24">
        <f t="shared" si="2"/>
        <v>525600</v>
      </c>
      <c r="E24">
        <f t="shared" si="3"/>
        <v>167472.35778856341</v>
      </c>
    </row>
    <row r="25" spans="1:5" x14ac:dyDescent="0.3">
      <c r="A25">
        <v>13</v>
      </c>
      <c r="B25" s="2">
        <f t="shared" si="1"/>
        <v>10000</v>
      </c>
      <c r="C25" s="2">
        <f t="shared" si="0"/>
        <v>2896.6437973668776</v>
      </c>
      <c r="D25">
        <f t="shared" si="2"/>
        <v>525600</v>
      </c>
      <c r="E25">
        <f t="shared" si="3"/>
        <v>152247.59798960309</v>
      </c>
    </row>
    <row r="26" spans="1:5" x14ac:dyDescent="0.3">
      <c r="A26">
        <v>14</v>
      </c>
      <c r="B26" s="2">
        <f t="shared" si="1"/>
        <v>10000</v>
      </c>
      <c r="C26" s="2">
        <f t="shared" si="0"/>
        <v>2633.3125430607975</v>
      </c>
      <c r="D26">
        <f t="shared" si="2"/>
        <v>525600</v>
      </c>
      <c r="E26">
        <f t="shared" si="3"/>
        <v>138406.9072632755</v>
      </c>
    </row>
    <row r="27" spans="1:5" x14ac:dyDescent="0.3">
      <c r="A27">
        <v>15</v>
      </c>
      <c r="B27" s="2">
        <f t="shared" si="1"/>
        <v>10000</v>
      </c>
      <c r="C27" s="2">
        <f t="shared" si="0"/>
        <v>2393.920493691634</v>
      </c>
      <c r="D27">
        <f t="shared" si="2"/>
        <v>525600</v>
      </c>
      <c r="E27">
        <f t="shared" si="3"/>
        <v>125824.46114843228</v>
      </c>
    </row>
    <row r="28" spans="1:5" x14ac:dyDescent="0.3">
      <c r="A28">
        <v>16</v>
      </c>
      <c r="B28" s="2">
        <f t="shared" si="1"/>
        <v>10000</v>
      </c>
      <c r="C28" s="2">
        <f t="shared" si="0"/>
        <v>2176.2913579014853</v>
      </c>
      <c r="D28">
        <f t="shared" si="2"/>
        <v>525600</v>
      </c>
      <c r="E28">
        <f t="shared" si="3"/>
        <v>114385.87377130207</v>
      </c>
    </row>
    <row r="29" spans="1:5" x14ac:dyDescent="0.3">
      <c r="A29">
        <v>17</v>
      </c>
      <c r="B29" s="2">
        <f>$C$4</f>
        <v>10000</v>
      </c>
      <c r="C29" s="2">
        <f t="shared" si="0"/>
        <v>1978.4466890013503</v>
      </c>
      <c r="D29">
        <f t="shared" si="2"/>
        <v>525600</v>
      </c>
      <c r="E29">
        <f t="shared" si="3"/>
        <v>103987.15797391097</v>
      </c>
    </row>
    <row r="30" spans="1:5" x14ac:dyDescent="0.3">
      <c r="A30">
        <v>18</v>
      </c>
      <c r="B30" s="2">
        <f t="shared" si="1"/>
        <v>10000</v>
      </c>
      <c r="C30" s="2">
        <f t="shared" si="0"/>
        <v>1798.5878990921365</v>
      </c>
      <c r="D30">
        <f t="shared" si="2"/>
        <v>525600</v>
      </c>
      <c r="E30">
        <f t="shared" si="3"/>
        <v>94533.779976282691</v>
      </c>
    </row>
    <row r="31" spans="1:5" x14ac:dyDescent="0.3">
      <c r="A31">
        <v>19</v>
      </c>
      <c r="B31" s="2">
        <f t="shared" si="1"/>
        <v>10000</v>
      </c>
      <c r="C31" s="2">
        <f t="shared" si="0"/>
        <v>1635.0799082655783</v>
      </c>
      <c r="D31">
        <f t="shared" si="2"/>
        <v>525600</v>
      </c>
      <c r="E31">
        <f t="shared" si="3"/>
        <v>85939.799978438794</v>
      </c>
    </row>
    <row r="32" spans="1:5" x14ac:dyDescent="0.3">
      <c r="A32">
        <v>20</v>
      </c>
      <c r="B32" s="2">
        <f t="shared" si="1"/>
        <v>10000</v>
      </c>
      <c r="C32" s="2">
        <f t="shared" si="0"/>
        <v>1486.4362802414348</v>
      </c>
      <c r="D32">
        <f t="shared" si="2"/>
        <v>525600</v>
      </c>
      <c r="E32">
        <f t="shared" si="3"/>
        <v>78127.090889489817</v>
      </c>
    </row>
    <row r="33" spans="1:5" x14ac:dyDescent="0.3">
      <c r="A33">
        <v>21</v>
      </c>
      <c r="B33" s="2">
        <f t="shared" si="1"/>
        <v>10000</v>
      </c>
      <c r="C33" s="2">
        <f t="shared" si="0"/>
        <v>1351.3057093103953</v>
      </c>
      <c r="D33">
        <f t="shared" si="2"/>
        <v>525600</v>
      </c>
      <c r="E33">
        <f t="shared" si="3"/>
        <v>71024.628081354371</v>
      </c>
    </row>
    <row r="34" spans="1:5" x14ac:dyDescent="0.3">
      <c r="A34">
        <v>22</v>
      </c>
      <c r="B34" s="2">
        <f t="shared" si="1"/>
        <v>10000</v>
      </c>
      <c r="C34" s="2">
        <f t="shared" si="0"/>
        <v>1228.4597357367227</v>
      </c>
      <c r="D34">
        <f t="shared" si="2"/>
        <v>525600</v>
      </c>
      <c r="E34">
        <f t="shared" si="3"/>
        <v>64567.843710322144</v>
      </c>
    </row>
    <row r="35" spans="1:5" x14ac:dyDescent="0.3">
      <c r="A35">
        <v>23</v>
      </c>
      <c r="B35" s="2">
        <f t="shared" si="1"/>
        <v>10000</v>
      </c>
      <c r="C35" s="2">
        <f t="shared" si="0"/>
        <v>1116.781577942475</v>
      </c>
      <c r="D35">
        <f t="shared" si="2"/>
        <v>525600</v>
      </c>
      <c r="E35">
        <f t="shared" si="3"/>
        <v>58698.039736656494</v>
      </c>
    </row>
    <row r="36" spans="1:5" x14ac:dyDescent="0.3">
      <c r="A36">
        <v>24</v>
      </c>
      <c r="B36" s="2">
        <f t="shared" si="1"/>
        <v>10000</v>
      </c>
      <c r="C36" s="2">
        <f t="shared" si="0"/>
        <v>1015.2559799477048</v>
      </c>
      <c r="D36">
        <f t="shared" si="2"/>
        <v>525600</v>
      </c>
      <c r="E36">
        <f t="shared" si="3"/>
        <v>53361.854306051362</v>
      </c>
    </row>
    <row r="37" spans="1:5" x14ac:dyDescent="0.3">
      <c r="A37">
        <v>25</v>
      </c>
      <c r="B37" s="2">
        <f t="shared" si="1"/>
        <v>10000</v>
      </c>
      <c r="C37" s="2">
        <f t="shared" si="0"/>
        <v>922.95998177064052</v>
      </c>
      <c r="D37">
        <f t="shared" si="2"/>
        <v>525600</v>
      </c>
      <c r="E37">
        <f t="shared" si="3"/>
        <v>48510.776641864868</v>
      </c>
    </row>
    <row r="39" spans="1:5" x14ac:dyDescent="0.3">
      <c r="B39" t="s">
        <v>79</v>
      </c>
      <c r="C39" s="2">
        <f>SUM(C12:C37)</f>
        <v>490770.4001822935</v>
      </c>
    </row>
    <row r="40" spans="1:5" x14ac:dyDescent="0.3">
      <c r="B40" t="s">
        <v>81</v>
      </c>
      <c r="C40">
        <f>SUM(E12:E37)</f>
        <v>4770892.2335813474</v>
      </c>
    </row>
    <row r="41" spans="1:5" x14ac:dyDescent="0.3">
      <c r="B41" t="s">
        <v>83</v>
      </c>
      <c r="C41" s="10">
        <f>C39/C40</f>
        <v>0.10286763484780891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Cash_Flow_Analysis</vt:lpstr>
      <vt:lpstr>Bonds</vt:lpstr>
      <vt:lpstr>Solar_Production_Modelling</vt:lpstr>
      <vt:lpstr>LCOE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</dc:creator>
  <cp:lastModifiedBy>sarve</cp:lastModifiedBy>
  <dcterms:created xsi:type="dcterms:W3CDTF">2019-08-08T01:52:22Z</dcterms:created>
  <dcterms:modified xsi:type="dcterms:W3CDTF">2019-08-31T01:39:41Z</dcterms:modified>
</cp:coreProperties>
</file>