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epv\Documents\Master\Master\Thesis\PycharmProjects\IBP modeling\Planes_square_grid\Velocities\"/>
    </mc:Choice>
  </mc:AlternateContent>
  <xr:revisionPtr revIDLastSave="0" documentId="13_ncr:1_{D6A5E795-6FD8-4C9C-9F9E-E7BA0A640EAC}" xr6:coauthVersionLast="47" xr6:coauthVersionMax="47" xr10:uidLastSave="{00000000-0000-0000-0000-000000000000}"/>
  <bookViews>
    <workbookView xWindow="-98" yWindow="-98" windowWidth="22276" windowHeight="13276" xr2:uid="{500007F7-AD1E-4678-9879-E8DCA900C942}"/>
  </bookViews>
  <sheets>
    <sheet name="Velocit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2" l="1"/>
  <c r="U31" i="2" s="1"/>
  <c r="O31" i="2"/>
  <c r="P31" i="2"/>
  <c r="Q31" i="2"/>
  <c r="R31" i="2"/>
  <c r="S31" i="2"/>
  <c r="T31" i="2"/>
  <c r="V31" i="2"/>
  <c r="W31" i="2"/>
  <c r="X31" i="2"/>
  <c r="O30" i="2"/>
  <c r="P30" i="2"/>
  <c r="Q30" i="2"/>
  <c r="R30" i="2"/>
  <c r="S30" i="2"/>
  <c r="T30" i="2"/>
  <c r="U30" i="2"/>
  <c r="V30" i="2"/>
  <c r="W30" i="2"/>
  <c r="X30" i="2"/>
  <c r="P29" i="2"/>
  <c r="Q29" i="2"/>
  <c r="R29" i="2"/>
  <c r="S29" i="2"/>
  <c r="T29" i="2"/>
  <c r="U29" i="2"/>
  <c r="V29" i="2"/>
  <c r="W29" i="2"/>
  <c r="X29" i="2"/>
  <c r="O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B32" i="2"/>
  <c r="B31" i="2"/>
  <c r="B30" i="2"/>
  <c r="C29" i="2"/>
  <c r="D29" i="2"/>
  <c r="E29" i="2"/>
  <c r="F29" i="2"/>
  <c r="G29" i="2"/>
  <c r="H29" i="2"/>
  <c r="I29" i="2"/>
  <c r="J29" i="2"/>
  <c r="K29" i="2"/>
  <c r="B29" i="2"/>
  <c r="X24" i="2"/>
  <c r="X23" i="2"/>
  <c r="W23" i="2"/>
  <c r="W24" i="2"/>
  <c r="V24" i="2"/>
  <c r="V23" i="2"/>
  <c r="U24" i="2"/>
  <c r="U23" i="2"/>
  <c r="T24" i="2"/>
  <c r="P24" i="2"/>
  <c r="P23" i="2"/>
  <c r="O24" i="2"/>
  <c r="O23" i="2"/>
  <c r="K23" i="2"/>
  <c r="J23" i="2"/>
  <c r="I23" i="2"/>
  <c r="H23" i="2"/>
  <c r="G23" i="2"/>
  <c r="F16" i="2"/>
  <c r="E16" i="2"/>
  <c r="D16" i="2"/>
  <c r="C16" i="2"/>
  <c r="B16" i="2"/>
  <c r="W16" i="2"/>
  <c r="X17" i="2"/>
  <c r="W17" i="2"/>
  <c r="V17" i="2"/>
  <c r="U17" i="2"/>
  <c r="S17" i="2"/>
  <c r="T17" i="2"/>
  <c r="Q17" i="2"/>
  <c r="W4" i="2"/>
  <c r="S4" i="2"/>
  <c r="R4" i="2"/>
  <c r="P3" i="2"/>
  <c r="O3" i="2"/>
  <c r="K3" i="2"/>
  <c r="J3" i="2"/>
  <c r="I3" i="2"/>
  <c r="H3" i="2"/>
  <c r="G3" i="2"/>
  <c r="F3" i="2"/>
  <c r="E3" i="2"/>
  <c r="D3" i="2"/>
  <c r="C3" i="2"/>
  <c r="B3" i="2"/>
  <c r="P22" i="2"/>
  <c r="O22" i="2"/>
  <c r="X15" i="2"/>
  <c r="W15" i="2"/>
  <c r="V15" i="2"/>
  <c r="T15" i="2"/>
  <c r="P15" i="2"/>
  <c r="T2" i="2"/>
  <c r="S2" i="2"/>
  <c r="X26" i="2"/>
  <c r="X22" i="2" s="1"/>
  <c r="W26" i="2"/>
  <c r="W22" i="2" s="1"/>
  <c r="V26" i="2"/>
  <c r="V22" i="2" s="1"/>
  <c r="U26" i="2"/>
  <c r="U22" i="2" s="1"/>
  <c r="T26" i="2"/>
  <c r="T23" i="2" s="1"/>
  <c r="S26" i="2"/>
  <c r="S22" i="2" s="1"/>
  <c r="R26" i="2"/>
  <c r="R22" i="2" s="1"/>
  <c r="Q26" i="2"/>
  <c r="Q24" i="2" s="1"/>
  <c r="P26" i="2"/>
  <c r="O26" i="2"/>
  <c r="X19" i="2"/>
  <c r="X16" i="2" s="1"/>
  <c r="W19" i="2"/>
  <c r="V19" i="2"/>
  <c r="V16" i="2" s="1"/>
  <c r="U19" i="2"/>
  <c r="U16" i="2" s="1"/>
  <c r="T19" i="2"/>
  <c r="T16" i="2" s="1"/>
  <c r="S19" i="2"/>
  <c r="S15" i="2" s="1"/>
  <c r="R19" i="2"/>
  <c r="R15" i="2" s="1"/>
  <c r="Q19" i="2"/>
  <c r="Q15" i="2" s="1"/>
  <c r="P19" i="2"/>
  <c r="P16" i="2" s="1"/>
  <c r="O19" i="2"/>
  <c r="O16" i="2" s="1"/>
  <c r="X6" i="2"/>
  <c r="X3" i="2" s="1"/>
  <c r="W6" i="2"/>
  <c r="W3" i="2" s="1"/>
  <c r="V6" i="2"/>
  <c r="V3" i="2" s="1"/>
  <c r="U6" i="2"/>
  <c r="U3" i="2" s="1"/>
  <c r="T6" i="2"/>
  <c r="T3" i="2" s="1"/>
  <c r="S6" i="2"/>
  <c r="S3" i="2" s="1"/>
  <c r="R6" i="2"/>
  <c r="R3" i="2" s="1"/>
  <c r="Q6" i="2"/>
  <c r="Q4" i="2" s="1"/>
  <c r="P6" i="2"/>
  <c r="P4" i="2" s="1"/>
  <c r="O6" i="2"/>
  <c r="O4" i="2" s="1"/>
  <c r="J24" i="2"/>
  <c r="H22" i="2"/>
  <c r="D17" i="2"/>
  <c r="C18" i="2"/>
  <c r="F15" i="2"/>
  <c r="E15" i="2"/>
  <c r="K2" i="2"/>
  <c r="J2" i="2"/>
  <c r="I2" i="2"/>
  <c r="D2" i="2"/>
  <c r="K26" i="2"/>
  <c r="K22" i="2" s="1"/>
  <c r="J26" i="2"/>
  <c r="J22" i="2" s="1"/>
  <c r="I26" i="2"/>
  <c r="I24" i="2" s="1"/>
  <c r="H26" i="2"/>
  <c r="H24" i="2" s="1"/>
  <c r="G26" i="2"/>
  <c r="G24" i="2" s="1"/>
  <c r="F26" i="2"/>
  <c r="F25" i="2" s="1"/>
  <c r="E26" i="2"/>
  <c r="E24" i="2" s="1"/>
  <c r="D26" i="2"/>
  <c r="D24" i="2" s="1"/>
  <c r="C26" i="2"/>
  <c r="C23" i="2" s="1"/>
  <c r="B26" i="2"/>
  <c r="B25" i="2" s="1"/>
  <c r="K19" i="2"/>
  <c r="K17" i="2" s="1"/>
  <c r="J19" i="2"/>
  <c r="J15" i="2" s="1"/>
  <c r="I19" i="2"/>
  <c r="I15" i="2" s="1"/>
  <c r="H19" i="2"/>
  <c r="H15" i="2" s="1"/>
  <c r="G19" i="2"/>
  <c r="G18" i="2" s="1"/>
  <c r="F19" i="2"/>
  <c r="F18" i="2" s="1"/>
  <c r="E19" i="2"/>
  <c r="E18" i="2" s="1"/>
  <c r="D19" i="2"/>
  <c r="D18" i="2" s="1"/>
  <c r="C19" i="2"/>
  <c r="C15" i="2" s="1"/>
  <c r="B19" i="2"/>
  <c r="B18" i="2" s="1"/>
  <c r="K6" i="2"/>
  <c r="K4" i="2" s="1"/>
  <c r="J6" i="2"/>
  <c r="J4" i="2" s="1"/>
  <c r="I6" i="2"/>
  <c r="I4" i="2" s="1"/>
  <c r="H6" i="2"/>
  <c r="H2" i="2" s="1"/>
  <c r="G6" i="2"/>
  <c r="G2" i="2" s="1"/>
  <c r="F6" i="2"/>
  <c r="F2" i="2" s="1"/>
  <c r="E6" i="2"/>
  <c r="E2" i="2" s="1"/>
  <c r="D6" i="2"/>
  <c r="D5" i="2" s="1"/>
  <c r="C6" i="2"/>
  <c r="C5" i="2" s="1"/>
  <c r="B6" i="2"/>
  <c r="B5" i="2" s="1"/>
  <c r="K18" i="2" l="1"/>
  <c r="D4" i="2"/>
  <c r="H16" i="2"/>
  <c r="I16" i="2"/>
  <c r="F5" i="2"/>
  <c r="P2" i="2"/>
  <c r="T22" i="2"/>
  <c r="J16" i="2"/>
  <c r="E5" i="2"/>
  <c r="K24" i="2"/>
  <c r="Q2" i="2"/>
  <c r="T4" i="2"/>
  <c r="K16" i="2"/>
  <c r="Q23" i="2"/>
  <c r="I18" i="2"/>
  <c r="Q22" i="2"/>
  <c r="R2" i="2"/>
  <c r="V4" i="2"/>
  <c r="B23" i="2"/>
  <c r="C24" i="2"/>
  <c r="R23" i="2"/>
  <c r="H18" i="2"/>
  <c r="J18" i="2"/>
  <c r="G16" i="2"/>
  <c r="O17" i="2"/>
  <c r="R24" i="2"/>
  <c r="C17" i="2"/>
  <c r="U2" i="2"/>
  <c r="P17" i="2"/>
  <c r="D23" i="2"/>
  <c r="S23" i="2"/>
  <c r="E23" i="2"/>
  <c r="S24" i="2"/>
  <c r="B4" i="2"/>
  <c r="C4" i="2"/>
  <c r="B22" i="2"/>
  <c r="E4" i="2"/>
  <c r="K15" i="2"/>
  <c r="B17" i="2"/>
  <c r="X2" i="2"/>
  <c r="C2" i="2"/>
  <c r="E17" i="2"/>
  <c r="O15" i="2"/>
  <c r="R17" i="2"/>
  <c r="F23" i="2"/>
  <c r="D25" i="2"/>
  <c r="O2" i="2"/>
  <c r="U15" i="2"/>
  <c r="G5" i="2"/>
  <c r="F17" i="2"/>
  <c r="H25" i="2"/>
  <c r="Q3" i="2"/>
  <c r="X4" i="2"/>
  <c r="I5" i="2"/>
  <c r="C22" i="2"/>
  <c r="E25" i="2"/>
  <c r="J5" i="2"/>
  <c r="B15" i="2"/>
  <c r="I17" i="2"/>
  <c r="D22" i="2"/>
  <c r="J25" i="2"/>
  <c r="H17" i="2"/>
  <c r="G17" i="2"/>
  <c r="G4" i="2"/>
  <c r="J17" i="2"/>
  <c r="F22" i="2"/>
  <c r="K25" i="2"/>
  <c r="V2" i="2"/>
  <c r="Q16" i="2"/>
  <c r="C25" i="2"/>
  <c r="G25" i="2"/>
  <c r="K5" i="2"/>
  <c r="I25" i="2"/>
  <c r="F4" i="2"/>
  <c r="B2" i="2"/>
  <c r="H4" i="2"/>
  <c r="D15" i="2"/>
  <c r="E22" i="2"/>
  <c r="B24" i="2"/>
  <c r="W2" i="2"/>
  <c r="R16" i="2"/>
  <c r="G22" i="2"/>
  <c r="S16" i="2"/>
  <c r="G15" i="2"/>
  <c r="I22" i="2"/>
  <c r="F24" i="2"/>
  <c r="H5" i="2"/>
</calcChain>
</file>

<file path=xl/sharedStrings.xml><?xml version="1.0" encoding="utf-8"?>
<sst xmlns="http://schemas.openxmlformats.org/spreadsheetml/2006/main" count="36" uniqueCount="11">
  <si>
    <t>Pyr</t>
  </si>
  <si>
    <t>SP</t>
  </si>
  <si>
    <t>PP</t>
  </si>
  <si>
    <t>Basal</t>
  </si>
  <si>
    <t>AV</t>
  </si>
  <si>
    <t>TR3</t>
  </si>
  <si>
    <t>TR2</t>
  </si>
  <si>
    <t>TR1C</t>
  </si>
  <si>
    <t>TR1</t>
  </si>
  <si>
    <t>TR3C</t>
  </si>
  <si>
    <t>TR2C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</si>
</sst>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FA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ECF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5" borderId="0" xfId="0" applyFill="1"/>
    <xf numFmtId="0" fontId="1" fillId="6" borderId="0" xfId="0" applyFont="1" applyFill="1"/>
    <xf numFmtId="11" fontId="0" fillId="5" borderId="0" xfId="0" applyNumberFormat="1" applyFill="1"/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4" borderId="0" xfId="0" applyFont="1" applyFill="1" applyBorder="1"/>
    <xf numFmtId="0" fontId="0" fillId="3" borderId="0" xfId="0" applyFill="1" applyBorder="1"/>
    <xf numFmtId="11" fontId="0" fillId="3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9B7A-40DE-4CB8-AFD1-C02627F8B6B1}">
  <dimension ref="A1:Y64"/>
  <sheetViews>
    <sheetView tabSelected="1" topLeftCell="F24" zoomScale="70" zoomScaleNormal="67" workbookViewId="0">
      <selection activeCell="O32" sqref="O32:X32"/>
    </sheetView>
  </sheetViews>
  <sheetFormatPr defaultRowHeight="14.25" x14ac:dyDescent="0.45"/>
  <cols>
    <col min="2" max="11" width="11.73046875" bestFit="1" customWidth="1"/>
    <col min="15" max="24" width="11.73046875" bestFit="1" customWidth="1"/>
  </cols>
  <sheetData>
    <row r="1" spans="1:24" ht="31.05" customHeight="1" x14ac:dyDescent="0.6">
      <c r="A1" s="6" t="s">
        <v>8</v>
      </c>
      <c r="B1" s="5">
        <v>-1</v>
      </c>
      <c r="C1" s="5">
        <v>-2</v>
      </c>
      <c r="D1" s="5">
        <v>-3</v>
      </c>
      <c r="E1" s="5">
        <v>-4</v>
      </c>
      <c r="F1" s="5">
        <v>-5</v>
      </c>
      <c r="G1" s="5">
        <v>-6</v>
      </c>
      <c r="H1" s="5">
        <v>-7</v>
      </c>
      <c r="I1" s="5">
        <v>-8</v>
      </c>
      <c r="J1" s="5">
        <v>-9</v>
      </c>
      <c r="K1" s="5">
        <v>-10</v>
      </c>
      <c r="N1" s="6" t="s">
        <v>7</v>
      </c>
      <c r="O1" s="5">
        <v>-1</v>
      </c>
      <c r="P1" s="5">
        <v>-2</v>
      </c>
      <c r="Q1" s="5">
        <v>-3</v>
      </c>
      <c r="R1" s="5">
        <v>-4</v>
      </c>
      <c r="S1" s="5">
        <v>-5</v>
      </c>
      <c r="T1" s="5">
        <v>-6</v>
      </c>
      <c r="U1" s="5">
        <v>-7</v>
      </c>
      <c r="V1" s="5">
        <v>-8</v>
      </c>
      <c r="W1" s="5">
        <v>-9</v>
      </c>
      <c r="X1" s="5">
        <v>-10</v>
      </c>
    </row>
    <row r="2" spans="1:24" ht="31.05" customHeight="1" x14ac:dyDescent="0.6">
      <c r="A2" s="3" t="s">
        <v>3</v>
      </c>
      <c r="B2" s="2">
        <f>1.50386059333734E-09/B6</f>
        <v>1</v>
      </c>
      <c r="C2" s="2">
        <f>1.41667563337768E-09/C6</f>
        <v>1</v>
      </c>
      <c r="D2" s="2">
        <f>1.39044838758534E-09/D6</f>
        <v>1</v>
      </c>
      <c r="E2" s="2">
        <f>1.61526577649557E-09/E6</f>
        <v>1</v>
      </c>
      <c r="F2" s="2">
        <f>1.53298475141689E-09/F6</f>
        <v>1</v>
      </c>
      <c r="G2" s="2">
        <f>1.65992407724143E-09/G6</f>
        <v>1</v>
      </c>
      <c r="H2" s="2">
        <f>1.44383521305369E-09/H6</f>
        <v>1</v>
      </c>
      <c r="I2" s="2">
        <f>1.4692523651023E-09/I6</f>
        <v>1</v>
      </c>
      <c r="J2" s="2">
        <f>1.62507677774031E-09/J6</f>
        <v>1</v>
      </c>
      <c r="K2" s="2">
        <f>1.53687351643681E-09/K6</f>
        <v>1</v>
      </c>
      <c r="N2" s="3" t="s">
        <v>3</v>
      </c>
      <c r="O2" s="2">
        <f>2.79294563495461E-10/O6</f>
        <v>1</v>
      </c>
      <c r="P2" s="2">
        <f>2.84928152166228E-10/P6</f>
        <v>1</v>
      </c>
      <c r="Q2" s="2">
        <f>2.8619832736064E-10/Q6</f>
        <v>1</v>
      </c>
      <c r="R2" s="2">
        <f>2.7509753848288E-10/R6</f>
        <v>1</v>
      </c>
      <c r="S2" s="2">
        <f>3.0459584704454E-10/S6</f>
        <v>1</v>
      </c>
      <c r="T2" s="2">
        <f>3.24031017212823E-10/T6</f>
        <v>1</v>
      </c>
      <c r="U2" s="2">
        <f>3.11548875579455E-10/U6</f>
        <v>1</v>
      </c>
      <c r="V2" s="2">
        <f>3.16192604539074E-10/V6</f>
        <v>1</v>
      </c>
      <c r="W2" s="2">
        <f>3.19764033825075E-10/W6</f>
        <v>1</v>
      </c>
      <c r="X2" s="2">
        <f>3.46611221159184E-10/X6</f>
        <v>1</v>
      </c>
    </row>
    <row r="3" spans="1:24" ht="31.05" customHeight="1" x14ac:dyDescent="0.6">
      <c r="A3" s="3" t="s">
        <v>2</v>
      </c>
      <c r="B3" s="2">
        <f>6.42061248766016E-09</f>
        <v>6.4206124876601599E-9</v>
      </c>
      <c r="C3" s="2">
        <f>6.56624386500121E-09</f>
        <v>6.5662438650012098E-9</v>
      </c>
      <c r="D3" s="2">
        <f>6.96422647057428E-09</f>
        <v>6.9642264705742803E-9</v>
      </c>
      <c r="E3" s="2">
        <f>7.00467605523196E-09</f>
        <v>7.0046760552319602E-9</v>
      </c>
      <c r="F3" s="2">
        <f>6.34560598516277E-09</f>
        <v>6.3456059851627699E-9</v>
      </c>
      <c r="G3" s="2">
        <f>6.70565146641813E-09</f>
        <v>6.7056514664181301E-9</v>
      </c>
      <c r="H3" s="2">
        <f>7.09462976976146E-09</f>
        <v>7.0946297697614601E-9</v>
      </c>
      <c r="I3" s="2">
        <f>7.71112619616772E-09</f>
        <v>7.7111261961677194E-9</v>
      </c>
      <c r="J3" s="2">
        <f>7.65553001608305E-09</f>
        <v>7.6555300160830496E-9</v>
      </c>
      <c r="K3" s="2">
        <f>7.64240686650416E-09</f>
        <v>7.6424068665041604E-9</v>
      </c>
      <c r="N3" s="3" t="s">
        <v>2</v>
      </c>
      <c r="O3" s="2">
        <f>6.30174593694917E-10/O6</f>
        <v>2.2563081279065371</v>
      </c>
      <c r="P3" s="2">
        <f>5.88207866180122E-10/P6</f>
        <v>2.0644076821056268</v>
      </c>
      <c r="Q3" s="2">
        <f>7.50447393581986E-10/Q6</f>
        <v>2.6221236179215794</v>
      </c>
      <c r="R3" s="2">
        <f>5.36128053543975E-10/R6</f>
        <v>1.948865324279663</v>
      </c>
      <c r="S3" s="2">
        <f>7.90476305572881E-10/S6</f>
        <v>2.5951644227680242</v>
      </c>
      <c r="T3" s="2">
        <f>7.81562929902676E-10/T6</f>
        <v>2.4120003591796486</v>
      </c>
      <c r="U3" s="4">
        <f>7.15048528428348E-10/U6</f>
        <v>2.2951407771843737</v>
      </c>
      <c r="V3" s="2">
        <f>7.47322506474676E-10/V6</f>
        <v>2.3635040660235442</v>
      </c>
      <c r="W3" s="2">
        <f>7.35549905509964E-10/W6</f>
        <v>2.3002896752057556</v>
      </c>
      <c r="X3" s="4">
        <f>6.85705053158372E-10/X6</f>
        <v>1.9783117547814659</v>
      </c>
    </row>
    <row r="4" spans="1:24" ht="31.05" customHeight="1" x14ac:dyDescent="0.6">
      <c r="A4" s="3" t="s">
        <v>1</v>
      </c>
      <c r="B4" s="2">
        <f>1.27359724249763E-08/B6</f>
        <v>8.4688517548776669</v>
      </c>
      <c r="C4" s="2">
        <f>1.09808672203932E-08/C6</f>
        <v>7.7511513303947286</v>
      </c>
      <c r="D4" s="2">
        <f>1.29419996903908E-08/D6</f>
        <v>9.3077886284336984</v>
      </c>
      <c r="E4" s="2">
        <f>1.18411910309714E-08/E6</f>
        <v>7.3308004189017586</v>
      </c>
      <c r="F4" s="2">
        <f>1.28499638038193E-08/F6</f>
        <v>8.382316779043288</v>
      </c>
      <c r="G4" s="2">
        <f>1.31491296491345E-08/G6</f>
        <v>7.9215247428584687</v>
      </c>
      <c r="H4" s="2">
        <f>1.34942388812611E-08/H6</f>
        <v>9.3461073391616374</v>
      </c>
      <c r="I4" s="2">
        <f>1.27380231421186E-08/I6</f>
        <v>8.6697312488121714</v>
      </c>
      <c r="J4" s="2">
        <f>1.37159211346934E-08/J6</f>
        <v>8.4401680724067472</v>
      </c>
      <c r="K4" s="2">
        <f>1.45841113014892E-08/K6</f>
        <v>9.489467510183907</v>
      </c>
      <c r="N4" s="3" t="s">
        <v>1</v>
      </c>
      <c r="O4" s="2">
        <f>1.0165311424973E-09/O6</f>
        <v>3.6396381289169648</v>
      </c>
      <c r="P4" s="2">
        <f>1.03168774843869E-09/P6</f>
        <v>3.6208698248841351</v>
      </c>
      <c r="Q4" s="2">
        <f>1.01808284512742E-09/Q6</f>
        <v>3.5572634351721013</v>
      </c>
      <c r="R4" s="2">
        <f>9.10802836163813E-10/R6</f>
        <v>3.3108360081545936</v>
      </c>
      <c r="S4" s="2">
        <f>1.11299566156981E-09/S6</f>
        <v>3.6540079990225882</v>
      </c>
      <c r="T4" s="2">
        <f>1.02638062202899E-09/T6</f>
        <v>3.1675381908111131</v>
      </c>
      <c r="U4" s="4">
        <f>9.75751060349019E-10/U6</f>
        <v>3.1319357469488636</v>
      </c>
      <c r="V4" s="2">
        <f>1.16874298841905E-09/V6</f>
        <v>3.6963008357604412</v>
      </c>
      <c r="W4" s="4">
        <f>1.08902661419223E-09/W6</f>
        <v>3.4057195275062595</v>
      </c>
      <c r="X4" s="2">
        <f>1.0423087200834E-09/X6</f>
        <v>3.0071407284437321</v>
      </c>
    </row>
    <row r="5" spans="1:24" ht="31.05" customHeight="1" x14ac:dyDescent="0.6">
      <c r="A5" s="3" t="s">
        <v>0</v>
      </c>
      <c r="B5" s="2">
        <f>2.11445437516461E-09/B6</f>
        <v>1.4060175421394956</v>
      </c>
      <c r="C5" s="2">
        <f>1.91496434054109E-09/C6</f>
        <v>1.3517309787953189</v>
      </c>
      <c r="D5" s="2">
        <f>2.16371724562082E-09/D6</f>
        <v>1.5561291342703791</v>
      </c>
      <c r="E5" s="2">
        <f>2.22061643937306E-09/E6</f>
        <v>1.3747684571085508</v>
      </c>
      <c r="F5" s="2">
        <f>2.23406278144075E-09/F6</f>
        <v>1.4573287694974628</v>
      </c>
      <c r="G5" s="2">
        <f>2.48329069456055E-09/G6</f>
        <v>1.4960266729111154</v>
      </c>
      <c r="H5" s="2">
        <f>2.62193746403652E-09/H6</f>
        <v>1.8159533998974584</v>
      </c>
      <c r="I5" s="2">
        <f>2.76025048201648E-09/I6</f>
        <v>1.8786769023334473</v>
      </c>
      <c r="J5" s="2">
        <f>2.33390626622409E-09/J6</f>
        <v>1.436182153479183</v>
      </c>
      <c r="K5" s="2">
        <f>2.52732148767613E-09/K6</f>
        <v>1.6444563984260987</v>
      </c>
      <c r="N5" s="3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31.05" customHeight="1" x14ac:dyDescent="0.45">
      <c r="B6" s="1">
        <f>1.50386059333734E-09</f>
        <v>1.50386059333734E-9</v>
      </c>
      <c r="C6" s="1">
        <f>1.41667563337768E-09</f>
        <v>1.41667563337768E-9</v>
      </c>
      <c r="D6" s="1">
        <f>1.39044838758534E-09</f>
        <v>1.39044838758534E-9</v>
      </c>
      <c r="E6" s="1">
        <f>1.61526577649557E-09</f>
        <v>1.6152657764955701E-9</v>
      </c>
      <c r="F6" s="1">
        <f>1.53298475141689E-09</f>
        <v>1.53298475141689E-9</v>
      </c>
      <c r="G6" s="1">
        <f>1.65992407724143E-09</f>
        <v>1.65992407724143E-9</v>
      </c>
      <c r="H6" s="1">
        <f>1.44383521305369E-09</f>
        <v>1.4438352130536901E-9</v>
      </c>
      <c r="I6" s="1">
        <f>1.4692523651023E-09</f>
        <v>1.4692523651023001E-9</v>
      </c>
      <c r="J6" s="1">
        <f>1.62507677774031E-09</f>
        <v>1.6250767777403099E-9</v>
      </c>
      <c r="K6" s="1">
        <f>1.53687351643681E-09</f>
        <v>1.53687351643681E-9</v>
      </c>
      <c r="O6" s="1">
        <f>2.79294563495461E-10</f>
        <v>2.7929456349546098E-10</v>
      </c>
      <c r="P6" s="1">
        <f>2.84928152166228E-10</f>
        <v>2.8492815216622798E-10</v>
      </c>
      <c r="Q6" s="1">
        <f>2.8619832736064E-10</f>
        <v>2.8619832736064002E-10</v>
      </c>
      <c r="R6" s="1">
        <f>2.7509753848288E-10</f>
        <v>2.7509753848287999E-10</v>
      </c>
      <c r="S6" s="1">
        <f>3.0459584704454E-10</f>
        <v>3.0459584704454001E-10</v>
      </c>
      <c r="T6" s="1">
        <f>3.24031017212823E-10</f>
        <v>3.24031017212823E-10</v>
      </c>
      <c r="U6" s="1">
        <f>3.11548875579455E-10</f>
        <v>3.1154887557945499E-10</v>
      </c>
      <c r="V6" s="1">
        <f>3.16192604539074E-10</f>
        <v>3.1619260453907402E-10</v>
      </c>
      <c r="W6" s="1">
        <f>3.19764033825075E-10</f>
        <v>3.1976403382507501E-10</v>
      </c>
      <c r="X6" s="1">
        <f>3.46611221159184E-10</f>
        <v>3.4661122115918399E-10</v>
      </c>
    </row>
    <row r="7" spans="1:24" ht="31.05" customHeight="1" x14ac:dyDescent="0.45"/>
    <row r="8" spans="1:24" ht="31.05" customHeight="1" x14ac:dyDescent="0.45"/>
    <row r="9" spans="1:24" ht="31.05" customHeight="1" x14ac:dyDescent="0.45"/>
    <row r="10" spans="1:24" ht="31.05" customHeight="1" x14ac:dyDescent="0.45"/>
    <row r="11" spans="1:24" ht="31.05" customHeight="1" x14ac:dyDescent="0.45"/>
    <row r="12" spans="1:24" ht="31.05" customHeight="1" x14ac:dyDescent="0.45"/>
    <row r="13" spans="1:24" ht="31.05" customHeight="1" x14ac:dyDescent="0.45"/>
    <row r="14" spans="1:24" ht="31.05" customHeight="1" x14ac:dyDescent="0.6">
      <c r="A14" s="6" t="s">
        <v>6</v>
      </c>
      <c r="B14" s="5">
        <v>-1</v>
      </c>
      <c r="C14" s="5">
        <v>-2</v>
      </c>
      <c r="D14" s="5">
        <v>-3</v>
      </c>
      <c r="E14" s="5">
        <v>-4</v>
      </c>
      <c r="F14" s="5">
        <v>-5</v>
      </c>
      <c r="G14" s="5">
        <v>-6</v>
      </c>
      <c r="H14" s="5">
        <v>-7</v>
      </c>
      <c r="I14" s="5">
        <v>-8</v>
      </c>
      <c r="J14" s="5">
        <v>-9</v>
      </c>
      <c r="K14" s="5">
        <v>-10</v>
      </c>
      <c r="N14" s="6" t="s">
        <v>10</v>
      </c>
      <c r="O14" s="5">
        <v>-1</v>
      </c>
      <c r="P14" s="5">
        <v>-2</v>
      </c>
      <c r="Q14" s="5">
        <v>-3</v>
      </c>
      <c r="R14" s="5">
        <v>-4</v>
      </c>
      <c r="S14" s="5">
        <v>-5</v>
      </c>
      <c r="T14" s="5">
        <v>-6</v>
      </c>
      <c r="U14" s="5">
        <v>-7</v>
      </c>
      <c r="V14" s="5">
        <v>-8</v>
      </c>
      <c r="W14" s="5">
        <v>-9</v>
      </c>
      <c r="X14" s="5">
        <v>-10</v>
      </c>
    </row>
    <row r="15" spans="1:24" ht="31.05" customHeight="1" x14ac:dyDescent="0.6">
      <c r="A15" s="3" t="s">
        <v>3</v>
      </c>
      <c r="B15" s="2">
        <f>1.39915452464596E-09/B19</f>
        <v>1</v>
      </c>
      <c r="C15" s="2">
        <f>1.39919052871456E-09/C19</f>
        <v>1</v>
      </c>
      <c r="D15" s="2">
        <f>1.42988628871897E-09/D19</f>
        <v>1</v>
      </c>
      <c r="E15" s="2">
        <f>1.54283986243151E-09/E19</f>
        <v>1</v>
      </c>
      <c r="F15" s="2">
        <f>1.54009348931557E-09/F19</f>
        <v>1</v>
      </c>
      <c r="G15" s="2">
        <f>1.63015412678411E-09/G19</f>
        <v>1</v>
      </c>
      <c r="H15" s="2">
        <f>1.62223169952878E-09/H19</f>
        <v>1</v>
      </c>
      <c r="I15" s="2">
        <f>1.53284757804646E-09/I19</f>
        <v>1</v>
      </c>
      <c r="J15" s="2">
        <f>1.5251475497092E-09/J19</f>
        <v>1</v>
      </c>
      <c r="K15" s="2">
        <f>1.58761634673718E-09/K19</f>
        <v>1</v>
      </c>
      <c r="N15" s="3" t="s">
        <v>3</v>
      </c>
      <c r="O15" s="2">
        <f>2.64973516615075E-10/O19</f>
        <v>1</v>
      </c>
      <c r="P15" s="2">
        <f>3.1944930226193E-10/P19</f>
        <v>1</v>
      </c>
      <c r="Q15" s="2">
        <f>3.1944930226193E-10/Q19</f>
        <v>1</v>
      </c>
      <c r="R15" s="2">
        <f>2.98885449147645E-10/R19</f>
        <v>1</v>
      </c>
      <c r="S15" s="2">
        <f>3.14490897131797E-10/S19</f>
        <v>1</v>
      </c>
      <c r="T15" s="2">
        <f>3.30722150838788E-10/T19</f>
        <v>1</v>
      </c>
      <c r="U15" s="2">
        <f>2.97234412635805E-10/U19</f>
        <v>1</v>
      </c>
      <c r="V15" s="2">
        <f>3.00660547270904E-10/V19</f>
        <v>1</v>
      </c>
      <c r="W15" s="2">
        <f>3.79634535576864E-10/W19</f>
        <v>1</v>
      </c>
      <c r="X15" s="2">
        <f>3.14385543508998E-10/X19</f>
        <v>1</v>
      </c>
    </row>
    <row r="16" spans="1:24" ht="31.05" customHeight="1" x14ac:dyDescent="0.6">
      <c r="A16" s="3" t="s">
        <v>2</v>
      </c>
      <c r="B16" s="2">
        <f>6.83162244028292E-09/B19</f>
        <v>4.8826790178958852</v>
      </c>
      <c r="C16" s="2">
        <f>6.50256380775251E-09/C19</f>
        <v>4.6473755177048206</v>
      </c>
      <c r="D16" s="2">
        <f>7.09983902297546E-09/D19</f>
        <v>4.965317227663034</v>
      </c>
      <c r="E16" s="2">
        <f>6.83640485530687E-09/E19</f>
        <v>4.431052775971656</v>
      </c>
      <c r="F16" s="2">
        <f>7.3513667514975E-09/F19</f>
        <v>4.7733249977990022</v>
      </c>
      <c r="G16" s="2">
        <f>6.76208067460267E-09/G19</f>
        <v>4.1481235200395306</v>
      </c>
      <c r="H16" s="2">
        <f>6.80369835234237E-09/H19</f>
        <v>4.1940361258620973</v>
      </c>
      <c r="I16" s="2">
        <f>7.76434443307322E-09/I19</f>
        <v>5.0653075650016692</v>
      </c>
      <c r="J16" s="2">
        <f>8.28056840316559E-09/J19</f>
        <v>5.4293556087372963</v>
      </c>
      <c r="K16" s="2">
        <f>7.7554694250982E-09/K19</f>
        <v>4.8849770544609221</v>
      </c>
      <c r="N16" s="3" t="s">
        <v>2</v>
      </c>
      <c r="O16" s="2">
        <f>6.78708841434834E-10/O19</f>
        <v>2.5614214209218091</v>
      </c>
      <c r="P16" s="2">
        <f>6.67715168955643E-10/P19</f>
        <v>2.0902070038273397</v>
      </c>
      <c r="Q16" s="2">
        <f>7.06969599918786E-10/Q19</f>
        <v>2.2130885712159478</v>
      </c>
      <c r="R16" s="2">
        <f>5.93903062194625E-10/R19</f>
        <v>1.98705913549256</v>
      </c>
      <c r="S16" s="2">
        <f>7.44331450135212E-10/S19</f>
        <v>2.3667821769202977</v>
      </c>
      <c r="T16" s="2">
        <f>7.19706129314265E-10/T19</f>
        <v>2.1761654835907529</v>
      </c>
      <c r="U16" s="2">
        <f>7.30248943899688E-10/U19</f>
        <v>2.4568115697775763</v>
      </c>
      <c r="V16" s="2">
        <f>6.72234908544532E-10/V19</f>
        <v>2.2358600576178311</v>
      </c>
      <c r="W16" s="2">
        <f>7.3248643894143E-10/W19</f>
        <v>1.9294515390397735</v>
      </c>
      <c r="X16" s="2">
        <f>6.83332683932593E-10/X19</f>
        <v>2.173549954955341</v>
      </c>
    </row>
    <row r="17" spans="1:25" ht="31.05" customHeight="1" x14ac:dyDescent="0.6">
      <c r="A17" s="3" t="s">
        <v>1</v>
      </c>
      <c r="B17" s="2">
        <f>1.14046360261147E-08/B19</f>
        <v>8.1510911234057684</v>
      </c>
      <c r="C17" s="4">
        <f>1.32018029325504E-08/C19</f>
        <v>9.4353146777508083</v>
      </c>
      <c r="D17" s="2">
        <f>1.26870195761714E-08/D19</f>
        <v>8.8727472081277572</v>
      </c>
      <c r="E17" s="2">
        <f>1.33915182079577E-08/E19</f>
        <v>8.6797849433658758</v>
      </c>
      <c r="F17" s="2">
        <f>1.13183760510883E-08/H19</f>
        <v>6.9770403662904759</v>
      </c>
      <c r="G17" s="4">
        <f>1.34258485388998E-08/G19</f>
        <v>8.2359381351171201</v>
      </c>
      <c r="H17" s="2">
        <f>1.38736274079999E-08/H19</f>
        <v>8.5521861100543539</v>
      </c>
      <c r="I17" s="2">
        <f>1.30380164624815E-08/I19</f>
        <v>8.5057488097399876</v>
      </c>
      <c r="J17" s="2">
        <f>1.32916990340853E-08/J19</f>
        <v>8.7150250063475028</v>
      </c>
      <c r="K17" s="2">
        <f>1.47332634037909E-08/K19</f>
        <v>9.2801157118785316</v>
      </c>
      <c r="N17" s="3" t="s">
        <v>1</v>
      </c>
      <c r="O17" s="2">
        <f>1.01359199558372E-09/O19</f>
        <v>3.8252577409694766</v>
      </c>
      <c r="P17" s="2">
        <f>1.09864219767063E-09/P19</f>
        <v>3.43917544941077</v>
      </c>
      <c r="Q17" s="2">
        <f>1.04039380193663E-09/Q19</f>
        <v>3.256835418233492</v>
      </c>
      <c r="R17" s="2">
        <f>1.02187076734913E-09/R19</f>
        <v>3.4189378247193991</v>
      </c>
      <c r="S17" s="4">
        <f>9.58462008788145E-10/S19</f>
        <v>3.0476621661531658</v>
      </c>
      <c r="T17" s="2">
        <f>9.770966859686E-10/T19</f>
        <v>2.9544337550129511</v>
      </c>
      <c r="U17" s="2">
        <f>9.44683667167177E-10/U19</f>
        <v>3.178244600919335</v>
      </c>
      <c r="V17" s="4">
        <f>1.04048261128907E-09/V19</f>
        <v>3.460655615555587</v>
      </c>
      <c r="W17" s="2">
        <f>1.05118620292321E-09/W19</f>
        <v>2.7689425076301517</v>
      </c>
      <c r="X17" s="2">
        <f>1.12451404492159E-09/X19</f>
        <v>3.5768630846392759</v>
      </c>
    </row>
    <row r="18" spans="1:25" ht="31.05" customHeight="1" x14ac:dyDescent="0.6">
      <c r="A18" s="3" t="s">
        <v>0</v>
      </c>
      <c r="B18" s="4">
        <f>1.94416292071636E-09/B19</f>
        <v>1.3895269510766213</v>
      </c>
      <c r="C18" s="2">
        <f>2.03368415580872E-09/C19</f>
        <v>1.4534719282848998</v>
      </c>
      <c r="D18" s="2">
        <f>2.03368415580872E-09/D19</f>
        <v>1.4222698489057408</v>
      </c>
      <c r="E18" s="2">
        <f>2.3320105263927E-09/E19</f>
        <v>1.5115052334190144</v>
      </c>
      <c r="F18" s="2">
        <f>2.35137404374386E-09/F19</f>
        <v>1.5267735757969016</v>
      </c>
      <c r="G18" s="2">
        <f>2.34613583771669E-09/G19</f>
        <v>1.439211053218038</v>
      </c>
      <c r="H18" s="2">
        <f>2.50640320096539E-09/H19</f>
        <v>1.54503404272857</v>
      </c>
      <c r="I18" s="2">
        <f>2.5456253623641E-09/I19</f>
        <v>1.6607165636183971</v>
      </c>
      <c r="J18" s="2">
        <f>2.64195384650534E-09/J19</f>
        <v>1.732261148771528</v>
      </c>
      <c r="K18" s="2">
        <f>2.42548063023149E-09/K19</f>
        <v>1.5277498466277843</v>
      </c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5" ht="31.05" customHeight="1" x14ac:dyDescent="0.45">
      <c r="B19" s="1">
        <f>1.39915452464596E-09</f>
        <v>1.3991545246459599E-9</v>
      </c>
      <c r="C19" s="1">
        <f>1.39919052871456E-09</f>
        <v>1.39919052871456E-9</v>
      </c>
      <c r="D19" s="1">
        <f>1.42988628871897E-09</f>
        <v>1.4298862887189699E-9</v>
      </c>
      <c r="E19" s="1">
        <f>1.54283986243151E-09</f>
        <v>1.54283986243151E-9</v>
      </c>
      <c r="F19" s="1">
        <f>1.54009348931557E-09</f>
        <v>1.5400934893155699E-9</v>
      </c>
      <c r="G19" s="1">
        <f>1.63015412678411E-09</f>
        <v>1.63015412678411E-9</v>
      </c>
      <c r="H19" s="1">
        <f>1.62223169952878E-09</f>
        <v>1.62223169952878E-9</v>
      </c>
      <c r="I19" s="1">
        <f>1.53284757804646E-09</f>
        <v>1.5328475780464601E-9</v>
      </c>
      <c r="J19" s="1">
        <f>1.5251475497092E-09</f>
        <v>1.5251475497092E-9</v>
      </c>
      <c r="K19" s="1">
        <f>1.58761634673718E-09</f>
        <v>1.5876163467371801E-9</v>
      </c>
      <c r="O19" s="1">
        <f>2.64973516615075E-10</f>
        <v>2.6497351661507502E-10</v>
      </c>
      <c r="P19" s="1">
        <f>3.1944930226193E-10</f>
        <v>3.1944930226192999E-10</v>
      </c>
      <c r="Q19" s="1">
        <f>3.1944930226193E-10</f>
        <v>3.1944930226192999E-10</v>
      </c>
      <c r="R19" s="1">
        <f>2.98885449147645E-10</f>
        <v>2.9888544914764501E-10</v>
      </c>
      <c r="S19" s="1">
        <f>3.14490897131797E-10</f>
        <v>3.1449089713179703E-10</v>
      </c>
      <c r="T19" s="1">
        <f>3.30722150838788E-10</f>
        <v>3.3072215083878801E-10</v>
      </c>
      <c r="U19" s="1">
        <f>2.97234412635805E-10</f>
        <v>2.9723441263580499E-10</v>
      </c>
      <c r="V19" s="1">
        <f>3.00660547270904E-10</f>
        <v>3.0066054727090399E-10</v>
      </c>
      <c r="W19" s="1">
        <f>3.79634535576864E-10</f>
        <v>3.7963453557686402E-10</v>
      </c>
      <c r="X19" s="1">
        <f>3.14385543508998E-10</f>
        <v>3.14385543508998E-10</v>
      </c>
    </row>
    <row r="20" spans="1:25" ht="31.05" customHeight="1" x14ac:dyDescent="0.45"/>
    <row r="21" spans="1:25" ht="31.05" customHeight="1" x14ac:dyDescent="0.6">
      <c r="A21" s="6" t="s">
        <v>5</v>
      </c>
      <c r="B21" s="5">
        <v>-1</v>
      </c>
      <c r="C21" s="5">
        <v>-2</v>
      </c>
      <c r="D21" s="5">
        <v>-3</v>
      </c>
      <c r="E21" s="5">
        <v>-4</v>
      </c>
      <c r="F21" s="5">
        <v>-5</v>
      </c>
      <c r="G21" s="5">
        <v>-6</v>
      </c>
      <c r="H21" s="5">
        <v>-7</v>
      </c>
      <c r="I21" s="5">
        <v>-8</v>
      </c>
      <c r="J21" s="5">
        <v>-9</v>
      </c>
      <c r="K21" s="5">
        <v>-10</v>
      </c>
      <c r="N21" s="6" t="s">
        <v>9</v>
      </c>
      <c r="O21" s="5">
        <v>-1</v>
      </c>
      <c r="P21" s="5">
        <v>-2</v>
      </c>
      <c r="Q21" s="5">
        <v>-3</v>
      </c>
      <c r="R21" s="5">
        <v>-4</v>
      </c>
      <c r="S21" s="5">
        <v>-5</v>
      </c>
      <c r="T21" s="5">
        <v>-6</v>
      </c>
      <c r="U21" s="5">
        <v>-7</v>
      </c>
      <c r="V21" s="5">
        <v>-8</v>
      </c>
      <c r="W21" s="5">
        <v>-9</v>
      </c>
      <c r="X21" s="5">
        <v>-10</v>
      </c>
    </row>
    <row r="22" spans="1:25" ht="31.05" customHeight="1" x14ac:dyDescent="0.6">
      <c r="A22" s="3" t="s">
        <v>3</v>
      </c>
      <c r="B22" s="2">
        <f>1.5251475497092E-09/B26</f>
        <v>1</v>
      </c>
      <c r="C22" s="2">
        <f>1.43918354800037E-09/C26</f>
        <v>1</v>
      </c>
      <c r="D22" s="2">
        <f>1.38304389112279E-09/D26</f>
        <v>1</v>
      </c>
      <c r="E22" s="2">
        <f>1.36975755955909E-09/E26</f>
        <v>1</v>
      </c>
      <c r="F22" s="2">
        <f>1.55793279611948E-09/F26</f>
        <v>1</v>
      </c>
      <c r="G22" s="2">
        <f>1.51424989382276E-09/G26</f>
        <v>1</v>
      </c>
      <c r="H22" s="2">
        <f>1.73794855344297E-09/H26</f>
        <v>1</v>
      </c>
      <c r="I22" s="2">
        <f>1.57792489558835E-09/I26</f>
        <v>1</v>
      </c>
      <c r="J22" s="2">
        <f>1.49998579471007E-09/J26</f>
        <v>1</v>
      </c>
      <c r="K22" s="2">
        <f>1.66803193055356E-09/K26</f>
        <v>1</v>
      </c>
      <c r="N22" s="3" t="s">
        <v>3</v>
      </c>
      <c r="O22" s="2">
        <f>3.25198755700206E-10/O26</f>
        <v>1</v>
      </c>
      <c r="P22" s="2">
        <f>2.81816222435431E-10/P26</f>
        <v>1</v>
      </c>
      <c r="Q22" s="2">
        <f>2.81816222435431E-10/Q26</f>
        <v>1</v>
      </c>
      <c r="R22" s="2">
        <f>3.0453666466701E-10/R26</f>
        <v>1</v>
      </c>
      <c r="S22" s="2">
        <f>3.08005161018169E-10/S26</f>
        <v>1</v>
      </c>
      <c r="T22" s="2">
        <f>3.09969830658622E-10/T26</f>
        <v>1</v>
      </c>
      <c r="U22" s="2">
        <f>2.75226631587699E-10/U26</f>
        <v>1</v>
      </c>
      <c r="V22" s="2">
        <f>2.83823615770916E-10/V26</f>
        <v>1</v>
      </c>
      <c r="W22" s="2">
        <f>2.98063333658765E-10/W26</f>
        <v>1</v>
      </c>
      <c r="X22" s="2">
        <f>3.18977981560595E-10/X26</f>
        <v>1</v>
      </c>
    </row>
    <row r="23" spans="1:25" ht="31.05" customHeight="1" x14ac:dyDescent="0.6">
      <c r="A23" s="3" t="s">
        <v>2</v>
      </c>
      <c r="B23" s="2">
        <f>6.65086923325718E-09/B26</f>
        <v>4.3608038019175925</v>
      </c>
      <c r="C23" s="2">
        <f>6.51598798965988E-09/C26</f>
        <v>4.5275586972303303</v>
      </c>
      <c r="D23" s="2">
        <f>7.32525305861674E-09/D26</f>
        <v>5.2964718658855539</v>
      </c>
      <c r="E23" s="2">
        <f>7.54348020132283E-09/E26</f>
        <v>5.5071644968697919</v>
      </c>
      <c r="F23" s="4">
        <f>7.08833269942454E-09/F26</f>
        <v>4.5498321346596304</v>
      </c>
      <c r="G23" s="2">
        <f>7.65775011491554E-09/G26</f>
        <v>5.057124419261716</v>
      </c>
      <c r="H23" s="2">
        <f>7.44209474428921E-09/H26</f>
        <v>4.2821145249357455</v>
      </c>
      <c r="I23" s="2">
        <f>7.15131352510328E-09/I26</f>
        <v>4.5321000670547242</v>
      </c>
      <c r="J23" s="2">
        <f>8.01597483082007E-09/J26</f>
        <v>5.3440338295800105</v>
      </c>
      <c r="K23" s="2">
        <f>7.70631652955193E-09/K26</f>
        <v>4.6200054018117509</v>
      </c>
      <c r="N23" s="3" t="s">
        <v>2</v>
      </c>
      <c r="O23" s="2">
        <f>7.72848794271352E-10/O26</f>
        <v>2.3765429009938317</v>
      </c>
      <c r="P23" s="2">
        <f>7.11062865346871E-10/P26</f>
        <v>2.523143838924276</v>
      </c>
      <c r="Q23" s="2">
        <f>6.44481492997461E-10/Q26</f>
        <v>2.2868857137744185</v>
      </c>
      <c r="R23" s="2">
        <f>7.57325037004752E-10/R26</f>
        <v>2.4868107025235697</v>
      </c>
      <c r="S23" s="2">
        <f>7.11307195248619E-10/S26</f>
        <v>2.309400248025907</v>
      </c>
      <c r="T23" s="2">
        <f>7.2685402143585E-10/T26</f>
        <v>2.3449186002761464</v>
      </c>
      <c r="U23" s="2">
        <f>7.18931748582779E-10/U26</f>
        <v>2.6121445604136477</v>
      </c>
      <c r="V23" s="2">
        <f>7.25546662610957E-10/V26</f>
        <v>2.5563294324196448</v>
      </c>
      <c r="W23" s="2">
        <f>6.6419754778854E-10/W26</f>
        <v>2.2283772365940866</v>
      </c>
      <c r="X23" s="2">
        <f>7.20372023211941E-10/X26</f>
        <v>2.2583753890708436</v>
      </c>
    </row>
    <row r="24" spans="1:25" ht="31.05" customHeight="1" x14ac:dyDescent="0.6">
      <c r="A24" s="3" t="s">
        <v>1</v>
      </c>
      <c r="B24" s="2">
        <f>1.20688809537229E-08/B26</f>
        <v>7.9132546592125292</v>
      </c>
      <c r="C24" s="2">
        <f>1.15019647534317E-08/C26</f>
        <v>7.9920068356901082</v>
      </c>
      <c r="D24" s="2">
        <f>1.2871361801875E-08/D26</f>
        <v>9.306546151203996</v>
      </c>
      <c r="E24" s="4">
        <f>1.26721453213904E-08/E26</f>
        <v>9.2513782697935429</v>
      </c>
      <c r="F24" s="2">
        <f>1.25248174293207E-08/F26</f>
        <v>8.0393823536661433</v>
      </c>
      <c r="G24" s="2">
        <f>1.27715990170574E-08/G26</f>
        <v>8.4342743355359886</v>
      </c>
      <c r="H24" s="2">
        <f>1.36348229678116E-08/H26</f>
        <v>7.8453547665725081</v>
      </c>
      <c r="I24" s="2">
        <f>1.21114652228355E-08/I26</f>
        <v>7.675565077081556</v>
      </c>
      <c r="J24" s="2">
        <f>1.30411794276899E-08/J26</f>
        <v>8.6942019542329128</v>
      </c>
      <c r="K24" s="2">
        <f>1.27260318240996E-08/K26</f>
        <v>7.62936943291984</v>
      </c>
      <c r="N24" s="3" t="s">
        <v>1</v>
      </c>
      <c r="O24" s="2">
        <f>9.03742827390252E-10/O26</f>
        <v>2.7790476179539683</v>
      </c>
      <c r="P24" s="2">
        <f>1.0380453160491E-09/P26</f>
        <v>3.6834122148058182</v>
      </c>
      <c r="Q24" s="2">
        <f>9.7117348880546E-10/Q26</f>
        <v>3.4461234360913084</v>
      </c>
      <c r="R24" s="2">
        <f>1.06543351456162E-09/R26</f>
        <v>3.4985393818724542</v>
      </c>
      <c r="S24" s="2">
        <f>9.43703988431762E-10/S26</f>
        <v>3.0639226476341208</v>
      </c>
      <c r="T24" s="2">
        <f>1.10999077959677E-09/T26</f>
        <v>3.5809639190958307</v>
      </c>
      <c r="U24" s="2">
        <f>1.45409824030241E-09/U26</f>
        <v>5.2832759385026007</v>
      </c>
      <c r="V24" s="2">
        <f>1.01054252137175E-09/V26</f>
        <v>3.5604596137179594</v>
      </c>
      <c r="W24" s="2">
        <f>1.11540543704796E-09/W26</f>
        <v>3.7421759441398499</v>
      </c>
      <c r="X24" s="2">
        <f>1.18981549456393E-09/X26</f>
        <v>3.7300865995288315</v>
      </c>
    </row>
    <row r="25" spans="1:25" ht="31.05" customHeight="1" x14ac:dyDescent="0.6">
      <c r="A25" s="3" t="s">
        <v>0</v>
      </c>
      <c r="B25" s="2">
        <f>2.05897043604564E-09/B26</f>
        <v>1.3500139291035966</v>
      </c>
      <c r="C25" s="2">
        <f>2.16800174772315E-09/C26</f>
        <v>1.5064108749265612</v>
      </c>
      <c r="D25" s="2">
        <f>2.15272444453214E-09/D26</f>
        <v>1.5565120227562004</v>
      </c>
      <c r="E25" s="2">
        <f>2.27004772276736E-09/E26</f>
        <v>1.6572624162031007</v>
      </c>
      <c r="F25" s="2">
        <f>2.57104652078989E-09/F26</f>
        <v>1.6502935987957166</v>
      </c>
      <c r="G25" s="2">
        <f>2.58476683775152E-09/G26</f>
        <v>1.7069618748502695</v>
      </c>
      <c r="H25" s="2">
        <f>2.31942860366946E-09/H26</f>
        <v>1.3345784022631433</v>
      </c>
      <c r="I25" s="2">
        <f>2.36932150103449E-09/I26</f>
        <v>1.501542632135896</v>
      </c>
      <c r="J25" s="2">
        <f>2.40314553044699E-09/J26</f>
        <v>1.6021121926101243</v>
      </c>
      <c r="K25" s="2">
        <f>2.59793073267542E-09/K26</f>
        <v>1.5574826147442271</v>
      </c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31.05" customHeight="1" x14ac:dyDescent="0.45">
      <c r="B26" s="1">
        <f>1.5251475497092E-09</f>
        <v>1.5251475497092E-9</v>
      </c>
      <c r="C26" s="1">
        <f>1.43918354800037E-09</f>
        <v>1.4391835480003699E-9</v>
      </c>
      <c r="D26" s="1">
        <f>1.38304389112279E-09</f>
        <v>1.3830438911227899E-9</v>
      </c>
      <c r="E26" s="1">
        <f>1.36975755955909E-09</f>
        <v>1.3697575595590899E-9</v>
      </c>
      <c r="F26" s="1">
        <f>1.55793279611948E-09</f>
        <v>1.5579327961194799E-9</v>
      </c>
      <c r="G26" s="1">
        <f>1.51424989382276E-09</f>
        <v>1.5142498938227599E-9</v>
      </c>
      <c r="H26" s="1">
        <f>1.73794855344297E-09</f>
        <v>1.7379485534429701E-9</v>
      </c>
      <c r="I26" s="1">
        <f>1.57792489558835E-09</f>
        <v>1.5779248955883501E-9</v>
      </c>
      <c r="J26" s="1">
        <f>1.49998579471007E-09</f>
        <v>1.49998579471007E-9</v>
      </c>
      <c r="K26" s="1">
        <f>1.66803193055356E-09</f>
        <v>1.66803193055356E-9</v>
      </c>
      <c r="O26" s="1">
        <f>3.25198755700206E-10</f>
        <v>3.2519875570020602E-10</v>
      </c>
      <c r="P26" s="1">
        <f>2.81816222435431E-10</f>
        <v>2.81816222435431E-10</v>
      </c>
      <c r="Q26" s="1">
        <f>2.81816222435431E-10</f>
        <v>2.81816222435431E-10</v>
      </c>
      <c r="R26" s="1">
        <f>3.0453666466701E-10</f>
        <v>3.0453666466701001E-10</v>
      </c>
      <c r="S26" s="1">
        <f>3.08005161018169E-10</f>
        <v>3.0800516101816902E-10</v>
      </c>
      <c r="T26" s="1">
        <f>3.09969830658622E-10</f>
        <v>3.0996983065862202E-10</v>
      </c>
      <c r="U26" s="1">
        <f>2.75226631587699E-10</f>
        <v>2.7522663158769902E-10</v>
      </c>
      <c r="V26" s="1">
        <f>2.83823615770916E-10</f>
        <v>2.8382361577091598E-10</v>
      </c>
      <c r="W26" s="1">
        <f>2.98063333658765E-10</f>
        <v>2.9806333365876502E-10</v>
      </c>
      <c r="X26" s="1">
        <f>3.18977981560595E-10</f>
        <v>3.1897798156059499E-10</v>
      </c>
    </row>
    <row r="27" spans="1:25" ht="31.05" customHeight="1" x14ac:dyDescent="0.45"/>
    <row r="28" spans="1:25" ht="31.05" customHeight="1" x14ac:dyDescent="0.6">
      <c r="A28" s="7" t="s">
        <v>4</v>
      </c>
      <c r="B28" s="8">
        <v>-1</v>
      </c>
      <c r="C28" s="8">
        <v>-2</v>
      </c>
      <c r="D28" s="8">
        <v>-3</v>
      </c>
      <c r="E28" s="8">
        <v>-4</v>
      </c>
      <c r="F28" s="8">
        <v>-5</v>
      </c>
      <c r="G28" s="8">
        <v>-6</v>
      </c>
      <c r="H28" s="8">
        <v>-7</v>
      </c>
      <c r="I28" s="8">
        <v>-8</v>
      </c>
      <c r="J28" s="8">
        <v>-9</v>
      </c>
      <c r="K28" s="8">
        <v>-10</v>
      </c>
      <c r="N28" s="7" t="s">
        <v>4</v>
      </c>
      <c r="O28" s="8">
        <v>-1</v>
      </c>
      <c r="P28" s="8">
        <v>-2</v>
      </c>
      <c r="Q28" s="8">
        <v>-3</v>
      </c>
      <c r="R28" s="8">
        <v>-4</v>
      </c>
      <c r="S28" s="8">
        <v>-5</v>
      </c>
      <c r="T28" s="8">
        <v>-6</v>
      </c>
      <c r="U28" s="8">
        <v>-7</v>
      </c>
      <c r="V28" s="8">
        <v>-8</v>
      </c>
      <c r="W28" s="8">
        <v>-9</v>
      </c>
      <c r="X28" s="8">
        <v>-10</v>
      </c>
    </row>
    <row r="29" spans="1:25" ht="31.05" customHeight="1" x14ac:dyDescent="0.6">
      <c r="A29" s="8" t="s">
        <v>3</v>
      </c>
      <c r="B29" s="9">
        <f>(B2+B15+B22)/3</f>
        <v>1</v>
      </c>
      <c r="C29" s="9">
        <f t="shared" ref="C29:K29" si="0">(C2+C15+C22)/3</f>
        <v>1</v>
      </c>
      <c r="D29" s="9">
        <f t="shared" si="0"/>
        <v>1</v>
      </c>
      <c r="E29" s="9">
        <f t="shared" si="0"/>
        <v>1</v>
      </c>
      <c r="F29" s="9">
        <f t="shared" si="0"/>
        <v>1</v>
      </c>
      <c r="G29" s="9">
        <f t="shared" si="0"/>
        <v>1</v>
      </c>
      <c r="H29" s="9">
        <f t="shared" si="0"/>
        <v>1</v>
      </c>
      <c r="I29" s="9">
        <f t="shared" si="0"/>
        <v>1</v>
      </c>
      <c r="J29" s="9">
        <f t="shared" si="0"/>
        <v>1</v>
      </c>
      <c r="K29" s="9">
        <f t="shared" si="0"/>
        <v>1</v>
      </c>
      <c r="N29" s="8" t="s">
        <v>3</v>
      </c>
      <c r="O29" s="9">
        <f>(O22+O15+O2)/3</f>
        <v>1</v>
      </c>
      <c r="P29" s="9">
        <f t="shared" ref="P29:X29" si="1">(P22+P15+P2)/3</f>
        <v>1</v>
      </c>
      <c r="Q29" s="9">
        <f t="shared" si="1"/>
        <v>1</v>
      </c>
      <c r="R29" s="9">
        <f t="shared" si="1"/>
        <v>1</v>
      </c>
      <c r="S29" s="9">
        <f t="shared" si="1"/>
        <v>1</v>
      </c>
      <c r="T29" s="9">
        <f t="shared" si="1"/>
        <v>1</v>
      </c>
      <c r="U29" s="9">
        <f t="shared" si="1"/>
        <v>1</v>
      </c>
      <c r="V29" s="9">
        <f t="shared" si="1"/>
        <v>1</v>
      </c>
      <c r="W29" s="9">
        <f t="shared" si="1"/>
        <v>1</v>
      </c>
      <c r="X29" s="9">
        <f t="shared" si="1"/>
        <v>1</v>
      </c>
    </row>
    <row r="30" spans="1:25" ht="31.05" customHeight="1" x14ac:dyDescent="0.6">
      <c r="A30" s="8" t="s">
        <v>2</v>
      </c>
      <c r="B30" s="9">
        <f>(B23+B16+B3)/3</f>
        <v>3.0811609420780304</v>
      </c>
      <c r="C30" s="9">
        <f t="shared" ref="C30:K30" si="2">(C23+C16+C3)/3</f>
        <v>3.0583114071671318</v>
      </c>
      <c r="D30" s="9">
        <f t="shared" si="2"/>
        <v>3.4205963668376049</v>
      </c>
      <c r="E30" s="9">
        <f t="shared" si="2"/>
        <v>3.3127390932820417</v>
      </c>
      <c r="F30" s="9">
        <f t="shared" si="2"/>
        <v>3.1077190462680799</v>
      </c>
      <c r="G30" s="9">
        <f t="shared" si="2"/>
        <v>3.0684159820022994</v>
      </c>
      <c r="H30" s="9">
        <f t="shared" si="2"/>
        <v>2.8253835526308237</v>
      </c>
      <c r="I30" s="9">
        <f t="shared" si="2"/>
        <v>3.1991358799225065</v>
      </c>
      <c r="J30" s="9">
        <f t="shared" si="2"/>
        <v>3.5911298153242783</v>
      </c>
      <c r="K30" s="9">
        <f t="shared" si="2"/>
        <v>3.1683274879716934</v>
      </c>
      <c r="N30" s="8" t="s">
        <v>2</v>
      </c>
      <c r="O30" s="9">
        <f>(O23+O16+O3)/3</f>
        <v>2.3980908166073927</v>
      </c>
      <c r="P30" s="9">
        <f t="shared" ref="P30:X30" si="3">(P23+P16+P3)/3</f>
        <v>2.2259195082857475</v>
      </c>
      <c r="Q30" s="9">
        <f t="shared" si="3"/>
        <v>2.3740326343039819</v>
      </c>
      <c r="R30" s="9">
        <f t="shared" si="3"/>
        <v>2.1409117207652644</v>
      </c>
      <c r="S30" s="9">
        <f t="shared" si="3"/>
        <v>2.4237822825714095</v>
      </c>
      <c r="T30" s="9">
        <f t="shared" si="3"/>
        <v>2.3110281476821828</v>
      </c>
      <c r="U30" s="9">
        <f t="shared" si="3"/>
        <v>2.4546989691251992</v>
      </c>
      <c r="V30" s="9">
        <f t="shared" si="3"/>
        <v>2.3852311853536734</v>
      </c>
      <c r="W30" s="9">
        <f t="shared" si="3"/>
        <v>2.1527061502798719</v>
      </c>
      <c r="X30" s="9">
        <f t="shared" si="3"/>
        <v>2.13674569960255</v>
      </c>
    </row>
    <row r="31" spans="1:25" ht="31.05" customHeight="1" x14ac:dyDescent="0.6">
      <c r="A31" s="8" t="s">
        <v>1</v>
      </c>
      <c r="B31" s="9">
        <f>(B24+B17+B4)/3</f>
        <v>8.1777325124986557</v>
      </c>
      <c r="C31" s="9">
        <f t="shared" ref="C31:K31" si="4">(C24+C17+C4)/3</f>
        <v>8.3928242812785481</v>
      </c>
      <c r="D31" s="9">
        <f t="shared" si="4"/>
        <v>9.1623606625884833</v>
      </c>
      <c r="E31" s="9">
        <f t="shared" si="4"/>
        <v>8.4206545440203922</v>
      </c>
      <c r="F31" s="9">
        <f t="shared" si="4"/>
        <v>7.7995798329999699</v>
      </c>
      <c r="G31" s="9">
        <f t="shared" si="4"/>
        <v>8.1972457378371928</v>
      </c>
      <c r="H31" s="9">
        <f t="shared" si="4"/>
        <v>8.5812160719295001</v>
      </c>
      <c r="I31" s="9">
        <f t="shared" si="4"/>
        <v>8.2836817118779038</v>
      </c>
      <c r="J31" s="9">
        <f t="shared" si="4"/>
        <v>8.6164650109957197</v>
      </c>
      <c r="K31" s="9">
        <f t="shared" si="4"/>
        <v>8.799650884994092</v>
      </c>
      <c r="N31" s="8" t="s">
        <v>1</v>
      </c>
      <c r="O31" s="9">
        <f>(O24+O17+O4)/3</f>
        <v>3.4146478292801365</v>
      </c>
      <c r="P31" s="9">
        <f t="shared" ref="P31:X32" si="5">(P24+P17+P4)/3</f>
        <v>3.5811524963669079</v>
      </c>
      <c r="Q31" s="9">
        <f t="shared" si="5"/>
        <v>3.4200740964989671</v>
      </c>
      <c r="R31" s="9">
        <f t="shared" si="5"/>
        <v>3.4094377382488155</v>
      </c>
      <c r="S31" s="9">
        <f t="shared" si="5"/>
        <v>3.255197604269958</v>
      </c>
      <c r="T31" s="9">
        <f t="shared" si="5"/>
        <v>3.2343119549732982</v>
      </c>
      <c r="U31" s="14">
        <f>(U24+U17+U4)/3</f>
        <v>3.864485428790267</v>
      </c>
      <c r="V31" s="9">
        <f t="shared" si="5"/>
        <v>3.5724720216779957</v>
      </c>
      <c r="W31" s="9">
        <f t="shared" si="5"/>
        <v>3.3056126597587538</v>
      </c>
      <c r="X31" s="9">
        <f t="shared" si="5"/>
        <v>3.4380301375372802</v>
      </c>
    </row>
    <row r="32" spans="1:25" ht="31.05" customHeight="1" x14ac:dyDescent="0.6">
      <c r="A32" s="8" t="s">
        <v>0</v>
      </c>
      <c r="B32" s="10">
        <f>(B25+B18+B5)/3</f>
        <v>1.3818528074399046</v>
      </c>
      <c r="C32" s="10">
        <f t="shared" ref="C32:K32" si="6">(C25+C18+C5)/3</f>
        <v>1.4372045940022602</v>
      </c>
      <c r="D32" s="10">
        <f t="shared" si="6"/>
        <v>1.5116370019774401</v>
      </c>
      <c r="E32" s="10">
        <f t="shared" si="6"/>
        <v>1.5145120355768886</v>
      </c>
      <c r="F32" s="10">
        <f t="shared" si="6"/>
        <v>1.5447986480300271</v>
      </c>
      <c r="G32" s="10">
        <f t="shared" si="6"/>
        <v>1.5473998669931408</v>
      </c>
      <c r="H32" s="10">
        <f t="shared" si="6"/>
        <v>1.5651886149630574</v>
      </c>
      <c r="I32" s="10">
        <f t="shared" si="6"/>
        <v>1.6803120326959136</v>
      </c>
      <c r="J32" s="10">
        <f t="shared" si="6"/>
        <v>1.5901851649536116</v>
      </c>
      <c r="K32" s="10">
        <f t="shared" si="6"/>
        <v>1.5765629532660366</v>
      </c>
      <c r="N32" s="11"/>
      <c r="O32" s="12">
        <v>1.3818528074399046</v>
      </c>
      <c r="P32" s="12">
        <v>1.4372045940022602</v>
      </c>
      <c r="Q32" s="12">
        <v>1.5116370019774401</v>
      </c>
      <c r="R32" s="12">
        <v>1.5145120355768886</v>
      </c>
      <c r="S32" s="12">
        <v>1.5447986480300271</v>
      </c>
      <c r="T32" s="12">
        <v>1.5473998669931408</v>
      </c>
      <c r="U32" s="12">
        <v>1.5651886149630574</v>
      </c>
      <c r="V32" s="12">
        <v>1.6803120326959136</v>
      </c>
      <c r="W32" s="12">
        <v>1.5901851649536116</v>
      </c>
      <c r="X32" s="12">
        <v>1.5765629532660366</v>
      </c>
    </row>
    <row r="33" spans="2:24" ht="31.05" customHeight="1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ht="31.05" customHeight="1" x14ac:dyDescent="0.45"/>
    <row r="35" spans="2:24" ht="31.05" customHeight="1" x14ac:dyDescent="0.45"/>
    <row r="36" spans="2:24" ht="31.05" customHeight="1" x14ac:dyDescent="0.45"/>
    <row r="37" spans="2:24" ht="31.05" customHeight="1" x14ac:dyDescent="0.45"/>
    <row r="38" spans="2:24" ht="31.05" customHeight="1" x14ac:dyDescent="0.45"/>
    <row r="39" spans="2:24" ht="31.05" customHeight="1" x14ac:dyDescent="0.45"/>
    <row r="40" spans="2:24" ht="31.05" customHeight="1" x14ac:dyDescent="0.45"/>
    <row r="41" spans="2:24" ht="31.05" customHeight="1" x14ac:dyDescent="0.45"/>
    <row r="42" spans="2:24" ht="31.05" customHeight="1" x14ac:dyDescent="0.45"/>
    <row r="43" spans="2:24" ht="31.05" customHeight="1" x14ac:dyDescent="0.45"/>
    <row r="44" spans="2:24" ht="31.05" customHeight="1" x14ac:dyDescent="0.45"/>
    <row r="45" spans="2:24" ht="31.05" customHeight="1" x14ac:dyDescent="0.45"/>
    <row r="46" spans="2:24" ht="31.05" customHeight="1" x14ac:dyDescent="0.45"/>
    <row r="47" spans="2:24" ht="31.05" customHeight="1" x14ac:dyDescent="0.45"/>
    <row r="48" spans="2:24" ht="31.05" customHeight="1" x14ac:dyDescent="0.45"/>
    <row r="49" ht="31.05" customHeight="1" x14ac:dyDescent="0.45"/>
    <row r="50" ht="31.05" customHeight="1" x14ac:dyDescent="0.45"/>
    <row r="51" ht="31.05" customHeight="1" x14ac:dyDescent="0.45"/>
    <row r="52" ht="31.05" customHeight="1" x14ac:dyDescent="0.45"/>
    <row r="53" ht="31.05" customHeight="1" x14ac:dyDescent="0.45"/>
    <row r="54" ht="31.05" customHeight="1" x14ac:dyDescent="0.45"/>
    <row r="55" ht="31.05" customHeight="1" x14ac:dyDescent="0.45"/>
    <row r="56" ht="31.05" customHeight="1" x14ac:dyDescent="0.45"/>
    <row r="57" ht="31.05" customHeight="1" x14ac:dyDescent="0.45"/>
    <row r="58" ht="31.05" customHeight="1" x14ac:dyDescent="0.45"/>
    <row r="59" ht="31.05" customHeight="1" x14ac:dyDescent="0.45"/>
    <row r="60" ht="31.05" customHeight="1" x14ac:dyDescent="0.45"/>
    <row r="61" ht="31.05" customHeight="1" x14ac:dyDescent="0.45"/>
    <row r="62" ht="31.05" customHeight="1" x14ac:dyDescent="0.45"/>
    <row r="63" ht="31.05" customHeight="1" x14ac:dyDescent="0.45"/>
    <row r="64" ht="31.05" customHeight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Verstraten, Miep</dc:creator>
  <cp:lastModifiedBy>Verstraten, Miep</cp:lastModifiedBy>
  <dcterms:created xsi:type="dcterms:W3CDTF">2025-03-17T09:04:08Z</dcterms:created>
  <dcterms:modified xsi:type="dcterms:W3CDTF">2025-03-18T14:05:40Z</dcterms:modified>
</cp:coreProperties>
</file>